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o Doan\Documents\TakeNotes\GroupSeb\"/>
    </mc:Choice>
  </mc:AlternateContent>
  <bookViews>
    <workbookView xWindow="0" yWindow="0" windowWidth="20490" windowHeight="7650" tabRatio="902" firstSheet="1" activeTab="2"/>
  </bookViews>
  <sheets>
    <sheet name="DS TUẦN" sheetId="133" state="hidden" r:id="rId1"/>
    <sheet name=" " sheetId="139" r:id="rId2"/>
    <sheet name="List Model" sheetId="137" r:id="rId3"/>
    <sheet name="Sheet1" sheetId="140" r:id="rId4"/>
    <sheet name="BAO CAO DS SUPOR (2)" sheetId="136" state="hidden" r:id="rId5"/>
  </sheets>
  <definedNames>
    <definedName name="_xlnm._FilterDatabase" localSheetId="4" hidden="1">'BAO CAO DS SUPOR (2)'!$A$3:$Q$303</definedName>
    <definedName name="_xlnm._FilterDatabase" localSheetId="0" hidden="1">'DS TUẦN'!$A$4:$R$206</definedName>
    <definedName name="_xlnm._FilterDatabase" localSheetId="2" hidden="1">'List Model'!$A$2:$AO$437</definedName>
  </definedNames>
  <calcPr calcId="152511"/>
  <pivotCaches>
    <pivotCache cacheId="1" r:id="rId6"/>
  </pivotCaches>
  <fileRecoveryPr repairLoad="1"/>
</workbook>
</file>

<file path=xl/calcChain.xml><?xml version="1.0" encoding="utf-8"?>
<calcChain xmlns="http://schemas.openxmlformats.org/spreadsheetml/2006/main">
  <c r="M1" i="137" l="1"/>
  <c r="O1" i="137"/>
  <c r="P1" i="137"/>
  <c r="Q1" i="137"/>
  <c r="R1" i="137"/>
  <c r="S1" i="137"/>
  <c r="T1" i="137"/>
  <c r="U1" i="137"/>
  <c r="V1" i="137"/>
  <c r="W1" i="137"/>
  <c r="X1" i="137"/>
  <c r="Y1" i="137"/>
  <c r="Z1" i="137"/>
  <c r="AA1" i="137"/>
  <c r="AB1" i="137"/>
  <c r="AC1" i="137"/>
  <c r="AD1" i="137"/>
  <c r="AE1" i="137"/>
  <c r="AF1" i="137"/>
  <c r="AG1" i="137"/>
  <c r="AH1" i="137"/>
  <c r="AI1" i="137"/>
  <c r="AJ49" i="137"/>
  <c r="AJ13" i="137"/>
  <c r="C4" i="137"/>
  <c r="AM4" i="137" s="1"/>
  <c r="C5" i="137"/>
  <c r="AM5" i="137" s="1"/>
  <c r="C6" i="137"/>
  <c r="AM6" i="137" s="1"/>
  <c r="C7" i="137"/>
  <c r="AM7" i="137" s="1"/>
  <c r="C8" i="137"/>
  <c r="AM8" i="137" s="1"/>
  <c r="C9" i="137"/>
  <c r="AM9" i="137" s="1"/>
  <c r="C10" i="137"/>
  <c r="AM10" i="137" s="1"/>
  <c r="C11" i="137"/>
  <c r="AM11" i="137" s="1"/>
  <c r="C12" i="137"/>
  <c r="AM12" i="137" s="1"/>
  <c r="C13" i="137"/>
  <c r="AM13" i="137" s="1"/>
  <c r="C14" i="137"/>
  <c r="AM14" i="137" s="1"/>
  <c r="C15" i="137"/>
  <c r="AM15" i="137" s="1"/>
  <c r="C16" i="137"/>
  <c r="AM16" i="137" s="1"/>
  <c r="C17" i="137"/>
  <c r="AM17" i="137" s="1"/>
  <c r="C18" i="137"/>
  <c r="AM18" i="137" s="1"/>
  <c r="C19" i="137"/>
  <c r="AM19" i="137" s="1"/>
  <c r="C20" i="137"/>
  <c r="AM20" i="137" s="1"/>
  <c r="C21" i="137"/>
  <c r="AM21" i="137" s="1"/>
  <c r="C22" i="137"/>
  <c r="AM22" i="137" s="1"/>
  <c r="C23" i="137"/>
  <c r="AM23" i="137" s="1"/>
  <c r="C24" i="137"/>
  <c r="AM24" i="137" s="1"/>
  <c r="C25" i="137"/>
  <c r="AM25" i="137" s="1"/>
  <c r="C26" i="137"/>
  <c r="AM26" i="137" s="1"/>
  <c r="C27" i="137"/>
  <c r="AM27" i="137" s="1"/>
  <c r="C28" i="137"/>
  <c r="AM28" i="137" s="1"/>
  <c r="C29" i="137"/>
  <c r="AM29" i="137" s="1"/>
  <c r="C30" i="137"/>
  <c r="AM30" i="137" s="1"/>
  <c r="C31" i="137"/>
  <c r="AM31" i="137" s="1"/>
  <c r="C32" i="137"/>
  <c r="AM32" i="137" s="1"/>
  <c r="C33" i="137"/>
  <c r="AM33" i="137" s="1"/>
  <c r="C34" i="137"/>
  <c r="AM34" i="137" s="1"/>
  <c r="C35" i="137"/>
  <c r="AM35" i="137" s="1"/>
  <c r="C36" i="137"/>
  <c r="AM36" i="137" s="1"/>
  <c r="C37" i="137"/>
  <c r="AM37" i="137" s="1"/>
  <c r="C38" i="137"/>
  <c r="AM38" i="137" s="1"/>
  <c r="C39" i="137"/>
  <c r="AM39" i="137" s="1"/>
  <c r="C40" i="137"/>
  <c r="AM40" i="137" s="1"/>
  <c r="C41" i="137"/>
  <c r="AM41" i="137" s="1"/>
  <c r="C42" i="137"/>
  <c r="AM42" i="137" s="1"/>
  <c r="C43" i="137"/>
  <c r="AM43" i="137" s="1"/>
  <c r="C44" i="137"/>
  <c r="AM44" i="137" s="1"/>
  <c r="C45" i="137"/>
  <c r="AM45" i="137" s="1"/>
  <c r="C46" i="137"/>
  <c r="AM46" i="137" s="1"/>
  <c r="C47" i="137"/>
  <c r="AM47" i="137" s="1"/>
  <c r="C48" i="137"/>
  <c r="AM48" i="137" s="1"/>
  <c r="C49" i="137"/>
  <c r="AM49" i="137" s="1"/>
  <c r="C50" i="137"/>
  <c r="AM50" i="137" s="1"/>
  <c r="C51" i="137"/>
  <c r="AM51" i="137" s="1"/>
  <c r="C52" i="137"/>
  <c r="AM52" i="137" s="1"/>
  <c r="C53" i="137"/>
  <c r="AM53" i="137" s="1"/>
  <c r="C54" i="137"/>
  <c r="AM54" i="137" s="1"/>
  <c r="C55" i="137"/>
  <c r="AM55" i="137" s="1"/>
  <c r="C56" i="137"/>
  <c r="AM56" i="137" s="1"/>
  <c r="C57" i="137"/>
  <c r="AM57" i="137" s="1"/>
  <c r="C58" i="137"/>
  <c r="AM58" i="137" s="1"/>
  <c r="C59" i="137"/>
  <c r="AM59" i="137" s="1"/>
  <c r="C60" i="137"/>
  <c r="AM60" i="137" s="1"/>
  <c r="C61" i="137"/>
  <c r="AM61" i="137" s="1"/>
  <c r="C62" i="137"/>
  <c r="AM62" i="137" s="1"/>
  <c r="C63" i="137"/>
  <c r="AM63" i="137" s="1"/>
  <c r="C64" i="137"/>
  <c r="AM64" i="137" s="1"/>
  <c r="C65" i="137"/>
  <c r="AM65" i="137" s="1"/>
  <c r="C66" i="137"/>
  <c r="AM66" i="137" s="1"/>
  <c r="C67" i="137"/>
  <c r="AM67" i="137" s="1"/>
  <c r="C68" i="137"/>
  <c r="AM68" i="137" s="1"/>
  <c r="C69" i="137"/>
  <c r="AM69" i="137" s="1"/>
  <c r="C70" i="137"/>
  <c r="AM70" i="137" s="1"/>
  <c r="C71" i="137"/>
  <c r="AM71" i="137" s="1"/>
  <c r="C72" i="137"/>
  <c r="AM72" i="137" s="1"/>
  <c r="C73" i="137"/>
  <c r="AM73" i="137" s="1"/>
  <c r="C74" i="137"/>
  <c r="AM74" i="137" s="1"/>
  <c r="C75" i="137"/>
  <c r="AM75" i="137" s="1"/>
  <c r="C76" i="137"/>
  <c r="AM76" i="137" s="1"/>
  <c r="C77" i="137"/>
  <c r="AM77" i="137" s="1"/>
  <c r="C78" i="137"/>
  <c r="AM78" i="137" s="1"/>
  <c r="C79" i="137"/>
  <c r="AM79" i="137" s="1"/>
  <c r="C80" i="137"/>
  <c r="AM80" i="137" s="1"/>
  <c r="C81" i="137"/>
  <c r="AM81" i="137" s="1"/>
  <c r="C82" i="137"/>
  <c r="AM82" i="137" s="1"/>
  <c r="C83" i="137"/>
  <c r="AM83" i="137" s="1"/>
  <c r="C84" i="137"/>
  <c r="AM84" i="137" s="1"/>
  <c r="C85" i="137"/>
  <c r="AM85" i="137" s="1"/>
  <c r="C86" i="137"/>
  <c r="AM86" i="137" s="1"/>
  <c r="C87" i="137"/>
  <c r="AM87" i="137" s="1"/>
  <c r="C88" i="137"/>
  <c r="AM88" i="137" s="1"/>
  <c r="C89" i="137"/>
  <c r="AM89" i="137" s="1"/>
  <c r="C90" i="137"/>
  <c r="AM90" i="137" s="1"/>
  <c r="C91" i="137"/>
  <c r="AM91" i="137" s="1"/>
  <c r="C92" i="137"/>
  <c r="AM92" i="137" s="1"/>
  <c r="C93" i="137"/>
  <c r="AM93" i="137" s="1"/>
  <c r="C94" i="137"/>
  <c r="AM94" i="137" s="1"/>
  <c r="C95" i="137"/>
  <c r="AM95" i="137" s="1"/>
  <c r="C96" i="137"/>
  <c r="AM96" i="137" s="1"/>
  <c r="C97" i="137"/>
  <c r="AM97" i="137" s="1"/>
  <c r="C98" i="137"/>
  <c r="AM98" i="137" s="1"/>
  <c r="C99" i="137"/>
  <c r="AM99" i="137" s="1"/>
  <c r="C100" i="137"/>
  <c r="AM100" i="137" s="1"/>
  <c r="C101" i="137"/>
  <c r="AM101" i="137" s="1"/>
  <c r="C102" i="137"/>
  <c r="AM102" i="137" s="1"/>
  <c r="C103" i="137"/>
  <c r="AM103" i="137" s="1"/>
  <c r="C104" i="137"/>
  <c r="AM104" i="137" s="1"/>
  <c r="C105" i="137"/>
  <c r="AM105" i="137" s="1"/>
  <c r="C106" i="137"/>
  <c r="AM106" i="137" s="1"/>
  <c r="C107" i="137"/>
  <c r="AM107" i="137" s="1"/>
  <c r="C108" i="137"/>
  <c r="AM108" i="137" s="1"/>
  <c r="C109" i="137"/>
  <c r="AM109" i="137" s="1"/>
  <c r="C110" i="137"/>
  <c r="AM110" i="137" s="1"/>
  <c r="C111" i="137"/>
  <c r="AM111" i="137" s="1"/>
  <c r="C112" i="137"/>
  <c r="AM112" i="137" s="1"/>
  <c r="C113" i="137"/>
  <c r="AM113" i="137" s="1"/>
  <c r="C114" i="137"/>
  <c r="AM114" i="137" s="1"/>
  <c r="C115" i="137"/>
  <c r="AM115" i="137" s="1"/>
  <c r="C116" i="137"/>
  <c r="AM116" i="137" s="1"/>
  <c r="C117" i="137"/>
  <c r="AM117" i="137" s="1"/>
  <c r="C118" i="137"/>
  <c r="AM118" i="137" s="1"/>
  <c r="C119" i="137"/>
  <c r="AM119" i="137" s="1"/>
  <c r="C120" i="137"/>
  <c r="AM120" i="137" s="1"/>
  <c r="C121" i="137"/>
  <c r="AM121" i="137" s="1"/>
  <c r="C122" i="137"/>
  <c r="AM122" i="137" s="1"/>
  <c r="C123" i="137"/>
  <c r="AM123" i="137" s="1"/>
  <c r="C124" i="137"/>
  <c r="AM124" i="137" s="1"/>
  <c r="C125" i="137"/>
  <c r="AM125" i="137" s="1"/>
  <c r="C126" i="137"/>
  <c r="AM126" i="137" s="1"/>
  <c r="C127" i="137"/>
  <c r="AM127" i="137" s="1"/>
  <c r="C128" i="137"/>
  <c r="AM128" i="137" s="1"/>
  <c r="C129" i="137"/>
  <c r="AM129" i="137" s="1"/>
  <c r="C130" i="137"/>
  <c r="AM130" i="137" s="1"/>
  <c r="C131" i="137"/>
  <c r="AM131" i="137" s="1"/>
  <c r="C132" i="137"/>
  <c r="AM132" i="137" s="1"/>
  <c r="C133" i="137"/>
  <c r="AM133" i="137" s="1"/>
  <c r="C134" i="137"/>
  <c r="AM134" i="137" s="1"/>
  <c r="C135" i="137"/>
  <c r="AM135" i="137" s="1"/>
  <c r="C136" i="137"/>
  <c r="AM136" i="137" s="1"/>
  <c r="C137" i="137"/>
  <c r="AM137" i="137" s="1"/>
  <c r="C138" i="137"/>
  <c r="AM138" i="137" s="1"/>
  <c r="C139" i="137"/>
  <c r="AM139" i="137" s="1"/>
  <c r="C140" i="137"/>
  <c r="AM140" i="137" s="1"/>
  <c r="C141" i="137"/>
  <c r="AM141" i="137" s="1"/>
  <c r="C142" i="137"/>
  <c r="AM142" i="137" s="1"/>
  <c r="C143" i="137"/>
  <c r="AM143" i="137" s="1"/>
  <c r="C144" i="137"/>
  <c r="AM144" i="137" s="1"/>
  <c r="C145" i="137"/>
  <c r="AM145" i="137" s="1"/>
  <c r="C146" i="137"/>
  <c r="AM146" i="137" s="1"/>
  <c r="C147" i="137"/>
  <c r="AM147" i="137" s="1"/>
  <c r="C148" i="137"/>
  <c r="AM148" i="137" s="1"/>
  <c r="C149" i="137"/>
  <c r="AM149" i="137" s="1"/>
  <c r="C150" i="137"/>
  <c r="AM150" i="137" s="1"/>
  <c r="C151" i="137"/>
  <c r="AM151" i="137" s="1"/>
  <c r="C152" i="137"/>
  <c r="AM152" i="137" s="1"/>
  <c r="C153" i="137"/>
  <c r="AM153" i="137" s="1"/>
  <c r="C154" i="137"/>
  <c r="AM154" i="137" s="1"/>
  <c r="C155" i="137"/>
  <c r="AM155" i="137" s="1"/>
  <c r="C156" i="137"/>
  <c r="AM156" i="137" s="1"/>
  <c r="C157" i="137"/>
  <c r="AM157" i="137" s="1"/>
  <c r="C158" i="137"/>
  <c r="AM158" i="137" s="1"/>
  <c r="C159" i="137"/>
  <c r="AM159" i="137" s="1"/>
  <c r="C160" i="137"/>
  <c r="AM160" i="137" s="1"/>
  <c r="C161" i="137"/>
  <c r="AM161" i="137" s="1"/>
  <c r="C162" i="137"/>
  <c r="AM162" i="137" s="1"/>
  <c r="C163" i="137"/>
  <c r="AM163" i="137" s="1"/>
  <c r="C164" i="137"/>
  <c r="AM164" i="137" s="1"/>
  <c r="C165" i="137"/>
  <c r="AM165" i="137" s="1"/>
  <c r="C166" i="137"/>
  <c r="AM166" i="137" s="1"/>
  <c r="C167" i="137"/>
  <c r="AM167" i="137" s="1"/>
  <c r="C168" i="137"/>
  <c r="AM168" i="137" s="1"/>
  <c r="C169" i="137"/>
  <c r="AM169" i="137" s="1"/>
  <c r="C170" i="137"/>
  <c r="AM170" i="137" s="1"/>
  <c r="C171" i="137"/>
  <c r="AM171" i="137" s="1"/>
  <c r="C172" i="137"/>
  <c r="AM172" i="137" s="1"/>
  <c r="C173" i="137"/>
  <c r="AM173" i="137" s="1"/>
  <c r="C174" i="137"/>
  <c r="AM174" i="137" s="1"/>
  <c r="C175" i="137"/>
  <c r="AM175" i="137" s="1"/>
  <c r="C176" i="137"/>
  <c r="AM176" i="137" s="1"/>
  <c r="C177" i="137"/>
  <c r="AM177" i="137" s="1"/>
  <c r="C178" i="137"/>
  <c r="AM178" i="137" s="1"/>
  <c r="C179" i="137"/>
  <c r="AM179" i="137" s="1"/>
  <c r="C180" i="137"/>
  <c r="AM180" i="137" s="1"/>
  <c r="C181" i="137"/>
  <c r="AM181" i="137" s="1"/>
  <c r="C182" i="137"/>
  <c r="AM182" i="137" s="1"/>
  <c r="C183" i="137"/>
  <c r="AM183" i="137" s="1"/>
  <c r="C184" i="137"/>
  <c r="AM184" i="137" s="1"/>
  <c r="C185" i="137"/>
  <c r="AM185" i="137" s="1"/>
  <c r="C186" i="137"/>
  <c r="AM186" i="137" s="1"/>
  <c r="C187" i="137"/>
  <c r="AM187" i="137" s="1"/>
  <c r="C188" i="137"/>
  <c r="AM188" i="137" s="1"/>
  <c r="C189" i="137"/>
  <c r="AM189" i="137" s="1"/>
  <c r="C190" i="137"/>
  <c r="AM190" i="137" s="1"/>
  <c r="C191" i="137"/>
  <c r="AM191" i="137" s="1"/>
  <c r="C192" i="137"/>
  <c r="AM192" i="137" s="1"/>
  <c r="C193" i="137"/>
  <c r="AM193" i="137" s="1"/>
  <c r="C194" i="137"/>
  <c r="AM194" i="137" s="1"/>
  <c r="C195" i="137"/>
  <c r="AM195" i="137" s="1"/>
  <c r="C196" i="137"/>
  <c r="AM196" i="137" s="1"/>
  <c r="C197" i="137"/>
  <c r="AM197" i="137" s="1"/>
  <c r="C198" i="137"/>
  <c r="AM198" i="137" s="1"/>
  <c r="C199" i="137"/>
  <c r="AM199" i="137" s="1"/>
  <c r="C200" i="137"/>
  <c r="AM200" i="137" s="1"/>
  <c r="C201" i="137"/>
  <c r="AM201" i="137" s="1"/>
  <c r="C202" i="137"/>
  <c r="AM202" i="137" s="1"/>
  <c r="C203" i="137"/>
  <c r="AM203" i="137" s="1"/>
  <c r="C204" i="137"/>
  <c r="AM204" i="137" s="1"/>
  <c r="C205" i="137"/>
  <c r="AM205" i="137" s="1"/>
  <c r="C206" i="137"/>
  <c r="AM206" i="137" s="1"/>
  <c r="C207" i="137"/>
  <c r="AM207" i="137" s="1"/>
  <c r="C208" i="137"/>
  <c r="AM208" i="137" s="1"/>
  <c r="C209" i="137"/>
  <c r="AM209" i="137" s="1"/>
  <c r="C210" i="137"/>
  <c r="AM210" i="137" s="1"/>
  <c r="C211" i="137"/>
  <c r="AM211" i="137" s="1"/>
  <c r="C212" i="137"/>
  <c r="AM212" i="137" s="1"/>
  <c r="C213" i="137"/>
  <c r="AM213" i="137" s="1"/>
  <c r="C214" i="137"/>
  <c r="AM214" i="137" s="1"/>
  <c r="C215" i="137"/>
  <c r="AM215" i="137" s="1"/>
  <c r="C216" i="137"/>
  <c r="AM216" i="137" s="1"/>
  <c r="C217" i="137"/>
  <c r="AM217" i="137" s="1"/>
  <c r="C218" i="137"/>
  <c r="AM218" i="137" s="1"/>
  <c r="C219" i="137"/>
  <c r="AM219" i="137" s="1"/>
  <c r="C220" i="137"/>
  <c r="AM220" i="137" s="1"/>
  <c r="C221" i="137"/>
  <c r="AM221" i="137" s="1"/>
  <c r="C222" i="137"/>
  <c r="AM222" i="137" s="1"/>
  <c r="C223" i="137"/>
  <c r="AM223" i="137" s="1"/>
  <c r="C224" i="137"/>
  <c r="AM224" i="137" s="1"/>
  <c r="C225" i="137"/>
  <c r="AM225" i="137" s="1"/>
  <c r="C226" i="137"/>
  <c r="AM226" i="137" s="1"/>
  <c r="C227" i="137"/>
  <c r="AM227" i="137" s="1"/>
  <c r="C228" i="137"/>
  <c r="AM228" i="137" s="1"/>
  <c r="C229" i="137"/>
  <c r="AM229" i="137" s="1"/>
  <c r="C230" i="137"/>
  <c r="AM230" i="137" s="1"/>
  <c r="C231" i="137"/>
  <c r="AM231" i="137" s="1"/>
  <c r="C232" i="137"/>
  <c r="AM232" i="137" s="1"/>
  <c r="C233" i="137"/>
  <c r="AM233" i="137" s="1"/>
  <c r="C234" i="137"/>
  <c r="AM234" i="137" s="1"/>
  <c r="C235" i="137"/>
  <c r="AM235" i="137" s="1"/>
  <c r="C236" i="137"/>
  <c r="AM236" i="137" s="1"/>
  <c r="C237" i="137"/>
  <c r="AM237" i="137" s="1"/>
  <c r="C238" i="137"/>
  <c r="AM238" i="137" s="1"/>
  <c r="C239" i="137"/>
  <c r="AM239" i="137" s="1"/>
  <c r="C240" i="137"/>
  <c r="AM240" i="137" s="1"/>
  <c r="C241" i="137"/>
  <c r="AM241" i="137" s="1"/>
  <c r="C242" i="137"/>
  <c r="AM242" i="137" s="1"/>
  <c r="C243" i="137"/>
  <c r="AM243" i="137" s="1"/>
  <c r="C244" i="137"/>
  <c r="AM244" i="137" s="1"/>
  <c r="C245" i="137"/>
  <c r="AM245" i="137" s="1"/>
  <c r="C246" i="137"/>
  <c r="AM246" i="137" s="1"/>
  <c r="C247" i="137"/>
  <c r="AM247" i="137" s="1"/>
  <c r="C248" i="137"/>
  <c r="AM248" i="137" s="1"/>
  <c r="C249" i="137"/>
  <c r="AM249" i="137" s="1"/>
  <c r="C250" i="137"/>
  <c r="AM250" i="137" s="1"/>
  <c r="C251" i="137"/>
  <c r="AM251" i="137" s="1"/>
  <c r="C252" i="137"/>
  <c r="AM252" i="137" s="1"/>
  <c r="C253" i="137"/>
  <c r="AM253" i="137" s="1"/>
  <c r="C254" i="137"/>
  <c r="AM254" i="137" s="1"/>
  <c r="C255" i="137"/>
  <c r="AM255" i="137" s="1"/>
  <c r="C256" i="137"/>
  <c r="AM256" i="137" s="1"/>
  <c r="C257" i="137"/>
  <c r="AM257" i="137" s="1"/>
  <c r="C258" i="137"/>
  <c r="AM258" i="137" s="1"/>
  <c r="C259" i="137"/>
  <c r="AM259" i="137" s="1"/>
  <c r="C260" i="137"/>
  <c r="AM260" i="137" s="1"/>
  <c r="C261" i="137"/>
  <c r="AM261" i="137" s="1"/>
  <c r="C262" i="137"/>
  <c r="AM262" i="137" s="1"/>
  <c r="C263" i="137"/>
  <c r="AM263" i="137" s="1"/>
  <c r="C264" i="137"/>
  <c r="AM264" i="137" s="1"/>
  <c r="C265" i="137"/>
  <c r="AM265" i="137" s="1"/>
  <c r="C266" i="137"/>
  <c r="AM266" i="137" s="1"/>
  <c r="C267" i="137"/>
  <c r="AM267" i="137" s="1"/>
  <c r="C268" i="137"/>
  <c r="AM268" i="137" s="1"/>
  <c r="C269" i="137"/>
  <c r="AM269" i="137" s="1"/>
  <c r="C270" i="137"/>
  <c r="AM270" i="137" s="1"/>
  <c r="C271" i="137"/>
  <c r="AM271" i="137" s="1"/>
  <c r="C272" i="137"/>
  <c r="AM272" i="137" s="1"/>
  <c r="C273" i="137"/>
  <c r="AM273" i="137" s="1"/>
  <c r="C274" i="137"/>
  <c r="AM274" i="137" s="1"/>
  <c r="C275" i="137"/>
  <c r="AM275" i="137" s="1"/>
  <c r="C276" i="137"/>
  <c r="AM276" i="137" s="1"/>
  <c r="C277" i="137"/>
  <c r="AM277" i="137" s="1"/>
  <c r="C278" i="137"/>
  <c r="AM278" i="137" s="1"/>
  <c r="C279" i="137"/>
  <c r="AM279" i="137" s="1"/>
  <c r="C280" i="137"/>
  <c r="AM280" i="137" s="1"/>
  <c r="C281" i="137"/>
  <c r="AM281" i="137" s="1"/>
  <c r="C282" i="137"/>
  <c r="AM282" i="137" s="1"/>
  <c r="C283" i="137"/>
  <c r="AM283" i="137" s="1"/>
  <c r="C284" i="137"/>
  <c r="AM284" i="137" s="1"/>
  <c r="C285" i="137"/>
  <c r="AM285" i="137" s="1"/>
  <c r="C286" i="137"/>
  <c r="AM286" i="137" s="1"/>
  <c r="C287" i="137"/>
  <c r="AM287" i="137" s="1"/>
  <c r="C288" i="137"/>
  <c r="AM288" i="137" s="1"/>
  <c r="C289" i="137"/>
  <c r="AM289" i="137" s="1"/>
  <c r="C290" i="137"/>
  <c r="AM290" i="137" s="1"/>
  <c r="C291" i="137"/>
  <c r="AM291" i="137" s="1"/>
  <c r="C292" i="137"/>
  <c r="AM292" i="137" s="1"/>
  <c r="C293" i="137"/>
  <c r="AM293" i="137" s="1"/>
  <c r="C294" i="137"/>
  <c r="AM294" i="137" s="1"/>
  <c r="C295" i="137"/>
  <c r="AM295" i="137" s="1"/>
  <c r="C296" i="137"/>
  <c r="AM296" i="137" s="1"/>
  <c r="C297" i="137"/>
  <c r="AM297" i="137" s="1"/>
  <c r="C298" i="137"/>
  <c r="AM298" i="137" s="1"/>
  <c r="C299" i="137"/>
  <c r="AM299" i="137" s="1"/>
  <c r="C300" i="137"/>
  <c r="AM300" i="137" s="1"/>
  <c r="C301" i="137"/>
  <c r="AM301" i="137" s="1"/>
  <c r="C302" i="137"/>
  <c r="AM302" i="137" s="1"/>
  <c r="C303" i="137"/>
  <c r="AM303" i="137" s="1"/>
  <c r="C304" i="137"/>
  <c r="AM304" i="137" s="1"/>
  <c r="C305" i="137"/>
  <c r="AM305" i="137" s="1"/>
  <c r="C306" i="137"/>
  <c r="AM306" i="137" s="1"/>
  <c r="C307" i="137"/>
  <c r="AM307" i="137" s="1"/>
  <c r="C308" i="137"/>
  <c r="AM308" i="137" s="1"/>
  <c r="C309" i="137"/>
  <c r="AM309" i="137" s="1"/>
  <c r="C310" i="137"/>
  <c r="AM310" i="137" s="1"/>
  <c r="C311" i="137"/>
  <c r="AM311" i="137" s="1"/>
  <c r="C312" i="137"/>
  <c r="AM312" i="137" s="1"/>
  <c r="C313" i="137"/>
  <c r="AM313" i="137" s="1"/>
  <c r="C314" i="137"/>
  <c r="AM314" i="137" s="1"/>
  <c r="C315" i="137"/>
  <c r="AM315" i="137" s="1"/>
  <c r="C316" i="137"/>
  <c r="AM316" i="137" s="1"/>
  <c r="C317" i="137"/>
  <c r="AM317" i="137" s="1"/>
  <c r="C318" i="137"/>
  <c r="AM318" i="137" s="1"/>
  <c r="C319" i="137"/>
  <c r="AM319" i="137" s="1"/>
  <c r="C320" i="137"/>
  <c r="AM320" i="137" s="1"/>
  <c r="C321" i="137"/>
  <c r="AM321" i="137" s="1"/>
  <c r="C322" i="137"/>
  <c r="AM322" i="137" s="1"/>
  <c r="C323" i="137"/>
  <c r="AM323" i="137" s="1"/>
  <c r="C324" i="137"/>
  <c r="AM324" i="137" s="1"/>
  <c r="C325" i="137"/>
  <c r="AM325" i="137" s="1"/>
  <c r="C326" i="137"/>
  <c r="AM326" i="137" s="1"/>
  <c r="C327" i="137"/>
  <c r="AM327" i="137" s="1"/>
  <c r="C328" i="137"/>
  <c r="AM328" i="137" s="1"/>
  <c r="C329" i="137"/>
  <c r="AM329" i="137" s="1"/>
  <c r="C330" i="137"/>
  <c r="AM330" i="137" s="1"/>
  <c r="C331" i="137"/>
  <c r="AM331" i="137" s="1"/>
  <c r="C332" i="137"/>
  <c r="AM332" i="137" s="1"/>
  <c r="C333" i="137"/>
  <c r="AM333" i="137" s="1"/>
  <c r="C334" i="137"/>
  <c r="AM334" i="137" s="1"/>
  <c r="C335" i="137"/>
  <c r="AM335" i="137" s="1"/>
  <c r="C336" i="137"/>
  <c r="AM336" i="137" s="1"/>
  <c r="C337" i="137"/>
  <c r="AM337" i="137" s="1"/>
  <c r="C338" i="137"/>
  <c r="AM338" i="137" s="1"/>
  <c r="C339" i="137"/>
  <c r="AM339" i="137" s="1"/>
  <c r="C340" i="137"/>
  <c r="AM340" i="137" s="1"/>
  <c r="C341" i="137"/>
  <c r="AM341" i="137" s="1"/>
  <c r="C342" i="137"/>
  <c r="AM342" i="137" s="1"/>
  <c r="C343" i="137"/>
  <c r="AM343" i="137" s="1"/>
  <c r="C344" i="137"/>
  <c r="AM344" i="137" s="1"/>
  <c r="C345" i="137"/>
  <c r="AM345" i="137" s="1"/>
  <c r="C346" i="137"/>
  <c r="AM346" i="137" s="1"/>
  <c r="C347" i="137"/>
  <c r="AM347" i="137" s="1"/>
  <c r="C348" i="137"/>
  <c r="AM348" i="137" s="1"/>
  <c r="C349" i="137"/>
  <c r="AM349" i="137" s="1"/>
  <c r="C350" i="137"/>
  <c r="AM350" i="137" s="1"/>
  <c r="C351" i="137"/>
  <c r="AM351" i="137" s="1"/>
  <c r="C352" i="137"/>
  <c r="AM352" i="137" s="1"/>
  <c r="C353" i="137"/>
  <c r="AM353" i="137" s="1"/>
  <c r="C354" i="137"/>
  <c r="AM354" i="137" s="1"/>
  <c r="C355" i="137"/>
  <c r="AM355" i="137" s="1"/>
  <c r="C356" i="137"/>
  <c r="AM356" i="137" s="1"/>
  <c r="C357" i="137"/>
  <c r="AM357" i="137" s="1"/>
  <c r="C358" i="137"/>
  <c r="AM358" i="137" s="1"/>
  <c r="C359" i="137"/>
  <c r="AM359" i="137" s="1"/>
  <c r="C360" i="137"/>
  <c r="AM360" i="137" s="1"/>
  <c r="C361" i="137"/>
  <c r="AM361" i="137" s="1"/>
  <c r="C362" i="137"/>
  <c r="AM362" i="137" s="1"/>
  <c r="C363" i="137"/>
  <c r="AM363" i="137" s="1"/>
  <c r="C364" i="137"/>
  <c r="AM364" i="137" s="1"/>
  <c r="C365" i="137"/>
  <c r="AM365" i="137" s="1"/>
  <c r="C366" i="137"/>
  <c r="AM366" i="137" s="1"/>
  <c r="C367" i="137"/>
  <c r="AM367" i="137" s="1"/>
  <c r="C368" i="137"/>
  <c r="AM368" i="137" s="1"/>
  <c r="C369" i="137"/>
  <c r="AM369" i="137" s="1"/>
  <c r="C370" i="137"/>
  <c r="AM370" i="137" s="1"/>
  <c r="C371" i="137"/>
  <c r="AM371" i="137" s="1"/>
  <c r="C372" i="137"/>
  <c r="AM372" i="137" s="1"/>
  <c r="C373" i="137"/>
  <c r="AM373" i="137" s="1"/>
  <c r="C374" i="137"/>
  <c r="AM374" i="137" s="1"/>
  <c r="C375" i="137"/>
  <c r="AM375" i="137" s="1"/>
  <c r="C376" i="137"/>
  <c r="AM376" i="137" s="1"/>
  <c r="C377" i="137"/>
  <c r="AM377" i="137" s="1"/>
  <c r="C378" i="137"/>
  <c r="AM378" i="137" s="1"/>
  <c r="C379" i="137"/>
  <c r="AM379" i="137" s="1"/>
  <c r="C380" i="137"/>
  <c r="AM380" i="137" s="1"/>
  <c r="C381" i="137"/>
  <c r="AM381" i="137" s="1"/>
  <c r="C382" i="137"/>
  <c r="AM382" i="137" s="1"/>
  <c r="C383" i="137"/>
  <c r="AM383" i="137" s="1"/>
  <c r="C384" i="137"/>
  <c r="AM384" i="137" s="1"/>
  <c r="C385" i="137"/>
  <c r="AM385" i="137" s="1"/>
  <c r="C386" i="137"/>
  <c r="AM386" i="137" s="1"/>
  <c r="C387" i="137"/>
  <c r="AM387" i="137" s="1"/>
  <c r="C388" i="137"/>
  <c r="AM388" i="137" s="1"/>
  <c r="C389" i="137"/>
  <c r="AM389" i="137" s="1"/>
  <c r="C390" i="137"/>
  <c r="AM390" i="137" s="1"/>
  <c r="C391" i="137"/>
  <c r="AM391" i="137" s="1"/>
  <c r="C392" i="137"/>
  <c r="AM392" i="137" s="1"/>
  <c r="C393" i="137"/>
  <c r="AD393" i="137" s="1"/>
  <c r="C394" i="137"/>
  <c r="AM394" i="137" s="1"/>
  <c r="C395" i="137"/>
  <c r="AM395" i="137" s="1"/>
  <c r="C396" i="137"/>
  <c r="AM396" i="137" s="1"/>
  <c r="C397" i="137"/>
  <c r="AM397" i="137" s="1"/>
  <c r="C398" i="137"/>
  <c r="AM398" i="137" s="1"/>
  <c r="C399" i="137"/>
  <c r="AM399" i="137" s="1"/>
  <c r="C400" i="137"/>
  <c r="AM400" i="137" s="1"/>
  <c r="C401" i="137"/>
  <c r="AM401" i="137" s="1"/>
  <c r="C402" i="137"/>
  <c r="AM402" i="137" s="1"/>
  <c r="C403" i="137"/>
  <c r="AM403" i="137" s="1"/>
  <c r="C404" i="137"/>
  <c r="AM404" i="137" s="1"/>
  <c r="C405" i="137"/>
  <c r="AM405" i="137" s="1"/>
  <c r="C406" i="137"/>
  <c r="AM406" i="137" s="1"/>
  <c r="C407" i="137"/>
  <c r="AM407" i="137" s="1"/>
  <c r="C408" i="137"/>
  <c r="AM408" i="137" s="1"/>
  <c r="C409" i="137"/>
  <c r="AM409" i="137" s="1"/>
  <c r="C410" i="137"/>
  <c r="AM410" i="137" s="1"/>
  <c r="C411" i="137"/>
  <c r="AM411" i="137" s="1"/>
  <c r="C412" i="137"/>
  <c r="AM412" i="137" s="1"/>
  <c r="C413" i="137"/>
  <c r="AM413" i="137" s="1"/>
  <c r="C414" i="137"/>
  <c r="AM414" i="137" s="1"/>
  <c r="C415" i="137"/>
  <c r="AM415" i="137" s="1"/>
  <c r="C416" i="137"/>
  <c r="AM416" i="137" s="1"/>
  <c r="C417" i="137"/>
  <c r="AM417" i="137" s="1"/>
  <c r="C418" i="137"/>
  <c r="AM418" i="137" s="1"/>
  <c r="C419" i="137"/>
  <c r="AM419" i="137" s="1"/>
  <c r="C420" i="137"/>
  <c r="AM420" i="137" s="1"/>
  <c r="C421" i="137"/>
  <c r="AM421" i="137" s="1"/>
  <c r="C422" i="137"/>
  <c r="AM422" i="137" s="1"/>
  <c r="C423" i="137"/>
  <c r="AM423" i="137" s="1"/>
  <c r="C424" i="137"/>
  <c r="AM424" i="137" s="1"/>
  <c r="C425" i="137"/>
  <c r="AM425" i="137" s="1"/>
  <c r="C426" i="137"/>
  <c r="AM426" i="137" s="1"/>
  <c r="C427" i="137"/>
  <c r="AM427" i="137" s="1"/>
  <c r="C428" i="137"/>
  <c r="AM428" i="137" s="1"/>
  <c r="C429" i="137"/>
  <c r="AM429" i="137" s="1"/>
  <c r="C430" i="137"/>
  <c r="AM430" i="137" s="1"/>
  <c r="C431" i="137"/>
  <c r="AM431" i="137" s="1"/>
  <c r="C432" i="137"/>
  <c r="AM432" i="137" s="1"/>
  <c r="C433" i="137"/>
  <c r="AM433" i="137" s="1"/>
  <c r="C434" i="137"/>
  <c r="AM434" i="137" s="1"/>
  <c r="C435" i="137"/>
  <c r="AM435" i="137" s="1"/>
  <c r="C436" i="137"/>
  <c r="AM436" i="137" s="1"/>
  <c r="C437" i="137"/>
  <c r="AM437" i="137" s="1"/>
  <c r="C3" i="137"/>
  <c r="AM3" i="137" s="1"/>
  <c r="AJ98" i="137" l="1"/>
  <c r="AJ43" i="137"/>
  <c r="AJ51" i="137"/>
  <c r="AJ99" i="137"/>
  <c r="AJ44" i="137"/>
  <c r="AJ71" i="137"/>
  <c r="AJ100" i="137"/>
  <c r="AJ3" i="137"/>
  <c r="AJ45" i="137"/>
  <c r="AJ73" i="137"/>
  <c r="AJ101" i="137"/>
  <c r="AH59" i="137"/>
  <c r="AH182" i="137"/>
  <c r="AH49" i="137"/>
  <c r="AH61" i="137"/>
  <c r="AH223" i="137"/>
  <c r="AH45" i="137"/>
  <c r="AH43" i="137"/>
  <c r="AH56" i="137"/>
  <c r="AH180" i="137"/>
  <c r="AH225" i="137"/>
  <c r="AH44" i="137"/>
  <c r="AH57" i="137"/>
  <c r="AH181" i="137"/>
  <c r="AH226" i="137"/>
  <c r="AF52" i="137"/>
  <c r="AF143" i="137"/>
  <c r="AF167" i="137"/>
  <c r="AF268" i="137"/>
  <c r="AF71" i="137"/>
  <c r="AF149" i="137"/>
  <c r="AF176" i="137"/>
  <c r="AF301" i="137"/>
  <c r="AF116" i="137"/>
  <c r="AF159" i="137"/>
  <c r="AF205" i="137"/>
  <c r="AF368" i="137"/>
  <c r="AF12" i="137"/>
  <c r="AF129" i="137"/>
  <c r="AF163" i="137"/>
  <c r="AF223" i="137"/>
  <c r="AF405" i="137"/>
  <c r="AF5" i="137"/>
  <c r="AF15" i="137"/>
  <c r="AF57" i="137"/>
  <c r="AF76" i="137"/>
  <c r="AF121" i="137"/>
  <c r="AF130" i="137"/>
  <c r="AF144" i="137"/>
  <c r="AF152" i="137"/>
  <c r="AF160" i="137"/>
  <c r="AF164" i="137"/>
  <c r="AF168" i="137"/>
  <c r="AF178" i="137"/>
  <c r="AF198" i="137"/>
  <c r="AF206" i="137"/>
  <c r="AF211" i="137"/>
  <c r="AF260" i="137"/>
  <c r="AF272" i="137"/>
  <c r="AF321" i="137"/>
  <c r="AF335" i="137"/>
  <c r="AF355" i="137"/>
  <c r="AF381" i="137"/>
  <c r="AF419" i="137"/>
  <c r="AD302" i="137"/>
  <c r="AF182" i="137"/>
  <c r="AF210" i="137"/>
  <c r="AF326" i="137"/>
  <c r="AF354" i="137"/>
  <c r="AF7" i="137"/>
  <c r="AF19" i="137"/>
  <c r="AF59" i="137"/>
  <c r="AF84" i="137"/>
  <c r="AF126" i="137"/>
  <c r="AF138" i="137"/>
  <c r="AF145" i="137"/>
  <c r="AF153" i="137"/>
  <c r="AF161" i="137"/>
  <c r="AF165" i="137"/>
  <c r="AF169" i="137"/>
  <c r="AF180" i="137"/>
  <c r="AF202" i="137"/>
  <c r="AF208" i="137"/>
  <c r="AF212" i="137"/>
  <c r="AF262" i="137"/>
  <c r="AF279" i="137"/>
  <c r="AF322" i="137"/>
  <c r="AF346" i="137"/>
  <c r="AF356" i="137"/>
  <c r="AF393" i="137"/>
  <c r="AF424" i="137"/>
  <c r="AD95" i="137"/>
  <c r="AF10" i="137"/>
  <c r="AF21" i="137"/>
  <c r="AF69" i="137"/>
  <c r="AF100" i="137"/>
  <c r="AF127" i="137"/>
  <c r="AF142" i="137"/>
  <c r="AF148" i="137"/>
  <c r="AF154" i="137"/>
  <c r="AF162" i="137"/>
  <c r="AF166" i="137"/>
  <c r="AF170" i="137"/>
  <c r="AF181" i="137"/>
  <c r="AF204" i="137"/>
  <c r="AF209" i="137"/>
  <c r="AF215" i="137"/>
  <c r="AF265" i="137"/>
  <c r="AF281" i="137"/>
  <c r="AF325" i="137"/>
  <c r="AF350" i="137"/>
  <c r="AF358" i="137"/>
  <c r="AF402" i="137"/>
  <c r="AF425" i="137"/>
  <c r="AD179" i="137"/>
  <c r="AD323" i="137"/>
  <c r="AD58" i="137"/>
  <c r="AD215" i="137"/>
  <c r="AD355" i="137"/>
  <c r="AD90" i="137"/>
  <c r="AD235" i="137"/>
  <c r="AD419" i="137"/>
  <c r="AD144" i="137"/>
  <c r="AD160" i="137"/>
  <c r="AD168" i="137"/>
  <c r="AD345" i="137"/>
  <c r="AD404" i="137"/>
  <c r="AD38" i="137"/>
  <c r="AD78" i="137"/>
  <c r="AD91" i="137"/>
  <c r="AD111" i="137"/>
  <c r="AD146" i="137"/>
  <c r="AD162" i="137"/>
  <c r="AD169" i="137"/>
  <c r="AD190" i="137"/>
  <c r="AD216" i="137"/>
  <c r="AD271" i="137"/>
  <c r="AD319" i="137"/>
  <c r="AD324" i="137"/>
  <c r="AD348" i="137"/>
  <c r="AD356" i="137"/>
  <c r="AD400" i="137"/>
  <c r="AD405" i="137"/>
  <c r="AD423" i="137"/>
  <c r="AD39" i="137"/>
  <c r="AD87" i="137"/>
  <c r="AD93" i="137"/>
  <c r="AD112" i="137"/>
  <c r="AD147" i="137"/>
  <c r="AD166" i="137"/>
  <c r="AD177" i="137"/>
  <c r="AD210" i="137"/>
  <c r="AD222" i="137"/>
  <c r="AD279" i="137"/>
  <c r="AD321" i="137"/>
  <c r="AD325" i="137"/>
  <c r="AD350" i="137"/>
  <c r="AD358" i="137"/>
  <c r="AD401" i="137"/>
  <c r="AD406" i="137"/>
  <c r="AD424" i="137"/>
  <c r="AD54" i="137"/>
  <c r="AD88" i="137"/>
  <c r="AD94" i="137"/>
  <c r="AD131" i="137"/>
  <c r="AD153" i="137"/>
  <c r="AD167" i="137"/>
  <c r="AD178" i="137"/>
  <c r="AD211" i="137"/>
  <c r="AD226" i="137"/>
  <c r="AD281" i="137"/>
  <c r="AD322" i="137"/>
  <c r="AD326" i="137"/>
  <c r="AD354" i="137"/>
  <c r="AD390" i="137"/>
  <c r="AD403" i="137"/>
  <c r="AD418" i="137"/>
  <c r="AD429" i="137"/>
  <c r="AB130" i="137"/>
  <c r="AB281" i="137"/>
  <c r="AB345" i="137"/>
  <c r="AB400" i="137"/>
  <c r="Z13" i="137"/>
  <c r="AB200" i="137"/>
  <c r="AB302" i="137"/>
  <c r="AB350" i="137"/>
  <c r="AB402" i="137"/>
  <c r="AB108" i="137"/>
  <c r="AB223" i="137"/>
  <c r="AB319" i="137"/>
  <c r="AB354" i="137"/>
  <c r="AB405" i="137"/>
  <c r="AB129" i="137"/>
  <c r="AB262" i="137"/>
  <c r="AB323" i="137"/>
  <c r="AB393" i="137"/>
  <c r="AB415" i="137"/>
  <c r="Z49" i="137"/>
  <c r="Z59" i="137"/>
  <c r="Z99" i="137"/>
  <c r="Z3" i="137"/>
  <c r="Z110" i="137"/>
  <c r="Z4" i="137"/>
  <c r="Z43" i="137"/>
  <c r="Z54" i="137"/>
  <c r="Z60" i="137"/>
  <c r="Z101" i="137"/>
  <c r="Z124" i="137"/>
  <c r="Z8" i="137"/>
  <c r="Z44" i="137"/>
  <c r="Z57" i="137"/>
  <c r="Z61" i="137"/>
  <c r="Z103" i="137"/>
  <c r="Z129" i="137"/>
  <c r="X91" i="137"/>
  <c r="Z9" i="137"/>
  <c r="Z45" i="137"/>
  <c r="Z58" i="137"/>
  <c r="Z98" i="137"/>
  <c r="Z109" i="137"/>
  <c r="Z200" i="137"/>
  <c r="X156" i="137"/>
  <c r="X203" i="137"/>
  <c r="X84" i="137"/>
  <c r="X211" i="137"/>
  <c r="X182" i="137"/>
  <c r="X85" i="137"/>
  <c r="X92" i="137"/>
  <c r="X157" i="137"/>
  <c r="X190" i="137"/>
  <c r="X206" i="137"/>
  <c r="X216" i="137"/>
  <c r="X86" i="137"/>
  <c r="X109" i="137"/>
  <c r="X158" i="137"/>
  <c r="X200" i="137"/>
  <c r="X208" i="137"/>
  <c r="X223" i="137"/>
  <c r="X31" i="137"/>
  <c r="X90" i="137"/>
  <c r="X155" i="137"/>
  <c r="X181" i="137"/>
  <c r="X201" i="137"/>
  <c r="X210" i="137"/>
  <c r="X226" i="137"/>
  <c r="T61" i="137"/>
  <c r="V223" i="137"/>
  <c r="T110" i="137"/>
  <c r="T200" i="137"/>
  <c r="T20" i="137"/>
  <c r="T206" i="137"/>
  <c r="T155" i="137"/>
  <c r="T171" i="137"/>
  <c r="T175" i="137"/>
  <c r="T215" i="137"/>
  <c r="T57" i="137"/>
  <c r="T69" i="137"/>
  <c r="T129" i="137"/>
  <c r="T156" i="137"/>
  <c r="T172" i="137"/>
  <c r="T180" i="137"/>
  <c r="T201" i="137"/>
  <c r="T207" i="137"/>
  <c r="T222" i="137"/>
  <c r="T58" i="137"/>
  <c r="T101" i="137"/>
  <c r="T150" i="137"/>
  <c r="T157" i="137"/>
  <c r="T173" i="137"/>
  <c r="T181" i="137"/>
  <c r="T202" i="137"/>
  <c r="T208" i="137"/>
  <c r="T223" i="137"/>
  <c r="T60" i="137"/>
  <c r="T109" i="137"/>
  <c r="T151" i="137"/>
  <c r="T158" i="137"/>
  <c r="T174" i="137"/>
  <c r="T182" i="137"/>
  <c r="T203" i="137"/>
  <c r="T213" i="137"/>
  <c r="T226" i="137"/>
  <c r="R9" i="137"/>
  <c r="R61" i="137"/>
  <c r="R100" i="137"/>
  <c r="R108" i="137"/>
  <c r="R118" i="137"/>
  <c r="R131" i="137"/>
  <c r="R181" i="137"/>
  <c r="P57" i="137"/>
  <c r="R57" i="137"/>
  <c r="R71" i="137"/>
  <c r="R101" i="137"/>
  <c r="R111" i="137"/>
  <c r="R125" i="137"/>
  <c r="R132" i="137"/>
  <c r="R182" i="137"/>
  <c r="R4" i="137"/>
  <c r="R58" i="137"/>
  <c r="R73" i="137"/>
  <c r="R102" i="137"/>
  <c r="R112" i="137"/>
  <c r="R128" i="137"/>
  <c r="R136" i="137"/>
  <c r="R211" i="137"/>
  <c r="R8" i="137"/>
  <c r="R60" i="137"/>
  <c r="R98" i="137"/>
  <c r="R103" i="137"/>
  <c r="R113" i="137"/>
  <c r="R129" i="137"/>
  <c r="R180" i="137"/>
  <c r="R302" i="137"/>
  <c r="P53" i="137"/>
  <c r="P45" i="137"/>
  <c r="P60" i="137"/>
  <c r="P18" i="137"/>
  <c r="P208" i="137"/>
  <c r="P180" i="137"/>
  <c r="P174" i="137"/>
  <c r="P151" i="137"/>
  <c r="P141" i="137"/>
  <c r="P125" i="137"/>
  <c r="P114" i="137"/>
  <c r="P101" i="137"/>
  <c r="P99" i="137"/>
  <c r="P222" i="137"/>
  <c r="P189" i="137"/>
  <c r="P171" i="137"/>
  <c r="P175" i="137"/>
  <c r="P138" i="137"/>
  <c r="P135" i="137"/>
  <c r="P120" i="137"/>
  <c r="P115" i="137"/>
  <c r="P102" i="137"/>
  <c r="P73" i="137"/>
  <c r="P61" i="137"/>
  <c r="P58" i="137"/>
  <c r="P49" i="137"/>
  <c r="P46" i="137"/>
  <c r="P14" i="137"/>
  <c r="P213" i="137"/>
  <c r="P190" i="137"/>
  <c r="P172" i="137"/>
  <c r="P157" i="137"/>
  <c r="P139" i="137"/>
  <c r="P127" i="137"/>
  <c r="P118" i="137"/>
  <c r="P108" i="137"/>
  <c r="P103" i="137"/>
  <c r="P71" i="137"/>
  <c r="P55" i="137"/>
  <c r="P51" i="137"/>
  <c r="P43" i="137"/>
  <c r="P20" i="137"/>
  <c r="P3" i="137"/>
  <c r="P211" i="137"/>
  <c r="P182" i="137"/>
  <c r="P173" i="137"/>
  <c r="P150" i="137"/>
  <c r="P140" i="137"/>
  <c r="P128" i="137"/>
  <c r="P113" i="137"/>
  <c r="P106" i="137"/>
  <c r="P98" i="137"/>
  <c r="P69" i="137"/>
  <c r="P56" i="137"/>
  <c r="P52" i="137"/>
  <c r="P44" i="137"/>
  <c r="P21" i="137"/>
  <c r="P4" i="137"/>
  <c r="V157" i="137"/>
  <c r="V60" i="137"/>
  <c r="V4" i="137"/>
  <c r="V73" i="137"/>
  <c r="V171" i="137"/>
  <c r="V43" i="137"/>
  <c r="V103" i="137"/>
  <c r="V175" i="137"/>
  <c r="V55" i="137"/>
  <c r="V151" i="137"/>
  <c r="V180" i="137"/>
  <c r="V190" i="137"/>
  <c r="V8" i="137"/>
  <c r="V44" i="137"/>
  <c r="V57" i="137"/>
  <c r="V61" i="137"/>
  <c r="V98" i="137"/>
  <c r="V110" i="137"/>
  <c r="V152" i="137"/>
  <c r="V158" i="137"/>
  <c r="V172" i="137"/>
  <c r="V176" i="137"/>
  <c r="V181" i="137"/>
  <c r="V201" i="137"/>
  <c r="V9" i="137"/>
  <c r="V45" i="137"/>
  <c r="V58" i="137"/>
  <c r="V69" i="137"/>
  <c r="V100" i="137"/>
  <c r="V129" i="137"/>
  <c r="V155" i="137"/>
  <c r="V159" i="137"/>
  <c r="V173" i="137"/>
  <c r="V177" i="137"/>
  <c r="V182" i="137"/>
  <c r="V207" i="137"/>
  <c r="V3" i="137"/>
  <c r="V13" i="137"/>
  <c r="V46" i="137"/>
  <c r="V59" i="137"/>
  <c r="V71" i="137"/>
  <c r="V102" i="137"/>
  <c r="V150" i="137"/>
  <c r="V156" i="137"/>
  <c r="V160" i="137"/>
  <c r="V174" i="137"/>
  <c r="V178" i="137"/>
  <c r="V189" i="137"/>
  <c r="V216" i="137"/>
  <c r="R3" i="137"/>
  <c r="C3" i="140" l="1"/>
  <c r="C4" i="140"/>
  <c r="C5" i="140"/>
  <c r="C6" i="140"/>
  <c r="C7" i="140"/>
  <c r="C8" i="140"/>
  <c r="C9" i="140"/>
  <c r="C10" i="140"/>
  <c r="C11" i="140"/>
  <c r="C12" i="140"/>
  <c r="C2" i="140"/>
  <c r="L77" i="137"/>
  <c r="L78" i="137"/>
  <c r="L79" i="137"/>
  <c r="L80" i="137"/>
  <c r="L81" i="137"/>
  <c r="L82" i="137"/>
  <c r="L83" i="137"/>
  <c r="L84" i="137"/>
  <c r="L85" i="137"/>
  <c r="L86" i="137"/>
  <c r="L87" i="137"/>
  <c r="L88" i="137"/>
  <c r="L89" i="137"/>
  <c r="L90" i="137"/>
  <c r="L91" i="137"/>
  <c r="L92" i="137"/>
  <c r="L93" i="137"/>
  <c r="L94" i="137"/>
  <c r="L95" i="137"/>
  <c r="L96" i="137"/>
  <c r="L97" i="137"/>
  <c r="L98" i="137"/>
  <c r="L99" i="137"/>
  <c r="L100" i="137"/>
  <c r="L101" i="137"/>
  <c r="L103" i="137"/>
  <c r="L104" i="137"/>
  <c r="L105" i="137"/>
  <c r="L106" i="137"/>
  <c r="L107" i="137"/>
  <c r="L108" i="137"/>
  <c r="L109" i="137"/>
  <c r="L110" i="137"/>
  <c r="L111" i="137"/>
  <c r="L112" i="137"/>
  <c r="L113" i="137"/>
  <c r="L114" i="137"/>
  <c r="L115" i="137"/>
  <c r="L116" i="137"/>
  <c r="L117" i="137"/>
  <c r="L118" i="137"/>
  <c r="L119" i="137"/>
  <c r="L120" i="137"/>
  <c r="L121" i="137"/>
  <c r="L122" i="137"/>
  <c r="L123" i="137"/>
  <c r="L124" i="137"/>
  <c r="L125" i="137"/>
  <c r="L126" i="137"/>
  <c r="L127" i="137"/>
  <c r="L128" i="137"/>
  <c r="L129" i="137"/>
  <c r="L130" i="137"/>
  <c r="L131" i="137"/>
  <c r="L132" i="137"/>
  <c r="L133" i="137"/>
  <c r="L134" i="137"/>
  <c r="L135" i="137"/>
  <c r="L136" i="137"/>
  <c r="L137" i="137"/>
  <c r="L138" i="137"/>
  <c r="L139" i="137"/>
  <c r="L140" i="137"/>
  <c r="L141" i="137"/>
  <c r="L142" i="137"/>
  <c r="L143" i="137"/>
  <c r="L144" i="137"/>
  <c r="L145" i="137"/>
  <c r="L146" i="137"/>
  <c r="L147" i="137"/>
  <c r="L148" i="137"/>
  <c r="L149" i="137"/>
  <c r="L150" i="137"/>
  <c r="L151" i="137"/>
  <c r="L152" i="137"/>
  <c r="L153" i="137"/>
  <c r="L154" i="137"/>
  <c r="L155" i="137"/>
  <c r="L156" i="137"/>
  <c r="L157" i="137"/>
  <c r="L158" i="137"/>
  <c r="L159" i="137"/>
  <c r="L160" i="137"/>
  <c r="L161" i="137"/>
  <c r="L162" i="137"/>
  <c r="L163" i="137"/>
  <c r="L164" i="137"/>
  <c r="L165" i="137"/>
  <c r="L166" i="137"/>
  <c r="L167" i="137"/>
  <c r="L168" i="137"/>
  <c r="L169" i="137"/>
  <c r="L170" i="137"/>
  <c r="L171" i="137"/>
  <c r="L172" i="137"/>
  <c r="L173" i="137"/>
  <c r="L174" i="137"/>
  <c r="L175" i="137"/>
  <c r="L176" i="137"/>
  <c r="L177" i="137"/>
  <c r="L178" i="137"/>
  <c r="L179" i="137"/>
  <c r="L180" i="137"/>
  <c r="L181" i="137"/>
  <c r="L182" i="137"/>
  <c r="L183" i="137"/>
  <c r="L184" i="137"/>
  <c r="L185" i="137"/>
  <c r="L186" i="137"/>
  <c r="L187" i="137"/>
  <c r="L188" i="137"/>
  <c r="L189" i="137"/>
  <c r="L190" i="137"/>
  <c r="L191" i="137"/>
  <c r="L192" i="137"/>
  <c r="L193" i="137"/>
  <c r="L194" i="137"/>
  <c r="L195" i="137"/>
  <c r="L196" i="137"/>
  <c r="L197" i="137"/>
  <c r="L198" i="137"/>
  <c r="L199" i="137"/>
  <c r="L200" i="137"/>
  <c r="L201" i="137"/>
  <c r="L202" i="137"/>
  <c r="L203" i="137"/>
  <c r="L204" i="137"/>
  <c r="L205" i="137"/>
  <c r="L206" i="137"/>
  <c r="L207" i="137"/>
  <c r="L208" i="137"/>
  <c r="L209" i="137"/>
  <c r="L210" i="137"/>
  <c r="L211" i="137"/>
  <c r="L212" i="137"/>
  <c r="L213" i="137"/>
  <c r="L214" i="137"/>
  <c r="L215" i="137"/>
  <c r="L216" i="137"/>
  <c r="L217" i="137"/>
  <c r="L218" i="137"/>
  <c r="L219" i="137"/>
  <c r="L220" i="137"/>
  <c r="L221" i="137"/>
  <c r="L222" i="137"/>
  <c r="L223" i="137"/>
  <c r="L224" i="137"/>
  <c r="L225" i="137"/>
  <c r="L226" i="137"/>
  <c r="L227" i="137"/>
  <c r="L228" i="137"/>
  <c r="L229" i="137"/>
  <c r="L230" i="137"/>
  <c r="L231" i="137"/>
  <c r="L232" i="137"/>
  <c r="L233" i="137"/>
  <c r="L234" i="137"/>
  <c r="L235" i="137"/>
  <c r="L236" i="137"/>
  <c r="L237" i="137"/>
  <c r="L238" i="137"/>
  <c r="L239" i="137"/>
  <c r="L240" i="137"/>
  <c r="L241" i="137"/>
  <c r="L242" i="137"/>
  <c r="L243" i="137"/>
  <c r="L244" i="137"/>
  <c r="L245" i="137"/>
  <c r="L246" i="137"/>
  <c r="L247" i="137"/>
  <c r="L248" i="137"/>
  <c r="L249" i="137"/>
  <c r="L250" i="137"/>
  <c r="L251" i="137"/>
  <c r="L252" i="137"/>
  <c r="L253" i="137"/>
  <c r="L254" i="137"/>
  <c r="L255" i="137"/>
  <c r="L256" i="137"/>
  <c r="L257" i="137"/>
  <c r="L258" i="137"/>
  <c r="L259" i="137"/>
  <c r="L260" i="137"/>
  <c r="L261" i="137"/>
  <c r="L262" i="137"/>
  <c r="L263" i="137"/>
  <c r="L264" i="137"/>
  <c r="L265" i="137"/>
  <c r="L266" i="137"/>
  <c r="L267" i="137"/>
  <c r="L268" i="137"/>
  <c r="L269" i="137"/>
  <c r="L270" i="137"/>
  <c r="L271" i="137"/>
  <c r="L272" i="137"/>
  <c r="L273" i="137"/>
  <c r="L274" i="137"/>
  <c r="L275" i="137"/>
  <c r="L276" i="137"/>
  <c r="L277" i="137"/>
  <c r="L278" i="137"/>
  <c r="L279" i="137"/>
  <c r="L280" i="137"/>
  <c r="L281" i="137"/>
  <c r="L282" i="137"/>
  <c r="L283" i="137"/>
  <c r="L284" i="137"/>
  <c r="L285" i="137"/>
  <c r="L286" i="137"/>
  <c r="L287" i="137"/>
  <c r="L288" i="137"/>
  <c r="L289" i="137"/>
  <c r="L290" i="137"/>
  <c r="L291" i="137"/>
  <c r="L292" i="137"/>
  <c r="L293" i="137"/>
  <c r="L294" i="137"/>
  <c r="L295" i="137"/>
  <c r="L296" i="137"/>
  <c r="L297" i="137"/>
  <c r="L298" i="137"/>
  <c r="L299" i="137"/>
  <c r="L300" i="137"/>
  <c r="L301" i="137"/>
  <c r="L302" i="137"/>
  <c r="L303" i="137"/>
  <c r="L304" i="137"/>
  <c r="L305" i="137"/>
  <c r="L306" i="137"/>
  <c r="L307" i="137"/>
  <c r="L308" i="137"/>
  <c r="L309" i="137"/>
  <c r="L310" i="137"/>
  <c r="L311" i="137"/>
  <c r="L312" i="137"/>
  <c r="L313" i="137"/>
  <c r="L314" i="137"/>
  <c r="L315" i="137"/>
  <c r="L316" i="137"/>
  <c r="L317" i="137"/>
  <c r="L318" i="137"/>
  <c r="L319" i="137"/>
  <c r="L320" i="137"/>
  <c r="L321" i="137"/>
  <c r="L322" i="137"/>
  <c r="L323" i="137"/>
  <c r="L324" i="137"/>
  <c r="L325" i="137"/>
  <c r="L326" i="137"/>
  <c r="L327" i="137"/>
  <c r="L328" i="137"/>
  <c r="L329" i="137"/>
  <c r="L330" i="137"/>
  <c r="L331" i="137"/>
  <c r="L332" i="137"/>
  <c r="L333" i="137"/>
  <c r="L334" i="137"/>
  <c r="L335" i="137"/>
  <c r="L336" i="137"/>
  <c r="L337" i="137"/>
  <c r="L338" i="137"/>
  <c r="L339" i="137"/>
  <c r="L340" i="137"/>
  <c r="L341" i="137"/>
  <c r="L342" i="137"/>
  <c r="L343" i="137"/>
  <c r="L344" i="137"/>
  <c r="L345" i="137"/>
  <c r="L346" i="137"/>
  <c r="L347" i="137"/>
  <c r="L348" i="137"/>
  <c r="L349" i="137"/>
  <c r="L350" i="137"/>
  <c r="L351" i="137"/>
  <c r="L352" i="137"/>
  <c r="L353" i="137"/>
  <c r="L354" i="137"/>
  <c r="L355" i="137"/>
  <c r="L356" i="137"/>
  <c r="L357" i="137"/>
  <c r="L358" i="137"/>
  <c r="L359" i="137"/>
  <c r="L360" i="137"/>
  <c r="L361" i="137"/>
  <c r="L362" i="137"/>
  <c r="L363" i="137"/>
  <c r="L364" i="137"/>
  <c r="L365" i="137"/>
  <c r="L366" i="137"/>
  <c r="L367" i="137"/>
  <c r="L368" i="137"/>
  <c r="L369" i="137"/>
  <c r="L370" i="137"/>
  <c r="L371" i="137"/>
  <c r="L372" i="137"/>
  <c r="L373" i="137"/>
  <c r="L374" i="137"/>
  <c r="L375" i="137"/>
  <c r="L376" i="137"/>
  <c r="L377" i="137"/>
  <c r="L378" i="137"/>
  <c r="L379" i="137"/>
  <c r="L380" i="137"/>
  <c r="L381" i="137"/>
  <c r="L382" i="137"/>
  <c r="L383" i="137"/>
  <c r="L384" i="137"/>
  <c r="L385" i="137"/>
  <c r="L386" i="137"/>
  <c r="L387" i="137"/>
  <c r="L388" i="137"/>
  <c r="L389" i="137"/>
  <c r="L390" i="137"/>
  <c r="L391" i="137"/>
  <c r="L392" i="137"/>
  <c r="L393" i="137"/>
  <c r="L394" i="137"/>
  <c r="L395" i="137"/>
  <c r="L396" i="137"/>
  <c r="L397" i="137"/>
  <c r="L398" i="137"/>
  <c r="L399" i="137"/>
  <c r="L400" i="137"/>
  <c r="L401" i="137"/>
  <c r="L402" i="137"/>
  <c r="L403" i="137"/>
  <c r="L404" i="137"/>
  <c r="L405" i="137"/>
  <c r="L406" i="137"/>
  <c r="L407" i="137"/>
  <c r="L408" i="137"/>
  <c r="L409" i="137"/>
  <c r="L410" i="137"/>
  <c r="L411" i="137"/>
  <c r="L412" i="137"/>
  <c r="L413" i="137"/>
  <c r="L414" i="137"/>
  <c r="L415" i="137"/>
  <c r="L416" i="137"/>
  <c r="L417" i="137"/>
  <c r="L418" i="137"/>
  <c r="L419" i="137"/>
  <c r="L420" i="137"/>
  <c r="L421" i="137"/>
  <c r="L422" i="137"/>
  <c r="L423" i="137"/>
  <c r="L424" i="137"/>
  <c r="L425" i="137"/>
  <c r="L426" i="137"/>
  <c r="L427" i="137"/>
  <c r="L428" i="137"/>
  <c r="L429" i="137"/>
  <c r="L430" i="137"/>
  <c r="L431" i="137"/>
  <c r="L432" i="137"/>
  <c r="L433" i="137"/>
  <c r="L434" i="137"/>
  <c r="L435" i="137"/>
  <c r="L436" i="137"/>
  <c r="L437" i="137"/>
  <c r="L102" i="137"/>
  <c r="AK232" i="137" l="1"/>
  <c r="AK188" i="137"/>
  <c r="AK187" i="137"/>
  <c r="AK185" i="137"/>
  <c r="AK241" i="137"/>
  <c r="AK240" i="137"/>
  <c r="AK239" i="137"/>
  <c r="AK238" i="137"/>
  <c r="AK196" i="137"/>
  <c r="AK194" i="137"/>
  <c r="AK193" i="137"/>
  <c r="L4" i="136"/>
  <c r="P4" i="136"/>
  <c r="L5" i="136"/>
  <c r="P5" i="136"/>
  <c r="L6" i="136"/>
  <c r="P6" i="136"/>
  <c r="L7" i="136"/>
  <c r="P7" i="136"/>
  <c r="L8" i="136"/>
  <c r="P8" i="136"/>
  <c r="L9" i="136"/>
  <c r="P9" i="136"/>
  <c r="L10" i="136"/>
  <c r="P10" i="136"/>
  <c r="L11" i="136"/>
  <c r="P11" i="136"/>
  <c r="L12" i="136"/>
  <c r="P12" i="136"/>
  <c r="L13" i="136"/>
  <c r="P13" i="136"/>
  <c r="L14" i="136"/>
  <c r="P14" i="136"/>
  <c r="L15" i="136"/>
  <c r="P15" i="136"/>
  <c r="L16" i="136"/>
  <c r="P16" i="136"/>
  <c r="L17" i="136"/>
  <c r="P17" i="136"/>
  <c r="L18" i="136"/>
  <c r="P18" i="136"/>
  <c r="L19" i="136"/>
  <c r="P19" i="136"/>
  <c r="L20" i="136"/>
  <c r="P20" i="136"/>
  <c r="L21" i="136"/>
  <c r="P21" i="136"/>
  <c r="L22" i="136"/>
  <c r="P22" i="136"/>
  <c r="L23" i="136"/>
  <c r="P23" i="136"/>
  <c r="L24" i="136"/>
  <c r="P24" i="136"/>
  <c r="L25" i="136"/>
  <c r="P25" i="136"/>
  <c r="L26" i="136"/>
  <c r="P26" i="136"/>
  <c r="L27" i="136"/>
  <c r="P27" i="136"/>
  <c r="L28" i="136"/>
  <c r="P28" i="136"/>
  <c r="L29" i="136"/>
  <c r="P29" i="136"/>
  <c r="L30" i="136"/>
  <c r="P30" i="136"/>
  <c r="L31" i="136"/>
  <c r="P31" i="136"/>
  <c r="L32" i="136"/>
  <c r="P32" i="136"/>
  <c r="L33" i="136"/>
  <c r="P33" i="136"/>
  <c r="L34" i="136"/>
  <c r="P34" i="136"/>
  <c r="L35" i="136"/>
  <c r="P35" i="136"/>
  <c r="L36" i="136"/>
  <c r="P36" i="136"/>
  <c r="L37" i="136"/>
  <c r="P37" i="136"/>
  <c r="L38" i="136"/>
  <c r="P38" i="136"/>
  <c r="L39" i="136"/>
  <c r="P39" i="136"/>
  <c r="L40" i="136"/>
  <c r="P40" i="136"/>
  <c r="L41" i="136"/>
  <c r="P41" i="136"/>
  <c r="L42" i="136"/>
  <c r="P42" i="136"/>
  <c r="L43" i="136"/>
  <c r="P43" i="136"/>
  <c r="L44" i="136"/>
  <c r="P44" i="136"/>
  <c r="L45" i="136"/>
  <c r="P45" i="136"/>
  <c r="L46" i="136"/>
  <c r="P46" i="136"/>
  <c r="L47" i="136"/>
  <c r="P47" i="136"/>
  <c r="L48" i="136"/>
  <c r="P48" i="136"/>
  <c r="L49" i="136"/>
  <c r="P49" i="136"/>
  <c r="L50" i="136"/>
  <c r="P50" i="136"/>
  <c r="L51" i="136"/>
  <c r="P51" i="136"/>
  <c r="L52" i="136"/>
  <c r="P52" i="136"/>
  <c r="L53" i="136"/>
  <c r="P53" i="136"/>
  <c r="L54" i="136"/>
  <c r="P54" i="136"/>
  <c r="L55" i="136"/>
  <c r="P55" i="136"/>
  <c r="L56" i="136"/>
  <c r="P56" i="136"/>
  <c r="L57" i="136"/>
  <c r="P57" i="136"/>
  <c r="L58" i="136"/>
  <c r="P58" i="136"/>
  <c r="L59" i="136"/>
  <c r="P59" i="136"/>
  <c r="L60" i="136"/>
  <c r="P60" i="136"/>
  <c r="L61" i="136"/>
  <c r="P61" i="136"/>
  <c r="L62" i="136"/>
  <c r="P62" i="136"/>
  <c r="L63" i="136"/>
  <c r="P63" i="136"/>
  <c r="L64" i="136"/>
  <c r="P64" i="136"/>
  <c r="L65" i="136"/>
  <c r="P65" i="136"/>
  <c r="L66" i="136"/>
  <c r="P66" i="136"/>
  <c r="L67" i="136"/>
  <c r="P67" i="136"/>
  <c r="L68" i="136"/>
  <c r="P68" i="136"/>
  <c r="L69" i="136"/>
  <c r="P69" i="136"/>
  <c r="L70" i="136"/>
  <c r="P70" i="136"/>
  <c r="L71" i="136"/>
  <c r="P71" i="136"/>
  <c r="L72" i="136"/>
  <c r="P72" i="136"/>
  <c r="L73" i="136"/>
  <c r="P73" i="136"/>
  <c r="L74" i="136"/>
  <c r="P74" i="136"/>
  <c r="L75" i="136"/>
  <c r="P75" i="136"/>
  <c r="L76" i="136"/>
  <c r="P76" i="136"/>
  <c r="L77" i="136"/>
  <c r="P77" i="136"/>
  <c r="L78" i="136"/>
  <c r="P78" i="136"/>
  <c r="L79" i="136"/>
  <c r="P79" i="136"/>
  <c r="L80" i="136"/>
  <c r="P80" i="136"/>
  <c r="L81" i="136"/>
  <c r="P81" i="136"/>
  <c r="L82" i="136"/>
  <c r="P82" i="136"/>
  <c r="L83" i="136"/>
  <c r="P83" i="136"/>
  <c r="L84" i="136"/>
  <c r="P84" i="136"/>
  <c r="L85" i="136"/>
  <c r="P85" i="136"/>
  <c r="L86" i="136"/>
  <c r="P86" i="136"/>
  <c r="L87" i="136"/>
  <c r="P87" i="136"/>
  <c r="L88" i="136"/>
  <c r="P88" i="136"/>
  <c r="L89" i="136"/>
  <c r="P89" i="136"/>
  <c r="L90" i="136"/>
  <c r="P90" i="136"/>
  <c r="L91" i="136"/>
  <c r="P91" i="136"/>
  <c r="L92" i="136"/>
  <c r="P92" i="136"/>
  <c r="L93" i="136"/>
  <c r="P93" i="136"/>
  <c r="L94" i="136"/>
  <c r="P94" i="136"/>
  <c r="L95" i="136"/>
  <c r="P95" i="136"/>
  <c r="L96" i="136"/>
  <c r="P96" i="136"/>
  <c r="L97" i="136"/>
  <c r="P97" i="136"/>
  <c r="L98" i="136"/>
  <c r="P98" i="136"/>
  <c r="L99" i="136"/>
  <c r="P99" i="136"/>
  <c r="L100" i="136"/>
  <c r="P100" i="136"/>
  <c r="L101" i="136"/>
  <c r="P101" i="136"/>
  <c r="L102" i="136"/>
  <c r="P102" i="136"/>
  <c r="L103" i="136"/>
  <c r="P103" i="136"/>
  <c r="L104" i="136"/>
  <c r="P104" i="136"/>
  <c r="L105" i="136"/>
  <c r="P105" i="136"/>
  <c r="L106" i="136"/>
  <c r="P106" i="136"/>
  <c r="L107" i="136"/>
  <c r="P107" i="136"/>
  <c r="L108" i="136"/>
  <c r="P108" i="136"/>
  <c r="L109" i="136"/>
  <c r="P109" i="136"/>
  <c r="L110" i="136"/>
  <c r="P110" i="136"/>
  <c r="L111" i="136"/>
  <c r="P111" i="136"/>
  <c r="L112" i="136"/>
  <c r="P112" i="136"/>
  <c r="L113" i="136"/>
  <c r="P113" i="136"/>
  <c r="L114" i="136"/>
  <c r="P114" i="136"/>
  <c r="L115" i="136"/>
  <c r="P115" i="136"/>
  <c r="L116" i="136"/>
  <c r="P116" i="136"/>
  <c r="L117" i="136"/>
  <c r="P117" i="136"/>
  <c r="L118" i="136"/>
  <c r="P118" i="136"/>
  <c r="L119" i="136"/>
  <c r="P119" i="136"/>
  <c r="L120" i="136"/>
  <c r="P120" i="136"/>
  <c r="L121" i="136"/>
  <c r="P121" i="136"/>
  <c r="L122" i="136"/>
  <c r="P122" i="136"/>
  <c r="L123" i="136"/>
  <c r="P123" i="136"/>
  <c r="L124" i="136"/>
  <c r="P124" i="136"/>
  <c r="L125" i="136"/>
  <c r="P125" i="136"/>
  <c r="L126" i="136"/>
  <c r="P126" i="136"/>
  <c r="L127" i="136"/>
  <c r="P127" i="136"/>
  <c r="L128" i="136"/>
  <c r="P128" i="136"/>
  <c r="L129" i="136"/>
  <c r="P129" i="136"/>
  <c r="L130" i="136"/>
  <c r="P130" i="136"/>
  <c r="L131" i="136"/>
  <c r="P131" i="136"/>
  <c r="L132" i="136"/>
  <c r="P132" i="136"/>
  <c r="L133" i="136"/>
  <c r="P133" i="136"/>
  <c r="L134" i="136"/>
  <c r="P134" i="136"/>
  <c r="L135" i="136"/>
  <c r="P135" i="136"/>
  <c r="L136" i="136"/>
  <c r="P136" i="136"/>
  <c r="L137" i="136"/>
  <c r="P137" i="136"/>
  <c r="L138" i="136"/>
  <c r="P138" i="136"/>
  <c r="L139" i="136"/>
  <c r="P139" i="136"/>
  <c r="L140" i="136"/>
  <c r="P140" i="136"/>
  <c r="L141" i="136"/>
  <c r="P141" i="136"/>
  <c r="L142" i="136"/>
  <c r="P142" i="136"/>
  <c r="L143" i="136"/>
  <c r="P143" i="136"/>
  <c r="L144" i="136"/>
  <c r="P144" i="136"/>
  <c r="L145" i="136"/>
  <c r="P145" i="136"/>
  <c r="L146" i="136"/>
  <c r="P146" i="136"/>
  <c r="L147" i="136"/>
  <c r="P147" i="136"/>
  <c r="L148" i="136"/>
  <c r="P148" i="136"/>
  <c r="L149" i="136"/>
  <c r="P149" i="136"/>
  <c r="L150" i="136"/>
  <c r="P150" i="136"/>
  <c r="L151" i="136"/>
  <c r="P151" i="136"/>
  <c r="L152" i="136"/>
  <c r="P152" i="136"/>
  <c r="L153" i="136"/>
  <c r="P153" i="136"/>
  <c r="L154" i="136"/>
  <c r="P154" i="136"/>
  <c r="L155" i="136"/>
  <c r="P155" i="136"/>
  <c r="L156" i="136"/>
  <c r="P156" i="136"/>
  <c r="L157" i="136"/>
  <c r="P157" i="136"/>
  <c r="L158" i="136"/>
  <c r="P158" i="136"/>
  <c r="L159" i="136"/>
  <c r="P159" i="136"/>
  <c r="L160" i="136"/>
  <c r="P160" i="136"/>
  <c r="L161" i="136"/>
  <c r="P161" i="136"/>
  <c r="L162" i="136"/>
  <c r="P162" i="136"/>
  <c r="L163" i="136"/>
  <c r="P163" i="136"/>
  <c r="L164" i="136"/>
  <c r="P164" i="136"/>
  <c r="L165" i="136"/>
  <c r="P165" i="136"/>
  <c r="L166" i="136"/>
  <c r="P166" i="136"/>
  <c r="L167" i="136"/>
  <c r="P167" i="136"/>
  <c r="L168" i="136"/>
  <c r="P168" i="136"/>
  <c r="L169" i="136"/>
  <c r="P169" i="136"/>
  <c r="L170" i="136"/>
  <c r="P170" i="136"/>
  <c r="L171" i="136"/>
  <c r="P171" i="136"/>
  <c r="L172" i="136"/>
  <c r="P172" i="136"/>
  <c r="L173" i="136"/>
  <c r="P173" i="136"/>
  <c r="L174" i="136"/>
  <c r="P174" i="136"/>
  <c r="L175" i="136"/>
  <c r="P175" i="136"/>
  <c r="L176" i="136"/>
  <c r="P176" i="136"/>
  <c r="L177" i="136"/>
  <c r="P177" i="136"/>
  <c r="L178" i="136"/>
  <c r="P178" i="136"/>
  <c r="L179" i="136"/>
  <c r="P179" i="136"/>
  <c r="L180" i="136"/>
  <c r="P180" i="136"/>
  <c r="L181" i="136"/>
  <c r="P181" i="136"/>
  <c r="L182" i="136"/>
  <c r="P182" i="136"/>
  <c r="L183" i="136"/>
  <c r="P183" i="136"/>
  <c r="L184" i="136"/>
  <c r="P184" i="136"/>
  <c r="L185" i="136"/>
  <c r="P185" i="136"/>
  <c r="L186" i="136"/>
  <c r="P186" i="136"/>
  <c r="L187" i="136"/>
  <c r="P187" i="136"/>
  <c r="L188" i="136"/>
  <c r="P188" i="136"/>
  <c r="L189" i="136"/>
  <c r="P189" i="136"/>
  <c r="L190" i="136"/>
  <c r="P190" i="136"/>
  <c r="L191" i="136"/>
  <c r="P191" i="136"/>
  <c r="L192" i="136"/>
  <c r="P192" i="136"/>
  <c r="L193" i="136"/>
  <c r="P193" i="136"/>
  <c r="L194" i="136"/>
  <c r="P194" i="136"/>
  <c r="L195" i="136"/>
  <c r="P195" i="136"/>
  <c r="L196" i="136"/>
  <c r="P196" i="136"/>
  <c r="L197" i="136"/>
  <c r="P197" i="136"/>
  <c r="L198" i="136"/>
  <c r="P198" i="136"/>
  <c r="L199" i="136"/>
  <c r="P199" i="136"/>
  <c r="L200" i="136"/>
  <c r="P200" i="136"/>
  <c r="L201" i="136"/>
  <c r="P201" i="136"/>
  <c r="L202" i="136"/>
  <c r="P202" i="136"/>
  <c r="L203" i="136"/>
  <c r="P203" i="136"/>
  <c r="L204" i="136"/>
  <c r="P204" i="136"/>
  <c r="L205" i="136"/>
  <c r="P205" i="136"/>
  <c r="L206" i="136"/>
  <c r="P206" i="136"/>
  <c r="L207" i="136"/>
  <c r="P207" i="136"/>
  <c r="L208" i="136"/>
  <c r="P208" i="136"/>
  <c r="L209" i="136"/>
  <c r="P209" i="136"/>
  <c r="L210" i="136"/>
  <c r="P210" i="136"/>
  <c r="L211" i="136"/>
  <c r="P211" i="136"/>
  <c r="L212" i="136"/>
  <c r="P212" i="136"/>
  <c r="L213" i="136"/>
  <c r="P213" i="136"/>
  <c r="L214" i="136"/>
  <c r="P214" i="136"/>
  <c r="L215" i="136"/>
  <c r="P215" i="136"/>
  <c r="L216" i="136"/>
  <c r="P216" i="136"/>
  <c r="L217" i="136"/>
  <c r="P217" i="136"/>
  <c r="L218" i="136"/>
  <c r="P218" i="136"/>
  <c r="L219" i="136"/>
  <c r="P219" i="136"/>
  <c r="L220" i="136"/>
  <c r="P220" i="136"/>
  <c r="L221" i="136"/>
  <c r="P221" i="136"/>
  <c r="L222" i="136"/>
  <c r="P222" i="136"/>
  <c r="L223" i="136"/>
  <c r="P223" i="136"/>
  <c r="L224" i="136"/>
  <c r="P224" i="136"/>
  <c r="L225" i="136"/>
  <c r="P225" i="136"/>
  <c r="L226" i="136"/>
  <c r="P226" i="136"/>
  <c r="L227" i="136"/>
  <c r="P227" i="136"/>
  <c r="L228" i="136"/>
  <c r="P228" i="136"/>
  <c r="L229" i="136"/>
  <c r="P229" i="136"/>
  <c r="L230" i="136"/>
  <c r="P230" i="136"/>
  <c r="L231" i="136"/>
  <c r="P231" i="136"/>
  <c r="L232" i="136"/>
  <c r="P232" i="136"/>
  <c r="L233" i="136"/>
  <c r="P233" i="136"/>
  <c r="L234" i="136"/>
  <c r="P234" i="136"/>
  <c r="L235" i="136"/>
  <c r="P235" i="136"/>
  <c r="L236" i="136"/>
  <c r="P236" i="136"/>
  <c r="L237" i="136"/>
  <c r="P237" i="136"/>
  <c r="L238" i="136"/>
  <c r="P238" i="136"/>
  <c r="L239" i="136"/>
  <c r="P239" i="136"/>
  <c r="L240" i="136"/>
  <c r="P240" i="136"/>
  <c r="L241" i="136"/>
  <c r="P241" i="136"/>
  <c r="L242" i="136"/>
  <c r="P242" i="136"/>
  <c r="L243" i="136"/>
  <c r="P243" i="136"/>
  <c r="L244" i="136"/>
  <c r="P244" i="136"/>
  <c r="L245" i="136"/>
  <c r="P245" i="136"/>
  <c r="L246" i="136"/>
  <c r="P246" i="136"/>
  <c r="L247" i="136"/>
  <c r="P247" i="136"/>
  <c r="L248" i="136"/>
  <c r="P248" i="136"/>
  <c r="L249" i="136"/>
  <c r="P249" i="136"/>
  <c r="L250" i="136"/>
  <c r="P250" i="136"/>
  <c r="L251" i="136"/>
  <c r="P251" i="136"/>
  <c r="L252" i="136"/>
  <c r="P252" i="136"/>
  <c r="L253" i="136"/>
  <c r="P253" i="136"/>
  <c r="L254" i="136"/>
  <c r="P254" i="136"/>
  <c r="L255" i="136"/>
  <c r="P255" i="136"/>
  <c r="L256" i="136"/>
  <c r="P256" i="136"/>
  <c r="L257" i="136"/>
  <c r="P257" i="136"/>
  <c r="L258" i="136"/>
  <c r="P258" i="136"/>
  <c r="L259" i="136"/>
  <c r="P259" i="136"/>
  <c r="L260" i="136"/>
  <c r="P260" i="136"/>
  <c r="L261" i="136"/>
  <c r="P261" i="136"/>
  <c r="L262" i="136"/>
  <c r="P262" i="136"/>
  <c r="L263" i="136"/>
  <c r="P263" i="136"/>
  <c r="L264" i="136"/>
  <c r="P264" i="136"/>
  <c r="L265" i="136"/>
  <c r="P265" i="136"/>
  <c r="L266" i="136"/>
  <c r="P266" i="136"/>
  <c r="L267" i="136"/>
  <c r="P267" i="136"/>
  <c r="L268" i="136"/>
  <c r="P268" i="136"/>
  <c r="L269" i="136"/>
  <c r="P269" i="136"/>
  <c r="L270" i="136"/>
  <c r="P270" i="136"/>
  <c r="L271" i="136"/>
  <c r="P271" i="136"/>
  <c r="L272" i="136"/>
  <c r="P272" i="136"/>
  <c r="L273" i="136"/>
  <c r="P273" i="136"/>
  <c r="L274" i="136"/>
  <c r="P274" i="136"/>
  <c r="L275" i="136"/>
  <c r="P275" i="136"/>
  <c r="L276" i="136"/>
  <c r="P276" i="136"/>
  <c r="L277" i="136"/>
  <c r="P277" i="136"/>
  <c r="L278" i="136"/>
  <c r="P278" i="136"/>
  <c r="L279" i="136"/>
  <c r="P279" i="136"/>
  <c r="L280" i="136"/>
  <c r="P280" i="136"/>
  <c r="L281" i="136"/>
  <c r="P281" i="136"/>
  <c r="L282" i="136"/>
  <c r="P282" i="136"/>
  <c r="L283" i="136"/>
  <c r="P283" i="136"/>
  <c r="L284" i="136"/>
  <c r="P284" i="136"/>
  <c r="L285" i="136"/>
  <c r="P285" i="136"/>
  <c r="L286" i="136"/>
  <c r="P286" i="136"/>
  <c r="L287" i="136"/>
  <c r="P287" i="136"/>
  <c r="L288" i="136"/>
  <c r="P288" i="136"/>
  <c r="L289" i="136"/>
  <c r="P289" i="136"/>
  <c r="L290" i="136"/>
  <c r="P290" i="136"/>
  <c r="L291" i="136"/>
  <c r="P291" i="136"/>
  <c r="L292" i="136"/>
  <c r="P292" i="136"/>
  <c r="L293" i="136"/>
  <c r="P293" i="136"/>
  <c r="L294" i="136"/>
  <c r="P294" i="136"/>
  <c r="L295" i="136"/>
  <c r="P295" i="136"/>
  <c r="L296" i="136"/>
  <c r="P296" i="136"/>
  <c r="L297" i="136"/>
  <c r="P297" i="136"/>
  <c r="L298" i="136"/>
  <c r="P298" i="136"/>
  <c r="L299" i="136"/>
  <c r="P299" i="136"/>
  <c r="M301" i="136"/>
  <c r="N301" i="136"/>
  <c r="O301" i="136"/>
  <c r="P301" i="136"/>
  <c r="M302" i="136"/>
  <c r="N302" i="136"/>
  <c r="O302" i="136"/>
  <c r="P302" i="136"/>
  <c r="M303" i="136"/>
  <c r="N303" i="136"/>
  <c r="O303" i="136"/>
  <c r="P303" i="136"/>
  <c r="Q303" i="136"/>
  <c r="R5" i="133"/>
  <c r="T5" i="133"/>
  <c r="V5" i="133"/>
  <c r="X5" i="133"/>
  <c r="Z5" i="133"/>
  <c r="AA5" i="133"/>
  <c r="AB5" i="133"/>
  <c r="R6" i="133"/>
  <c r="T6" i="133"/>
  <c r="V6" i="133"/>
  <c r="X6" i="133"/>
  <c r="Z6" i="133"/>
  <c r="AA6" i="133"/>
  <c r="AB6" i="133"/>
  <c r="R7" i="133"/>
  <c r="T7" i="133"/>
  <c r="V7" i="133"/>
  <c r="X7" i="133"/>
  <c r="Z7" i="133"/>
  <c r="AA7" i="133"/>
  <c r="AB7" i="133"/>
  <c r="R8" i="133"/>
  <c r="T8" i="133"/>
  <c r="V8" i="133"/>
  <c r="X8" i="133"/>
  <c r="Z8" i="133"/>
  <c r="AA8" i="133"/>
  <c r="AB8" i="133"/>
  <c r="R9" i="133"/>
  <c r="T9" i="133"/>
  <c r="V9" i="133"/>
  <c r="X9" i="133"/>
  <c r="Z9" i="133"/>
  <c r="AA9" i="133"/>
  <c r="AB9" i="133"/>
  <c r="R10" i="133"/>
  <c r="T10" i="133"/>
  <c r="V10" i="133"/>
  <c r="X10" i="133"/>
  <c r="Z10" i="133"/>
  <c r="AA10" i="133"/>
  <c r="AB10" i="133"/>
  <c r="R11" i="133"/>
  <c r="T11" i="133"/>
  <c r="V11" i="133"/>
  <c r="X11" i="133"/>
  <c r="Z11" i="133"/>
  <c r="AA11" i="133"/>
  <c r="AB11" i="133"/>
  <c r="R12" i="133"/>
  <c r="T12" i="133"/>
  <c r="V12" i="133"/>
  <c r="X12" i="133"/>
  <c r="Z12" i="133"/>
  <c r="AA12" i="133"/>
  <c r="AB12" i="133"/>
  <c r="R13" i="133"/>
  <c r="T13" i="133"/>
  <c r="V13" i="133"/>
  <c r="X13" i="133"/>
  <c r="Z13" i="133"/>
  <c r="AA13" i="133"/>
  <c r="AB13" i="133"/>
  <c r="R14" i="133"/>
  <c r="T14" i="133"/>
  <c r="V14" i="133"/>
  <c r="X14" i="133"/>
  <c r="Z14" i="133"/>
  <c r="AA14" i="133"/>
  <c r="AB14" i="133"/>
  <c r="R15" i="133"/>
  <c r="T15" i="133"/>
  <c r="V15" i="133"/>
  <c r="X15" i="133"/>
  <c r="Z15" i="133"/>
  <c r="AA15" i="133"/>
  <c r="AB15" i="133"/>
  <c r="R16" i="133"/>
  <c r="T16" i="133"/>
  <c r="V16" i="133"/>
  <c r="X16" i="133"/>
  <c r="Z16" i="133"/>
  <c r="AA16" i="133"/>
  <c r="AB16" i="133"/>
  <c r="R17" i="133"/>
  <c r="T17" i="133"/>
  <c r="V17" i="133"/>
  <c r="X17" i="133"/>
  <c r="Z17" i="133"/>
  <c r="AA17" i="133"/>
  <c r="AB17" i="133"/>
  <c r="R18" i="133"/>
  <c r="T18" i="133"/>
  <c r="V18" i="133"/>
  <c r="X18" i="133"/>
  <c r="Z18" i="133"/>
  <c r="AA18" i="133"/>
  <c r="AB18" i="133"/>
  <c r="O19" i="133"/>
  <c r="R19" i="133"/>
  <c r="T19" i="133"/>
  <c r="V19" i="133"/>
  <c r="X19" i="133"/>
  <c r="Z19" i="133"/>
  <c r="AA19" i="133"/>
  <c r="AB19" i="133"/>
  <c r="R20" i="133"/>
  <c r="T20" i="133"/>
  <c r="V20" i="133"/>
  <c r="X20" i="133"/>
  <c r="Z20" i="133"/>
  <c r="AA20" i="133"/>
  <c r="AB20" i="133"/>
  <c r="R21" i="133"/>
  <c r="T21" i="133"/>
  <c r="V21" i="133"/>
  <c r="X21" i="133"/>
  <c r="Z21" i="133"/>
  <c r="AA21" i="133"/>
  <c r="AB21" i="133"/>
  <c r="R22" i="133"/>
  <c r="T22" i="133"/>
  <c r="V22" i="133"/>
  <c r="X22" i="133"/>
  <c r="Z22" i="133"/>
  <c r="AA22" i="133"/>
  <c r="AB22" i="133"/>
  <c r="R23" i="133"/>
  <c r="T23" i="133"/>
  <c r="V23" i="133"/>
  <c r="X23" i="133"/>
  <c r="Z23" i="133"/>
  <c r="AA23" i="133"/>
  <c r="AB23" i="133"/>
  <c r="R24" i="133"/>
  <c r="T24" i="133"/>
  <c r="V24" i="133"/>
  <c r="X24" i="133"/>
  <c r="Z24" i="133"/>
  <c r="AA24" i="133"/>
  <c r="AB24" i="133"/>
  <c r="R25" i="133"/>
  <c r="T25" i="133"/>
  <c r="V25" i="133"/>
  <c r="X25" i="133"/>
  <c r="Z25" i="133"/>
  <c r="AA25" i="133"/>
  <c r="AB25" i="133"/>
  <c r="R26" i="133"/>
  <c r="T26" i="133"/>
  <c r="V26" i="133"/>
  <c r="X26" i="133"/>
  <c r="Z26" i="133"/>
  <c r="AA26" i="133"/>
  <c r="AB26" i="133"/>
  <c r="R27" i="133"/>
  <c r="T27" i="133"/>
  <c r="V27" i="133"/>
  <c r="X27" i="133"/>
  <c r="Z27" i="133"/>
  <c r="AA27" i="133"/>
  <c r="AB27" i="133"/>
  <c r="R28" i="133"/>
  <c r="T28" i="133"/>
  <c r="V28" i="133"/>
  <c r="X28" i="133"/>
  <c r="Z28" i="133"/>
  <c r="AA28" i="133"/>
  <c r="AB28" i="133"/>
  <c r="O29" i="133"/>
  <c r="R29" i="133"/>
  <c r="T29" i="133"/>
  <c r="V29" i="133"/>
  <c r="X29" i="133"/>
  <c r="Z29" i="133"/>
  <c r="AA29" i="133"/>
  <c r="AB29" i="133"/>
  <c r="O30" i="133"/>
  <c r="R30" i="133"/>
  <c r="T30" i="133"/>
  <c r="V30" i="133"/>
  <c r="X30" i="133"/>
  <c r="Z30" i="133"/>
  <c r="AA30" i="133"/>
  <c r="AB30" i="133"/>
  <c r="O31" i="133"/>
  <c r="R31" i="133"/>
  <c r="T31" i="133"/>
  <c r="V31" i="133"/>
  <c r="X31" i="133"/>
  <c r="Z31" i="133"/>
  <c r="AA31" i="133"/>
  <c r="AB31" i="133"/>
  <c r="R32" i="133"/>
  <c r="T32" i="133"/>
  <c r="V32" i="133"/>
  <c r="X32" i="133"/>
  <c r="Z32" i="133"/>
  <c r="AA32" i="133"/>
  <c r="AB32" i="133"/>
  <c r="R33" i="133"/>
  <c r="T33" i="133"/>
  <c r="V33" i="133"/>
  <c r="X33" i="133"/>
  <c r="Z33" i="133"/>
  <c r="AA33" i="133"/>
  <c r="AB33" i="133"/>
  <c r="R34" i="133"/>
  <c r="T34" i="133"/>
  <c r="V34" i="133"/>
  <c r="X34" i="133"/>
  <c r="Z34" i="133"/>
  <c r="AA34" i="133"/>
  <c r="AB34" i="133"/>
  <c r="R35" i="133"/>
  <c r="T35" i="133"/>
  <c r="V35" i="133"/>
  <c r="X35" i="133"/>
  <c r="Z35" i="133"/>
  <c r="AA35" i="133"/>
  <c r="AB35" i="133"/>
  <c r="R36" i="133"/>
  <c r="T36" i="133"/>
  <c r="V36" i="133"/>
  <c r="X36" i="133"/>
  <c r="Z36" i="133"/>
  <c r="AA36" i="133"/>
  <c r="AB36" i="133"/>
  <c r="R37" i="133"/>
  <c r="T37" i="133"/>
  <c r="V37" i="133"/>
  <c r="X37" i="133"/>
  <c r="Z37" i="133"/>
  <c r="AA37" i="133"/>
  <c r="AB37" i="133"/>
  <c r="R38" i="133"/>
  <c r="T38" i="133"/>
  <c r="V38" i="133"/>
  <c r="X38" i="133"/>
  <c r="Z38" i="133"/>
  <c r="AA38" i="133"/>
  <c r="AB38" i="133"/>
  <c r="R39" i="133"/>
  <c r="T39" i="133"/>
  <c r="V39" i="133"/>
  <c r="X39" i="133"/>
  <c r="Z39" i="133"/>
  <c r="AA39" i="133"/>
  <c r="AB39" i="133"/>
  <c r="R40" i="133"/>
  <c r="T40" i="133"/>
  <c r="V40" i="133"/>
  <c r="X40" i="133"/>
  <c r="Z40" i="133"/>
  <c r="AA40" i="133"/>
  <c r="AB40" i="133"/>
  <c r="O41" i="133"/>
  <c r="R41" i="133"/>
  <c r="T41" i="133"/>
  <c r="V41" i="133"/>
  <c r="X41" i="133"/>
  <c r="Z41" i="133"/>
  <c r="AA41" i="133"/>
  <c r="AB41" i="133"/>
  <c r="R42" i="133"/>
  <c r="T42" i="133"/>
  <c r="V42" i="133"/>
  <c r="X42" i="133"/>
  <c r="Z42" i="133"/>
  <c r="AA42" i="133"/>
  <c r="AB42" i="133"/>
  <c r="R43" i="133"/>
  <c r="T43" i="133"/>
  <c r="V43" i="133"/>
  <c r="X43" i="133"/>
  <c r="Z43" i="133"/>
  <c r="AA43" i="133"/>
  <c r="AB43" i="133"/>
  <c r="R44" i="133"/>
  <c r="T44" i="133"/>
  <c r="V44" i="133"/>
  <c r="X44" i="133"/>
  <c r="Z44" i="133"/>
  <c r="AA44" i="133"/>
  <c r="AB44" i="133"/>
  <c r="R45" i="133"/>
  <c r="T45" i="133"/>
  <c r="V45" i="133"/>
  <c r="X45" i="133"/>
  <c r="Z45" i="133"/>
  <c r="AA45" i="133"/>
  <c r="AB45" i="133"/>
  <c r="R46" i="133"/>
  <c r="T46" i="133"/>
  <c r="V46" i="133"/>
  <c r="X46" i="133"/>
  <c r="Z46" i="133"/>
  <c r="AA46" i="133"/>
  <c r="AB46" i="133"/>
  <c r="R47" i="133"/>
  <c r="T47" i="133"/>
  <c r="V47" i="133"/>
  <c r="X47" i="133"/>
  <c r="Z47" i="133"/>
  <c r="AA47" i="133"/>
  <c r="AB47" i="133"/>
  <c r="R48" i="133"/>
  <c r="T48" i="133"/>
  <c r="V48" i="133"/>
  <c r="X48" i="133"/>
  <c r="Z48" i="133"/>
  <c r="AA48" i="133"/>
  <c r="AB48" i="133"/>
  <c r="R49" i="133"/>
  <c r="T49" i="133"/>
  <c r="V49" i="133"/>
  <c r="X49" i="133"/>
  <c r="Z49" i="133"/>
  <c r="AA49" i="133"/>
  <c r="AB49" i="133"/>
  <c r="R50" i="133"/>
  <c r="T50" i="133"/>
  <c r="V50" i="133"/>
  <c r="X50" i="133"/>
  <c r="Z50" i="133"/>
  <c r="AA50" i="133"/>
  <c r="AB50" i="133"/>
  <c r="R51" i="133"/>
  <c r="T51" i="133"/>
  <c r="V51" i="133"/>
  <c r="X51" i="133"/>
  <c r="Z51" i="133"/>
  <c r="AA51" i="133"/>
  <c r="AB51" i="133"/>
  <c r="O52" i="133"/>
  <c r="R52" i="133"/>
  <c r="T52" i="133"/>
  <c r="V52" i="133"/>
  <c r="X52" i="133"/>
  <c r="Z52" i="133"/>
  <c r="AA52" i="133"/>
  <c r="AB52" i="133"/>
  <c r="R53" i="133"/>
  <c r="T53" i="133"/>
  <c r="V53" i="133"/>
  <c r="X53" i="133"/>
  <c r="Z53" i="133"/>
  <c r="AA53" i="133"/>
  <c r="AB53" i="133"/>
  <c r="R54" i="133"/>
  <c r="T54" i="133"/>
  <c r="V54" i="133"/>
  <c r="X54" i="133"/>
  <c r="Z54" i="133"/>
  <c r="AA54" i="133"/>
  <c r="AB54" i="133"/>
  <c r="R55" i="133"/>
  <c r="T55" i="133"/>
  <c r="V55" i="133"/>
  <c r="X55" i="133"/>
  <c r="Z55" i="133"/>
  <c r="AA55" i="133"/>
  <c r="AB55" i="133"/>
  <c r="R56" i="133"/>
  <c r="T56" i="133"/>
  <c r="V56" i="133"/>
  <c r="X56" i="133"/>
  <c r="Z56" i="133"/>
  <c r="AA56" i="133"/>
  <c r="AB56" i="133"/>
  <c r="R57" i="133"/>
  <c r="T57" i="133"/>
  <c r="V57" i="133"/>
  <c r="X57" i="133"/>
  <c r="Z57" i="133"/>
  <c r="AA57" i="133"/>
  <c r="AB57" i="133"/>
  <c r="R58" i="133"/>
  <c r="T58" i="133"/>
  <c r="V58" i="133"/>
  <c r="X58" i="133"/>
  <c r="Z58" i="133"/>
  <c r="AA58" i="133"/>
  <c r="AB58" i="133"/>
  <c r="O59" i="133"/>
  <c r="R59" i="133"/>
  <c r="T59" i="133"/>
  <c r="V59" i="133"/>
  <c r="X59" i="133"/>
  <c r="Z59" i="133"/>
  <c r="AA59" i="133"/>
  <c r="AB59" i="133"/>
  <c r="O60" i="133"/>
  <c r="R60" i="133"/>
  <c r="T60" i="133"/>
  <c r="V60" i="133"/>
  <c r="X60" i="133"/>
  <c r="Z60" i="133"/>
  <c r="AA60" i="133"/>
  <c r="AB60" i="133"/>
  <c r="O61" i="133"/>
  <c r="R61" i="133"/>
  <c r="T61" i="133"/>
  <c r="V61" i="133"/>
  <c r="X61" i="133"/>
  <c r="Z61" i="133"/>
  <c r="AA61" i="133"/>
  <c r="AB61" i="133"/>
  <c r="R62" i="133"/>
  <c r="T62" i="133"/>
  <c r="V62" i="133"/>
  <c r="X62" i="133"/>
  <c r="Z62" i="133"/>
  <c r="AA62" i="133"/>
  <c r="AB62" i="133"/>
  <c r="R63" i="133"/>
  <c r="T63" i="133"/>
  <c r="V63" i="133"/>
  <c r="X63" i="133"/>
  <c r="Z63" i="133"/>
  <c r="AA63" i="133"/>
  <c r="AB63" i="133"/>
  <c r="R64" i="133"/>
  <c r="T64" i="133"/>
  <c r="V64" i="133"/>
  <c r="X64" i="133"/>
  <c r="Z64" i="133"/>
  <c r="AA64" i="133"/>
  <c r="AB64" i="133"/>
  <c r="R65" i="133"/>
  <c r="T65" i="133"/>
  <c r="V65" i="133"/>
  <c r="X65" i="133"/>
  <c r="Z65" i="133"/>
  <c r="AA65" i="133"/>
  <c r="AB65" i="133"/>
  <c r="R66" i="133"/>
  <c r="T66" i="133"/>
  <c r="V66" i="133"/>
  <c r="X66" i="133"/>
  <c r="Z66" i="133"/>
  <c r="AA66" i="133"/>
  <c r="AB66" i="133"/>
  <c r="R67" i="133"/>
  <c r="T67" i="133"/>
  <c r="V67" i="133"/>
  <c r="X67" i="133"/>
  <c r="Z67" i="133"/>
  <c r="AA67" i="133"/>
  <c r="AB67" i="133"/>
  <c r="R68" i="133"/>
  <c r="T68" i="133"/>
  <c r="V68" i="133"/>
  <c r="X68" i="133"/>
  <c r="Z68" i="133"/>
  <c r="AA68" i="133"/>
  <c r="AB68" i="133"/>
  <c r="R69" i="133"/>
  <c r="T69" i="133"/>
  <c r="V69" i="133"/>
  <c r="X69" i="133"/>
  <c r="Z69" i="133"/>
  <c r="AA69" i="133"/>
  <c r="AB69" i="133"/>
  <c r="R70" i="133"/>
  <c r="T70" i="133"/>
  <c r="V70" i="133"/>
  <c r="X70" i="133"/>
  <c r="Z70" i="133"/>
  <c r="AA70" i="133"/>
  <c r="AB70" i="133"/>
  <c r="R71" i="133"/>
  <c r="T71" i="133"/>
  <c r="V71" i="133"/>
  <c r="X71" i="133"/>
  <c r="Z71" i="133"/>
  <c r="AA71" i="133"/>
  <c r="AB71" i="133"/>
  <c r="R72" i="133"/>
  <c r="T72" i="133"/>
  <c r="V72" i="133"/>
  <c r="X72" i="133"/>
  <c r="Z72" i="133"/>
  <c r="AA72" i="133"/>
  <c r="AB72" i="133"/>
  <c r="R73" i="133"/>
  <c r="T73" i="133"/>
  <c r="V73" i="133"/>
  <c r="X73" i="133"/>
  <c r="Z73" i="133"/>
  <c r="AA73" i="133"/>
  <c r="AB73" i="133"/>
  <c r="R74" i="133"/>
  <c r="T74" i="133"/>
  <c r="V74" i="133"/>
  <c r="X74" i="133"/>
  <c r="Z74" i="133"/>
  <c r="AA74" i="133"/>
  <c r="AB74" i="133"/>
  <c r="R75" i="133"/>
  <c r="T75" i="133"/>
  <c r="V75" i="133"/>
  <c r="X75" i="133"/>
  <c r="Z75" i="133"/>
  <c r="AA75" i="133"/>
  <c r="AB75" i="133"/>
  <c r="R76" i="133"/>
  <c r="T76" i="133"/>
  <c r="V76" i="133"/>
  <c r="X76" i="133"/>
  <c r="Z76" i="133"/>
  <c r="AA76" i="133"/>
  <c r="AB76" i="133"/>
  <c r="O77" i="133"/>
  <c r="R77" i="133"/>
  <c r="T77" i="133"/>
  <c r="V77" i="133"/>
  <c r="X77" i="133"/>
  <c r="Z77" i="133"/>
  <c r="AA77" i="133"/>
  <c r="AB77" i="133"/>
  <c r="O78" i="133"/>
  <c r="R78" i="133"/>
  <c r="T78" i="133"/>
  <c r="V78" i="133"/>
  <c r="X78" i="133"/>
  <c r="Z78" i="133"/>
  <c r="AA78" i="133"/>
  <c r="AB78" i="133"/>
  <c r="O79" i="133"/>
  <c r="R79" i="133"/>
  <c r="T79" i="133"/>
  <c r="V79" i="133"/>
  <c r="X79" i="133"/>
  <c r="Z79" i="133"/>
  <c r="AA79" i="133"/>
  <c r="AB79" i="133"/>
  <c r="R80" i="133"/>
  <c r="T80" i="133"/>
  <c r="V80" i="133"/>
  <c r="X80" i="133"/>
  <c r="Z80" i="133"/>
  <c r="AA80" i="133"/>
  <c r="AB80" i="133"/>
  <c r="R81" i="133"/>
  <c r="T81" i="133"/>
  <c r="V81" i="133"/>
  <c r="X81" i="133"/>
  <c r="Z81" i="133"/>
  <c r="AA81" i="133"/>
  <c r="AB81" i="133"/>
  <c r="R82" i="133"/>
  <c r="T82" i="133"/>
  <c r="V82" i="133"/>
  <c r="X82" i="133"/>
  <c r="Z82" i="133"/>
  <c r="AA82" i="133"/>
  <c r="AB82" i="133"/>
  <c r="R83" i="133"/>
  <c r="T83" i="133"/>
  <c r="V83" i="133"/>
  <c r="X83" i="133"/>
  <c r="Z83" i="133"/>
  <c r="AA83" i="133"/>
  <c r="AB83" i="133"/>
  <c r="R84" i="133"/>
  <c r="T84" i="133"/>
  <c r="V84" i="133"/>
  <c r="X84" i="133"/>
  <c r="Z84" i="133"/>
  <c r="AA84" i="133"/>
  <c r="AB84" i="133"/>
  <c r="R85" i="133"/>
  <c r="T85" i="133"/>
  <c r="V85" i="133"/>
  <c r="X85" i="133"/>
  <c r="Z85" i="133"/>
  <c r="AA85" i="133"/>
  <c r="AB85" i="133"/>
  <c r="R86" i="133"/>
  <c r="T86" i="133"/>
  <c r="V86" i="133"/>
  <c r="X86" i="133"/>
  <c r="Z86" i="133"/>
  <c r="AA86" i="133"/>
  <c r="AB86" i="133"/>
  <c r="R87" i="133"/>
  <c r="T87" i="133"/>
  <c r="V87" i="133"/>
  <c r="X87" i="133"/>
  <c r="Z87" i="133"/>
  <c r="AA87" i="133"/>
  <c r="AB87" i="133"/>
  <c r="R88" i="133"/>
  <c r="T88" i="133"/>
  <c r="V88" i="133"/>
  <c r="X88" i="133"/>
  <c r="Z88" i="133"/>
  <c r="AA88" i="133"/>
  <c r="AB88" i="133"/>
  <c r="R89" i="133"/>
  <c r="T89" i="133"/>
  <c r="V89" i="133"/>
  <c r="X89" i="133"/>
  <c r="Z89" i="133"/>
  <c r="AA89" i="133"/>
  <c r="AB89" i="133"/>
  <c r="R90" i="133"/>
  <c r="T90" i="133"/>
  <c r="V90" i="133"/>
  <c r="X90" i="133"/>
  <c r="Z90" i="133"/>
  <c r="AA90" i="133"/>
  <c r="AB90" i="133"/>
  <c r="R91" i="133"/>
  <c r="T91" i="133"/>
  <c r="V91" i="133"/>
  <c r="X91" i="133"/>
  <c r="Z91" i="133"/>
  <c r="AA91" i="133"/>
  <c r="AB91" i="133"/>
  <c r="R92" i="133"/>
  <c r="T92" i="133"/>
  <c r="V92" i="133"/>
  <c r="X92" i="133"/>
  <c r="Z92" i="133"/>
  <c r="AA92" i="133"/>
  <c r="AB92" i="133"/>
  <c r="R93" i="133"/>
  <c r="T93" i="133"/>
  <c r="V93" i="133"/>
  <c r="X93" i="133"/>
  <c r="Z93" i="133"/>
  <c r="AA93" i="133"/>
  <c r="AB93" i="133"/>
  <c r="R94" i="133"/>
  <c r="T94" i="133"/>
  <c r="V94" i="133"/>
  <c r="X94" i="133"/>
  <c r="Z94" i="133"/>
  <c r="AA94" i="133"/>
  <c r="AB94" i="133"/>
  <c r="R95" i="133"/>
  <c r="T95" i="133"/>
  <c r="V95" i="133"/>
  <c r="X95" i="133"/>
  <c r="Z95" i="133"/>
  <c r="AA95" i="133"/>
  <c r="AB95" i="133"/>
  <c r="R96" i="133"/>
  <c r="T96" i="133"/>
  <c r="V96" i="133"/>
  <c r="X96" i="133"/>
  <c r="Z96" i="133"/>
  <c r="AA96" i="133"/>
  <c r="AB96" i="133"/>
  <c r="O97" i="133"/>
  <c r="R97" i="133"/>
  <c r="T97" i="133"/>
  <c r="V97" i="133"/>
  <c r="X97" i="133"/>
  <c r="Z97" i="133"/>
  <c r="AA97" i="133"/>
  <c r="AB97" i="133"/>
  <c r="O98" i="133"/>
  <c r="R98" i="133"/>
  <c r="T98" i="133"/>
  <c r="V98" i="133"/>
  <c r="X98" i="133"/>
  <c r="Z98" i="133"/>
  <c r="AA98" i="133"/>
  <c r="AB98" i="133"/>
  <c r="R99" i="133"/>
  <c r="T99" i="133"/>
  <c r="V99" i="133"/>
  <c r="X99" i="133"/>
  <c r="Z99" i="133"/>
  <c r="AA99" i="133"/>
  <c r="AB99" i="133"/>
  <c r="O100" i="133"/>
  <c r="R100" i="133"/>
  <c r="T100" i="133"/>
  <c r="V100" i="133"/>
  <c r="X100" i="133"/>
  <c r="Z100" i="133"/>
  <c r="AA100" i="133"/>
  <c r="AB100" i="133"/>
  <c r="R101" i="133"/>
  <c r="T101" i="133"/>
  <c r="V101" i="133"/>
  <c r="X101" i="133"/>
  <c r="Z101" i="133"/>
  <c r="AA101" i="133"/>
  <c r="AB101" i="133"/>
  <c r="R102" i="133"/>
  <c r="T102" i="133"/>
  <c r="V102" i="133"/>
  <c r="X102" i="133"/>
  <c r="Z102" i="133"/>
  <c r="AA102" i="133"/>
  <c r="AB102" i="133"/>
  <c r="R103" i="133"/>
  <c r="T103" i="133"/>
  <c r="V103" i="133"/>
  <c r="X103" i="133"/>
  <c r="Z103" i="133"/>
  <c r="AA103" i="133"/>
  <c r="AB103" i="133"/>
  <c r="R104" i="133"/>
  <c r="T104" i="133"/>
  <c r="V104" i="133"/>
  <c r="X104" i="133"/>
  <c r="Z104" i="133"/>
  <c r="AA104" i="133"/>
  <c r="AB104" i="133"/>
  <c r="R105" i="133"/>
  <c r="T105" i="133"/>
  <c r="V105" i="133"/>
  <c r="X105" i="133"/>
  <c r="Z105" i="133"/>
  <c r="AA105" i="133"/>
  <c r="AB105" i="133"/>
  <c r="R106" i="133"/>
  <c r="T106" i="133"/>
  <c r="V106" i="133"/>
  <c r="X106" i="133"/>
  <c r="Z106" i="133"/>
  <c r="AA106" i="133"/>
  <c r="AB106" i="133"/>
  <c r="R107" i="133"/>
  <c r="T107" i="133"/>
  <c r="V107" i="133"/>
  <c r="X107" i="133"/>
  <c r="Z107" i="133"/>
  <c r="AA107" i="133"/>
  <c r="AB107" i="133"/>
  <c r="O108" i="133"/>
  <c r="R108" i="133"/>
  <c r="T108" i="133"/>
  <c r="V108" i="133"/>
  <c r="X108" i="133"/>
  <c r="Z108" i="133"/>
  <c r="AA108" i="133"/>
  <c r="AB108" i="133"/>
  <c r="R109" i="133"/>
  <c r="T109" i="133"/>
  <c r="V109" i="133"/>
  <c r="X109" i="133"/>
  <c r="Z109" i="133"/>
  <c r="AA109" i="133"/>
  <c r="AB109" i="133"/>
  <c r="R110" i="133"/>
  <c r="T110" i="133"/>
  <c r="V110" i="133"/>
  <c r="X110" i="133"/>
  <c r="Z110" i="133"/>
  <c r="AA110" i="133"/>
  <c r="AB110" i="133"/>
  <c r="R111" i="133"/>
  <c r="T111" i="133"/>
  <c r="V111" i="133"/>
  <c r="X111" i="133"/>
  <c r="Z111" i="133"/>
  <c r="AA111" i="133"/>
  <c r="AB111" i="133"/>
  <c r="R112" i="133"/>
  <c r="T112" i="133"/>
  <c r="V112" i="133"/>
  <c r="X112" i="133"/>
  <c r="Z112" i="133"/>
  <c r="AA112" i="133"/>
  <c r="AB112" i="133"/>
  <c r="O113" i="133"/>
  <c r="R113" i="133"/>
  <c r="T113" i="133"/>
  <c r="V113" i="133"/>
  <c r="X113" i="133"/>
  <c r="Z113" i="133"/>
  <c r="AA113" i="133"/>
  <c r="AB113" i="133"/>
  <c r="R114" i="133"/>
  <c r="T114" i="133"/>
  <c r="V114" i="133"/>
  <c r="X114" i="133"/>
  <c r="Z114" i="133"/>
  <c r="AA114" i="133"/>
  <c r="AB114" i="133"/>
  <c r="R115" i="133"/>
  <c r="T115" i="133"/>
  <c r="V115" i="133"/>
  <c r="X115" i="133"/>
  <c r="Z115" i="133"/>
  <c r="AA115" i="133"/>
  <c r="AB115" i="133"/>
  <c r="R116" i="133"/>
  <c r="T116" i="133"/>
  <c r="V116" i="133"/>
  <c r="X116" i="133"/>
  <c r="Z116" i="133"/>
  <c r="AA116" i="133"/>
  <c r="AB116" i="133"/>
  <c r="R117" i="133"/>
  <c r="T117" i="133"/>
  <c r="V117" i="133"/>
  <c r="X117" i="133"/>
  <c r="Z117" i="133"/>
  <c r="AA117" i="133"/>
  <c r="AB117" i="133"/>
  <c r="R118" i="133"/>
  <c r="T118" i="133"/>
  <c r="V118" i="133"/>
  <c r="X118" i="133"/>
  <c r="Z118" i="133"/>
  <c r="AA118" i="133"/>
  <c r="AB118" i="133"/>
  <c r="R119" i="133"/>
  <c r="T119" i="133"/>
  <c r="V119" i="133"/>
  <c r="X119" i="133"/>
  <c r="Z119" i="133"/>
  <c r="AA119" i="133"/>
  <c r="AB119" i="133"/>
  <c r="R120" i="133"/>
  <c r="T120" i="133"/>
  <c r="V120" i="133"/>
  <c r="X120" i="133"/>
  <c r="Z120" i="133"/>
  <c r="AA120" i="133"/>
  <c r="AB120" i="133"/>
  <c r="R121" i="133"/>
  <c r="T121" i="133"/>
  <c r="V121" i="133"/>
  <c r="X121" i="133"/>
  <c r="Z121" i="133"/>
  <c r="AA121" i="133"/>
  <c r="AB121" i="133"/>
  <c r="O122" i="133"/>
  <c r="R122" i="133"/>
  <c r="T122" i="133"/>
  <c r="V122" i="133"/>
  <c r="X122" i="133"/>
  <c r="Z122" i="133"/>
  <c r="AA122" i="133"/>
  <c r="AB122" i="133"/>
  <c r="O123" i="133"/>
  <c r="R123" i="133"/>
  <c r="T123" i="133"/>
  <c r="V123" i="133"/>
  <c r="X123" i="133"/>
  <c r="Z123" i="133"/>
  <c r="AA123" i="133"/>
  <c r="AB123" i="133"/>
  <c r="O124" i="133"/>
  <c r="R124" i="133"/>
  <c r="T124" i="133"/>
  <c r="V124" i="133"/>
  <c r="X124" i="133"/>
  <c r="Z124" i="133"/>
  <c r="AA124" i="133"/>
  <c r="AB124" i="133"/>
  <c r="O125" i="133"/>
  <c r="R125" i="133"/>
  <c r="T125" i="133"/>
  <c r="V125" i="133"/>
  <c r="X125" i="133"/>
  <c r="Z125" i="133"/>
  <c r="AA125" i="133"/>
  <c r="AB125" i="133"/>
  <c r="R126" i="133"/>
  <c r="T126" i="133"/>
  <c r="V126" i="133"/>
  <c r="X126" i="133"/>
  <c r="Z126" i="133"/>
  <c r="AA126" i="133"/>
  <c r="AB126" i="133"/>
  <c r="R127" i="133"/>
  <c r="T127" i="133"/>
  <c r="V127" i="133"/>
  <c r="X127" i="133"/>
  <c r="Z127" i="133"/>
  <c r="AA127" i="133"/>
  <c r="AB127" i="133"/>
  <c r="R128" i="133"/>
  <c r="T128" i="133"/>
  <c r="V128" i="133"/>
  <c r="X128" i="133"/>
  <c r="Z128" i="133"/>
  <c r="AA128" i="133"/>
  <c r="AB128" i="133"/>
  <c r="R129" i="133"/>
  <c r="T129" i="133"/>
  <c r="V129" i="133"/>
  <c r="X129" i="133"/>
  <c r="Z129" i="133"/>
  <c r="AA129" i="133"/>
  <c r="AB129" i="133"/>
  <c r="R130" i="133"/>
  <c r="T130" i="133"/>
  <c r="V130" i="133"/>
  <c r="X130" i="133"/>
  <c r="Z130" i="133"/>
  <c r="AA130" i="133"/>
  <c r="AB130" i="133"/>
  <c r="R131" i="133"/>
  <c r="T131" i="133"/>
  <c r="V131" i="133"/>
  <c r="X131" i="133"/>
  <c r="Z131" i="133"/>
  <c r="AA131" i="133"/>
  <c r="AB131" i="133"/>
  <c r="R132" i="133"/>
  <c r="T132" i="133"/>
  <c r="V132" i="133"/>
  <c r="X132" i="133"/>
  <c r="Z132" i="133"/>
  <c r="AA132" i="133"/>
  <c r="AB132" i="133"/>
  <c r="R133" i="133"/>
  <c r="T133" i="133"/>
  <c r="V133" i="133"/>
  <c r="X133" i="133"/>
  <c r="Z133" i="133"/>
  <c r="AA133" i="133"/>
  <c r="AB133" i="133"/>
  <c r="R134" i="133"/>
  <c r="T134" i="133"/>
  <c r="V134" i="133"/>
  <c r="X134" i="133"/>
  <c r="Z134" i="133"/>
  <c r="AA134" i="133"/>
  <c r="AB134" i="133"/>
  <c r="R135" i="133"/>
  <c r="T135" i="133"/>
  <c r="V135" i="133"/>
  <c r="X135" i="133"/>
  <c r="Z135" i="133"/>
  <c r="AA135" i="133"/>
  <c r="AB135" i="133"/>
  <c r="R136" i="133"/>
  <c r="T136" i="133"/>
  <c r="V136" i="133"/>
  <c r="X136" i="133"/>
  <c r="Z136" i="133"/>
  <c r="AA136" i="133"/>
  <c r="AB136" i="133"/>
  <c r="R137" i="133"/>
  <c r="T137" i="133"/>
  <c r="V137" i="133"/>
  <c r="X137" i="133"/>
  <c r="Z137" i="133"/>
  <c r="AA137" i="133"/>
  <c r="AB137" i="133"/>
  <c r="R138" i="133"/>
  <c r="T138" i="133"/>
  <c r="V138" i="133"/>
  <c r="X138" i="133"/>
  <c r="Z138" i="133"/>
  <c r="AA138" i="133"/>
  <c r="AB138" i="133"/>
  <c r="R139" i="133"/>
  <c r="T139" i="133"/>
  <c r="V139" i="133"/>
  <c r="X139" i="133"/>
  <c r="Z139" i="133"/>
  <c r="AA139" i="133"/>
  <c r="AB139" i="133"/>
  <c r="O140" i="133"/>
  <c r="R140" i="133"/>
  <c r="T140" i="133"/>
  <c r="V140" i="133"/>
  <c r="X140" i="133"/>
  <c r="Z140" i="133"/>
  <c r="AA140" i="133"/>
  <c r="AB140" i="133"/>
  <c r="O141" i="133"/>
  <c r="R141" i="133"/>
  <c r="T141" i="133"/>
  <c r="V141" i="133"/>
  <c r="X141" i="133"/>
  <c r="Z141" i="133"/>
  <c r="AA141" i="133"/>
  <c r="AB141" i="133"/>
  <c r="O142" i="133"/>
  <c r="R142" i="133"/>
  <c r="T142" i="133"/>
  <c r="V142" i="133"/>
  <c r="X142" i="133"/>
  <c r="Z142" i="133"/>
  <c r="AA142" i="133"/>
  <c r="AB142" i="133"/>
  <c r="O143" i="133"/>
  <c r="R143" i="133"/>
  <c r="T143" i="133"/>
  <c r="V143" i="133"/>
  <c r="X143" i="133"/>
  <c r="Z143" i="133"/>
  <c r="AA143" i="133"/>
  <c r="AB143" i="133"/>
  <c r="O144" i="133"/>
  <c r="R144" i="133"/>
  <c r="T144" i="133"/>
  <c r="V144" i="133"/>
  <c r="X144" i="133"/>
  <c r="Z144" i="133"/>
  <c r="AA144" i="133"/>
  <c r="AB144" i="133"/>
  <c r="O145" i="133"/>
  <c r="R145" i="133"/>
  <c r="T145" i="133"/>
  <c r="V145" i="133"/>
  <c r="X145" i="133"/>
  <c r="Z145" i="133"/>
  <c r="AA145" i="133"/>
  <c r="AB145" i="133"/>
  <c r="O146" i="133"/>
  <c r="R146" i="133"/>
  <c r="T146" i="133"/>
  <c r="V146" i="133"/>
  <c r="X146" i="133"/>
  <c r="Z146" i="133"/>
  <c r="AA146" i="133"/>
  <c r="AB146" i="133"/>
  <c r="R147" i="133"/>
  <c r="T147" i="133"/>
  <c r="V147" i="133"/>
  <c r="X147" i="133"/>
  <c r="Z147" i="133"/>
  <c r="AA147" i="133"/>
  <c r="AB147" i="133"/>
  <c r="R148" i="133"/>
  <c r="T148" i="133"/>
  <c r="V148" i="133"/>
  <c r="X148" i="133"/>
  <c r="Z148" i="133"/>
  <c r="AA148" i="133"/>
  <c r="AB148" i="133"/>
  <c r="R149" i="133"/>
  <c r="T149" i="133"/>
  <c r="V149" i="133"/>
  <c r="X149" i="133"/>
  <c r="Z149" i="133"/>
  <c r="AA149" i="133"/>
  <c r="AB149" i="133"/>
  <c r="R150" i="133"/>
  <c r="T150" i="133"/>
  <c r="V150" i="133"/>
  <c r="X150" i="133"/>
  <c r="Z150" i="133"/>
  <c r="AA150" i="133"/>
  <c r="AB150" i="133"/>
  <c r="R151" i="133"/>
  <c r="T151" i="133"/>
  <c r="V151" i="133"/>
  <c r="X151" i="133"/>
  <c r="Z151" i="133"/>
  <c r="AA151" i="133"/>
  <c r="AB151" i="133"/>
  <c r="R152" i="133"/>
  <c r="T152" i="133"/>
  <c r="V152" i="133"/>
  <c r="X152" i="133"/>
  <c r="Z152" i="133"/>
  <c r="AA152" i="133"/>
  <c r="AB152" i="133"/>
  <c r="O153" i="133"/>
  <c r="R153" i="133"/>
  <c r="T153" i="133"/>
  <c r="V153" i="133"/>
  <c r="X153" i="133"/>
  <c r="Z153" i="133"/>
  <c r="AA153" i="133"/>
  <c r="AB153" i="133"/>
  <c r="R154" i="133"/>
  <c r="T154" i="133"/>
  <c r="V154" i="133"/>
  <c r="X154" i="133"/>
  <c r="Z154" i="133"/>
  <c r="AA154" i="133"/>
  <c r="AB154" i="133"/>
  <c r="R155" i="133"/>
  <c r="T155" i="133"/>
  <c r="V155" i="133"/>
  <c r="X155" i="133"/>
  <c r="Z155" i="133"/>
  <c r="AA155" i="133"/>
  <c r="AB155" i="133"/>
  <c r="R156" i="133"/>
  <c r="T156" i="133"/>
  <c r="V156" i="133"/>
  <c r="X156" i="133"/>
  <c r="Z156" i="133"/>
  <c r="AA156" i="133"/>
  <c r="AB156" i="133"/>
  <c r="R157" i="133"/>
  <c r="T157" i="133"/>
  <c r="V157" i="133"/>
  <c r="X157" i="133"/>
  <c r="Z157" i="133"/>
  <c r="AA157" i="133"/>
  <c r="AB157" i="133"/>
  <c r="R158" i="133"/>
  <c r="T158" i="133"/>
  <c r="V158" i="133"/>
  <c r="X158" i="133"/>
  <c r="Z158" i="133"/>
  <c r="AA158" i="133"/>
  <c r="AB158" i="133"/>
  <c r="R159" i="133"/>
  <c r="T159" i="133"/>
  <c r="V159" i="133"/>
  <c r="X159" i="133"/>
  <c r="Z159" i="133"/>
  <c r="AA159" i="133"/>
  <c r="AB159" i="133"/>
  <c r="R160" i="133"/>
  <c r="T160" i="133"/>
  <c r="V160" i="133"/>
  <c r="X160" i="133"/>
  <c r="Z160" i="133"/>
  <c r="AA160" i="133"/>
  <c r="AB160" i="133"/>
  <c r="R161" i="133"/>
  <c r="T161" i="133"/>
  <c r="V161" i="133"/>
  <c r="X161" i="133"/>
  <c r="Z161" i="133"/>
  <c r="AA161" i="133"/>
  <c r="AB161" i="133"/>
  <c r="R162" i="133"/>
  <c r="T162" i="133"/>
  <c r="V162" i="133"/>
  <c r="X162" i="133"/>
  <c r="Z162" i="133"/>
  <c r="AA162" i="133"/>
  <c r="AB162" i="133"/>
  <c r="O163" i="133"/>
  <c r="R163" i="133"/>
  <c r="T163" i="133"/>
  <c r="V163" i="133"/>
  <c r="X163" i="133"/>
  <c r="Z163" i="133"/>
  <c r="O164" i="133"/>
  <c r="R164" i="133"/>
  <c r="T164" i="133"/>
  <c r="V164" i="133"/>
  <c r="X164" i="133"/>
  <c r="Z164" i="133"/>
  <c r="O165" i="133"/>
  <c r="R165" i="133"/>
  <c r="T165" i="133"/>
  <c r="V165" i="133"/>
  <c r="X165" i="133"/>
  <c r="Z165" i="133"/>
  <c r="AA165" i="133"/>
  <c r="AB165" i="133"/>
  <c r="O166" i="133"/>
  <c r="R166" i="133"/>
  <c r="T166" i="133"/>
  <c r="V166" i="133"/>
  <c r="X166" i="133"/>
  <c r="Z166" i="133"/>
  <c r="AA166" i="133"/>
  <c r="AB166" i="133"/>
  <c r="O167" i="133"/>
  <c r="R167" i="133"/>
  <c r="T167" i="133"/>
  <c r="V167" i="133"/>
  <c r="X167" i="133"/>
  <c r="Z167" i="133"/>
  <c r="AA167" i="133"/>
  <c r="AB167" i="133"/>
  <c r="O168" i="133"/>
  <c r="R168" i="133"/>
  <c r="T168" i="133"/>
  <c r="V168" i="133"/>
  <c r="X168" i="133"/>
  <c r="Z168" i="133"/>
  <c r="AA168" i="133"/>
  <c r="AB168" i="133"/>
  <c r="O169" i="133"/>
  <c r="R169" i="133"/>
  <c r="T169" i="133"/>
  <c r="V169" i="133"/>
  <c r="X169" i="133"/>
  <c r="Z169" i="133"/>
  <c r="AA169" i="133"/>
  <c r="AB169" i="133"/>
  <c r="O170" i="133"/>
  <c r="R170" i="133"/>
  <c r="T170" i="133"/>
  <c r="V170" i="133"/>
  <c r="X170" i="133"/>
  <c r="Z170" i="133"/>
  <c r="AA170" i="133"/>
  <c r="AB170" i="133"/>
  <c r="O171" i="133"/>
  <c r="R171" i="133"/>
  <c r="T171" i="133"/>
  <c r="V171" i="133"/>
  <c r="X171" i="133"/>
  <c r="Z171" i="133"/>
  <c r="AA171" i="133"/>
  <c r="AB171" i="133"/>
  <c r="O172" i="133"/>
  <c r="R172" i="133"/>
  <c r="T172" i="133"/>
  <c r="V172" i="133"/>
  <c r="X172" i="133"/>
  <c r="Z172" i="133"/>
  <c r="AA172" i="133"/>
  <c r="AB172" i="133"/>
  <c r="O173" i="133"/>
  <c r="R173" i="133"/>
  <c r="T173" i="133"/>
  <c r="V173" i="133"/>
  <c r="X173" i="133"/>
  <c r="Z173" i="133"/>
  <c r="AA173" i="133"/>
  <c r="AB173" i="133"/>
  <c r="O174" i="133"/>
  <c r="R174" i="133"/>
  <c r="T174" i="133"/>
  <c r="V174" i="133"/>
  <c r="X174" i="133"/>
  <c r="Z174" i="133"/>
  <c r="AA174" i="133"/>
  <c r="AB174" i="133"/>
  <c r="O175" i="133"/>
  <c r="R175" i="133"/>
  <c r="T175" i="133"/>
  <c r="V175" i="133"/>
  <c r="X175" i="133"/>
  <c r="Z175" i="133"/>
  <c r="AA175" i="133"/>
  <c r="AB175" i="133"/>
  <c r="O176" i="133"/>
  <c r="R176" i="133"/>
  <c r="T176" i="133"/>
  <c r="V176" i="133"/>
  <c r="X176" i="133"/>
  <c r="Z176" i="133"/>
  <c r="AA176" i="133"/>
  <c r="AB176" i="133"/>
  <c r="O177" i="133"/>
  <c r="R177" i="133"/>
  <c r="T177" i="133"/>
  <c r="V177" i="133"/>
  <c r="X177" i="133"/>
  <c r="Z177" i="133"/>
  <c r="AA177" i="133"/>
  <c r="AB177" i="133"/>
  <c r="O178" i="133"/>
  <c r="R178" i="133"/>
  <c r="T178" i="133"/>
  <c r="V178" i="133"/>
  <c r="X178" i="133"/>
  <c r="Z178" i="133"/>
  <c r="AA178" i="133"/>
  <c r="AB178" i="133"/>
  <c r="O179" i="133"/>
  <c r="R179" i="133"/>
  <c r="T179" i="133"/>
  <c r="V179" i="133"/>
  <c r="X179" i="133"/>
  <c r="Z179" i="133"/>
  <c r="AA179" i="133"/>
  <c r="AB179" i="133"/>
  <c r="O180" i="133"/>
  <c r="R180" i="133"/>
  <c r="T180" i="133"/>
  <c r="V180" i="133"/>
  <c r="X180" i="133"/>
  <c r="Z180" i="133"/>
  <c r="AA180" i="133"/>
  <c r="AB180" i="133"/>
  <c r="O181" i="133"/>
  <c r="R181" i="133"/>
  <c r="T181" i="133"/>
  <c r="V181" i="133"/>
  <c r="X181" i="133"/>
  <c r="Z181" i="133"/>
  <c r="AA181" i="133"/>
  <c r="AB181" i="133"/>
  <c r="O182" i="133"/>
  <c r="R182" i="133"/>
  <c r="T182" i="133"/>
  <c r="V182" i="133"/>
  <c r="X182" i="133"/>
  <c r="Z182" i="133"/>
  <c r="AA182" i="133"/>
  <c r="AB182" i="133"/>
  <c r="R183" i="133"/>
  <c r="T183" i="133"/>
  <c r="V183" i="133"/>
  <c r="X183" i="133"/>
  <c r="Z183" i="133"/>
  <c r="AA183" i="133"/>
  <c r="AB183" i="133"/>
  <c r="O184" i="133"/>
  <c r="R184" i="133"/>
  <c r="T184" i="133"/>
  <c r="V184" i="133"/>
  <c r="X184" i="133"/>
  <c r="Z184" i="133"/>
  <c r="AA184" i="133"/>
  <c r="AB184" i="133"/>
  <c r="O185" i="133"/>
  <c r="R185" i="133"/>
  <c r="T185" i="133"/>
  <c r="V185" i="133"/>
  <c r="X185" i="133"/>
  <c r="Z185" i="133"/>
  <c r="AA185" i="133"/>
  <c r="AB185" i="133"/>
  <c r="O186" i="133"/>
  <c r="R186" i="133"/>
  <c r="T186" i="133"/>
  <c r="V186" i="133"/>
  <c r="X186" i="133"/>
  <c r="Z186" i="133"/>
  <c r="AA186" i="133"/>
  <c r="AB186" i="133"/>
  <c r="O187" i="133"/>
  <c r="R187" i="133"/>
  <c r="T187" i="133"/>
  <c r="V187" i="133"/>
  <c r="X187" i="133"/>
  <c r="Z187" i="133"/>
  <c r="AA187" i="133"/>
  <c r="AB187" i="133"/>
  <c r="O188" i="133"/>
  <c r="R188" i="133"/>
  <c r="T188" i="133"/>
  <c r="V188" i="133"/>
  <c r="X188" i="133"/>
  <c r="Z188" i="133"/>
  <c r="AA188" i="133"/>
  <c r="AB188" i="133"/>
  <c r="O189" i="133"/>
  <c r="R189" i="133"/>
  <c r="T189" i="133"/>
  <c r="V189" i="133"/>
  <c r="X189" i="133"/>
  <c r="Z189" i="133"/>
  <c r="AA189" i="133"/>
  <c r="AB189" i="133"/>
  <c r="O190" i="133"/>
  <c r="R190" i="133"/>
  <c r="T190" i="133"/>
  <c r="V190" i="133"/>
  <c r="X190" i="133"/>
  <c r="Z190" i="133"/>
  <c r="AA190" i="133"/>
  <c r="AB190" i="133"/>
  <c r="O191" i="133"/>
  <c r="R191" i="133"/>
  <c r="T191" i="133"/>
  <c r="V191" i="133"/>
  <c r="X191" i="133"/>
  <c r="Z191" i="133"/>
  <c r="AA191" i="133"/>
  <c r="AB191" i="133"/>
  <c r="O192" i="133"/>
  <c r="R192" i="133"/>
  <c r="T192" i="133"/>
  <c r="V192" i="133"/>
  <c r="X192" i="133"/>
  <c r="Z192" i="133"/>
  <c r="AA192" i="133"/>
  <c r="AB192" i="133"/>
  <c r="O193" i="133"/>
  <c r="R193" i="133"/>
  <c r="T193" i="133"/>
  <c r="V193" i="133"/>
  <c r="X193" i="133"/>
  <c r="Z193" i="133"/>
  <c r="AA193" i="133"/>
  <c r="AB193" i="133"/>
  <c r="O194" i="133"/>
  <c r="R194" i="133"/>
  <c r="T194" i="133"/>
  <c r="V194" i="133"/>
  <c r="X194" i="133"/>
  <c r="Z194" i="133"/>
  <c r="AA194" i="133"/>
  <c r="AB194" i="133"/>
  <c r="O195" i="133"/>
  <c r="R195" i="133"/>
  <c r="T195" i="133"/>
  <c r="V195" i="133"/>
  <c r="X195" i="133"/>
  <c r="Z195" i="133"/>
  <c r="AA195" i="133"/>
  <c r="AB195" i="133"/>
  <c r="O196" i="133"/>
  <c r="R196" i="133"/>
  <c r="T196" i="133"/>
  <c r="V196" i="133"/>
  <c r="X196" i="133"/>
  <c r="Z196" i="133"/>
  <c r="AA196" i="133"/>
  <c r="AB196" i="133"/>
  <c r="Q197" i="133"/>
  <c r="R197" i="133"/>
  <c r="S197" i="133"/>
  <c r="T197" i="133"/>
  <c r="U197" i="133"/>
  <c r="V197" i="133"/>
  <c r="W197" i="133"/>
  <c r="X197" i="133"/>
  <c r="Y197" i="133"/>
  <c r="Z197" i="133"/>
  <c r="AA197" i="133"/>
  <c r="AB197" i="133"/>
  <c r="Q198" i="133"/>
  <c r="R198" i="133"/>
  <c r="S198" i="133"/>
  <c r="T198" i="133"/>
  <c r="U198" i="133"/>
  <c r="V198" i="133"/>
  <c r="W198" i="133"/>
  <c r="X198" i="133"/>
  <c r="Y198" i="133"/>
  <c r="Z198" i="133"/>
  <c r="AA198" i="133"/>
  <c r="AB198" i="133"/>
  <c r="Q199" i="133"/>
  <c r="R199" i="133"/>
  <c r="S199" i="133"/>
  <c r="T199" i="133"/>
  <c r="U199" i="133"/>
  <c r="V199" i="133"/>
  <c r="W199" i="133"/>
  <c r="X199" i="133"/>
  <c r="Y199" i="133"/>
  <c r="Z199" i="133"/>
  <c r="AA199" i="133"/>
  <c r="AB199" i="133"/>
  <c r="Q201" i="133"/>
  <c r="R201" i="133"/>
  <c r="S201" i="133"/>
  <c r="T201" i="133"/>
  <c r="U201" i="133"/>
  <c r="V201" i="133"/>
  <c r="W201" i="133"/>
  <c r="X201" i="133"/>
  <c r="Y201" i="133"/>
  <c r="Z201" i="133"/>
  <c r="AA201" i="133"/>
  <c r="AB201" i="133"/>
  <c r="Q202" i="133"/>
  <c r="R202" i="133"/>
  <c r="S202" i="133"/>
  <c r="T202" i="133"/>
  <c r="U202" i="133"/>
  <c r="V202" i="133"/>
  <c r="W202" i="133"/>
  <c r="X202" i="133"/>
  <c r="Y202" i="133"/>
  <c r="Z202" i="133"/>
  <c r="AA202" i="133"/>
  <c r="AB202" i="133"/>
  <c r="Q203" i="133"/>
  <c r="R203" i="133"/>
  <c r="S203" i="133"/>
  <c r="T203" i="133"/>
  <c r="U203" i="133"/>
  <c r="V203" i="133"/>
  <c r="W203" i="133"/>
  <c r="X203" i="133"/>
  <c r="Y203" i="133"/>
  <c r="Z203" i="133"/>
  <c r="AA203" i="133"/>
  <c r="AB203" i="133"/>
  <c r="Q204" i="133"/>
  <c r="R204" i="133"/>
  <c r="S204" i="133"/>
  <c r="T204" i="133"/>
  <c r="U204" i="133"/>
  <c r="V204" i="133"/>
  <c r="W204" i="133"/>
  <c r="X204" i="133"/>
  <c r="Y204" i="133"/>
  <c r="Z204" i="133"/>
  <c r="AA204" i="133"/>
  <c r="AB204" i="133"/>
  <c r="Q205" i="133"/>
  <c r="R205" i="133"/>
  <c r="S205" i="133"/>
  <c r="T205" i="133"/>
  <c r="U205" i="133"/>
  <c r="V205" i="133"/>
  <c r="W205" i="133"/>
  <c r="X205" i="133"/>
  <c r="Y205" i="133"/>
  <c r="Z205" i="133"/>
  <c r="AA205" i="133"/>
  <c r="AB205" i="133"/>
  <c r="Q206" i="133"/>
  <c r="R206" i="133"/>
  <c r="S206" i="133"/>
  <c r="T206" i="133"/>
  <c r="U206" i="133"/>
  <c r="V206" i="133"/>
  <c r="W206" i="133"/>
  <c r="X206" i="133"/>
  <c r="Y206" i="133"/>
  <c r="Z206" i="133"/>
  <c r="AA206" i="133"/>
  <c r="AB206" i="133"/>
  <c r="Q207" i="133"/>
  <c r="Q208" i="133" s="1"/>
  <c r="Q209" i="133" s="1"/>
  <c r="R207" i="133"/>
  <c r="R208" i="133" s="1"/>
  <c r="R209" i="133" s="1"/>
  <c r="S207" i="133"/>
  <c r="S208" i="133" s="1"/>
  <c r="T207" i="133"/>
  <c r="T208" i="133" s="1"/>
  <c r="U207" i="133"/>
  <c r="U208" i="133" s="1"/>
  <c r="V207" i="133"/>
  <c r="V208" i="133" s="1"/>
  <c r="W207" i="133"/>
  <c r="W208" i="133" s="1"/>
  <c r="X207" i="133"/>
  <c r="X208" i="133" s="1"/>
  <c r="Y207" i="133"/>
  <c r="Y208" i="133" s="1"/>
  <c r="Z207" i="133"/>
  <c r="Z208" i="133" s="1"/>
  <c r="AA207" i="133"/>
  <c r="AA208" i="133" s="1"/>
  <c r="AB207" i="133"/>
  <c r="AB208" i="133" s="1"/>
  <c r="T210" i="133"/>
  <c r="V210" i="133"/>
  <c r="X210" i="133"/>
  <c r="Z210" i="133"/>
  <c r="AB210" i="133"/>
  <c r="R213" i="133"/>
  <c r="T213" i="133"/>
  <c r="V213" i="133"/>
  <c r="X213" i="133"/>
  <c r="Z213" i="133"/>
  <c r="AA213" i="133"/>
  <c r="AB213" i="133"/>
  <c r="R214" i="133"/>
  <c r="T214" i="133"/>
  <c r="V214" i="133"/>
  <c r="X214" i="133"/>
  <c r="Z214" i="133"/>
  <c r="AA214" i="133"/>
  <c r="AB214" i="133"/>
  <c r="R215" i="133"/>
  <c r="T215" i="133"/>
  <c r="V215" i="133"/>
  <c r="X215" i="133"/>
  <c r="Z215" i="133"/>
  <c r="AA215" i="133"/>
  <c r="AB215" i="133"/>
  <c r="R216" i="133"/>
  <c r="T216" i="133"/>
  <c r="V216" i="133"/>
  <c r="X216" i="133"/>
  <c r="Z216" i="133"/>
  <c r="AA216" i="133"/>
  <c r="AB216" i="133"/>
  <c r="R217" i="133"/>
  <c r="T217" i="133"/>
  <c r="V217" i="133"/>
  <c r="X217" i="133"/>
  <c r="Z217" i="133"/>
  <c r="AA217" i="133"/>
  <c r="AB217" i="133"/>
  <c r="R218" i="133"/>
  <c r="T218" i="133"/>
  <c r="V218" i="133"/>
  <c r="X218" i="133"/>
  <c r="Z218" i="133"/>
  <c r="AA218" i="133"/>
  <c r="AB218" i="133"/>
  <c r="R219" i="133"/>
  <c r="T219" i="133"/>
  <c r="V219" i="133"/>
  <c r="X219" i="133"/>
  <c r="Z219" i="133"/>
  <c r="AA219" i="133"/>
  <c r="AB219" i="133"/>
  <c r="R220" i="133"/>
  <c r="T220" i="133"/>
  <c r="V220" i="133"/>
  <c r="X220" i="133"/>
  <c r="Z220" i="133"/>
  <c r="AA220" i="133"/>
  <c r="AB220" i="133"/>
  <c r="R221" i="133"/>
  <c r="T221" i="133"/>
  <c r="V221" i="133"/>
  <c r="X221" i="133"/>
  <c r="Z221" i="133"/>
  <c r="AA221" i="133"/>
  <c r="AB221" i="133"/>
  <c r="R222" i="133"/>
  <c r="T222" i="133"/>
  <c r="V222" i="133"/>
  <c r="X222" i="133"/>
  <c r="Z222" i="133"/>
  <c r="AA222" i="133"/>
  <c r="AB222" i="133"/>
  <c r="R223" i="133"/>
  <c r="T223" i="133"/>
  <c r="V223" i="133"/>
  <c r="X223" i="133"/>
  <c r="Z223" i="133"/>
  <c r="AA223" i="133"/>
  <c r="AB223" i="133"/>
  <c r="R224" i="133"/>
  <c r="T224" i="133"/>
  <c r="V224" i="133"/>
  <c r="X224" i="133"/>
  <c r="Z224" i="133"/>
  <c r="AA224" i="133"/>
  <c r="AB224" i="133"/>
  <c r="R225" i="133"/>
  <c r="T225" i="133"/>
  <c r="V225" i="133"/>
  <c r="X225" i="133"/>
  <c r="Z225" i="133"/>
  <c r="AA225" i="133"/>
  <c r="AB225" i="133"/>
  <c r="R226" i="133"/>
  <c r="T226" i="133"/>
  <c r="V226" i="133"/>
  <c r="X226" i="133"/>
  <c r="Z226" i="133"/>
  <c r="AA226" i="133"/>
  <c r="AB226" i="133"/>
  <c r="R227" i="133"/>
  <c r="T227" i="133"/>
  <c r="V227" i="133"/>
  <c r="X227" i="133"/>
  <c r="Z227" i="133"/>
  <c r="AA227" i="133"/>
  <c r="AB227" i="133"/>
  <c r="R228" i="133"/>
  <c r="T228" i="133"/>
  <c r="V228" i="133"/>
  <c r="X228" i="133"/>
  <c r="Z228" i="133"/>
  <c r="AA228" i="133"/>
  <c r="AB228" i="133"/>
  <c r="R229" i="133"/>
  <c r="T229" i="133"/>
  <c r="V229" i="133"/>
  <c r="X229" i="133"/>
  <c r="Z229" i="133"/>
  <c r="AA229" i="133"/>
  <c r="AB229" i="133"/>
  <c r="R230" i="133"/>
  <c r="T230" i="133"/>
  <c r="V230" i="133"/>
  <c r="X230" i="133"/>
  <c r="Z230" i="133"/>
  <c r="AA230" i="133"/>
  <c r="AB230" i="133"/>
  <c r="R231" i="133"/>
  <c r="T231" i="133"/>
  <c r="V231" i="133"/>
  <c r="X231" i="133"/>
  <c r="Z231" i="133"/>
  <c r="AA231" i="133"/>
  <c r="AB231" i="133"/>
  <c r="R232" i="133"/>
  <c r="T232" i="133"/>
  <c r="V232" i="133"/>
  <c r="X232" i="133"/>
  <c r="Z232" i="133"/>
  <c r="AA232" i="133"/>
  <c r="AB232" i="133"/>
  <c r="R233" i="133"/>
  <c r="T233" i="133"/>
  <c r="V233" i="133"/>
  <c r="X233" i="133"/>
  <c r="Z233" i="133"/>
  <c r="AA233" i="133"/>
  <c r="AB233" i="133"/>
  <c r="R234" i="133"/>
  <c r="T234" i="133"/>
  <c r="V234" i="133"/>
  <c r="X234" i="133"/>
  <c r="Z234" i="133"/>
  <c r="AA234" i="133"/>
  <c r="AB234" i="133"/>
  <c r="R235" i="133"/>
  <c r="T235" i="133"/>
  <c r="V235" i="133"/>
  <c r="X235" i="133"/>
  <c r="Z235" i="133"/>
  <c r="AA235" i="133"/>
  <c r="AB235" i="133"/>
  <c r="R236" i="133"/>
  <c r="T236" i="133"/>
  <c r="V236" i="133"/>
  <c r="X236" i="133"/>
  <c r="Z236" i="133"/>
  <c r="AA236" i="133"/>
  <c r="AB236" i="133"/>
  <c r="R237" i="133"/>
  <c r="T237" i="133"/>
  <c r="V237" i="133"/>
  <c r="X237" i="133"/>
  <c r="Z237" i="133"/>
  <c r="AA237" i="133"/>
  <c r="AB237" i="133"/>
  <c r="R238" i="133"/>
  <c r="T238" i="133"/>
  <c r="V238" i="133"/>
  <c r="X238" i="133"/>
  <c r="Z238" i="133"/>
  <c r="AA238" i="133"/>
  <c r="AB238" i="133"/>
  <c r="R239" i="133"/>
  <c r="T239" i="133"/>
  <c r="V239" i="133"/>
  <c r="X239" i="133"/>
  <c r="Z239" i="133"/>
  <c r="AA239" i="133"/>
  <c r="AB239" i="133"/>
  <c r="R240" i="133"/>
  <c r="T240" i="133"/>
  <c r="V240" i="133"/>
  <c r="X240" i="133"/>
  <c r="Z240" i="133"/>
  <c r="AA240" i="133"/>
  <c r="AB240" i="133"/>
  <c r="R241" i="133"/>
  <c r="T241" i="133"/>
  <c r="V241" i="133"/>
  <c r="X241" i="133"/>
  <c r="Z241" i="133"/>
  <c r="AA241" i="133"/>
  <c r="AB241" i="133"/>
  <c r="R242" i="133"/>
  <c r="T242" i="133"/>
  <c r="V242" i="133"/>
  <c r="X242" i="133"/>
  <c r="Z242" i="133"/>
  <c r="AA242" i="133"/>
  <c r="AB242" i="133"/>
  <c r="R243" i="133"/>
  <c r="T243" i="133"/>
  <c r="V243" i="133"/>
  <c r="X243" i="133"/>
  <c r="Z243" i="133"/>
  <c r="AA243" i="133"/>
  <c r="AB243" i="133"/>
  <c r="R244" i="133"/>
  <c r="T244" i="133"/>
  <c r="V244" i="133"/>
  <c r="X244" i="133"/>
  <c r="Z244" i="133"/>
  <c r="AA244" i="133"/>
  <c r="AB244" i="133"/>
  <c r="R245" i="133"/>
  <c r="T245" i="133"/>
  <c r="V245" i="133"/>
  <c r="X245" i="133"/>
  <c r="Z245" i="133"/>
  <c r="AA245" i="133"/>
  <c r="AB245" i="133"/>
  <c r="R246" i="133"/>
  <c r="T246" i="133"/>
  <c r="V246" i="133"/>
  <c r="X246" i="133"/>
  <c r="Z246" i="133"/>
  <c r="AA246" i="133"/>
  <c r="AB246" i="133"/>
  <c r="R247" i="133"/>
  <c r="T247" i="133"/>
  <c r="V247" i="133"/>
  <c r="X247" i="133"/>
  <c r="Z247" i="133"/>
  <c r="AA247" i="133"/>
  <c r="AB247" i="133"/>
  <c r="R248" i="133"/>
  <c r="T248" i="133"/>
  <c r="V248" i="133"/>
  <c r="X248" i="133"/>
  <c r="Z248" i="133"/>
  <c r="AA248" i="133"/>
  <c r="AB248" i="133"/>
  <c r="R249" i="133"/>
  <c r="T249" i="133"/>
  <c r="V249" i="133"/>
  <c r="X249" i="133"/>
  <c r="Z249" i="133"/>
  <c r="AA249" i="133"/>
  <c r="AB249" i="133"/>
  <c r="R250" i="133"/>
  <c r="T250" i="133"/>
  <c r="V250" i="133"/>
  <c r="X250" i="133"/>
  <c r="Z250" i="133"/>
  <c r="AA250" i="133"/>
  <c r="AB250" i="133"/>
  <c r="R251" i="133"/>
  <c r="T251" i="133"/>
  <c r="V251" i="133"/>
  <c r="X251" i="133"/>
  <c r="Z251" i="133"/>
  <c r="AA251" i="133"/>
  <c r="AB251" i="133"/>
  <c r="R252" i="133"/>
  <c r="T252" i="133"/>
  <c r="V252" i="133"/>
  <c r="X252" i="133"/>
  <c r="Z252" i="133"/>
  <c r="AA252" i="133"/>
  <c r="AB252" i="133"/>
  <c r="R253" i="133"/>
  <c r="T253" i="133"/>
  <c r="V253" i="133"/>
  <c r="X253" i="133"/>
  <c r="Z253" i="133"/>
  <c r="AA253" i="133"/>
  <c r="AB253" i="133"/>
  <c r="R254" i="133"/>
  <c r="T254" i="133"/>
  <c r="V254" i="133"/>
  <c r="X254" i="133"/>
  <c r="Z254" i="133"/>
  <c r="AA254" i="133"/>
  <c r="AB254" i="133"/>
  <c r="R255" i="133"/>
  <c r="T255" i="133"/>
  <c r="V255" i="133"/>
  <c r="X255" i="133"/>
  <c r="Z255" i="133"/>
  <c r="AA255" i="133"/>
  <c r="AB255" i="133"/>
  <c r="R256" i="133"/>
  <c r="T256" i="133"/>
  <c r="V256" i="133"/>
  <c r="X256" i="133"/>
  <c r="Z256" i="133"/>
  <c r="AA256" i="133"/>
  <c r="AB256" i="133"/>
  <c r="R257" i="133"/>
  <c r="T257" i="133"/>
  <c r="V257" i="133"/>
  <c r="X257" i="133"/>
  <c r="Z257" i="133"/>
  <c r="AA257" i="133"/>
  <c r="AB257" i="133"/>
  <c r="R258" i="133"/>
  <c r="T258" i="133"/>
  <c r="V258" i="133"/>
  <c r="X258" i="133"/>
  <c r="Z258" i="133"/>
  <c r="AA258" i="133"/>
  <c r="AB258" i="133"/>
  <c r="R259" i="133"/>
  <c r="T259" i="133"/>
  <c r="V259" i="133"/>
  <c r="X259" i="133"/>
  <c r="Z259" i="133"/>
  <c r="AA259" i="133"/>
  <c r="AB259" i="133"/>
  <c r="R260" i="133"/>
  <c r="T260" i="133"/>
  <c r="V260" i="133"/>
  <c r="X260" i="133"/>
  <c r="Z260" i="133"/>
  <c r="AA260" i="133"/>
  <c r="AB260" i="133"/>
  <c r="R261" i="133"/>
  <c r="T261" i="133"/>
  <c r="V261" i="133"/>
  <c r="X261" i="133"/>
  <c r="Z261" i="133"/>
  <c r="AA261" i="133"/>
  <c r="AB261" i="133"/>
  <c r="R262" i="133"/>
  <c r="T262" i="133"/>
  <c r="V262" i="133"/>
  <c r="X262" i="133"/>
  <c r="Z262" i="133"/>
  <c r="AA262" i="133"/>
  <c r="AB262" i="133"/>
  <c r="R263" i="133"/>
  <c r="T263" i="133"/>
  <c r="V263" i="133"/>
  <c r="X263" i="133"/>
  <c r="Z263" i="133"/>
  <c r="AA263" i="133"/>
  <c r="AB263" i="133"/>
  <c r="R264" i="133"/>
  <c r="T264" i="133"/>
  <c r="V264" i="133"/>
  <c r="X264" i="133"/>
  <c r="Z264" i="133"/>
  <c r="AA264" i="133"/>
  <c r="AB264" i="133"/>
  <c r="R265" i="133"/>
  <c r="T265" i="133"/>
  <c r="V265" i="133"/>
  <c r="X265" i="133"/>
  <c r="Z265" i="133"/>
  <c r="AA265" i="133"/>
  <c r="AB265" i="133"/>
  <c r="R266" i="133"/>
  <c r="T266" i="133"/>
  <c r="V266" i="133"/>
  <c r="X266" i="133"/>
  <c r="Z266" i="133"/>
  <c r="AA266" i="133"/>
  <c r="AB266" i="133"/>
  <c r="R267" i="133"/>
  <c r="T267" i="133"/>
  <c r="V267" i="133"/>
  <c r="X267" i="133"/>
  <c r="Z267" i="133"/>
  <c r="AA267" i="133"/>
  <c r="AB267" i="133"/>
  <c r="R268" i="133"/>
  <c r="T268" i="133"/>
  <c r="V268" i="133"/>
  <c r="X268" i="133"/>
  <c r="Z268" i="133"/>
  <c r="AA268" i="133"/>
  <c r="AB268" i="133"/>
  <c r="R269" i="133"/>
  <c r="T269" i="133"/>
  <c r="V269" i="133"/>
  <c r="X269" i="133"/>
  <c r="Z269" i="133"/>
  <c r="AA269" i="133"/>
  <c r="AB269" i="133"/>
  <c r="R270" i="133"/>
  <c r="T270" i="133"/>
  <c r="V270" i="133"/>
  <c r="X270" i="133"/>
  <c r="Z270" i="133"/>
  <c r="AA270" i="133"/>
  <c r="AB270" i="133"/>
  <c r="R271" i="133"/>
  <c r="T271" i="133"/>
  <c r="V271" i="133"/>
  <c r="X271" i="133"/>
  <c r="Z271" i="133"/>
  <c r="AA271" i="133"/>
  <c r="AB271" i="133"/>
  <c r="R272" i="133"/>
  <c r="T272" i="133"/>
  <c r="V272" i="133"/>
  <c r="X272" i="133"/>
  <c r="Z272" i="133"/>
  <c r="AA272" i="133"/>
  <c r="AB272" i="133"/>
  <c r="R273" i="133"/>
  <c r="T273" i="133"/>
  <c r="V273" i="133"/>
  <c r="X273" i="133"/>
  <c r="Z273" i="133"/>
  <c r="AA273" i="133"/>
  <c r="AB273" i="133"/>
  <c r="O274" i="133"/>
  <c r="R274" i="133"/>
  <c r="T274" i="133"/>
  <c r="V274" i="133"/>
  <c r="X274" i="133"/>
  <c r="Z274" i="133"/>
  <c r="AA274" i="133"/>
  <c r="AB274" i="133"/>
  <c r="O275" i="133"/>
  <c r="R275" i="133"/>
  <c r="T275" i="133"/>
  <c r="V275" i="133"/>
  <c r="X275" i="133"/>
  <c r="Z275" i="133"/>
  <c r="AA275" i="133"/>
  <c r="AB275" i="133"/>
  <c r="R276" i="133"/>
  <c r="T276" i="133"/>
  <c r="V276" i="133"/>
  <c r="X276" i="133"/>
  <c r="Z276" i="133"/>
  <c r="AA276" i="133"/>
  <c r="AB276" i="133"/>
  <c r="O277" i="133"/>
  <c r="R277" i="133"/>
  <c r="T277" i="133"/>
  <c r="V277" i="133"/>
  <c r="X277" i="133"/>
  <c r="Z277" i="133"/>
  <c r="AA277" i="133"/>
  <c r="AB277" i="133"/>
  <c r="O278" i="133"/>
  <c r="R278" i="133"/>
  <c r="T278" i="133"/>
  <c r="V278" i="133"/>
  <c r="X278" i="133"/>
  <c r="Z278" i="133"/>
  <c r="AA278" i="133"/>
  <c r="AB278" i="133"/>
  <c r="O279" i="133"/>
  <c r="R279" i="133"/>
  <c r="T279" i="133"/>
  <c r="V279" i="133"/>
  <c r="X279" i="133"/>
  <c r="Z279" i="133"/>
  <c r="AA279" i="133"/>
  <c r="AB279" i="133"/>
  <c r="R280" i="133"/>
  <c r="T280" i="133"/>
  <c r="V280" i="133"/>
  <c r="X280" i="133"/>
  <c r="Z280" i="133"/>
  <c r="AA280" i="133"/>
  <c r="AB280" i="133"/>
  <c r="O281" i="133"/>
  <c r="R281" i="133"/>
  <c r="T281" i="133"/>
  <c r="V281" i="133"/>
  <c r="X281" i="133"/>
  <c r="Z281" i="133"/>
  <c r="AA281" i="133"/>
  <c r="AB281" i="133"/>
  <c r="O282" i="133"/>
  <c r="R282" i="133"/>
  <c r="T282" i="133"/>
  <c r="V282" i="133"/>
  <c r="X282" i="133"/>
  <c r="Z282" i="133"/>
  <c r="AA282" i="133"/>
  <c r="AB282" i="133"/>
  <c r="O283" i="133"/>
  <c r="R283" i="133"/>
  <c r="T283" i="133"/>
  <c r="V283" i="133"/>
  <c r="X283" i="133"/>
  <c r="Z283" i="133"/>
  <c r="AA283" i="133"/>
  <c r="AB283" i="133"/>
  <c r="O284" i="133"/>
  <c r="R284" i="133"/>
  <c r="T284" i="133"/>
  <c r="V284" i="133"/>
  <c r="X284" i="133"/>
  <c r="Z284" i="133"/>
  <c r="AA284" i="133"/>
  <c r="AB284" i="133"/>
  <c r="O285" i="133"/>
  <c r="R285" i="133"/>
  <c r="T285" i="133"/>
  <c r="V285" i="133"/>
  <c r="X285" i="133"/>
  <c r="Z285" i="133"/>
  <c r="AA285" i="133"/>
  <c r="AB285" i="133"/>
  <c r="O286" i="133"/>
  <c r="R286" i="133"/>
  <c r="T286" i="133"/>
  <c r="V286" i="133"/>
  <c r="X286" i="133"/>
  <c r="Z286" i="133"/>
  <c r="AA286" i="133"/>
  <c r="AB286" i="133"/>
  <c r="O287" i="133"/>
  <c r="R287" i="133"/>
  <c r="T287" i="133"/>
  <c r="V287" i="133"/>
  <c r="X287" i="133"/>
  <c r="Z287" i="133"/>
  <c r="AA287" i="133"/>
  <c r="AB287" i="133"/>
  <c r="O288" i="133"/>
  <c r="R288" i="133"/>
  <c r="T288" i="133"/>
  <c r="V288" i="133"/>
  <c r="X288" i="133"/>
  <c r="Z288" i="133"/>
  <c r="AA288" i="133"/>
  <c r="AB288" i="133"/>
  <c r="R289" i="133"/>
  <c r="T289" i="133"/>
  <c r="V289" i="133"/>
  <c r="X289" i="133"/>
  <c r="Z289" i="133"/>
  <c r="AA289" i="133"/>
  <c r="AB289" i="133"/>
  <c r="R290" i="133"/>
  <c r="T290" i="133"/>
  <c r="V290" i="133"/>
  <c r="X290" i="133"/>
  <c r="Z290" i="133"/>
  <c r="AA290" i="133"/>
  <c r="AB290" i="133"/>
  <c r="O291" i="133"/>
  <c r="R291" i="133"/>
  <c r="T291" i="133"/>
  <c r="V291" i="133"/>
  <c r="X291" i="133"/>
  <c r="Z291" i="133"/>
  <c r="AA291" i="133"/>
  <c r="AB291" i="133"/>
  <c r="O292" i="133"/>
  <c r="R292" i="133"/>
  <c r="T292" i="133"/>
  <c r="V292" i="133"/>
  <c r="X292" i="133"/>
  <c r="Z292" i="133"/>
  <c r="AA292" i="133"/>
  <c r="AB292" i="133"/>
  <c r="O293" i="133"/>
  <c r="R293" i="133"/>
  <c r="T293" i="133"/>
  <c r="V293" i="133"/>
  <c r="X293" i="133"/>
  <c r="Z293" i="133"/>
  <c r="AA293" i="133"/>
  <c r="AB293" i="133"/>
  <c r="O294" i="133"/>
  <c r="R294" i="133"/>
  <c r="T294" i="133"/>
  <c r="V294" i="133"/>
  <c r="X294" i="133"/>
  <c r="Z294" i="133"/>
  <c r="AA294" i="133"/>
  <c r="AB294" i="133"/>
  <c r="O295" i="133"/>
  <c r="R295" i="133"/>
  <c r="T295" i="133"/>
  <c r="V295" i="133"/>
  <c r="X295" i="133"/>
  <c r="Z295" i="133"/>
  <c r="AA295" i="133"/>
  <c r="AB295" i="133"/>
  <c r="O296" i="133"/>
  <c r="R296" i="133"/>
  <c r="T296" i="133"/>
  <c r="V296" i="133"/>
  <c r="X296" i="133"/>
  <c r="Z296" i="133"/>
  <c r="AA296" i="133"/>
  <c r="AB296" i="133"/>
  <c r="O297" i="133"/>
  <c r="R297" i="133"/>
  <c r="T297" i="133"/>
  <c r="V297" i="133"/>
  <c r="X297" i="133"/>
  <c r="Z297" i="133"/>
  <c r="AA297" i="133"/>
  <c r="AB297" i="133"/>
  <c r="O298" i="133"/>
  <c r="R298" i="133"/>
  <c r="T298" i="133"/>
  <c r="V298" i="133"/>
  <c r="X298" i="133"/>
  <c r="Z298" i="133"/>
  <c r="AA298" i="133"/>
  <c r="AB298" i="133"/>
  <c r="O299" i="133"/>
  <c r="R299" i="133"/>
  <c r="T299" i="133"/>
  <c r="V299" i="133"/>
  <c r="X299" i="133"/>
  <c r="Z299" i="133"/>
  <c r="AA299" i="133"/>
  <c r="AB299" i="133"/>
  <c r="O300" i="133"/>
  <c r="R300" i="133"/>
  <c r="T300" i="133"/>
  <c r="V300" i="133"/>
  <c r="X300" i="133"/>
  <c r="Z300" i="133"/>
  <c r="AA300" i="133"/>
  <c r="AB300" i="133"/>
  <c r="O301" i="133"/>
  <c r="R301" i="133"/>
  <c r="T301" i="133"/>
  <c r="V301" i="133"/>
  <c r="X301" i="133"/>
  <c r="Z301" i="133"/>
  <c r="AA301" i="133"/>
  <c r="AB301" i="133"/>
  <c r="O302" i="133"/>
  <c r="R302" i="133"/>
  <c r="T302" i="133"/>
  <c r="V302" i="133"/>
  <c r="X302" i="133"/>
  <c r="Z302" i="133"/>
  <c r="AA302" i="133"/>
  <c r="AB302" i="133"/>
  <c r="O303" i="133"/>
  <c r="R303" i="133"/>
  <c r="T303" i="133"/>
  <c r="V303" i="133"/>
  <c r="X303" i="133"/>
  <c r="Z303" i="133"/>
  <c r="AA303" i="133"/>
  <c r="AB303" i="133"/>
  <c r="O304" i="133"/>
  <c r="R304" i="133"/>
  <c r="T304" i="133"/>
  <c r="V304" i="133"/>
  <c r="X304" i="133"/>
  <c r="Z304" i="133"/>
  <c r="AA304" i="133"/>
  <c r="AB304" i="133"/>
  <c r="O305" i="133"/>
  <c r="R305" i="133"/>
  <c r="T305" i="133"/>
  <c r="V305" i="133"/>
  <c r="X305" i="133"/>
  <c r="Z305" i="133"/>
  <c r="AA305" i="133"/>
  <c r="AB305" i="133"/>
  <c r="O306" i="133"/>
  <c r="R306" i="133"/>
  <c r="T306" i="133"/>
  <c r="V306" i="133"/>
  <c r="X306" i="133"/>
  <c r="Z306" i="133"/>
  <c r="AA306" i="133"/>
  <c r="AB306" i="133"/>
  <c r="R307" i="133"/>
  <c r="T307" i="133"/>
  <c r="V307" i="133"/>
  <c r="X307" i="133"/>
  <c r="Z307" i="133"/>
  <c r="AA307" i="133"/>
  <c r="AB307" i="133"/>
  <c r="O308" i="133"/>
  <c r="R308" i="133"/>
  <c r="T308" i="133"/>
  <c r="V308" i="133"/>
  <c r="X308" i="133"/>
  <c r="Z308" i="133"/>
  <c r="AA308" i="133"/>
  <c r="AB308" i="133"/>
  <c r="O309" i="133"/>
  <c r="R309" i="133"/>
  <c r="T309" i="133"/>
  <c r="V309" i="133"/>
  <c r="X309" i="133"/>
  <c r="Z309" i="133"/>
  <c r="AA309" i="133"/>
  <c r="AB309" i="133"/>
  <c r="O310" i="133"/>
  <c r="R310" i="133"/>
  <c r="T310" i="133"/>
  <c r="V310" i="133"/>
  <c r="X310" i="133"/>
  <c r="Z310" i="133"/>
  <c r="AA310" i="133"/>
  <c r="AB310" i="133"/>
  <c r="O311" i="133"/>
  <c r="R311" i="133"/>
  <c r="T311" i="133"/>
  <c r="V311" i="133"/>
  <c r="X311" i="133"/>
  <c r="Z311" i="133"/>
  <c r="AA311" i="133"/>
  <c r="AB311" i="133"/>
  <c r="O312" i="133"/>
  <c r="R312" i="133"/>
  <c r="T312" i="133"/>
  <c r="V312" i="133"/>
  <c r="X312" i="133"/>
  <c r="Z312" i="133"/>
  <c r="AA312" i="133"/>
  <c r="AB312" i="133"/>
  <c r="O313" i="133"/>
  <c r="R313" i="133"/>
  <c r="T313" i="133"/>
  <c r="V313" i="133"/>
  <c r="X313" i="133"/>
  <c r="Z313" i="133"/>
  <c r="AA313" i="133"/>
  <c r="AB313" i="133"/>
  <c r="R314" i="133"/>
  <c r="T314" i="133"/>
  <c r="V314" i="133"/>
  <c r="X314" i="133"/>
  <c r="Z314" i="133"/>
  <c r="AA314" i="133"/>
  <c r="AB314" i="133"/>
  <c r="O315" i="133"/>
  <c r="R315" i="133"/>
  <c r="T315" i="133"/>
  <c r="V315" i="133"/>
  <c r="X315" i="133"/>
  <c r="Z315" i="133"/>
  <c r="AA315" i="133"/>
  <c r="AB315" i="133"/>
  <c r="R316" i="133"/>
  <c r="T316" i="133"/>
  <c r="V316" i="133"/>
  <c r="X316" i="133"/>
  <c r="Z316" i="133"/>
  <c r="AA316" i="133"/>
  <c r="AB316" i="133"/>
  <c r="O317" i="133"/>
  <c r="R317" i="133"/>
  <c r="T317" i="133"/>
  <c r="V317" i="133"/>
  <c r="X317" i="133"/>
  <c r="Z317" i="133"/>
  <c r="AA317" i="133"/>
  <c r="AB317" i="133"/>
  <c r="O318" i="133"/>
  <c r="R318" i="133"/>
  <c r="T318" i="133"/>
  <c r="V318" i="133"/>
  <c r="X318" i="133"/>
  <c r="Z318" i="133"/>
  <c r="AA318" i="133"/>
  <c r="AB318" i="133"/>
  <c r="O319" i="133"/>
  <c r="R319" i="133"/>
  <c r="T319" i="133"/>
  <c r="V319" i="133"/>
  <c r="X319" i="133"/>
  <c r="Z319" i="133"/>
  <c r="AA319" i="133"/>
  <c r="AB319" i="133"/>
  <c r="R320" i="133"/>
  <c r="T320" i="133"/>
  <c r="V320" i="133"/>
  <c r="X320" i="133"/>
  <c r="Z320" i="133"/>
  <c r="AA320" i="133"/>
  <c r="AB320" i="133"/>
  <c r="O321" i="133"/>
  <c r="R321" i="133"/>
  <c r="T321" i="133"/>
  <c r="V321" i="133"/>
  <c r="X321" i="133"/>
  <c r="Z321" i="133"/>
  <c r="AA321" i="133"/>
  <c r="AB321" i="133"/>
  <c r="R322" i="133"/>
  <c r="T322" i="133"/>
  <c r="V322" i="133"/>
  <c r="X322" i="133"/>
  <c r="Z322" i="133"/>
  <c r="AA322" i="133"/>
  <c r="AB322" i="133"/>
  <c r="R323" i="133"/>
  <c r="T323" i="133"/>
  <c r="V323" i="133"/>
  <c r="X323" i="133"/>
  <c r="Z323" i="133"/>
  <c r="AA323" i="133"/>
  <c r="AB323" i="133"/>
  <c r="R324" i="133"/>
  <c r="T324" i="133"/>
  <c r="V324" i="133"/>
  <c r="X324" i="133"/>
  <c r="Z324" i="133"/>
  <c r="AA324" i="133"/>
  <c r="AB324" i="133"/>
  <c r="O325" i="133"/>
  <c r="R325" i="133"/>
  <c r="T325" i="133"/>
  <c r="V325" i="133"/>
  <c r="X325" i="133"/>
  <c r="Z325" i="133"/>
  <c r="AA325" i="133"/>
  <c r="AB325" i="133"/>
  <c r="R326" i="133"/>
  <c r="T326" i="133"/>
  <c r="V326" i="133"/>
  <c r="X326" i="133"/>
  <c r="Z326" i="133"/>
  <c r="AA326" i="133"/>
  <c r="AB326" i="133"/>
  <c r="O327" i="133"/>
  <c r="R327" i="133"/>
  <c r="T327" i="133"/>
  <c r="V327" i="133"/>
  <c r="X327" i="133"/>
  <c r="Z327" i="133"/>
  <c r="AA327" i="133"/>
  <c r="AB327" i="133"/>
  <c r="O328" i="133"/>
  <c r="R328" i="133"/>
  <c r="T328" i="133"/>
  <c r="V328" i="133"/>
  <c r="X328" i="133"/>
  <c r="Z328" i="133"/>
  <c r="AA328" i="133"/>
  <c r="AB328" i="133"/>
  <c r="R329" i="133"/>
  <c r="T329" i="133"/>
  <c r="V329" i="133"/>
  <c r="X329" i="133"/>
  <c r="Z329" i="133"/>
  <c r="AA329" i="133"/>
  <c r="AB329" i="133"/>
  <c r="R330" i="133"/>
  <c r="T330" i="133"/>
  <c r="V330" i="133"/>
  <c r="X330" i="133"/>
  <c r="Z330" i="133"/>
  <c r="AA330" i="133"/>
  <c r="AB330" i="133"/>
  <c r="R331" i="133"/>
  <c r="T331" i="133"/>
  <c r="V331" i="133"/>
  <c r="X331" i="133"/>
  <c r="Z331" i="133"/>
  <c r="AA331" i="133"/>
  <c r="AB331" i="133"/>
  <c r="O332" i="133"/>
  <c r="R332" i="133"/>
  <c r="T332" i="133"/>
  <c r="V332" i="133"/>
  <c r="X332" i="133"/>
  <c r="Z332" i="133"/>
  <c r="AA332" i="133"/>
  <c r="AB332" i="133"/>
  <c r="O333" i="133"/>
  <c r="R333" i="133"/>
  <c r="T333" i="133"/>
  <c r="V333" i="133"/>
  <c r="X333" i="133"/>
  <c r="Z333" i="133"/>
  <c r="AA333" i="133"/>
  <c r="AB333" i="133"/>
  <c r="R334" i="133"/>
  <c r="T334" i="133"/>
  <c r="V334" i="133"/>
  <c r="X334" i="133"/>
  <c r="Z334" i="133"/>
  <c r="AA334" i="133"/>
  <c r="AB334" i="133"/>
  <c r="R335" i="133"/>
  <c r="T335" i="133"/>
  <c r="V335" i="133"/>
  <c r="X335" i="133"/>
  <c r="Z335" i="133"/>
  <c r="AA335" i="133"/>
  <c r="AB335" i="133"/>
  <c r="R336" i="133"/>
  <c r="T336" i="133"/>
  <c r="V336" i="133"/>
  <c r="X336" i="133"/>
  <c r="Z336" i="133"/>
  <c r="AA336" i="133"/>
  <c r="AB336" i="133"/>
  <c r="R337" i="133"/>
  <c r="T337" i="133"/>
  <c r="V337" i="133"/>
  <c r="X337" i="133"/>
  <c r="Z337" i="133"/>
  <c r="AA337" i="133"/>
  <c r="AB337" i="133"/>
  <c r="O338" i="133"/>
  <c r="R338" i="133"/>
  <c r="T338" i="133"/>
  <c r="V338" i="133"/>
  <c r="X338" i="133"/>
  <c r="Z338" i="133"/>
  <c r="AA338" i="133"/>
  <c r="AB338" i="133"/>
  <c r="R339" i="133"/>
  <c r="T339" i="133"/>
  <c r="V339" i="133"/>
  <c r="X339" i="133"/>
  <c r="Z339" i="133"/>
  <c r="AA339" i="133"/>
  <c r="AB339" i="133"/>
  <c r="O340" i="133"/>
  <c r="R340" i="133"/>
  <c r="T340" i="133"/>
  <c r="V340" i="133"/>
  <c r="X340" i="133"/>
  <c r="Z340" i="133"/>
  <c r="AA340" i="133"/>
  <c r="AB340" i="133"/>
  <c r="O341" i="133"/>
  <c r="R341" i="133"/>
  <c r="T341" i="133"/>
  <c r="V341" i="133"/>
  <c r="X341" i="133"/>
  <c r="Z341" i="133"/>
  <c r="AA341" i="133"/>
  <c r="AB341" i="133"/>
  <c r="O342" i="133"/>
  <c r="R342" i="133"/>
  <c r="T342" i="133"/>
  <c r="V342" i="133"/>
  <c r="X342" i="133"/>
  <c r="Z342" i="133"/>
  <c r="AA342" i="133"/>
  <c r="AB342" i="133"/>
  <c r="O343" i="133"/>
  <c r="R343" i="133"/>
  <c r="T343" i="133"/>
  <c r="V343" i="133"/>
  <c r="X343" i="133"/>
  <c r="Z343" i="133"/>
  <c r="AA343" i="133"/>
  <c r="AB343" i="133"/>
  <c r="O344" i="133"/>
  <c r="R344" i="133"/>
  <c r="T344" i="133"/>
  <c r="V344" i="133"/>
  <c r="X344" i="133"/>
  <c r="Z344" i="133"/>
  <c r="AA344" i="133"/>
  <c r="AB344" i="133"/>
  <c r="O345" i="133"/>
  <c r="R345" i="133"/>
  <c r="T345" i="133"/>
  <c r="V345" i="133"/>
  <c r="X345" i="133"/>
  <c r="Z345" i="133"/>
  <c r="AA345" i="133"/>
  <c r="AB345" i="133"/>
  <c r="R346" i="133"/>
  <c r="T346" i="133"/>
  <c r="V346" i="133"/>
  <c r="X346" i="133"/>
  <c r="Z346" i="133"/>
  <c r="AA346" i="133"/>
  <c r="AB346" i="133"/>
  <c r="R347" i="133"/>
  <c r="T347" i="133"/>
  <c r="V347" i="133"/>
  <c r="X347" i="133"/>
  <c r="Z347" i="133"/>
  <c r="AA347" i="133"/>
  <c r="AB347" i="133"/>
  <c r="R348" i="133"/>
  <c r="T348" i="133"/>
  <c r="V348" i="133"/>
  <c r="X348" i="133"/>
  <c r="Z348" i="133"/>
  <c r="AA348" i="133"/>
  <c r="AB348" i="133"/>
  <c r="O349" i="133"/>
  <c r="R349" i="133"/>
  <c r="T349" i="133"/>
  <c r="V349" i="133"/>
  <c r="X349" i="133"/>
  <c r="Z349" i="133"/>
  <c r="AA349" i="133"/>
  <c r="AB349" i="133"/>
  <c r="R350" i="133"/>
  <c r="T350" i="133"/>
  <c r="V350" i="133"/>
  <c r="X350" i="133"/>
  <c r="Z350" i="133"/>
  <c r="AA350" i="133"/>
  <c r="AB350" i="133"/>
  <c r="R351" i="133"/>
  <c r="T351" i="133"/>
  <c r="V351" i="133"/>
  <c r="X351" i="133"/>
  <c r="Z351" i="133"/>
  <c r="AA351" i="133"/>
  <c r="AB351" i="133"/>
  <c r="O352" i="133"/>
  <c r="R352" i="133"/>
  <c r="T352" i="133"/>
  <c r="V352" i="133"/>
  <c r="X352" i="133"/>
  <c r="Z352" i="133"/>
  <c r="AA352" i="133"/>
  <c r="AB352" i="133"/>
  <c r="O353" i="133"/>
  <c r="R353" i="133"/>
  <c r="T353" i="133"/>
  <c r="V353" i="133"/>
  <c r="X353" i="133"/>
  <c r="Z353" i="133"/>
  <c r="AA353" i="133"/>
  <c r="AB353" i="133"/>
  <c r="O354" i="133"/>
  <c r="R354" i="133"/>
  <c r="T354" i="133"/>
  <c r="V354" i="133"/>
  <c r="X354" i="133"/>
  <c r="Z354" i="133"/>
  <c r="AA354" i="133"/>
  <c r="AB354" i="133"/>
  <c r="S209" i="133" l="1"/>
  <c r="U209" i="133" s="1"/>
  <c r="W209" i="133" s="1"/>
  <c r="Y209" i="133" s="1"/>
  <c r="R211" i="133"/>
  <c r="T209" i="133"/>
  <c r="V209" i="133" l="1"/>
  <c r="T211" i="133"/>
  <c r="V211" i="133" l="1"/>
  <c r="X209" i="133"/>
  <c r="X211" i="133" l="1"/>
  <c r="Z209" i="133"/>
  <c r="Z211" i="133" l="1"/>
  <c r="AB209" i="133"/>
  <c r="AB211" i="133" s="1"/>
</calcChain>
</file>

<file path=xl/comments1.xml><?xml version="1.0" encoding="utf-8"?>
<comments xmlns="http://schemas.openxmlformats.org/spreadsheetml/2006/main">
  <authors>
    <author>tbnlieu</author>
    <author>LIEU Thi Bich Ngoc</author>
    <author>HCM919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tbnlieu:</t>
        </r>
        <r>
          <rPr>
            <sz val="9"/>
            <color indexed="81"/>
            <rFont val="Tahoma"/>
            <family val="2"/>
          </rPr>
          <t xml:space="preserve">
Thay đúng tên Siêu thị mình phụ trách</t>
        </r>
      </text>
    </comment>
    <comment ref="AC4" authorId="1" shapeId="0">
      <text>
        <r>
          <rPr>
            <b/>
            <sz val="9"/>
            <color indexed="81"/>
            <rFont val="Tahoma"/>
            <family val="2"/>
          </rPr>
          <t>LIEU Thi Bich Ngoc: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8" authorId="2" shapeId="0">
      <text>
        <r>
          <rPr>
            <b/>
            <sz val="9"/>
            <color indexed="81"/>
            <rFont val="Tahoma"/>
            <family val="2"/>
          </rPr>
          <t>HCM919:</t>
        </r>
        <r>
          <rPr>
            <sz val="9"/>
            <color indexed="81"/>
            <rFont val="Tahoma"/>
            <family val="2"/>
          </rPr>
          <t xml:space="preserve">
thay thế 17P3B</t>
        </r>
      </text>
    </comment>
  </commentList>
</comments>
</file>

<file path=xl/comments2.xml><?xml version="1.0" encoding="utf-8"?>
<comments xmlns="http://schemas.openxmlformats.org/spreadsheetml/2006/main">
  <authors>
    <author>NGUYEN Thi Kieu Oanh</author>
    <author>NGUYEN Thi Thu Huong 2</author>
  </authors>
  <commentList>
    <comment ref="A53" authorId="0" shapeId="0">
      <text>
        <r>
          <rPr>
            <b/>
            <sz val="9"/>
            <color indexed="81"/>
            <rFont val="Tahoma"/>
            <family val="2"/>
          </rPr>
          <t>NGUYEN Thi Kieu Oanh:</t>
        </r>
        <r>
          <rPr>
            <sz val="9"/>
            <color indexed="81"/>
            <rFont val="Tahoma"/>
            <family val="2"/>
          </rPr>
          <t xml:space="preserve">
840 là hàng thuộc combo, không bán được</t>
        </r>
      </text>
    </comment>
    <comment ref="A294" authorId="1" shapeId="0">
      <text>
        <r>
          <rPr>
            <b/>
            <sz val="9"/>
            <color indexed="81"/>
            <rFont val="Tahoma"/>
            <family val="2"/>
          </rPr>
          <t>B2B (Samsung)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HCM12</author>
    <author>HCM919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HCM12: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GHI SỐ TiỀN BÁN THỰC TẾ TẠI SIÊU THỊ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HCM12: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4"/>
            <rFont val="Tahoma"/>
            <family val="2"/>
          </rPr>
          <t>LÀ GIÁ SẢN PHẨM BÁN TẠI SIÊU THỊ</t>
        </r>
      </text>
    </comment>
    <comment ref="I180" authorId="1" shapeId="0">
      <text>
        <r>
          <rPr>
            <b/>
            <sz val="9"/>
            <color indexed="81"/>
            <rFont val="Tahoma"/>
            <family val="2"/>
          </rPr>
          <t>HCM919:</t>
        </r>
        <r>
          <rPr>
            <sz val="9"/>
            <color indexed="81"/>
            <rFont val="Tahoma"/>
            <family val="2"/>
          </rPr>
          <t xml:space="preserve">
thay thế 17P3B</t>
        </r>
      </text>
    </comment>
  </commentList>
</comments>
</file>

<file path=xl/sharedStrings.xml><?xml version="1.0" encoding="utf-8"?>
<sst xmlns="http://schemas.openxmlformats.org/spreadsheetml/2006/main" count="9122" uniqueCount="1512">
  <si>
    <t>Merry</t>
  </si>
  <si>
    <t xml:space="preserve">Merry  </t>
  </si>
  <si>
    <t>Healthy</t>
  </si>
  <si>
    <t>Crystal</t>
  </si>
  <si>
    <t>Bobo</t>
  </si>
  <si>
    <t>H06011-2(20cm)</t>
  </si>
  <si>
    <t>H06011-5(22cm)</t>
  </si>
  <si>
    <t>H06011-3(24cm)</t>
  </si>
  <si>
    <t>H06011-6(28cm)</t>
  </si>
  <si>
    <t>HT08008-2(20cm)</t>
  </si>
  <si>
    <t>HT08008-3(22cm)</t>
  </si>
  <si>
    <t>HT08008-5(24cm)</t>
  </si>
  <si>
    <t>HT08008-4(26cm)</t>
  </si>
  <si>
    <t>HT08008-8(28cm)</t>
  </si>
  <si>
    <t>HT08008-6(30cm)</t>
  </si>
  <si>
    <t>PS14</t>
  </si>
  <si>
    <t>PJ12C2</t>
  </si>
  <si>
    <t>YG18</t>
  </si>
  <si>
    <t>YG22</t>
  </si>
  <si>
    <t>YG24</t>
  </si>
  <si>
    <t>YGH22</t>
  </si>
  <si>
    <t>YL183F5</t>
  </si>
  <si>
    <t>YL223F10</t>
  </si>
  <si>
    <t>CW</t>
  </si>
  <si>
    <t>H06011-4(18cm)</t>
  </si>
  <si>
    <t xml:space="preserve">Crystal </t>
  </si>
  <si>
    <t>H07005-2(18cm)</t>
  </si>
  <si>
    <t>H07005-4(22cm)</t>
  </si>
  <si>
    <t>H07005-5(24cm)</t>
  </si>
  <si>
    <t>HT08008-1(18cm)</t>
  </si>
  <si>
    <t>Merry IH</t>
  </si>
  <si>
    <t>Everyway</t>
  </si>
  <si>
    <t>MINI</t>
  </si>
  <si>
    <t>Thermo-spot</t>
  </si>
  <si>
    <t>comfort</t>
  </si>
  <si>
    <t>Spear</t>
  </si>
  <si>
    <t>H07011-1(32cm)</t>
  </si>
  <si>
    <t>H07011-2(34cm)</t>
  </si>
  <si>
    <t>H07011-3(36cm)</t>
  </si>
  <si>
    <t>H07011-4(40cm)</t>
  </si>
  <si>
    <t>SDA</t>
  </si>
  <si>
    <t>CFXB50YB8VN-70</t>
  </si>
  <si>
    <t>CFXB16YB3VN-36</t>
  </si>
  <si>
    <t>CYSB50YC10VN-100</t>
  </si>
  <si>
    <t>CYYB50YA10VN-100</t>
  </si>
  <si>
    <t>SDHC16VN-210</t>
  </si>
  <si>
    <t>SDHC17VN-210</t>
  </si>
  <si>
    <t>ZQ40VN-250</t>
  </si>
  <si>
    <t>ZS10VN-230</t>
  </si>
  <si>
    <t>DJ16B-W41GVN</t>
  </si>
  <si>
    <t>SWF17P3BVN-180</t>
  </si>
  <si>
    <t>F06A22</t>
  </si>
  <si>
    <t>F06A24</t>
  </si>
  <si>
    <t>F06A26</t>
  </si>
  <si>
    <t>F06A28</t>
  </si>
  <si>
    <t>F06A30</t>
  </si>
  <si>
    <t>F09A16</t>
  </si>
  <si>
    <t>F09A20</t>
  </si>
  <si>
    <t>F09A24</t>
  </si>
  <si>
    <t>F09A28</t>
  </si>
  <si>
    <t>F12A22</t>
  </si>
  <si>
    <t>F12A24</t>
  </si>
  <si>
    <t>F12A26</t>
  </si>
  <si>
    <t>S06A20-IH</t>
  </si>
  <si>
    <t>S06A24-IH</t>
  </si>
  <si>
    <t>F06A20</t>
  </si>
  <si>
    <t>Efect</t>
  </si>
  <si>
    <t>DJ13B-W62VN</t>
  </si>
  <si>
    <t>DJ13B-W61VN</t>
  </si>
  <si>
    <t>S08A20-IH</t>
  </si>
  <si>
    <t>S08A16</t>
  </si>
  <si>
    <t>S08A20</t>
  </si>
  <si>
    <t>S08A24</t>
  </si>
  <si>
    <t>S08A26</t>
  </si>
  <si>
    <t>S08A24-IH</t>
  </si>
  <si>
    <t>S08A26-IH</t>
  </si>
  <si>
    <t>FRUITS</t>
  </si>
  <si>
    <t>FRUITS-IH</t>
  </si>
  <si>
    <t>F10A22</t>
  </si>
  <si>
    <t>F10A24</t>
  </si>
  <si>
    <t>F10A26</t>
  </si>
  <si>
    <t>F10A28</t>
  </si>
  <si>
    <t>EVER</t>
  </si>
  <si>
    <t>JG21VN-300</t>
  </si>
  <si>
    <t>ZS40VN-250</t>
  </si>
  <si>
    <t>SRC50YB15VN</t>
  </si>
  <si>
    <t>SMMY80VN</t>
  </si>
  <si>
    <t>HAD6S1
(16/20/24cm)</t>
  </si>
  <si>
    <t>TW08001
(18/20/22cm)</t>
  </si>
  <si>
    <t>TW07003
(16/20/24cm)</t>
  </si>
  <si>
    <t>S08A-T1
(16+20+24+26IH)</t>
  </si>
  <si>
    <t>S08A-T2
(16+20IH+24+26IH)</t>
  </si>
  <si>
    <t>H06011-T2</t>
  </si>
  <si>
    <t>YS22ED</t>
  </si>
  <si>
    <t>YS223B</t>
  </si>
  <si>
    <t>F13A24</t>
  </si>
  <si>
    <t>SRC50FC19VN</t>
  </si>
  <si>
    <t>S08A-T3</t>
  </si>
  <si>
    <t>S08A-T4</t>
  </si>
  <si>
    <t>S08A-T5</t>
  </si>
  <si>
    <t>THÀNH TIỀN
BÁN THỰC TẾ</t>
  </si>
  <si>
    <t>S09A18</t>
  </si>
  <si>
    <t>S09A20</t>
  </si>
  <si>
    <t>S09A22</t>
  </si>
  <si>
    <t>S09A24</t>
  </si>
  <si>
    <t>S09A26</t>
  </si>
  <si>
    <t>S09A28</t>
  </si>
  <si>
    <t>S09A-T1</t>
  </si>
  <si>
    <t>F15A24</t>
  </si>
  <si>
    <t>F15A26</t>
  </si>
  <si>
    <t>F15A28</t>
  </si>
  <si>
    <t>S10A24</t>
  </si>
  <si>
    <t>SWF12P1AVN-150</t>
  </si>
  <si>
    <t>F15A22</t>
  </si>
  <si>
    <t>F17A22-IH</t>
  </si>
  <si>
    <t>F17A24-IH</t>
  </si>
  <si>
    <t>F17A26-IH</t>
  </si>
  <si>
    <t>F18A24-IH</t>
  </si>
  <si>
    <t>F18A26-IH</t>
  </si>
  <si>
    <t>S10A-T1</t>
  </si>
  <si>
    <t>S10A16</t>
  </si>
  <si>
    <t>S10A20</t>
  </si>
  <si>
    <t>SRC741</t>
  </si>
  <si>
    <t>SRC751</t>
  </si>
  <si>
    <t>SPC50YA310VN</t>
  </si>
  <si>
    <t>Tổng</t>
  </si>
  <si>
    <t>S17A-T1</t>
  </si>
  <si>
    <t>F13A28</t>
  </si>
  <si>
    <t>S09A281</t>
  </si>
  <si>
    <t>Ingenio</t>
  </si>
  <si>
    <t>S10A26IH</t>
  </si>
  <si>
    <t>W06A32</t>
  </si>
  <si>
    <t>W06A36</t>
  </si>
  <si>
    <t>Tasty</t>
  </si>
  <si>
    <t>F21A26IH</t>
  </si>
  <si>
    <t>SB931G</t>
  </si>
  <si>
    <t>SB30P</t>
  </si>
  <si>
    <t>SJ11S</t>
  </si>
  <si>
    <t>ĐƠN GIÁ</t>
  </si>
  <si>
    <t>BẾP</t>
  </si>
  <si>
    <t>ĐiỆN</t>
  </si>
  <si>
    <t>SEK-088</t>
  </si>
  <si>
    <t>SRC 922</t>
  </si>
  <si>
    <t>CFXB50FC33VN-75</t>
  </si>
  <si>
    <t>CFXB50YB13VN-75</t>
  </si>
  <si>
    <t>CYSB50YC10DVN-100</t>
  </si>
  <si>
    <t>CYSB50YC520QVN-100</t>
  </si>
  <si>
    <t>15S06A</t>
  </si>
  <si>
    <t>17S18A</t>
  </si>
  <si>
    <t>SEK-083B</t>
  </si>
  <si>
    <t>SJ41S</t>
  </si>
  <si>
    <t>SB40P</t>
  </si>
  <si>
    <t>S28S-T1</t>
  </si>
  <si>
    <t>S30A18</t>
  </si>
  <si>
    <t>S30A20</t>
  </si>
  <si>
    <t>S30A22</t>
  </si>
  <si>
    <t>S30A24</t>
  </si>
  <si>
    <t>CFXB50FC29VN-75</t>
  </si>
  <si>
    <t>SRC 923</t>
  </si>
  <si>
    <t>SDHCB45VN-210</t>
  </si>
  <si>
    <t>SDHCB37VN-210</t>
  </si>
  <si>
    <t>SDHCB48VN-210</t>
  </si>
  <si>
    <t>inox</t>
  </si>
  <si>
    <t>S30A-T1</t>
  </si>
  <si>
    <t>CFXB40FC33VN-75</t>
  </si>
  <si>
    <t>CFXB50HC12VN-120</t>
  </si>
  <si>
    <t>17S18B</t>
  </si>
  <si>
    <t>18S09A</t>
  </si>
  <si>
    <t>17S20A</t>
  </si>
  <si>
    <t>SDHCB36VN-210</t>
  </si>
  <si>
    <t>F23A24</t>
  </si>
  <si>
    <t>F23A26</t>
  </si>
  <si>
    <t>F23A28</t>
  </si>
  <si>
    <t>F23A24-IH</t>
  </si>
  <si>
    <t>F23A26-IH</t>
  </si>
  <si>
    <t>F23A28-IH</t>
  </si>
  <si>
    <t>NĂM</t>
  </si>
  <si>
    <t>THÁNG</t>
  </si>
  <si>
    <t>NGÀY</t>
  </si>
  <si>
    <t>TÊN SIÊU THỊ</t>
  </si>
  <si>
    <t>TÊN PG</t>
  </si>
  <si>
    <t>PHÂN LOẠI</t>
  </si>
  <si>
    <t>LOẠI SẢN PHẨM</t>
  </si>
  <si>
    <t>TÊN SẢN PHẨM</t>
  </si>
  <si>
    <t>MÃ SẢN PHẨM</t>
  </si>
  <si>
    <t>ƯU ĐIỂM KỸ THUẬT</t>
  </si>
  <si>
    <t>THÀNH TIỀN</t>
  </si>
  <si>
    <t>TỒN ĐẦU</t>
  </si>
  <si>
    <t>NHẬP</t>
  </si>
  <si>
    <t>BÁN</t>
  </si>
  <si>
    <t>TỒN CUỐI</t>
  </si>
  <si>
    <t>NỒI CANH LẼ</t>
  </si>
  <si>
    <t>NỒI BỘ</t>
  </si>
  <si>
    <t>NỒI ÁP SUẤT GA</t>
  </si>
  <si>
    <t>CHẢO CHIÊN</t>
  </si>
  <si>
    <t>CHẢO CHIÊN NƯỚNG</t>
  </si>
  <si>
    <t>CHẢO XÀO</t>
  </si>
  <si>
    <t>NỒI CƠM ĐIỆN</t>
  </si>
  <si>
    <t>NỒI ÁP SUẤT ĐIỆN</t>
  </si>
  <si>
    <t>BẾP ĐIỆN TỪ</t>
  </si>
  <si>
    <t>BÌNH ĐUN</t>
  </si>
  <si>
    <t>MÁY XAY- ÉP</t>
  </si>
  <si>
    <t>MÁY ĐẬU NÀNH</t>
  </si>
  <si>
    <t xml:space="preserve">Nồi sữa </t>
  </si>
  <si>
    <t>2 Tay cầm</t>
  </si>
  <si>
    <t>1 Tay cầm</t>
  </si>
  <si>
    <t>Oxi hóa mềm</t>
  </si>
  <si>
    <t>Không dính</t>
  </si>
  <si>
    <t>Inox</t>
  </si>
  <si>
    <t>2 lớp</t>
  </si>
  <si>
    <t>Nồi cơ</t>
  </si>
  <si>
    <t>Nồi tròn</t>
  </si>
  <si>
    <t>Đa chức năng</t>
  </si>
  <si>
    <t>Máy xay</t>
  </si>
  <si>
    <t>Nồi điện tử</t>
  </si>
  <si>
    <t>Nồi vuông</t>
  </si>
  <si>
    <t>Máy ép</t>
  </si>
  <si>
    <t>Oxi hóa cứng</t>
  </si>
  <si>
    <t>Oxi hóa cứng không dính</t>
  </si>
  <si>
    <t>Không dính bếp từ</t>
  </si>
  <si>
    <t>Chấm đỏ</t>
  </si>
  <si>
    <t>Sắc Màu</t>
  </si>
  <si>
    <t>Cảm ứng</t>
  </si>
  <si>
    <t>Oxi hóa mềm bếp từ</t>
  </si>
  <si>
    <t>Tráng men</t>
  </si>
  <si>
    <t>Giả đúc vân đá</t>
  </si>
  <si>
    <t>Giả đúc vân đá-bếp từ</t>
  </si>
  <si>
    <t>Coop Bình Dương 1</t>
  </si>
  <si>
    <t>Nguyễn Văn Giỏi</t>
  </si>
  <si>
    <t>H18201-J24</t>
  </si>
  <si>
    <t>H18201-J26</t>
  </si>
  <si>
    <t>H18201-J28</t>
  </si>
  <si>
    <t>H18201-SJ28</t>
  </si>
  <si>
    <t>H18202-J24</t>
  </si>
  <si>
    <t>H18202-J26</t>
  </si>
  <si>
    <t>H18202-J28</t>
  </si>
  <si>
    <t>H18202-T18</t>
  </si>
  <si>
    <t>H18202-T20</t>
  </si>
  <si>
    <t>H18202-T24</t>
  </si>
  <si>
    <t>Ruby</t>
  </si>
  <si>
    <t>Nồi chống dính IH</t>
  </si>
  <si>
    <t>Lux</t>
  </si>
  <si>
    <t>Chảo chống dính IH</t>
  </si>
  <si>
    <t>Chảo chống dính sâu lồng IH</t>
  </si>
  <si>
    <t>H18203-J22</t>
  </si>
  <si>
    <t>H18203-J24</t>
  </si>
  <si>
    <t>H18203-J26</t>
  </si>
  <si>
    <t>H18203-SJ28</t>
  </si>
  <si>
    <t>Chảo chống dính  IH</t>
  </si>
  <si>
    <t>Chảo chống dính sâu lồng  IH</t>
  </si>
  <si>
    <t>H18203-T18</t>
  </si>
  <si>
    <t>H18203-T20</t>
  </si>
  <si>
    <t>H18203-T24</t>
  </si>
  <si>
    <t>Nồi chống dính  IH</t>
  </si>
  <si>
    <t>H18203-T18A</t>
  </si>
  <si>
    <t>H18203-T20A</t>
  </si>
  <si>
    <t>H18203-T24A</t>
  </si>
  <si>
    <t xml:space="preserve">Affinity-Green </t>
  </si>
  <si>
    <t>Affinity-Copper</t>
  </si>
  <si>
    <t>H18203-J22A</t>
  </si>
  <si>
    <t>H18203-J24A</t>
  </si>
  <si>
    <t>H18203-J26A</t>
  </si>
  <si>
    <t>H18203-SJ28A</t>
  </si>
  <si>
    <t>H18203-J22C</t>
  </si>
  <si>
    <t>H18203-J24C</t>
  </si>
  <si>
    <t>H18203-J26C</t>
  </si>
  <si>
    <t>H18203-SJ28C</t>
  </si>
  <si>
    <t>Affinity-Black</t>
  </si>
  <si>
    <t>H18203-T18C</t>
  </si>
  <si>
    <t>H18203-T20C</t>
  </si>
  <si>
    <t>H18203-T24C</t>
  </si>
  <si>
    <t>H18203-J22D</t>
  </si>
  <si>
    <t>H18203-J24D</t>
  </si>
  <si>
    <t>H18203-J26D</t>
  </si>
  <si>
    <t xml:space="preserve">Affinity-Glass Red </t>
  </si>
  <si>
    <t>H18204-J22</t>
  </si>
  <si>
    <t>H18204-J24</t>
  </si>
  <si>
    <t>H18204-J26</t>
  </si>
  <si>
    <t>Affinity-Glass Grey</t>
  </si>
  <si>
    <t>H18204-T18</t>
  </si>
  <si>
    <t>H18204-T20</t>
  </si>
  <si>
    <t>H18204-T24</t>
  </si>
  <si>
    <t>Affinity-
Grey</t>
  </si>
  <si>
    <t>CFXB20FC17A-35</t>
  </si>
  <si>
    <t>Quạt bàn</t>
  </si>
  <si>
    <t>B12001</t>
  </si>
  <si>
    <t>Thiên thanh 
Lá mạ</t>
  </si>
  <si>
    <t>B16001</t>
  </si>
  <si>
    <t>B16017</t>
  </si>
  <si>
    <t>Lá mạ
Xám</t>
  </si>
  <si>
    <t>Quạt lửng</t>
  </si>
  <si>
    <t>A16008</t>
  </si>
  <si>
    <t>Đen</t>
  </si>
  <si>
    <t>A16009</t>
  </si>
  <si>
    <t>Xám</t>
  </si>
  <si>
    <t>A16017</t>
  </si>
  <si>
    <t>A16018</t>
  </si>
  <si>
    <t>Xanh lá nhạt
Xanh lá đậm
Thiên thanh đậm
Thiên thanh nhạt
Trắng</t>
  </si>
  <si>
    <t>A16019</t>
  </si>
  <si>
    <t>Thiên Thanh
Xanh Lá</t>
  </si>
  <si>
    <t>Quạt đứng</t>
  </si>
  <si>
    <t>D16016</t>
  </si>
  <si>
    <t>D16018</t>
  </si>
  <si>
    <t>D16019</t>
  </si>
  <si>
    <t>D16020</t>
  </si>
  <si>
    <t>Trắng
Đen</t>
  </si>
  <si>
    <t>D18001</t>
  </si>
  <si>
    <t>D20002</t>
  </si>
  <si>
    <t>D24001</t>
  </si>
  <si>
    <t>Quạt treo</t>
  </si>
  <si>
    <t>L20002</t>
  </si>
  <si>
    <t>L18004</t>
  </si>
  <si>
    <t>L18002</t>
  </si>
  <si>
    <t>L16009</t>
  </si>
  <si>
    <t>L16017</t>
  </si>
  <si>
    <t>L16018</t>
  </si>
  <si>
    <t>Xanh lá nhạt
Xanh lá đậm
Thiên thanh đậm
Thiên thanh nhạt</t>
  </si>
  <si>
    <t>L16019</t>
  </si>
  <si>
    <t>L16020</t>
  </si>
  <si>
    <t>Quạt hộp</t>
  </si>
  <si>
    <t>F12001</t>
  </si>
  <si>
    <t>F16001</t>
  </si>
  <si>
    <t>Quạt sạc</t>
  </si>
  <si>
    <t>QS1001</t>
  </si>
  <si>
    <t>Trắng sữa</t>
  </si>
  <si>
    <t>Quạt sưởi</t>
  </si>
  <si>
    <t>HF1401</t>
  </si>
  <si>
    <t>Trắng</t>
  </si>
  <si>
    <t>Quạt trần đảo</t>
  </si>
  <si>
    <t>X16001</t>
  </si>
  <si>
    <t>Trắng sữa
Xám</t>
  </si>
  <si>
    <t>X16002</t>
  </si>
  <si>
    <t>A16001</t>
  </si>
  <si>
    <t>B12005</t>
  </si>
  <si>
    <t>D16008</t>
  </si>
  <si>
    <t>D16017</t>
  </si>
  <si>
    <t>Lá mạ</t>
  </si>
  <si>
    <t>D18002</t>
  </si>
  <si>
    <t>D16011</t>
  </si>
  <si>
    <t>Thiên thanh</t>
  </si>
  <si>
    <t>A16007</t>
  </si>
  <si>
    <t>D16010</t>
  </si>
  <si>
    <t>D16009</t>
  </si>
  <si>
    <t>FV9745E0</t>
  </si>
  <si>
    <t>FV5525E0</t>
  </si>
  <si>
    <t>FV4970E0</t>
  </si>
  <si>
    <t>FV3930E0</t>
  </si>
  <si>
    <t>FV3925L0</t>
  </si>
  <si>
    <t>FV3910E0</t>
  </si>
  <si>
    <t>FV1520L0</t>
  </si>
  <si>
    <t>FV1320E1</t>
  </si>
  <si>
    <t>FS2920L0</t>
  </si>
  <si>
    <t>FS2620L0</t>
  </si>
  <si>
    <t>Bàn ủi hơi nước</t>
  </si>
  <si>
    <t>Bàn ủi khô</t>
  </si>
  <si>
    <t>KI2608KR</t>
  </si>
  <si>
    <t>Bình đun</t>
  </si>
  <si>
    <t>KI140D11</t>
  </si>
  <si>
    <t>KO330842</t>
  </si>
  <si>
    <t>KI150D10</t>
  </si>
  <si>
    <t>BF2731MS</t>
  </si>
  <si>
    <t>KO150866</t>
  </si>
  <si>
    <t>Máy xay sinh tố</t>
  </si>
  <si>
    <t>BL233</t>
  </si>
  <si>
    <t>BL3091</t>
  </si>
  <si>
    <t>BL142</t>
  </si>
  <si>
    <t>BL30A165</t>
  </si>
  <si>
    <t>BL3171</t>
  </si>
  <si>
    <t>BL307165</t>
  </si>
  <si>
    <t>BL3058</t>
  </si>
  <si>
    <t>Máy xay cầm tay</t>
  </si>
  <si>
    <t>HB869AKR</t>
  </si>
  <si>
    <t>HB833</t>
  </si>
  <si>
    <t>HB1011A4</t>
  </si>
  <si>
    <t>ZC255B65</t>
  </si>
  <si>
    <t>ZE585H65</t>
  </si>
  <si>
    <t>Máy ép chậm</t>
  </si>
  <si>
    <t>ZE350B65</t>
  </si>
  <si>
    <t>ZN350H66</t>
  </si>
  <si>
    <t>Máy xay thực phẩm</t>
  </si>
  <si>
    <t>DPA130</t>
  </si>
  <si>
    <t>MQ716</t>
  </si>
  <si>
    <t>MB450B38</t>
  </si>
  <si>
    <t>Máy đánh trứng</t>
  </si>
  <si>
    <t>HT412</t>
  </si>
  <si>
    <t>Lò nướng</t>
  </si>
  <si>
    <t>OF464810</t>
  </si>
  <si>
    <t>OF504E</t>
  </si>
  <si>
    <t>OF4448</t>
  </si>
  <si>
    <t>Máy nướng bánh mì</t>
  </si>
  <si>
    <t>TT5500</t>
  </si>
  <si>
    <t>TT3561</t>
  </si>
  <si>
    <t>Máy Hot dog</t>
  </si>
  <si>
    <t>SM1551</t>
  </si>
  <si>
    <t>Nồi hấp</t>
  </si>
  <si>
    <t>VC1401</t>
  </si>
  <si>
    <t>VC3008</t>
  </si>
  <si>
    <t>Chảo chiên</t>
  </si>
  <si>
    <t>C6820275</t>
  </si>
  <si>
    <t>C6820472</t>
  </si>
  <si>
    <t>C6820672</t>
  </si>
  <si>
    <t>C6820772</t>
  </si>
  <si>
    <t>C6821972</t>
  </si>
  <si>
    <t>Chảo chiên sâu lòng</t>
  </si>
  <si>
    <t>Đỏ</t>
  </si>
  <si>
    <t>C6200272</t>
  </si>
  <si>
    <t>Xanh</t>
  </si>
  <si>
    <t>C6200472</t>
  </si>
  <si>
    <t>C6200572</t>
  </si>
  <si>
    <t>C6200672</t>
  </si>
  <si>
    <t>C6201972</t>
  </si>
  <si>
    <t>Nồi canh</t>
  </si>
  <si>
    <t>C6822472</t>
  </si>
  <si>
    <t>C6824672</t>
  </si>
  <si>
    <t>C6202272</t>
  </si>
  <si>
    <t>C6203272</t>
  </si>
  <si>
    <t>C6207172</t>
  </si>
  <si>
    <t>C6204672</t>
  </si>
  <si>
    <t>Fan</t>
  </si>
  <si>
    <t>VF3617O1</t>
  </si>
  <si>
    <t>VF362971</t>
  </si>
  <si>
    <t>VF364971</t>
  </si>
  <si>
    <t>VF365071</t>
  </si>
  <si>
    <t>VF363971</t>
  </si>
  <si>
    <t>T0305</t>
  </si>
  <si>
    <t>Siêu Thị A</t>
  </si>
  <si>
    <t>Nguyễn Thị B</t>
  </si>
  <si>
    <t>G103S414</t>
  </si>
  <si>
    <t>Đồng</t>
  </si>
  <si>
    <t>L24001</t>
  </si>
  <si>
    <t>Quạt hút</t>
  </si>
  <si>
    <t>H10001</t>
  </si>
  <si>
    <t>H08001</t>
  </si>
  <si>
    <t>BL317166</t>
  </si>
  <si>
    <t>HFK-26EVN-130</t>
  </si>
  <si>
    <t>H30FK802VN-136</t>
  </si>
  <si>
    <t>SW-1815VN-180</t>
  </si>
  <si>
    <t>SW-1513AVN-180</t>
  </si>
  <si>
    <t>FV1026L0</t>
  </si>
  <si>
    <t>FV3951E0</t>
  </si>
  <si>
    <t>FV3965E0</t>
  </si>
  <si>
    <t>FV4980E0</t>
  </si>
  <si>
    <t>BL142A42</t>
  </si>
  <si>
    <t>RK601165</t>
  </si>
  <si>
    <t>RK604165</t>
  </si>
  <si>
    <t>RK803565</t>
  </si>
  <si>
    <t>RK805565</t>
  </si>
  <si>
    <t>BL133AKR</t>
  </si>
  <si>
    <t>BL1B1D39</t>
  </si>
  <si>
    <t>BL305840</t>
  </si>
  <si>
    <t>BL2A0166</t>
  </si>
  <si>
    <t>S30A26</t>
  </si>
  <si>
    <t>S30A28</t>
  </si>
  <si>
    <t>SRC819VN</t>
  </si>
  <si>
    <t>C6420214</t>
  </si>
  <si>
    <t>C6420412</t>
  </si>
  <si>
    <t>C6420614</t>
  </si>
  <si>
    <t>H9100414</t>
  </si>
  <si>
    <t>H9100514</t>
  </si>
  <si>
    <t>H9100614</t>
  </si>
  <si>
    <t>21cm</t>
  </si>
  <si>
    <t>24cm</t>
  </si>
  <si>
    <t>28cm</t>
  </si>
  <si>
    <t>26cm</t>
  </si>
  <si>
    <t>30cm</t>
  </si>
  <si>
    <t>C6428414</t>
  </si>
  <si>
    <t>C6428614</t>
  </si>
  <si>
    <t>H9109014</t>
  </si>
  <si>
    <t>C6422314</t>
  </si>
  <si>
    <t>18cm</t>
  </si>
  <si>
    <t>C6427914</t>
  </si>
  <si>
    <t>22cm</t>
  </si>
  <si>
    <t>H9104314</t>
  </si>
  <si>
    <t>H9104414</t>
  </si>
  <si>
    <t>H9104614</t>
  </si>
  <si>
    <t>20cm</t>
  </si>
  <si>
    <t>16cm</t>
  </si>
  <si>
    <t>D16023</t>
  </si>
  <si>
    <t>Remote</t>
  </si>
  <si>
    <t>D16024</t>
  </si>
  <si>
    <t>Remote/Đuổi muỗi</t>
  </si>
  <si>
    <t>Xanh lá mạ
Xanh thiên thanh</t>
  </si>
  <si>
    <t>Xanh lá mạ
Xanh thiên thanh
Đen</t>
  </si>
  <si>
    <t>D16026</t>
  </si>
  <si>
    <t>D16022</t>
  </si>
  <si>
    <t>A16021</t>
  </si>
  <si>
    <t>A16020</t>
  </si>
  <si>
    <t>L16022</t>
  </si>
  <si>
    <t>L16023</t>
  </si>
  <si>
    <t>L16021</t>
  </si>
  <si>
    <t>SIZE</t>
  </si>
  <si>
    <t>HT08008-1</t>
  </si>
  <si>
    <t>HT08008-2</t>
  </si>
  <si>
    <t>HT08008-3</t>
  </si>
  <si>
    <t>HT08008-5</t>
  </si>
  <si>
    <t>HT08008-4</t>
  </si>
  <si>
    <t>HT08008-8</t>
  </si>
  <si>
    <t>HT08008-6</t>
  </si>
  <si>
    <t>ƯU ĐIỂM KỸ THUẬT/Màu sắc</t>
  </si>
  <si>
    <t>Nồi chống dính IH/Đỏ</t>
  </si>
  <si>
    <t>Affinity</t>
  </si>
  <si>
    <t>Nồi chống dính  IH/Copper</t>
  </si>
  <si>
    <t xml:space="preserve">Nồi chống dính  IH/ Green </t>
  </si>
  <si>
    <t>Nồi chống dính  IH/-Black</t>
  </si>
  <si>
    <t>HAD6S1</t>
  </si>
  <si>
    <t>(16/20/24cm)</t>
  </si>
  <si>
    <t>TW08001</t>
  </si>
  <si>
    <t>(18/20/22cm)</t>
  </si>
  <si>
    <t>TW07003</t>
  </si>
  <si>
    <t>S08A-T1</t>
  </si>
  <si>
    <t>(16+20+24+26IH)</t>
  </si>
  <si>
    <t>D16013</t>
  </si>
  <si>
    <t>D18003</t>
  </si>
  <si>
    <t>D18005</t>
  </si>
  <si>
    <t>B18001</t>
  </si>
  <si>
    <t>Sale</t>
  </si>
  <si>
    <t>New</t>
  </si>
  <si>
    <t>KI820565</t>
  </si>
  <si>
    <t>D16021</t>
  </si>
  <si>
    <t>D16025</t>
  </si>
  <si>
    <t>VF3660-71</t>
  </si>
  <si>
    <t>VF3650-71</t>
  </si>
  <si>
    <t>VF3649-71</t>
  </si>
  <si>
    <t>VF3629-71</t>
  </si>
  <si>
    <t>VF3670-71</t>
  </si>
  <si>
    <t>VF3680-71</t>
  </si>
  <si>
    <t xml:space="preserve">VF6410-71 </t>
  </si>
  <si>
    <t>BL309166</t>
  </si>
  <si>
    <t>BL438166</t>
  </si>
  <si>
    <t>KI810D30</t>
  </si>
  <si>
    <t>SWF17S20AVN</t>
  </si>
  <si>
    <t>SWF18S09AVN</t>
  </si>
  <si>
    <t>SWF17S18AVN</t>
  </si>
  <si>
    <t>SWF17S18BVN</t>
  </si>
  <si>
    <t>SWF15S06AVN</t>
  </si>
  <si>
    <t>SDHCB11TVN</t>
  </si>
  <si>
    <t>CFXB50FC533VN-75</t>
  </si>
  <si>
    <t>CFXB50FC51VN-75</t>
  </si>
  <si>
    <t>SRC818VN</t>
  </si>
  <si>
    <t>SRC810VN</t>
  </si>
  <si>
    <t>SRC811VN</t>
  </si>
  <si>
    <t>SENSATION</t>
  </si>
  <si>
    <t>Chống dính- IH- Đỏ</t>
  </si>
  <si>
    <t>CHARACTER</t>
  </si>
  <si>
    <t>EXPERTISE</t>
  </si>
  <si>
    <t>Chống dính- IH- Đen</t>
  </si>
  <si>
    <t>CHống dính- IH-Đỏ</t>
  </si>
  <si>
    <t>CHống dính- IH-Đen</t>
  </si>
  <si>
    <t>Chống dính- IH-Đỏ</t>
  </si>
  <si>
    <t>Pure Chef PLUS</t>
  </si>
  <si>
    <t>Cook Plus</t>
  </si>
  <si>
    <t>H9081914</t>
  </si>
  <si>
    <t>TITANIUM</t>
  </si>
  <si>
    <t>Tình Trạng SKU tại Store</t>
  </si>
  <si>
    <t>SKU đang bán</t>
  </si>
  <si>
    <t>SKU hết hàng</t>
  </si>
  <si>
    <t>SKU bị khóa</t>
  </si>
  <si>
    <t>Chưa mở mã</t>
  </si>
  <si>
    <t>No listing</t>
  </si>
  <si>
    <t>OOS</t>
  </si>
  <si>
    <t>14cm</t>
  </si>
  <si>
    <t>Thương Hiệu</t>
  </si>
  <si>
    <t>Supor</t>
  </si>
  <si>
    <t>Tefal</t>
  </si>
  <si>
    <t>Asia</t>
  </si>
  <si>
    <t>FV1721L0</t>
  </si>
  <si>
    <t>TUẦN 1</t>
  </si>
  <si>
    <t>TUẦN 2</t>
  </si>
  <si>
    <t>TUẦN 3</t>
  </si>
  <si>
    <t>TUẦN 4</t>
  </si>
  <si>
    <t>TUẦN 5</t>
  </si>
  <si>
    <t>Total</t>
  </si>
  <si>
    <t>Target</t>
  </si>
  <si>
    <t>Hoàn thành</t>
  </si>
  <si>
    <t>Lũy Kế</t>
  </si>
  <si>
    <t>Locked</t>
  </si>
  <si>
    <t>Pot</t>
  </si>
  <si>
    <t>Pot Set</t>
  </si>
  <si>
    <t>Pressure cooker</t>
  </si>
  <si>
    <t>Frypan</t>
  </si>
  <si>
    <t>Wor</t>
  </si>
  <si>
    <t>Rice Cooker</t>
  </si>
  <si>
    <t>Electric Pressure cooker</t>
  </si>
  <si>
    <t>Induction Hob</t>
  </si>
  <si>
    <t>Electric Kettle</t>
  </si>
  <si>
    <t>Juice Maker</t>
  </si>
  <si>
    <t>Blender and Juice Maker</t>
  </si>
  <si>
    <t>Blender</t>
  </si>
  <si>
    <t>Hot Pot
Nồi Lẩu</t>
  </si>
  <si>
    <t>Deep Pan</t>
  </si>
  <si>
    <t>Steam Iron
Bàn ủi hơi nước</t>
  </si>
  <si>
    <t>Dry Iron
Bàn ủi khô</t>
  </si>
  <si>
    <t>Table Fan
Quạt bàn</t>
  </si>
  <si>
    <t>Slide Fan
Quạt lửng</t>
  </si>
  <si>
    <t>Stand fan
Quạt đứng</t>
  </si>
  <si>
    <t>Wall Fan
Quạt treo</t>
  </si>
  <si>
    <t>Box Fan
Quạt hộp</t>
  </si>
  <si>
    <t>Recharge Fan
Quạt sạc</t>
  </si>
  <si>
    <t>Heater Fan
Quạt sưởi</t>
  </si>
  <si>
    <t>Qrbital Fan
Quạt trần đảo</t>
  </si>
  <si>
    <t>FV1022T0</t>
  </si>
  <si>
    <t>FV9745L0</t>
  </si>
  <si>
    <t>FS2610L0</t>
  </si>
  <si>
    <t>L16003</t>
  </si>
  <si>
    <t>Xám-Thiên Thanh-Lá mạ</t>
  </si>
  <si>
    <t>L16006</t>
  </si>
  <si>
    <t>L16012</t>
  </si>
  <si>
    <t>W07A28</t>
  </si>
  <si>
    <t>W07A30</t>
  </si>
  <si>
    <t>W07A32</t>
  </si>
  <si>
    <t>W07A34</t>
  </si>
  <si>
    <t>W07A36</t>
  </si>
  <si>
    <t>W07A28-C</t>
  </si>
  <si>
    <t>W07A30-C</t>
  </si>
  <si>
    <t>W07A32-C</t>
  </si>
  <si>
    <t>W07A34-C</t>
  </si>
  <si>
    <t>W07A36-C</t>
  </si>
  <si>
    <t>32cm</t>
  </si>
  <si>
    <t>34cm</t>
  </si>
  <si>
    <t>36cm</t>
  </si>
  <si>
    <t>Nồi chống dính  IH/-Grey</t>
  </si>
  <si>
    <t>VC140165</t>
  </si>
  <si>
    <t>HT412138</t>
  </si>
  <si>
    <t>Discontinued</t>
  </si>
  <si>
    <t>Simpleo</t>
  </si>
  <si>
    <t>B9052395</t>
  </si>
  <si>
    <t>B9054495</t>
  </si>
  <si>
    <t>B9054695</t>
  </si>
  <si>
    <t>B907S644</t>
  </si>
  <si>
    <t>16/20/24</t>
  </si>
  <si>
    <t>SKU BỎ MẪU</t>
  </si>
  <si>
    <t>Tồn cuối tháng</t>
  </si>
  <si>
    <t>Other</t>
  </si>
  <si>
    <t>ĐƠN GIÁ RSP 
(-vat)</t>
  </si>
  <si>
    <t>Tháng</t>
  </si>
  <si>
    <t>Status</t>
  </si>
  <si>
    <t>G1352395</t>
  </si>
  <si>
    <t>G1354595</t>
  </si>
  <si>
    <t>G1358495</t>
  </si>
  <si>
    <t>G1358695</t>
  </si>
  <si>
    <t>G1350295</t>
  </si>
  <si>
    <t>G1350495</t>
  </si>
  <si>
    <t>G1350695</t>
  </si>
  <si>
    <t>So Chef</t>
  </si>
  <si>
    <t>Chống dính-IH đỏ</t>
  </si>
  <si>
    <t>BL427166</t>
  </si>
  <si>
    <t>Blendforce 2 Glass</t>
  </si>
  <si>
    <t>Blendforce 2 Plastic</t>
  </si>
  <si>
    <t>Mix&amp;Drink</t>
  </si>
  <si>
    <t>Blendeo</t>
  </si>
  <si>
    <t>Stmart Protect</t>
  </si>
  <si>
    <t>Easy Gliss</t>
  </si>
  <si>
    <t>Access</t>
  </si>
  <si>
    <t>MODEL (SKU)</t>
  </si>
  <si>
    <t>Eco Master</t>
  </si>
  <si>
    <t>Essential</t>
  </si>
  <si>
    <t>Chống dính- IH- Đồng</t>
  </si>
  <si>
    <t>Inox 304</t>
  </si>
  <si>
    <t>Mini Pro</t>
  </si>
  <si>
    <t>Mini Fuzzy</t>
  </si>
  <si>
    <t>Compact Pro</t>
  </si>
  <si>
    <t>Theia Control</t>
  </si>
  <si>
    <t>Theia</t>
  </si>
  <si>
    <t>2 Lớp chóng bỏng- Đỏ</t>
  </si>
  <si>
    <t>2 Lớp chóng bỏng- Trắng</t>
  </si>
  <si>
    <t>Thiên Thanh/
Xám</t>
  </si>
  <si>
    <t>Sping Breeze</t>
  </si>
  <si>
    <t>Xtra pover &amp; Clear</t>
  </si>
  <si>
    <t>X-Tra Power &amp; Clear Anti-Mosquito</t>
  </si>
  <si>
    <t>Đen/Xám</t>
  </si>
  <si>
    <t>Heavy duty</t>
  </si>
  <si>
    <t>Table Fan</t>
  </si>
  <si>
    <t>D16028</t>
  </si>
  <si>
    <t>D16027</t>
  </si>
  <si>
    <t>Power</t>
  </si>
  <si>
    <t>Xanh Thiên Thanh/Xám</t>
  </si>
  <si>
    <t>Heavy Duty</t>
  </si>
  <si>
    <t>Xanh Lá/Xám</t>
  </si>
  <si>
    <t>Xtra Power &amp; Clear</t>
  </si>
  <si>
    <t>Xtra Power &amp; Clear RC</t>
  </si>
  <si>
    <t>Box Fan</t>
  </si>
  <si>
    <t>Lá mạ/
Xám</t>
  </si>
  <si>
    <t>Re-Chargeable Fan</t>
  </si>
  <si>
    <t>GT</t>
  </si>
  <si>
    <t>B2B</t>
  </si>
  <si>
    <t>SM / ES / GT</t>
  </si>
  <si>
    <t xml:space="preserve">SM / ES </t>
  </si>
  <si>
    <t>SM / ES</t>
  </si>
  <si>
    <t>Trắng (SM &amp; ES)</t>
  </si>
  <si>
    <t>H07011-1</t>
  </si>
  <si>
    <t>32 cm</t>
  </si>
  <si>
    <t>34 cm</t>
  </si>
  <si>
    <t>36 cm</t>
  </si>
  <si>
    <t>40 cm</t>
  </si>
  <si>
    <t>H07011-2</t>
  </si>
  <si>
    <t>H07011-3</t>
  </si>
  <si>
    <t>H07011-4</t>
  </si>
  <si>
    <t>F23A24IH</t>
  </si>
  <si>
    <t>F23A26IH</t>
  </si>
  <si>
    <t>F23A28IH</t>
  </si>
  <si>
    <t>CFXB50YB19VN-50</t>
  </si>
  <si>
    <t>DT7000E0</t>
  </si>
  <si>
    <t>DT8100E0</t>
  </si>
  <si>
    <t>Steam Iron
Bàn ủi hơi nước cầm tay</t>
  </si>
  <si>
    <t>Cầm tay</t>
  </si>
  <si>
    <t>HT08008-2C</t>
  </si>
  <si>
    <t>HT08008-4C</t>
  </si>
  <si>
    <t>HT08008-5C</t>
  </si>
  <si>
    <t>HT08008-8C</t>
  </si>
  <si>
    <t>HT08008-1C</t>
  </si>
  <si>
    <t>H20201-J22</t>
  </si>
  <si>
    <t>H20202-J22</t>
  </si>
  <si>
    <t>H20203-T16</t>
  </si>
  <si>
    <t>H20204-T20</t>
  </si>
  <si>
    <t>H20205-J22</t>
  </si>
  <si>
    <t>H20205-J30</t>
  </si>
  <si>
    <t>HFK26EVN-130</t>
  </si>
  <si>
    <t>50YA10VN-100</t>
  </si>
  <si>
    <t>520QVN-100</t>
  </si>
  <si>
    <t>50YC10DVN-100</t>
  </si>
  <si>
    <t>50YA310VN</t>
  </si>
  <si>
    <t>CB36VN</t>
  </si>
  <si>
    <t>CB45VN-210</t>
  </si>
  <si>
    <t>SDHCB11TVN-YL</t>
  </si>
  <si>
    <t>SDHCB11TVN-GR</t>
  </si>
  <si>
    <t>15S06AVN</t>
  </si>
  <si>
    <t>17S18AVN</t>
  </si>
  <si>
    <t>17S20AVN</t>
  </si>
  <si>
    <t>SW-1815VN</t>
  </si>
  <si>
    <t>17S18BVN</t>
  </si>
  <si>
    <t>SW-1513AVN</t>
  </si>
  <si>
    <t>20FC17A-35</t>
  </si>
  <si>
    <t>50FC33VN-75</t>
  </si>
  <si>
    <t>50YB13VN-50</t>
  </si>
  <si>
    <t>50YB13VN-RD</t>
  </si>
  <si>
    <t>50YB13VN-CF</t>
  </si>
  <si>
    <t>16YB3VN-WH</t>
  </si>
  <si>
    <t>50YB19VN-GR</t>
  </si>
  <si>
    <t>50YB19VN-PK</t>
  </si>
  <si>
    <t>50YB19VN-YL</t>
  </si>
  <si>
    <t>50HC12VN-120</t>
  </si>
  <si>
    <t>40FC33VN-75</t>
  </si>
  <si>
    <t>50FC29VN-75</t>
  </si>
  <si>
    <t>16YB3VN-36</t>
  </si>
  <si>
    <t>RK732168</t>
  </si>
  <si>
    <t>RK733168</t>
  </si>
  <si>
    <t>RK762168</t>
  </si>
  <si>
    <t>RK224168</t>
  </si>
  <si>
    <t>RK808168</t>
  </si>
  <si>
    <t>RK752168</t>
  </si>
  <si>
    <t>BL2A1166</t>
  </si>
  <si>
    <t>BL42S166</t>
  </si>
  <si>
    <t>BL42Q166</t>
  </si>
  <si>
    <t>BL967B66</t>
  </si>
  <si>
    <t>IT2460E0</t>
  </si>
  <si>
    <t>IT2461E0</t>
  </si>
  <si>
    <t>IT3420E0</t>
  </si>
  <si>
    <t>IT3440E0</t>
  </si>
  <si>
    <t>DT3030E0</t>
  </si>
  <si>
    <t>DT6130E0</t>
  </si>
  <si>
    <t>QT1020E0</t>
  </si>
  <si>
    <t>FV1844E0</t>
  </si>
  <si>
    <t>FV1849E0</t>
  </si>
  <si>
    <t>FV5717E0</t>
  </si>
  <si>
    <t>FV5737E0</t>
  </si>
  <si>
    <t>L16006-XV0</t>
  </si>
  <si>
    <t>A16009-DV1</t>
  </si>
  <si>
    <t>L18002-DV0</t>
  </si>
  <si>
    <t>D18001-DV0</t>
  </si>
  <si>
    <t>X16001-XV0</t>
  </si>
  <si>
    <t>L24001-DV0</t>
  </si>
  <si>
    <t>B16001-EV0</t>
  </si>
  <si>
    <t>F16001-XV1</t>
  </si>
  <si>
    <t>F12001-XV1</t>
  </si>
  <si>
    <t>A16008-DV0</t>
  </si>
  <si>
    <t>L20002-DV0</t>
  </si>
  <si>
    <t>D24001-DV0</t>
  </si>
  <si>
    <t>X16002-XV0</t>
  </si>
  <si>
    <t>D20002-DV0</t>
  </si>
  <si>
    <t>L16019-GV0</t>
  </si>
  <si>
    <t>L16009-DV0</t>
  </si>
  <si>
    <t>A16009-XV0</t>
  </si>
  <si>
    <t>L16018-GV0</t>
  </si>
  <si>
    <t>A16019-BV0</t>
  </si>
  <si>
    <t>L16018-GV1</t>
  </si>
  <si>
    <t>X16001-SV0</t>
  </si>
  <si>
    <t>X16002-SV0</t>
  </si>
  <si>
    <t>F16001-LV1</t>
  </si>
  <si>
    <t>A16018-BV0</t>
  </si>
  <si>
    <t>B12001-EV0</t>
  </si>
  <si>
    <t>F12001-LV1</t>
  </si>
  <si>
    <t>D16025-BV1</t>
  </si>
  <si>
    <t>A16018-BV1</t>
  </si>
  <si>
    <t>J56004-SV0</t>
  </si>
  <si>
    <t>QS1001-SV0</t>
  </si>
  <si>
    <t>V04001-SV0</t>
  </si>
  <si>
    <t>H08001-SV0</t>
  </si>
  <si>
    <t>H10001-SV0</t>
  </si>
  <si>
    <t>A16008-DZ1</t>
  </si>
  <si>
    <t>A16008-DZ2</t>
  </si>
  <si>
    <t>A16008-DV2</t>
  </si>
  <si>
    <t>D20002-DZ0</t>
  </si>
  <si>
    <t>A16017-XV0</t>
  </si>
  <si>
    <t>A16018-GV0</t>
  </si>
  <si>
    <t>A16018-GV1</t>
  </si>
  <si>
    <t>A16018-XV0</t>
  </si>
  <si>
    <t>A16019-GV0</t>
  </si>
  <si>
    <t>A16019-XV0</t>
  </si>
  <si>
    <t>A16020-DV0</t>
  </si>
  <si>
    <t>A16020-XV0</t>
  </si>
  <si>
    <t>A16021-DV0</t>
  </si>
  <si>
    <t>A16021-XV0</t>
  </si>
  <si>
    <t>B12001-LV0</t>
  </si>
  <si>
    <t>B12001-XV0</t>
  </si>
  <si>
    <t>B12005-XV1</t>
  </si>
  <si>
    <t>B16001-LV0</t>
  </si>
  <si>
    <t>B16001-XV1</t>
  </si>
  <si>
    <t>D16018-GV0</t>
  </si>
  <si>
    <t>D16021-BV1</t>
  </si>
  <si>
    <t>D16021-GV0</t>
  </si>
  <si>
    <t>D16021-XV0</t>
  </si>
  <si>
    <t>D16022-DV0</t>
  </si>
  <si>
    <t>D16023-BV1</t>
  </si>
  <si>
    <t>D16023-GV0</t>
  </si>
  <si>
    <t>D16024-DV0</t>
  </si>
  <si>
    <t>D16025-GV0</t>
  </si>
  <si>
    <t>D16025-XV0</t>
  </si>
  <si>
    <t>D16026-DV0</t>
  </si>
  <si>
    <t>D16026-XV0</t>
  </si>
  <si>
    <t>D16027-TV0</t>
  </si>
  <si>
    <t>D16027-XV0</t>
  </si>
  <si>
    <t>D16028-TV0</t>
  </si>
  <si>
    <t>D16028-XV0</t>
  </si>
  <si>
    <t>D18001-DV1</t>
  </si>
  <si>
    <t>D18001-XV1</t>
  </si>
  <si>
    <t>D18004-XV1</t>
  </si>
  <si>
    <t>J48004-SV0</t>
  </si>
  <si>
    <t>L16009-DV1</t>
  </si>
  <si>
    <t>L16018-BV0</t>
  </si>
  <si>
    <t>L16018-BV1</t>
  </si>
  <si>
    <t>L16018-TV0</t>
  </si>
  <si>
    <t>L16018-XV0</t>
  </si>
  <si>
    <t>L16019-BV0</t>
  </si>
  <si>
    <t>L16019-XV0</t>
  </si>
  <si>
    <t>L16021-DV0</t>
  </si>
  <si>
    <t>L16021-XV0</t>
  </si>
  <si>
    <t>L16022-BV1</t>
  </si>
  <si>
    <t>L16022-DV0</t>
  </si>
  <si>
    <t>L16022-GV0</t>
  </si>
  <si>
    <t>L16022-XV0</t>
  </si>
  <si>
    <t>D16023-DV0</t>
  </si>
  <si>
    <t>L16023-DV0</t>
  </si>
  <si>
    <t>L18002-DV3</t>
  </si>
  <si>
    <t>VF6410-71</t>
  </si>
  <si>
    <t>VF2255X0</t>
  </si>
  <si>
    <t>VF3640F0</t>
  </si>
  <si>
    <t>VU4410F0</t>
  </si>
  <si>
    <t>VU2310F0</t>
  </si>
  <si>
    <t>VU4440F0</t>
  </si>
  <si>
    <t>X16001-XM0</t>
  </si>
  <si>
    <t>D18001-DM0</t>
  </si>
  <si>
    <t>L18004-DV0</t>
  </si>
  <si>
    <t>D20001-DS0</t>
  </si>
  <si>
    <t>D24001-DS0</t>
  </si>
  <si>
    <t>D18005-DM0</t>
  </si>
  <si>
    <t>D18003-DS0</t>
  </si>
  <si>
    <t>A16001-LS1</t>
  </si>
  <si>
    <t>A16001-OS1</t>
  </si>
  <si>
    <t>L24001-DS0</t>
  </si>
  <si>
    <t>X16001-XS0</t>
  </si>
  <si>
    <t>L20002-DS2</t>
  </si>
  <si>
    <t>Brand</t>
  </si>
  <si>
    <t>On going</t>
  </si>
  <si>
    <t>To be discontinued</t>
  </si>
  <si>
    <t>S08A24IH</t>
  </si>
  <si>
    <t>F17A22IHA</t>
  </si>
  <si>
    <t>F17A26IH</t>
  </si>
  <si>
    <t>MT</t>
  </si>
  <si>
    <t>FAN</t>
  </si>
  <si>
    <t>A16001-XV1</t>
  </si>
  <si>
    <t>A16007-EV0</t>
  </si>
  <si>
    <t>A16007-LV0</t>
  </si>
  <si>
    <t>Green</t>
  </si>
  <si>
    <t>A16007-XV0</t>
  </si>
  <si>
    <t>A16008-DS0</t>
  </si>
  <si>
    <t>B2B items</t>
  </si>
  <si>
    <t>DMX Exclusive 2017</t>
  </si>
  <si>
    <t>Grey</t>
  </si>
  <si>
    <t>A16010-OV0</t>
  </si>
  <si>
    <t>A16010-OV1</t>
  </si>
  <si>
    <t>A16010-XV0</t>
  </si>
  <si>
    <t>A16010-XV1</t>
  </si>
  <si>
    <t>A16017-LV0</t>
  </si>
  <si>
    <t>Blue Cham</t>
  </si>
  <si>
    <t>A16018-BV2</t>
  </si>
  <si>
    <t>Blue Halong</t>
  </si>
  <si>
    <t>A16018-BV3</t>
  </si>
  <si>
    <t>Green Dalat</t>
  </si>
  <si>
    <t>A16018-GV2</t>
  </si>
  <si>
    <t>Green Shamrock</t>
  </si>
  <si>
    <t>A16018-GV3</t>
  </si>
  <si>
    <t>A16018-WV0</t>
  </si>
  <si>
    <t>White</t>
  </si>
  <si>
    <t>A16019-BZ0</t>
  </si>
  <si>
    <t>B12005-OV0</t>
  </si>
  <si>
    <t>Red</t>
  </si>
  <si>
    <t>B12005-OV1</t>
  </si>
  <si>
    <t>B12005-XV0</t>
  </si>
  <si>
    <t>B12005-XZ0</t>
  </si>
  <si>
    <t>B16017-EV0</t>
  </si>
  <si>
    <t>B16017-LV0</t>
  </si>
  <si>
    <t>B16017-XV0</t>
  </si>
  <si>
    <t>B18001-XV0</t>
  </si>
  <si>
    <t>D16010-EV0</t>
  </si>
  <si>
    <t>D16011-LV0</t>
  </si>
  <si>
    <t>D16012-DV0</t>
  </si>
  <si>
    <t>D16013-XV0</t>
  </si>
  <si>
    <t>D16016-DV0</t>
  </si>
  <si>
    <t>D16017-EV0</t>
  </si>
  <si>
    <t>D16017-LV0</t>
  </si>
  <si>
    <t>D16018-BV1</t>
  </si>
  <si>
    <t>D16018-GV1</t>
  </si>
  <si>
    <t>D16018-WV0</t>
  </si>
  <si>
    <t>D16019-DV0</t>
  </si>
  <si>
    <t>D16019-WV0</t>
  </si>
  <si>
    <t>D18003-DS2</t>
  </si>
  <si>
    <t>D18003-DS3</t>
  </si>
  <si>
    <t>D18003-DV0</t>
  </si>
  <si>
    <t>D18005-DV0</t>
  </si>
  <si>
    <t>F12004-LV1</t>
  </si>
  <si>
    <t>F12004-TV1</t>
  </si>
  <si>
    <t>F12004-XV1</t>
  </si>
  <si>
    <t>HF1401-TV0</t>
  </si>
  <si>
    <t>L16003-EV0</t>
  </si>
  <si>
    <t>L16003-LM0</t>
  </si>
  <si>
    <t>L16003-LV1</t>
  </si>
  <si>
    <t>L16006-LV0</t>
  </si>
  <si>
    <t>L16012-DV0</t>
  </si>
  <si>
    <t>L16017-XV0</t>
  </si>
  <si>
    <t>L16018-GV2</t>
  </si>
  <si>
    <t>L16018-GV3</t>
  </si>
  <si>
    <t>L16019-GV1</t>
  </si>
  <si>
    <t>L18001-DV0</t>
  </si>
  <si>
    <t>L18002-DS1</t>
  </si>
  <si>
    <t>L18004-DS1</t>
  </si>
  <si>
    <t>VF3410T0</t>
  </si>
  <si>
    <t>VF3627O1</t>
  </si>
  <si>
    <t>VF3637O1</t>
  </si>
  <si>
    <t>VF3639-71</t>
  </si>
  <si>
    <t>VF3647O1</t>
  </si>
  <si>
    <t>HB833840</t>
  </si>
  <si>
    <t>HANDBLEND/STICK MIXR</t>
  </si>
  <si>
    <t>18S09AVN</t>
  </si>
  <si>
    <t>AsiaVina</t>
  </si>
  <si>
    <t>Comfort</t>
  </si>
  <si>
    <t>Fruits</t>
  </si>
  <si>
    <t>Rock Marble</t>
  </si>
  <si>
    <t>Copper</t>
  </si>
  <si>
    <t xml:space="preserve">Glass Red </t>
  </si>
  <si>
    <t>Glass Grey</t>
  </si>
  <si>
    <t>12cm</t>
  </si>
  <si>
    <t>16/20/24 cm</t>
  </si>
  <si>
    <t>6L</t>
  </si>
  <si>
    <t>3.5 L</t>
  </si>
  <si>
    <t>10/12 cm</t>
  </si>
  <si>
    <t>0.6 L</t>
  </si>
  <si>
    <t>1.25L</t>
  </si>
  <si>
    <t>5L</t>
  </si>
  <si>
    <t>4L</t>
  </si>
  <si>
    <t>1.5L</t>
  </si>
  <si>
    <t>1.7L</t>
  </si>
  <si>
    <t>1.8L</t>
  </si>
  <si>
    <t>0.8L</t>
  </si>
  <si>
    <t>0.7L</t>
  </si>
  <si>
    <t>1.0L</t>
  </si>
  <si>
    <t>1.2L</t>
  </si>
  <si>
    <t>Inventory GS-
South</t>
  </si>
  <si>
    <t>Inventory GS-
North</t>
  </si>
  <si>
    <t>Easy Rice</t>
  </si>
  <si>
    <t>CMMF</t>
  </si>
  <si>
    <t>Prod. life stage 2020</t>
  </si>
  <si>
    <t>D16018-BV0</t>
  </si>
  <si>
    <t>Xanh lam</t>
  </si>
  <si>
    <t>Bar Code</t>
  </si>
  <si>
    <t>8936042290227</t>
  </si>
  <si>
    <t>8936042290524</t>
  </si>
  <si>
    <t>8936042290531</t>
  </si>
  <si>
    <t>8936042290548</t>
  </si>
  <si>
    <t>8936042290555</t>
  </si>
  <si>
    <t>8936042290678</t>
  </si>
  <si>
    <t>8936042290685</t>
  </si>
  <si>
    <t>8936042290784</t>
  </si>
  <si>
    <t>8936042292610</t>
  </si>
  <si>
    <t>8936042292986</t>
  </si>
  <si>
    <t>8936042293037</t>
  </si>
  <si>
    <t>8936042293006</t>
  </si>
  <si>
    <t>8936042293013</t>
  </si>
  <si>
    <t>3168430224773</t>
  </si>
  <si>
    <t>3168430224780</t>
  </si>
  <si>
    <t>3168430224797</t>
  </si>
  <si>
    <t>3168430224803</t>
  </si>
  <si>
    <t>3168430224834</t>
  </si>
  <si>
    <t>3168430224759</t>
  </si>
  <si>
    <t>3168430224827</t>
  </si>
  <si>
    <t>3168430226920</t>
  </si>
  <si>
    <t>3168430226937</t>
  </si>
  <si>
    <t>3168430276130</t>
  </si>
  <si>
    <t>3168430285415</t>
  </si>
  <si>
    <t>3168430246409</t>
  </si>
  <si>
    <t>3168430246416</t>
  </si>
  <si>
    <t>3168430228191</t>
  </si>
  <si>
    <t>3168430228207</t>
  </si>
  <si>
    <t>3168430228221</t>
  </si>
  <si>
    <t>3168430228252</t>
  </si>
  <si>
    <t>3168430228238</t>
  </si>
  <si>
    <t>3168430228283</t>
  </si>
  <si>
    <t>3168430228306</t>
  </si>
  <si>
    <t>3168430297517</t>
  </si>
  <si>
    <t>3168430297524</t>
  </si>
  <si>
    <t>3168430297548</t>
  </si>
  <si>
    <t>3168430297272</t>
  </si>
  <si>
    <t>3168430297289</t>
  </si>
  <si>
    <t>3168430297296</t>
  </si>
  <si>
    <t>3168430297302</t>
  </si>
  <si>
    <t>3168430289840</t>
  </si>
  <si>
    <t>3168430289857</t>
  </si>
  <si>
    <t>3168430289864</t>
  </si>
  <si>
    <t>3168430289802</t>
  </si>
  <si>
    <t>3168430289819</t>
  </si>
  <si>
    <t>3168430289826</t>
  </si>
  <si>
    <t>3168430289833</t>
  </si>
  <si>
    <t>8936042292115</t>
  </si>
  <si>
    <t>8936042291798</t>
  </si>
  <si>
    <t>8936042291804</t>
  </si>
  <si>
    <t>8936042291811</t>
  </si>
  <si>
    <t>8936042291828</t>
  </si>
  <si>
    <t>8936042291835</t>
  </si>
  <si>
    <t>8936042291842</t>
  </si>
  <si>
    <t>8936042291859</t>
  </si>
  <si>
    <t>8936042291866</t>
  </si>
  <si>
    <t>8936042292023</t>
  </si>
  <si>
    <t>8936042292474</t>
  </si>
  <si>
    <t>8936042292504</t>
  </si>
  <si>
    <t>8936042292528</t>
  </si>
  <si>
    <t>8936042293198</t>
  </si>
  <si>
    <t>8936042293167</t>
  </si>
  <si>
    <t>8936042293204</t>
  </si>
  <si>
    <t>8936042293174</t>
  </si>
  <si>
    <t>8936042293211</t>
  </si>
  <si>
    <t>8936042293181</t>
  </si>
  <si>
    <t>8936042293402</t>
  </si>
  <si>
    <t>8936042293419</t>
  </si>
  <si>
    <t>8936042293433</t>
  </si>
  <si>
    <t>8936042293440</t>
  </si>
  <si>
    <t>8936042293457</t>
  </si>
  <si>
    <t>8936042293464</t>
  </si>
  <si>
    <t>8936042293600</t>
  </si>
  <si>
    <t>8936042293679</t>
  </si>
  <si>
    <t>8936042293471</t>
  </si>
  <si>
    <t>8936042293549</t>
  </si>
  <si>
    <t>8936042293617</t>
  </si>
  <si>
    <t>8936042293686</t>
  </si>
  <si>
    <t>8936042293488</t>
  </si>
  <si>
    <t>8936042293556</t>
  </si>
  <si>
    <t>8936042293624</t>
  </si>
  <si>
    <t>8936042293693</t>
  </si>
  <si>
    <t>8936042293495</t>
  </si>
  <si>
    <t>8936042293563</t>
  </si>
  <si>
    <t>8936042293501</t>
  </si>
  <si>
    <t>8936042293570</t>
  </si>
  <si>
    <t>8936042293648</t>
  </si>
  <si>
    <t>8936042293518</t>
  </si>
  <si>
    <t>8936042293587</t>
  </si>
  <si>
    <t>8936042293655</t>
  </si>
  <si>
    <t>8936042293525</t>
  </si>
  <si>
    <t>8936042293594</t>
  </si>
  <si>
    <t>8936042293662</t>
  </si>
  <si>
    <t>8936042293709</t>
  </si>
  <si>
    <t>8936042293716</t>
  </si>
  <si>
    <t>8936042293723</t>
  </si>
  <si>
    <t>8936042293730</t>
  </si>
  <si>
    <t>8936042293747</t>
  </si>
  <si>
    <t>8936042293754</t>
  </si>
  <si>
    <t>8936042294249</t>
  </si>
  <si>
    <t>8936042294256</t>
  </si>
  <si>
    <t>8936042294263</t>
  </si>
  <si>
    <t>8936042294270</t>
  </si>
  <si>
    <t>8936042290180</t>
  </si>
  <si>
    <t>8936042292085</t>
  </si>
  <si>
    <t>8936042293365</t>
  </si>
  <si>
    <t>8936042293372</t>
  </si>
  <si>
    <t>8936042293389</t>
  </si>
  <si>
    <t>8936042293396</t>
  </si>
  <si>
    <t>8936042294287</t>
  </si>
  <si>
    <t>8936042294294</t>
  </si>
  <si>
    <t>3168430301740</t>
  </si>
  <si>
    <t>3168430301757</t>
  </si>
  <si>
    <t>3168430301764</t>
  </si>
  <si>
    <t>3168430301207</t>
  </si>
  <si>
    <t>8936042290265</t>
  </si>
  <si>
    <t>8936042290272</t>
  </si>
  <si>
    <t>8936042291200</t>
  </si>
  <si>
    <t>8936042290289</t>
  </si>
  <si>
    <t>8936042292962</t>
  </si>
  <si>
    <t>8936042290234</t>
  </si>
  <si>
    <t>8936042290661</t>
  </si>
  <si>
    <t>8936042291125</t>
  </si>
  <si>
    <t>8936042291132</t>
  </si>
  <si>
    <t>8936042291149</t>
  </si>
  <si>
    <t>8936042291156</t>
  </si>
  <si>
    <t>8936042292665</t>
  </si>
  <si>
    <t>8936042292672</t>
  </si>
  <si>
    <t>8936042292924</t>
  </si>
  <si>
    <t>3016661148248</t>
  </si>
  <si>
    <t>3016661151897</t>
  </si>
  <si>
    <t>3016661159343</t>
  </si>
  <si>
    <t>3016661142628</t>
  </si>
  <si>
    <t>3016661155055</t>
  </si>
  <si>
    <t>3016661154904</t>
  </si>
  <si>
    <t>3016661140600</t>
  </si>
  <si>
    <t>3016661147210</t>
  </si>
  <si>
    <t>3016661147357</t>
  </si>
  <si>
    <t>3016661151880</t>
  </si>
  <si>
    <t>3016661158551</t>
  </si>
  <si>
    <t>3016661156151</t>
  </si>
  <si>
    <t>3016661153716</t>
  </si>
  <si>
    <t>0072110033001</t>
  </si>
  <si>
    <t>0072110032998</t>
  </si>
  <si>
    <t>3121040061169</t>
  </si>
  <si>
    <t>3121040061428</t>
  </si>
  <si>
    <t>3121040060292</t>
  </si>
  <si>
    <t>6950610202544</t>
  </si>
  <si>
    <t>6950610204678</t>
  </si>
  <si>
    <t>6950610208638</t>
  </si>
  <si>
    <t>6950610209468</t>
  </si>
  <si>
    <t>3121040077450</t>
  </si>
  <si>
    <t>3121040076286</t>
  </si>
  <si>
    <t>3121040076293</t>
  </si>
  <si>
    <t>3121040069806</t>
  </si>
  <si>
    <t>3121040069844</t>
  </si>
  <si>
    <t>3121042810215</t>
  </si>
  <si>
    <t>3016661147494</t>
  </si>
  <si>
    <t>6950610210310</t>
  </si>
  <si>
    <t>8936042294218</t>
  </si>
  <si>
    <t>6950610215292</t>
  </si>
  <si>
    <t>8936042294195</t>
  </si>
  <si>
    <t>8936042294201</t>
  </si>
  <si>
    <t>8936042294232</t>
  </si>
  <si>
    <t>6950610210594</t>
  </si>
  <si>
    <t>6950610210389</t>
  </si>
  <si>
    <t>3045380034372</t>
  </si>
  <si>
    <t>3045386380428</t>
  </si>
  <si>
    <t>6950610214356</t>
  </si>
  <si>
    <t>6950610214943</t>
  </si>
  <si>
    <t>6950609401064</t>
  </si>
  <si>
    <t>6950609405581</t>
  </si>
  <si>
    <t>6950609405383</t>
  </si>
  <si>
    <t>6950609404287</t>
  </si>
  <si>
    <t>6950609403990</t>
  </si>
  <si>
    <t>6950609403853</t>
  </si>
  <si>
    <t>6950609404737</t>
  </si>
  <si>
    <t>6950609404164</t>
  </si>
  <si>
    <t>6950609405512</t>
  </si>
  <si>
    <t>6950609405505</t>
  </si>
  <si>
    <t>6950609405550</t>
  </si>
  <si>
    <t>6950609405567</t>
  </si>
  <si>
    <t>6950609405574</t>
  </si>
  <si>
    <t>6950609405758</t>
  </si>
  <si>
    <t>3016661153112</t>
  </si>
  <si>
    <t>3016661151453</t>
  </si>
  <si>
    <t>3045386372225</t>
  </si>
  <si>
    <t>3045387241841</t>
  </si>
  <si>
    <t>3045387241957</t>
  </si>
  <si>
    <t>3045387241940</t>
  </si>
  <si>
    <t>6950609402504</t>
  </si>
  <si>
    <t>6950610217678</t>
  </si>
  <si>
    <t>6950610217685</t>
  </si>
  <si>
    <t>6950610217692</t>
  </si>
  <si>
    <t>6950610217708</t>
  </si>
  <si>
    <t>3121040069752</t>
  </si>
  <si>
    <t>3121040070758</t>
  </si>
  <si>
    <t>3121040075746</t>
  </si>
  <si>
    <t>3121040075845</t>
  </si>
  <si>
    <t>3121040065952</t>
  </si>
  <si>
    <t>3121040071731</t>
  </si>
  <si>
    <t>3121040060636</t>
  </si>
  <si>
    <t>3121040077504</t>
  </si>
  <si>
    <t>3121040061206</t>
  </si>
  <si>
    <t>3121040046647</t>
  </si>
  <si>
    <t>3121040060834</t>
  </si>
  <si>
    <t>3121040066034</t>
  </si>
  <si>
    <t>3121040052785</t>
  </si>
  <si>
    <t>3121040054604</t>
  </si>
  <si>
    <t>3121040052839</t>
  </si>
  <si>
    <t>3121040068465</t>
  </si>
  <si>
    <t>3121040068540</t>
  </si>
  <si>
    <t>3121040059104</t>
  </si>
  <si>
    <t>3121040068656</t>
  </si>
  <si>
    <t>3121044106217</t>
  </si>
  <si>
    <t>3121044106231</t>
  </si>
  <si>
    <t>3121044106255</t>
  </si>
  <si>
    <t>8936008700050</t>
  </si>
  <si>
    <t>8936008700081</t>
  </si>
  <si>
    <t>8936008707431</t>
  </si>
  <si>
    <t>8936008707547</t>
  </si>
  <si>
    <t>8936008707554</t>
  </si>
  <si>
    <t>8936008707448</t>
  </si>
  <si>
    <t>8936008709091</t>
  </si>
  <si>
    <t>8936008709695</t>
  </si>
  <si>
    <t>8936008709626</t>
  </si>
  <si>
    <t>8936008709961</t>
  </si>
  <si>
    <t>8936008705352</t>
  </si>
  <si>
    <t>8936008709749</t>
  </si>
  <si>
    <t>8936008709732</t>
  </si>
  <si>
    <t>8936008705161</t>
  </si>
  <si>
    <t>8936008708407</t>
  </si>
  <si>
    <t>8936008708414</t>
  </si>
  <si>
    <t>8936008705185</t>
  </si>
  <si>
    <t>8936008708421</t>
  </si>
  <si>
    <t>8936008708438</t>
  </si>
  <si>
    <t>8936008705178</t>
  </si>
  <si>
    <t>8936008700579</t>
  </si>
  <si>
    <t>8936008707530</t>
  </si>
  <si>
    <t>8936008707578</t>
  </si>
  <si>
    <t>8936008707561</t>
  </si>
  <si>
    <t>8936008700586</t>
  </si>
  <si>
    <t>8936008708988</t>
  </si>
  <si>
    <t>8936008700494</t>
  </si>
  <si>
    <t>8936008708889</t>
  </si>
  <si>
    <t>8936008700531</t>
  </si>
  <si>
    <t>8936008700449</t>
  </si>
  <si>
    <t>8936008700456</t>
  </si>
  <si>
    <t>8936008700432</t>
  </si>
  <si>
    <t>8936008709978</t>
  </si>
  <si>
    <t>8936008705376</t>
  </si>
  <si>
    <t>8936008704546</t>
  </si>
  <si>
    <t>8936008704553</t>
  </si>
  <si>
    <t>8936008700661</t>
  </si>
  <si>
    <t>8936008709787</t>
  </si>
  <si>
    <t>8936008709770</t>
  </si>
  <si>
    <t>8936008709763</t>
  </si>
  <si>
    <t>8936008709886</t>
  </si>
  <si>
    <t>8936008709343</t>
  </si>
  <si>
    <t>8936008709459</t>
  </si>
  <si>
    <t>8936008700227</t>
  </si>
  <si>
    <t>8936008700098</t>
  </si>
  <si>
    <t>8936008705345</t>
  </si>
  <si>
    <t>8936008709848</t>
  </si>
  <si>
    <t>8936008709831</t>
  </si>
  <si>
    <t>8936008708445</t>
  </si>
  <si>
    <t>8936008709435</t>
  </si>
  <si>
    <t>8936008709473</t>
  </si>
  <si>
    <t>8936008708452</t>
  </si>
  <si>
    <t>8936008709404</t>
  </si>
  <si>
    <t>8936008709114</t>
  </si>
  <si>
    <t>8936008708544</t>
  </si>
  <si>
    <t>8936008709220</t>
  </si>
  <si>
    <t>8936008709213</t>
  </si>
  <si>
    <t>8936008700678</t>
  </si>
  <si>
    <t>8936008708834</t>
  </si>
  <si>
    <t>8936008709367</t>
  </si>
  <si>
    <t>8936008709374</t>
  </si>
  <si>
    <t>8936008709336</t>
  </si>
  <si>
    <t>8936008700630</t>
  </si>
  <si>
    <t>8936008708865</t>
  </si>
  <si>
    <t>8936008708872</t>
  </si>
  <si>
    <t>8936008700685</t>
  </si>
  <si>
    <t>8936008708933</t>
  </si>
  <si>
    <t>8936008700692</t>
  </si>
  <si>
    <t>8936008700876</t>
  </si>
  <si>
    <t>8936008700463</t>
  </si>
  <si>
    <t>8936008700937</t>
  </si>
  <si>
    <t>8936008700470</t>
  </si>
  <si>
    <t>8936008701590</t>
  </si>
  <si>
    <t>8936008701521</t>
  </si>
  <si>
    <t>8936008700272</t>
  </si>
  <si>
    <t>8936008700395</t>
  </si>
  <si>
    <t>8936008700883</t>
  </si>
  <si>
    <t>8936008709725</t>
  </si>
  <si>
    <t>8936008701187</t>
  </si>
  <si>
    <t>8936008700104</t>
  </si>
  <si>
    <t>8936008701293</t>
  </si>
  <si>
    <t>8936008702054</t>
  </si>
  <si>
    <t>8936008702023</t>
  </si>
  <si>
    <t>8936008707752</t>
  </si>
  <si>
    <t>8936008709640</t>
  </si>
  <si>
    <t>8936008707721</t>
  </si>
  <si>
    <t>8936008701958</t>
  </si>
  <si>
    <t>8936008707622</t>
  </si>
  <si>
    <t>8936008705390</t>
  </si>
  <si>
    <t>8936008702641</t>
  </si>
  <si>
    <t>8936008702658</t>
  </si>
  <si>
    <t>8936008702955</t>
  </si>
  <si>
    <t>8936008709671</t>
  </si>
  <si>
    <t>8936008708797</t>
  </si>
  <si>
    <t>8936008705338</t>
  </si>
  <si>
    <t>8936008709794</t>
  </si>
  <si>
    <t>8936008702634</t>
  </si>
  <si>
    <t>8936008702665</t>
  </si>
  <si>
    <t>8936008708483</t>
  </si>
  <si>
    <t>8936008708513</t>
  </si>
  <si>
    <t>8936008700890</t>
  </si>
  <si>
    <t>8936008700777</t>
  </si>
  <si>
    <t>8936008702931</t>
  </si>
  <si>
    <t>8936008702962</t>
  </si>
  <si>
    <t>8936008708537</t>
  </si>
  <si>
    <t>8936008700784</t>
  </si>
  <si>
    <t>8936008708773</t>
  </si>
  <si>
    <t>8936008700791</t>
  </si>
  <si>
    <t>8936008709398</t>
  </si>
  <si>
    <t>8936008708780</t>
  </si>
  <si>
    <t>8936008709381</t>
  </si>
  <si>
    <t>8936008700838</t>
  </si>
  <si>
    <t>8936008709497</t>
  </si>
  <si>
    <t>8936008703099</t>
  </si>
  <si>
    <t>8936008707196</t>
  </si>
  <si>
    <t>8936008709718</t>
  </si>
  <si>
    <t>8936008700135</t>
  </si>
  <si>
    <t>8936008703297</t>
  </si>
  <si>
    <t>8936008700593</t>
  </si>
  <si>
    <t>8936008705451</t>
  </si>
  <si>
    <t>8936008705468</t>
  </si>
  <si>
    <t>8936008709565</t>
  </si>
  <si>
    <t>8936008705475</t>
  </si>
  <si>
    <t>8936008709572</t>
  </si>
  <si>
    <t>3121044101137</t>
  </si>
  <si>
    <t>8936008705482</t>
  </si>
  <si>
    <t>8936008709589</t>
  </si>
  <si>
    <t>8936008709596</t>
  </si>
  <si>
    <t>8936008709503</t>
  </si>
  <si>
    <t>8936008709510</t>
  </si>
  <si>
    <t>8936008709527</t>
  </si>
  <si>
    <t>8936008709534</t>
  </si>
  <si>
    <t>8936008704317</t>
  </si>
  <si>
    <t>8936008704324</t>
  </si>
  <si>
    <t>8936008704300</t>
  </si>
  <si>
    <t>8936008702313</t>
  </si>
  <si>
    <t>8936008702214</t>
  </si>
  <si>
    <t>8936008705420</t>
  </si>
  <si>
    <t>8936008705437</t>
  </si>
  <si>
    <t>8936008700197</t>
  </si>
  <si>
    <t>8936008704218</t>
  </si>
  <si>
    <t>BL815EKR</t>
  </si>
  <si>
    <t>3016661153297</t>
  </si>
  <si>
    <t>Update</t>
  </si>
  <si>
    <t>Model</t>
  </si>
  <si>
    <t>Tên Sản Phẩm</t>
  </si>
  <si>
    <t>Màu sắc</t>
  </si>
  <si>
    <t>Phân Loại</t>
  </si>
  <si>
    <t>Loại Sản phẩm</t>
  </si>
  <si>
    <t>Nồi Canh</t>
  </si>
  <si>
    <t>Chảo Chiên</t>
  </si>
  <si>
    <t>Chảo chiên sâu</t>
  </si>
  <si>
    <t>Quạt Lửng</t>
  </si>
  <si>
    <t>Quạt Bàn</t>
  </si>
  <si>
    <t>Quạt Đứng</t>
  </si>
  <si>
    <t>Quạt Sưởi</t>
  </si>
  <si>
    <t>Quạt Trần</t>
  </si>
  <si>
    <t>Quạt Treo</t>
  </si>
  <si>
    <t>Quạt Trần Đảo</t>
  </si>
  <si>
    <t>Quạt khác</t>
  </si>
  <si>
    <t>Xanh Dương</t>
  </si>
  <si>
    <t>Nâu</t>
  </si>
  <si>
    <t>Chảo Chiên Sâu</t>
  </si>
  <si>
    <t>Sinh Tố</t>
  </si>
  <si>
    <t>Nồi Lẩu</t>
  </si>
  <si>
    <t>Máy Ép Trái Cây</t>
  </si>
  <si>
    <t>Bộ Nồi</t>
  </si>
  <si>
    <t>Nồi ASG</t>
  </si>
  <si>
    <t>Nồi ASĐ</t>
  </si>
  <si>
    <t>Nồi Cơm Điện</t>
  </si>
  <si>
    <t>Bếp Điện Từ</t>
  </si>
  <si>
    <t>Chảo Xào</t>
  </si>
  <si>
    <t>Bàn ủi hơi đứng</t>
  </si>
  <si>
    <t>Bàn Ủi hơi Cầm Tay</t>
  </si>
  <si>
    <t>Sinh tố cầm tay</t>
  </si>
  <si>
    <t>Quạt Đứng-Remote</t>
  </si>
  <si>
    <t>Trắng bạc</t>
  </si>
  <si>
    <t>Thiên Thanh</t>
  </si>
  <si>
    <t>Chanel MT</t>
  </si>
  <si>
    <t>Chanel GT</t>
  </si>
  <si>
    <t>Price-MT</t>
  </si>
  <si>
    <t>Price- GT</t>
  </si>
  <si>
    <t>50FC533VN-75</t>
  </si>
  <si>
    <t>D16020-DV0</t>
  </si>
  <si>
    <t>8936008709688</t>
  </si>
  <si>
    <t>D16009-XV0</t>
  </si>
  <si>
    <t>8936008709121</t>
  </si>
  <si>
    <t>L16020-DV0</t>
  </si>
  <si>
    <t>Đen bạc</t>
  </si>
  <si>
    <t>Lá Mạ</t>
  </si>
  <si>
    <t>TT356171</t>
  </si>
  <si>
    <t>TT1321</t>
  </si>
  <si>
    <t>3045386370191</t>
  </si>
  <si>
    <t>3016661147036</t>
  </si>
  <si>
    <t>Lò Nướng</t>
  </si>
  <si>
    <t>MF805</t>
  </si>
  <si>
    <t>Máy Xay Thịt</t>
  </si>
  <si>
    <t>3016661140150</t>
  </si>
  <si>
    <t>Máy Sinh tố cầm tay</t>
  </si>
  <si>
    <t>3045386358816</t>
  </si>
  <si>
    <t>Nồi Hấp</t>
  </si>
  <si>
    <t>FV5330L0</t>
  </si>
  <si>
    <t>3121040037966</t>
  </si>
  <si>
    <t>FV9603L0</t>
  </si>
  <si>
    <t>FV4870L0</t>
  </si>
  <si>
    <t>3121040051207</t>
  </si>
  <si>
    <t>GV7550E0</t>
  </si>
  <si>
    <t>3121040046388</t>
  </si>
  <si>
    <t>Bàn ủi hơi hệ thống</t>
  </si>
  <si>
    <t>FV5335</t>
  </si>
  <si>
    <t>3121040058886</t>
  </si>
  <si>
    <t>KO370840</t>
  </si>
  <si>
    <t>3045386369010</t>
  </si>
  <si>
    <t>L16017-LV0</t>
  </si>
  <si>
    <t>8936008709800</t>
  </si>
  <si>
    <t>Xanh Lá</t>
  </si>
  <si>
    <t>Xanh lá</t>
  </si>
  <si>
    <t>L16003-XV1</t>
  </si>
  <si>
    <t>Ever</t>
  </si>
  <si>
    <t>HT142138</t>
  </si>
  <si>
    <t>TG3918</t>
  </si>
  <si>
    <t>Vỉ Nướng</t>
  </si>
  <si>
    <t>Iron</t>
  </si>
  <si>
    <t>TW3786HA</t>
  </si>
  <si>
    <t>Máy Hút Bụi</t>
  </si>
  <si>
    <t>3221614000102</t>
  </si>
  <si>
    <t>3016661132278</t>
  </si>
  <si>
    <t>S05S20</t>
  </si>
  <si>
    <t>H06011-T2A</t>
  </si>
  <si>
    <t>8936042292153</t>
  </si>
  <si>
    <t>Co.op/Xtra</t>
  </si>
  <si>
    <t>Mega</t>
  </si>
  <si>
    <t>Emart</t>
  </si>
  <si>
    <t>Aeon</t>
  </si>
  <si>
    <t>Lotte</t>
  </si>
  <si>
    <t>Lan Chi</t>
  </si>
  <si>
    <t>Cao Phong</t>
  </si>
  <si>
    <t>Nguyễn Kim</t>
  </si>
  <si>
    <t>DMX</t>
  </si>
  <si>
    <t>Pico</t>
  </si>
  <si>
    <t>GT-Long Bình</t>
  </si>
  <si>
    <t>Key Model</t>
  </si>
  <si>
    <t>E-Spherical</t>
  </si>
  <si>
    <t>Easy Cooking</t>
  </si>
  <si>
    <t>Million</t>
  </si>
  <si>
    <t>Classic</t>
  </si>
  <si>
    <t>Spring Breeze</t>
  </si>
  <si>
    <t>Trắng xanh</t>
  </si>
  <si>
    <t>Lá Đậm</t>
  </si>
  <si>
    <t>Chuối Non</t>
  </si>
  <si>
    <t>Xanh Coban</t>
  </si>
  <si>
    <t>Xanh Lam</t>
  </si>
  <si>
    <t>A16008-DE0</t>
  </si>
  <si>
    <t>A16008-DM0</t>
  </si>
  <si>
    <t>A16008-DV1</t>
  </si>
  <si>
    <t>A16008-XZ0</t>
  </si>
  <si>
    <t>8936008709039</t>
  </si>
  <si>
    <t>Table fan</t>
  </si>
  <si>
    <t>Power Anti-Mosquito</t>
  </si>
  <si>
    <t>Ceiling</t>
  </si>
  <si>
    <t>Orbital</t>
  </si>
  <si>
    <t>Orbital With RC</t>
  </si>
  <si>
    <t>Trắng Sữa</t>
  </si>
  <si>
    <t>L18002-DV1</t>
  </si>
  <si>
    <t>Box fan</t>
  </si>
  <si>
    <t>Ventilation</t>
  </si>
  <si>
    <t>Re- Chargeable</t>
  </si>
  <si>
    <t>Xtra Power &amp; Clear Anti-Mosquito</t>
  </si>
  <si>
    <t>X-Tra Power&amp;Clear Anti-Mosquito</t>
  </si>
  <si>
    <t>Xtra Power &amp; Clean RC</t>
  </si>
  <si>
    <t>Xánh</t>
  </si>
  <si>
    <t>Xtra Power &amp; Clean</t>
  </si>
  <si>
    <t>Fruity</t>
  </si>
  <si>
    <t>Hồng Sen</t>
  </si>
  <si>
    <t>Đỏ Đô</t>
  </si>
  <si>
    <t>Xanh Ngọc</t>
  </si>
  <si>
    <t>Vàng</t>
  </si>
  <si>
    <t>Nhôm</t>
  </si>
  <si>
    <t>Đỏ đô</t>
  </si>
  <si>
    <t>Trắng gạo</t>
  </si>
  <si>
    <t>Mè Đen</t>
  </si>
  <si>
    <t>Xám mờ</t>
  </si>
  <si>
    <t>Chảo Sâu</t>
  </si>
  <si>
    <t>3016661147340</t>
  </si>
  <si>
    <t>EOL</t>
  </si>
  <si>
    <t>No Display</t>
  </si>
  <si>
    <t>Xtra</t>
  </si>
  <si>
    <t>Co.op /Xtra</t>
  </si>
  <si>
    <t>T0305-B</t>
  </si>
  <si>
    <t>T0305-G</t>
  </si>
  <si>
    <t>T0305-Y</t>
  </si>
  <si>
    <t>Grand Total</t>
  </si>
  <si>
    <t>Count of Model</t>
  </si>
  <si>
    <t>MT Total</t>
  </si>
  <si>
    <t>(blank)</t>
  </si>
  <si>
    <t>(blank) Total</t>
  </si>
  <si>
    <t>Product</t>
  </si>
  <si>
    <t>Type</t>
  </si>
  <si>
    <t>Stage</t>
  </si>
  <si>
    <t>Color</t>
  </si>
  <si>
    <t>Capacity</t>
  </si>
  <si>
    <t>Range</t>
  </si>
  <si>
    <t>BarCode</t>
  </si>
  <si>
    <t>NOSELL</t>
  </si>
  <si>
    <t xml:space="preserve"> </t>
  </si>
  <si>
    <t>( ProductId,AccountId)VALUES</t>
  </si>
  <si>
    <t>("&amp;C3&amp;",1030)"</t>
  </si>
  <si>
    <t>NULL</t>
  </si>
  <si>
    <t>Nguyen Kim</t>
  </si>
  <si>
    <t>Nguy?n Kim</t>
  </si>
  <si>
    <t>("&amp;C146&amp;",1031)"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</si>
</sst>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￥&quot;#,##0;&quot;￥&quot;\-#,##0"/>
    <numFmt numFmtId="165" formatCode="_ * #,##0.00_ ;_ * \-#,##0.00_ ;_ * &quot;-&quot;??_ ;_ @_ "/>
    <numFmt numFmtId="166" formatCode="_ * #,##0_ ;_ * \-#,##0_ ;_ * &quot;-&quot;??_ ;_ @_ "/>
    <numFmt numFmtId="167" formatCode="_(* #,##0_);_(* \(#,##0\);_(* &quot;-&quot;??_);_(@_)"/>
  </numFmts>
  <fonts count="83">
    <font>
      <sz val="12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8"/>
      <name val="Times New Roman"/>
      <family val="1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10"/>
      <name val="Tahoma"/>
      <family val="2"/>
    </font>
    <font>
      <sz val="9"/>
      <color indexed="14"/>
      <name val="Tahoma"/>
      <family val="2"/>
    </font>
    <font>
      <b/>
      <sz val="8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b/>
      <sz val="8"/>
      <color indexed="30"/>
      <name val="Arial"/>
      <family val="2"/>
    </font>
    <font>
      <b/>
      <sz val="8"/>
      <color indexed="17"/>
      <name val="Arial"/>
      <family val="2"/>
    </font>
    <font>
      <sz val="8"/>
      <name val="宋体"/>
      <charset val="134"/>
    </font>
    <font>
      <sz val="1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70C0"/>
      <name val="宋体"/>
      <charset val="134"/>
    </font>
    <font>
      <sz val="12"/>
      <color rgb="FFFF0000"/>
      <name val="宋体"/>
      <charset val="134"/>
    </font>
    <font>
      <sz val="12"/>
      <color rgb="FF7030A0"/>
      <name val="宋体"/>
      <charset val="134"/>
    </font>
    <font>
      <b/>
      <sz val="8"/>
      <color rgb="FFFF0000"/>
      <name val="Times New Roman"/>
      <family val="1"/>
    </font>
    <font>
      <sz val="10"/>
      <color rgb="FFFF0000"/>
      <name val="Times New Roman"/>
      <family val="1"/>
    </font>
    <font>
      <sz val="9"/>
      <color rgb="FF0070C0"/>
      <name val="Calibri"/>
      <family val="2"/>
      <scheme val="minor"/>
    </font>
    <font>
      <sz val="10"/>
      <color rgb="FF7030A0"/>
      <name val="Times New Roman"/>
      <family val="1"/>
    </font>
    <font>
      <sz val="8"/>
      <color theme="1" tint="4.9989318521683403E-2"/>
      <name val="Times New Roman"/>
      <family val="1"/>
    </font>
    <font>
      <sz val="9"/>
      <color rgb="FF7030A0"/>
      <name val="Calibri"/>
      <family val="2"/>
      <scheme val="minor"/>
    </font>
    <font>
      <sz val="8"/>
      <color rgb="FF0070C0"/>
      <name val="Times New Roman"/>
      <family val="1"/>
    </font>
    <font>
      <sz val="8"/>
      <color rgb="FFFF0000"/>
      <name val="Times New Roman"/>
      <family val="1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sz val="9"/>
      <color rgb="FF7030A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1"/>
      <color rgb="FF0070C0"/>
      <name val="Arial"/>
      <family val="2"/>
    </font>
    <font>
      <sz val="11"/>
      <color rgb="FFEA16DB"/>
      <name val="Arial"/>
      <family val="2"/>
    </font>
    <font>
      <b/>
      <sz val="11"/>
      <color rgb="FFFF000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9"/>
      <color rgb="FFEA16DB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8"/>
      <color rgb="FF7030A0"/>
      <name val="Arial"/>
      <family val="2"/>
    </font>
    <font>
      <sz val="11"/>
      <color rgb="FF7030A0"/>
      <name val="Arial"/>
      <family val="2"/>
    </font>
    <font>
      <sz val="14"/>
      <color rgb="FF7030A0"/>
      <name val="Arial"/>
      <family val="2"/>
    </font>
    <font>
      <sz val="11"/>
      <color theme="5" tint="-0.249977111117893"/>
      <name val="Arial"/>
      <family val="2"/>
    </font>
    <font>
      <sz val="14"/>
      <color theme="5" tint="-0.249977111117893"/>
      <name val="Arial"/>
      <family val="2"/>
    </font>
    <font>
      <sz val="12"/>
      <color theme="5" tint="-0.249977111117893"/>
      <name val="Arial"/>
      <family val="2"/>
    </font>
    <font>
      <b/>
      <sz val="8"/>
      <color rgb="FFFF0000"/>
      <name val="Arial"/>
      <family val="2"/>
    </font>
    <font>
      <sz val="8"/>
      <color rgb="FFEA16DB"/>
      <name val="Arial"/>
      <family val="2"/>
    </font>
    <font>
      <b/>
      <sz val="16"/>
      <color theme="0"/>
      <name val="Arial"/>
      <family val="2"/>
    </font>
    <font>
      <sz val="11"/>
      <color rgb="FFFF0000"/>
      <name val="Arial"/>
      <family val="2"/>
    </font>
    <font>
      <b/>
      <sz val="10"/>
      <color rgb="FF00B05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8"/>
      <color rgb="FF0070C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002060"/>
      <name val="Arial"/>
      <family val="2"/>
    </font>
    <font>
      <sz val="8"/>
      <color rgb="FF002060"/>
      <name val="Arial"/>
      <family val="2"/>
    </font>
    <font>
      <sz val="9"/>
      <color rgb="FF002060"/>
      <name val="Arial"/>
      <family val="2"/>
    </font>
    <font>
      <sz val="10"/>
      <color rgb="FFFFC000"/>
      <name val="Arial"/>
      <family val="2"/>
    </font>
    <font>
      <sz val="10"/>
      <color rgb="FF00B050"/>
      <name val="Arial"/>
      <family val="2"/>
    </font>
    <font>
      <sz val="10"/>
      <color rgb="FFFF33CC"/>
      <name val="Arial"/>
      <family val="2"/>
    </font>
    <font>
      <b/>
      <sz val="10"/>
      <color rgb="FFFF3399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18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hair">
        <color rgb="FFFF0000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rgb="FFFF0000"/>
      </bottom>
      <diagonal/>
    </border>
    <border>
      <left style="thick">
        <color rgb="FFFF0000"/>
      </left>
      <right style="hair">
        <color indexed="64"/>
      </right>
      <top/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rgb="FFFF0000"/>
      </bottom>
      <diagonal/>
    </border>
    <border>
      <left style="hair">
        <color indexed="64"/>
      </left>
      <right style="hair">
        <color indexed="64"/>
      </right>
      <top style="thick">
        <color rgb="FFFF0000"/>
      </top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thick">
        <color rgb="FFFF0000"/>
      </top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ck">
        <color rgb="FFFF0000"/>
      </top>
      <bottom style="hair">
        <color indexed="64"/>
      </bottom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9"/>
      </top>
      <bottom/>
      <diagonal/>
    </border>
  </borders>
  <cellStyleXfs count="257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1" fillId="0" borderId="0">
      <alignment vertical="top"/>
    </xf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2" fillId="0" borderId="0">
      <alignment vertical="center"/>
    </xf>
    <xf numFmtId="0" fontId="1" fillId="0" borderId="0"/>
  </cellStyleXfs>
  <cellXfs count="41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6" fillId="0" borderId="0" xfId="241"/>
    <xf numFmtId="0" fontId="3" fillId="0" borderId="1" xfId="240" applyFont="1" applyFill="1" applyBorder="1" applyAlignment="1">
      <alignment horizontal="center" vertical="center"/>
    </xf>
    <xf numFmtId="0" fontId="3" fillId="0" borderId="1" xfId="240" applyFont="1" applyBorder="1" applyAlignment="1">
      <alignment horizontal="center" vertical="center" wrapText="1"/>
    </xf>
    <xf numFmtId="0" fontId="3" fillId="0" borderId="1" xfId="240" applyFont="1" applyBorder="1" applyAlignment="1">
      <alignment horizontal="center" vertical="center"/>
    </xf>
    <xf numFmtId="0" fontId="3" fillId="0" borderId="1" xfId="255" applyFont="1" applyFill="1" applyBorder="1" applyAlignment="1">
      <alignment horizontal="center" vertical="center"/>
    </xf>
    <xf numFmtId="0" fontId="3" fillId="0" borderId="1" xfId="240" applyFont="1" applyFill="1" applyBorder="1" applyAlignment="1">
      <alignment horizontal="center" vertical="center" wrapText="1"/>
    </xf>
    <xf numFmtId="0" fontId="3" fillId="3" borderId="1" xfId="240" applyFont="1" applyFill="1" applyBorder="1" applyAlignment="1">
      <alignment horizontal="center" vertical="center"/>
    </xf>
    <xf numFmtId="0" fontId="30" fillId="0" borderId="1" xfId="240" applyFont="1" applyFill="1" applyBorder="1" applyAlignment="1">
      <alignment horizontal="center" vertical="center"/>
    </xf>
    <xf numFmtId="0" fontId="3" fillId="4" borderId="1" xfId="240" applyFont="1" applyFill="1" applyBorder="1" applyAlignment="1">
      <alignment horizontal="center" vertical="center"/>
    </xf>
    <xf numFmtId="0" fontId="3" fillId="0" borderId="1" xfId="250" applyFont="1" applyFill="1" applyBorder="1" applyAlignment="1">
      <alignment horizontal="center" vertical="center" wrapText="1"/>
    </xf>
    <xf numFmtId="0" fontId="3" fillId="0" borderId="1" xfId="255" applyFont="1" applyFill="1" applyBorder="1" applyAlignment="1">
      <alignment horizontal="center" vertical="center" wrapText="1"/>
    </xf>
    <xf numFmtId="0" fontId="30" fillId="0" borderId="1" xfId="250" applyFont="1" applyFill="1" applyBorder="1" applyAlignment="1">
      <alignment horizontal="center" vertical="center" wrapText="1"/>
    </xf>
    <xf numFmtId="167" fontId="31" fillId="2" borderId="1" xfId="2" applyNumberFormat="1" applyFont="1" applyFill="1" applyBorder="1" applyAlignment="1" applyProtection="1">
      <alignment horizontal="left" vertical="center" wrapText="1"/>
      <protection locked="0"/>
    </xf>
    <xf numFmtId="167" fontId="32" fillId="0" borderId="1" xfId="2" applyNumberFormat="1" applyFont="1" applyBorder="1" applyAlignment="1">
      <alignment vertical="center"/>
    </xf>
    <xf numFmtId="167" fontId="32" fillId="0" borderId="1" xfId="2" applyNumberFormat="1" applyFont="1" applyFill="1" applyBorder="1" applyAlignment="1">
      <alignment vertical="center"/>
    </xf>
    <xf numFmtId="0" fontId="28" fillId="0" borderId="0" xfId="240" applyFont="1"/>
    <xf numFmtId="167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167" fontId="29" fillId="0" borderId="0" xfId="240" applyNumberFormat="1" applyFont="1"/>
    <xf numFmtId="167" fontId="26" fillId="0" borderId="0" xfId="241" applyNumberFormat="1"/>
    <xf numFmtId="0" fontId="3" fillId="0" borderId="1" xfId="80" applyFont="1" applyBorder="1" applyAlignment="1">
      <alignment horizontal="center" vertical="center" wrapText="1"/>
    </xf>
    <xf numFmtId="0" fontId="3" fillId="0" borderId="0" xfId="240" applyFont="1" applyFill="1" applyBorder="1" applyAlignment="1">
      <alignment horizontal="center" vertical="center" wrapText="1"/>
    </xf>
    <xf numFmtId="0" fontId="3" fillId="0" borderId="0" xfId="240" applyFont="1" applyFill="1" applyBorder="1" applyAlignment="1">
      <alignment horizontal="center" vertical="center"/>
    </xf>
    <xf numFmtId="0" fontId="26" fillId="0" borderId="0" xfId="241" applyFill="1" applyBorder="1"/>
    <xf numFmtId="167" fontId="29" fillId="0" borderId="0" xfId="240" applyNumberFormat="1" applyFont="1" applyFill="1" applyBorder="1"/>
    <xf numFmtId="0" fontId="0" fillId="0" borderId="0" xfId="0" applyFill="1" applyBorder="1"/>
    <xf numFmtId="0" fontId="3" fillId="5" borderId="13" xfId="240" applyFont="1" applyFill="1" applyBorder="1" applyAlignment="1">
      <alignment horizontal="center" vertical="center" wrapText="1"/>
    </xf>
    <xf numFmtId="0" fontId="3" fillId="0" borderId="14" xfId="240" applyFont="1" applyFill="1" applyBorder="1" applyAlignment="1">
      <alignment horizontal="center" vertical="center"/>
    </xf>
    <xf numFmtId="0" fontId="3" fillId="3" borderId="13" xfId="240" applyFont="1" applyFill="1" applyBorder="1" applyAlignment="1">
      <alignment horizontal="center" vertical="center"/>
    </xf>
    <xf numFmtId="0" fontId="34" fillId="0" borderId="1" xfId="240" applyFont="1" applyFill="1" applyBorder="1" applyAlignment="1">
      <alignment horizontal="center" vertical="center"/>
    </xf>
    <xf numFmtId="0" fontId="34" fillId="0" borderId="1" xfId="240" applyFont="1" applyFill="1" applyBorder="1" applyAlignment="1">
      <alignment horizontal="center" vertical="center" wrapText="1"/>
    </xf>
    <xf numFmtId="0" fontId="3" fillId="0" borderId="1" xfId="241" applyFont="1" applyFill="1" applyBorder="1" applyAlignment="1">
      <alignment horizontal="center" vertical="center"/>
    </xf>
    <xf numFmtId="0" fontId="30" fillId="0" borderId="1" xfId="241" applyFont="1" applyFill="1" applyBorder="1" applyAlignment="1">
      <alignment horizontal="center" vertical="center"/>
    </xf>
    <xf numFmtId="167" fontId="31" fillId="6" borderId="2" xfId="2" applyNumberFormat="1" applyFont="1" applyFill="1" applyBorder="1" applyAlignment="1" applyProtection="1">
      <alignment horizontal="left" vertical="center" wrapText="1"/>
      <protection locked="0"/>
    </xf>
    <xf numFmtId="0" fontId="3" fillId="7" borderId="1" xfId="80" applyFont="1" applyFill="1" applyBorder="1" applyAlignment="1">
      <alignment horizontal="center" vertical="center" wrapText="1"/>
    </xf>
    <xf numFmtId="167" fontId="35" fillId="0" borderId="1" xfId="2" applyNumberFormat="1" applyFont="1" applyBorder="1" applyAlignment="1">
      <alignment vertical="center"/>
    </xf>
    <xf numFmtId="167" fontId="32" fillId="8" borderId="1" xfId="13" applyNumberFormat="1" applyFont="1" applyFill="1" applyBorder="1" applyAlignment="1">
      <alignment vertical="center"/>
    </xf>
    <xf numFmtId="167" fontId="36" fillId="8" borderId="1" xfId="13" applyNumberFormat="1" applyFont="1" applyFill="1" applyBorder="1" applyAlignment="1">
      <alignment horizontal="center" vertical="center"/>
    </xf>
    <xf numFmtId="167" fontId="35" fillId="0" borderId="1" xfId="2" applyNumberFormat="1" applyFont="1" applyFill="1" applyBorder="1" applyAlignment="1">
      <alignment vertical="center"/>
    </xf>
    <xf numFmtId="0" fontId="3" fillId="5" borderId="1" xfId="240" applyFont="1" applyFill="1" applyBorder="1" applyAlignment="1">
      <alignment horizontal="center" vertical="center" wrapText="1"/>
    </xf>
    <xf numFmtId="0" fontId="3" fillId="0" borderId="15" xfId="240" applyFont="1" applyFill="1" applyBorder="1" applyAlignment="1">
      <alignment horizontal="center" vertical="center"/>
    </xf>
    <xf numFmtId="0" fontId="3" fillId="0" borderId="3" xfId="240" applyFont="1" applyFill="1" applyBorder="1" applyAlignment="1">
      <alignment horizontal="center" vertical="center"/>
    </xf>
    <xf numFmtId="0" fontId="3" fillId="0" borderId="3" xfId="80" applyFont="1" applyBorder="1" applyAlignment="1">
      <alignment horizontal="center" vertical="center" wrapText="1"/>
    </xf>
    <xf numFmtId="0" fontId="3" fillId="0" borderId="3" xfId="240" applyFont="1" applyBorder="1" applyAlignment="1">
      <alignment horizontal="center" vertical="center" wrapText="1"/>
    </xf>
    <xf numFmtId="0" fontId="3" fillId="0" borderId="3" xfId="255" applyFont="1" applyFill="1" applyBorder="1" applyAlignment="1">
      <alignment horizontal="center" vertical="center"/>
    </xf>
    <xf numFmtId="0" fontId="3" fillId="0" borderId="3" xfId="250" applyFont="1" applyFill="1" applyBorder="1" applyAlignment="1">
      <alignment horizontal="center" vertical="center" wrapText="1"/>
    </xf>
    <xf numFmtId="167" fontId="36" fillId="8" borderId="3" xfId="13" applyNumberFormat="1" applyFont="1" applyFill="1" applyBorder="1" applyAlignment="1">
      <alignment horizontal="center" vertical="center"/>
    </xf>
    <xf numFmtId="167" fontId="31" fillId="2" borderId="3" xfId="2" applyNumberFormat="1" applyFont="1" applyFill="1" applyBorder="1" applyAlignment="1" applyProtection="1">
      <alignment horizontal="left" vertical="center" wrapText="1"/>
      <protection locked="0"/>
    </xf>
    <xf numFmtId="167" fontId="33" fillId="2" borderId="3" xfId="2" applyNumberFormat="1" applyFont="1" applyFill="1" applyBorder="1" applyAlignment="1" applyProtection="1">
      <alignment horizontal="left" vertical="center" wrapText="1"/>
      <protection locked="0"/>
    </xf>
    <xf numFmtId="0" fontId="3" fillId="3" borderId="3" xfId="240" applyFont="1" applyFill="1" applyBorder="1" applyAlignment="1">
      <alignment horizontal="center" vertical="center"/>
    </xf>
    <xf numFmtId="0" fontId="3" fillId="4" borderId="3" xfId="240" applyFont="1" applyFill="1" applyBorder="1" applyAlignment="1">
      <alignment horizontal="center" vertical="center"/>
    </xf>
    <xf numFmtId="0" fontId="3" fillId="3" borderId="16" xfId="240" applyFont="1" applyFill="1" applyBorder="1" applyAlignment="1">
      <alignment horizontal="center" vertical="center"/>
    </xf>
    <xf numFmtId="0" fontId="3" fillId="0" borderId="17" xfId="240" applyFont="1" applyFill="1" applyBorder="1" applyAlignment="1">
      <alignment horizontal="center" vertical="center"/>
    </xf>
    <xf numFmtId="0" fontId="3" fillId="0" borderId="18" xfId="240" applyFont="1" applyFill="1" applyBorder="1" applyAlignment="1">
      <alignment horizontal="center" vertical="center"/>
    </xf>
    <xf numFmtId="0" fontId="3" fillId="7" borderId="18" xfId="80" applyFont="1" applyFill="1" applyBorder="1" applyAlignment="1">
      <alignment horizontal="center" vertical="center" wrapText="1"/>
    </xf>
    <xf numFmtId="0" fontId="37" fillId="0" borderId="18" xfId="255" applyFont="1" applyFill="1" applyBorder="1" applyAlignment="1">
      <alignment horizontal="center" vertical="center"/>
    </xf>
    <xf numFmtId="0" fontId="3" fillId="0" borderId="18" xfId="240" applyFont="1" applyFill="1" applyBorder="1" applyAlignment="1">
      <alignment horizontal="center" vertical="center" wrapText="1"/>
    </xf>
    <xf numFmtId="167" fontId="32" fillId="0" borderId="18" xfId="2" applyNumberFormat="1" applyFont="1" applyBorder="1" applyAlignment="1">
      <alignment vertical="center"/>
    </xf>
    <xf numFmtId="167" fontId="31" fillId="2" borderId="18" xfId="2" applyNumberFormat="1" applyFont="1" applyFill="1" applyBorder="1" applyAlignment="1" applyProtection="1">
      <alignment horizontal="left" vertical="center" wrapText="1"/>
      <protection locked="0"/>
    </xf>
    <xf numFmtId="167" fontId="33" fillId="2" borderId="18" xfId="2" applyNumberFormat="1" applyFont="1" applyFill="1" applyBorder="1" applyAlignment="1" applyProtection="1">
      <alignment horizontal="left" vertical="center" wrapText="1"/>
      <protection locked="0"/>
    </xf>
    <xf numFmtId="0" fontId="3" fillId="3" borderId="18" xfId="240" applyFont="1" applyFill="1" applyBorder="1" applyAlignment="1">
      <alignment horizontal="center" vertical="center"/>
    </xf>
    <xf numFmtId="0" fontId="3" fillId="4" borderId="18" xfId="240" applyFont="1" applyFill="1" applyBorder="1" applyAlignment="1">
      <alignment horizontal="center" vertical="center"/>
    </xf>
    <xf numFmtId="0" fontId="3" fillId="3" borderId="19" xfId="240" applyFont="1" applyFill="1" applyBorder="1" applyAlignment="1">
      <alignment horizontal="center" vertical="center"/>
    </xf>
    <xf numFmtId="0" fontId="3" fillId="0" borderId="18" xfId="80" applyFont="1" applyBorder="1" applyAlignment="1">
      <alignment horizontal="center" vertical="center" wrapText="1"/>
    </xf>
    <xf numFmtId="0" fontId="36" fillId="0" borderId="18" xfId="255" applyFont="1" applyFill="1" applyBorder="1" applyAlignment="1">
      <alignment horizontal="center" vertical="center" wrapText="1"/>
    </xf>
    <xf numFmtId="167" fontId="35" fillId="0" borderId="18" xfId="2" applyNumberFormat="1" applyFont="1" applyBorder="1" applyAlignment="1">
      <alignment vertical="center"/>
    </xf>
    <xf numFmtId="0" fontId="3" fillId="0" borderId="18" xfId="255" applyFont="1" applyFill="1" applyBorder="1" applyAlignment="1">
      <alignment horizontal="center" vertical="center"/>
    </xf>
    <xf numFmtId="0" fontId="36" fillId="0" borderId="18" xfId="255" applyFont="1" applyFill="1" applyBorder="1" applyAlignment="1">
      <alignment horizontal="center" vertical="center"/>
    </xf>
    <xf numFmtId="0" fontId="3" fillId="0" borderId="18" xfId="240" applyFont="1" applyBorder="1" applyAlignment="1">
      <alignment horizontal="center" vertical="center" wrapText="1"/>
    </xf>
    <xf numFmtId="167" fontId="32" fillId="8" borderId="18" xfId="13" applyNumberFormat="1" applyFont="1" applyFill="1" applyBorder="1" applyAlignment="1">
      <alignment vertical="center"/>
    </xf>
    <xf numFmtId="167" fontId="36" fillId="8" borderId="18" xfId="13" applyNumberFormat="1" applyFont="1" applyFill="1" applyBorder="1" applyAlignment="1">
      <alignment horizontal="center" vertical="center"/>
    </xf>
    <xf numFmtId="0" fontId="3" fillId="0" borderId="20" xfId="240" applyFont="1" applyFill="1" applyBorder="1" applyAlignment="1">
      <alignment horizontal="center" vertical="center"/>
    </xf>
    <xf numFmtId="0" fontId="3" fillId="0" borderId="21" xfId="240" applyFont="1" applyFill="1" applyBorder="1" applyAlignment="1">
      <alignment horizontal="center" vertical="center"/>
    </xf>
    <xf numFmtId="0" fontId="3" fillId="0" borderId="21" xfId="80" applyFont="1" applyBorder="1" applyAlignment="1">
      <alignment horizontal="center" vertical="center" wrapText="1"/>
    </xf>
    <xf numFmtId="0" fontId="3" fillId="0" borderId="21" xfId="240" applyFont="1" applyBorder="1" applyAlignment="1">
      <alignment horizontal="center" vertical="center" wrapText="1"/>
    </xf>
    <xf numFmtId="0" fontId="3" fillId="0" borderId="21" xfId="255" applyFont="1" applyFill="1" applyBorder="1" applyAlignment="1">
      <alignment horizontal="center" vertical="center"/>
    </xf>
    <xf numFmtId="167" fontId="36" fillId="8" borderId="21" xfId="13" applyNumberFormat="1" applyFont="1" applyFill="1" applyBorder="1" applyAlignment="1">
      <alignment horizontal="center" vertical="center"/>
    </xf>
    <xf numFmtId="167" fontId="31" fillId="2" borderId="21" xfId="2" applyNumberFormat="1" applyFont="1" applyFill="1" applyBorder="1" applyAlignment="1" applyProtection="1">
      <alignment horizontal="left" vertical="center" wrapText="1"/>
      <protection locked="0"/>
    </xf>
    <xf numFmtId="167" fontId="33" fillId="2" borderId="21" xfId="2" applyNumberFormat="1" applyFont="1" applyFill="1" applyBorder="1" applyAlignment="1" applyProtection="1">
      <alignment horizontal="left" vertical="center" wrapText="1"/>
      <protection locked="0"/>
    </xf>
    <xf numFmtId="0" fontId="3" fillId="3" borderId="21" xfId="240" applyFont="1" applyFill="1" applyBorder="1" applyAlignment="1">
      <alignment horizontal="center" vertical="center"/>
    </xf>
    <xf numFmtId="0" fontId="3" fillId="4" borderId="21" xfId="240" applyFont="1" applyFill="1" applyBorder="1" applyAlignment="1">
      <alignment horizontal="center" vertical="center"/>
    </xf>
    <xf numFmtId="0" fontId="3" fillId="3" borderId="22" xfId="240" applyFont="1" applyFill="1" applyBorder="1" applyAlignment="1">
      <alignment horizontal="center" vertical="center"/>
    </xf>
    <xf numFmtId="0" fontId="3" fillId="0" borderId="18" xfId="80" applyFont="1" applyFill="1" applyBorder="1" applyAlignment="1">
      <alignment horizontal="center" vertical="center" wrapText="1"/>
    </xf>
    <xf numFmtId="0" fontId="3" fillId="0" borderId="21" xfId="240" applyFont="1" applyFill="1" applyBorder="1" applyAlignment="1">
      <alignment horizontal="center" vertical="center" wrapText="1"/>
    </xf>
    <xf numFmtId="0" fontId="12" fillId="0" borderId="0" xfId="0" applyFont="1"/>
    <xf numFmtId="0" fontId="38" fillId="0" borderId="0" xfId="0" applyFont="1"/>
    <xf numFmtId="0" fontId="39" fillId="0" borderId="0" xfId="0" applyFont="1"/>
    <xf numFmtId="0" fontId="12" fillId="0" borderId="0" xfId="0" applyFont="1" applyFill="1" applyBorder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0" fillId="0" borderId="0" xfId="241" applyFont="1"/>
    <xf numFmtId="0" fontId="13" fillId="0" borderId="4" xfId="240" applyFont="1" applyFill="1" applyBorder="1" applyAlignment="1">
      <alignment horizontal="center" vertical="center"/>
    </xf>
    <xf numFmtId="0" fontId="13" fillId="0" borderId="4" xfId="240" applyFont="1" applyBorder="1" applyAlignment="1">
      <alignment horizontal="center" vertical="center" wrapText="1"/>
    </xf>
    <xf numFmtId="0" fontId="13" fillId="0" borderId="4" xfId="255" applyFont="1" applyFill="1" applyBorder="1" applyAlignment="1">
      <alignment horizontal="center" vertical="center" wrapText="1"/>
    </xf>
    <xf numFmtId="0" fontId="13" fillId="0" borderId="4" xfId="240" applyFont="1" applyFill="1" applyBorder="1" applyAlignment="1">
      <alignment horizontal="center" vertical="center" wrapText="1"/>
    </xf>
    <xf numFmtId="0" fontId="13" fillId="0" borderId="4" xfId="80" applyFont="1" applyBorder="1" applyAlignment="1">
      <alignment horizontal="center" vertical="center" wrapText="1"/>
    </xf>
    <xf numFmtId="0" fontId="13" fillId="0" borderId="4" xfId="255" applyFont="1" applyFill="1" applyBorder="1" applyAlignment="1">
      <alignment horizontal="center" vertical="center"/>
    </xf>
    <xf numFmtId="0" fontId="13" fillId="0" borderId="23" xfId="240" applyFont="1" applyFill="1" applyBorder="1" applyAlignment="1">
      <alignment horizontal="center" vertical="center"/>
    </xf>
    <xf numFmtId="0" fontId="13" fillId="0" borderId="23" xfId="80" applyFont="1" applyBorder="1" applyAlignment="1">
      <alignment horizontal="center" vertical="center" wrapText="1"/>
    </xf>
    <xf numFmtId="0" fontId="13" fillId="0" borderId="23" xfId="255" applyFont="1" applyFill="1" applyBorder="1" applyAlignment="1">
      <alignment horizontal="center" vertical="center"/>
    </xf>
    <xf numFmtId="0" fontId="13" fillId="0" borderId="24" xfId="240" applyFont="1" applyFill="1" applyBorder="1" applyAlignment="1">
      <alignment horizontal="center" vertical="center"/>
    </xf>
    <xf numFmtId="0" fontId="13" fillId="0" borderId="5" xfId="240" applyFont="1" applyFill="1" applyBorder="1" applyAlignment="1">
      <alignment horizontal="center" vertical="center"/>
    </xf>
    <xf numFmtId="0" fontId="13" fillId="7" borderId="5" xfId="80" applyFont="1" applyFill="1" applyBorder="1" applyAlignment="1">
      <alignment horizontal="center" vertical="center" wrapText="1"/>
    </xf>
    <xf numFmtId="0" fontId="13" fillId="0" borderId="5" xfId="240" applyFont="1" applyFill="1" applyBorder="1" applyAlignment="1">
      <alignment horizontal="center" vertical="center" wrapText="1"/>
    </xf>
    <xf numFmtId="0" fontId="41" fillId="0" borderId="4" xfId="255" applyFont="1" applyFill="1" applyBorder="1" applyAlignment="1">
      <alignment horizontal="center" vertical="center"/>
    </xf>
    <xf numFmtId="0" fontId="13" fillId="0" borderId="4" xfId="80" applyFont="1" applyFill="1" applyBorder="1" applyAlignment="1">
      <alignment horizontal="center" vertical="center" wrapText="1"/>
    </xf>
    <xf numFmtId="0" fontId="42" fillId="0" borderId="4" xfId="255" applyFont="1" applyFill="1" applyBorder="1" applyAlignment="1">
      <alignment horizontal="center" vertical="center" wrapText="1"/>
    </xf>
    <xf numFmtId="0" fontId="42" fillId="0" borderId="4" xfId="255" applyFont="1" applyFill="1" applyBorder="1" applyAlignment="1">
      <alignment horizontal="center" vertical="center"/>
    </xf>
    <xf numFmtId="0" fontId="41" fillId="0" borderId="5" xfId="255" applyFont="1" applyFill="1" applyBorder="1" applyAlignment="1">
      <alignment horizontal="center" vertical="center"/>
    </xf>
    <xf numFmtId="0" fontId="13" fillId="0" borderId="5" xfId="240" applyFont="1" applyBorder="1" applyAlignment="1">
      <alignment horizontal="center" vertical="center" wrapText="1"/>
    </xf>
    <xf numFmtId="0" fontId="13" fillId="0" borderId="5" xfId="255" applyFont="1" applyFill="1" applyBorder="1" applyAlignment="1">
      <alignment horizontal="center" vertical="center" wrapText="1"/>
    </xf>
    <xf numFmtId="167" fontId="43" fillId="0" borderId="5" xfId="2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/>
    <xf numFmtId="0" fontId="13" fillId="0" borderId="4" xfId="240" applyFont="1" applyBorder="1" applyAlignment="1">
      <alignment horizontal="center" vertical="center"/>
    </xf>
    <xf numFmtId="0" fontId="2" fillId="0" borderId="0" xfId="0" applyFont="1"/>
    <xf numFmtId="0" fontId="44" fillId="0" borderId="4" xfId="240" applyFont="1" applyFill="1" applyBorder="1" applyAlignment="1">
      <alignment horizontal="center" vertical="center"/>
    </xf>
    <xf numFmtId="0" fontId="44" fillId="9" borderId="4" xfId="240" applyFont="1" applyFill="1" applyBorder="1" applyAlignment="1">
      <alignment horizontal="center" vertical="center"/>
    </xf>
    <xf numFmtId="0" fontId="45" fillId="0" borderId="0" xfId="241" applyFont="1"/>
    <xf numFmtId="0" fontId="46" fillId="0" borderId="4" xfId="255" applyFont="1" applyFill="1" applyBorder="1" applyAlignment="1">
      <alignment horizontal="center" vertical="center"/>
    </xf>
    <xf numFmtId="0" fontId="44" fillId="0" borderId="4" xfId="255" applyFont="1" applyFill="1" applyBorder="1" applyAlignment="1">
      <alignment horizontal="center" vertical="center"/>
    </xf>
    <xf numFmtId="0" fontId="44" fillId="0" borderId="23" xfId="240" applyFont="1" applyBorder="1" applyAlignment="1">
      <alignment horizontal="center" vertical="center" wrapText="1"/>
    </xf>
    <xf numFmtId="0" fontId="46" fillId="0" borderId="4" xfId="255" applyFont="1" applyFill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0" fontId="49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44" fillId="4" borderId="4" xfId="240" applyFont="1" applyFill="1" applyBorder="1" applyAlignment="1">
      <alignment horizontal="center" vertical="center" wrapText="1"/>
    </xf>
    <xf numFmtId="0" fontId="44" fillId="4" borderId="4" xfId="255" applyFont="1" applyFill="1" applyBorder="1" applyAlignment="1">
      <alignment horizontal="center" vertical="center"/>
    </xf>
    <xf numFmtId="0" fontId="44" fillId="4" borderId="4" xfId="255" applyFont="1" applyFill="1" applyBorder="1" applyAlignment="1">
      <alignment horizontal="center" vertical="center" wrapText="1"/>
    </xf>
    <xf numFmtId="0" fontId="13" fillId="7" borderId="6" xfId="240" applyFont="1" applyFill="1" applyBorder="1" applyAlignment="1">
      <alignment horizontal="center" vertical="center" wrapText="1"/>
    </xf>
    <xf numFmtId="0" fontId="52" fillId="0" borderId="4" xfId="0" applyFont="1" applyFill="1" applyBorder="1" applyAlignment="1">
      <alignment horizontal="center" vertical="center"/>
    </xf>
    <xf numFmtId="0" fontId="15" fillId="10" borderId="7" xfId="240" applyFont="1" applyFill="1" applyBorder="1" applyAlignment="1">
      <alignment horizontal="center" vertical="center" wrapText="1"/>
    </xf>
    <xf numFmtId="0" fontId="13" fillId="10" borderId="6" xfId="240" applyFont="1" applyFill="1" applyBorder="1" applyAlignment="1">
      <alignment horizontal="center" vertical="center" wrapText="1"/>
    </xf>
    <xf numFmtId="0" fontId="15" fillId="11" borderId="7" xfId="240" applyFont="1" applyFill="1" applyBorder="1" applyAlignment="1">
      <alignment horizontal="center" vertical="center" wrapText="1"/>
    </xf>
    <xf numFmtId="0" fontId="13" fillId="11" borderId="6" xfId="240" applyFont="1" applyFill="1" applyBorder="1" applyAlignment="1">
      <alignment horizontal="center" vertical="center" wrapText="1"/>
    </xf>
    <xf numFmtId="0" fontId="15" fillId="12" borderId="7" xfId="240" applyFont="1" applyFill="1" applyBorder="1" applyAlignment="1">
      <alignment horizontal="center" vertical="center" wrapText="1"/>
    </xf>
    <xf numFmtId="0" fontId="13" fillId="12" borderId="6" xfId="240" applyFont="1" applyFill="1" applyBorder="1" applyAlignment="1">
      <alignment horizontal="center" vertical="center" wrapText="1"/>
    </xf>
    <xf numFmtId="0" fontId="15" fillId="13" borderId="7" xfId="240" applyFont="1" applyFill="1" applyBorder="1" applyAlignment="1">
      <alignment horizontal="center" vertical="center" wrapText="1"/>
    </xf>
    <xf numFmtId="0" fontId="13" fillId="13" borderId="6" xfId="240" applyFont="1" applyFill="1" applyBorder="1" applyAlignment="1">
      <alignment horizontal="center" vertical="center" wrapText="1"/>
    </xf>
    <xf numFmtId="0" fontId="17" fillId="14" borderId="0" xfId="0" applyFont="1" applyFill="1"/>
    <xf numFmtId="0" fontId="17" fillId="7" borderId="0" xfId="0" applyFont="1" applyFill="1"/>
    <xf numFmtId="0" fontId="16" fillId="14" borderId="0" xfId="0" applyFont="1" applyFill="1" applyAlignment="1">
      <alignment horizontal="center" vertical="center"/>
    </xf>
    <xf numFmtId="167" fontId="16" fillId="14" borderId="0" xfId="1" applyNumberFormat="1" applyFont="1" applyFill="1" applyAlignment="1">
      <alignment horizontal="center" vertical="center"/>
    </xf>
    <xf numFmtId="167" fontId="53" fillId="7" borderId="0" xfId="1" applyNumberFormat="1" applyFont="1" applyFill="1" applyAlignment="1">
      <alignment horizontal="center" vertical="center"/>
    </xf>
    <xf numFmtId="0" fontId="53" fillId="0" borderId="0" xfId="0" applyFont="1"/>
    <xf numFmtId="0" fontId="54" fillId="15" borderId="0" xfId="0" applyFont="1" applyFill="1" applyAlignment="1">
      <alignment vertical="center"/>
    </xf>
    <xf numFmtId="9" fontId="53" fillId="15" borderId="0" xfId="251" applyFont="1" applyFill="1"/>
    <xf numFmtId="0" fontId="14" fillId="0" borderId="0" xfId="241" applyFont="1"/>
    <xf numFmtId="0" fontId="14" fillId="0" borderId="0" xfId="241" applyFont="1" applyAlignment="1">
      <alignment horizontal="center" vertical="center"/>
    </xf>
    <xf numFmtId="0" fontId="16" fillId="0" borderId="0" xfId="0" applyFont="1"/>
    <xf numFmtId="167" fontId="55" fillId="0" borderId="5" xfId="2" applyNumberFormat="1" applyFont="1" applyFill="1" applyBorder="1" applyAlignment="1" applyProtection="1">
      <alignment horizontal="left" vertical="center" wrapText="1"/>
      <protection locked="0"/>
    </xf>
    <xf numFmtId="0" fontId="13" fillId="16" borderId="6" xfId="240" applyFont="1" applyFill="1" applyBorder="1" applyAlignment="1">
      <alignment horizontal="center" vertical="center" wrapText="1"/>
    </xf>
    <xf numFmtId="0" fontId="13" fillId="16" borderId="5" xfId="240" applyFont="1" applyFill="1" applyBorder="1" applyAlignment="1">
      <alignment horizontal="center" vertical="center" wrapText="1"/>
    </xf>
    <xf numFmtId="167" fontId="56" fillId="16" borderId="5" xfId="1" applyNumberFormat="1" applyFont="1" applyFill="1" applyBorder="1" applyAlignment="1">
      <alignment horizontal="center" vertical="center" wrapText="1"/>
    </xf>
    <xf numFmtId="0" fontId="57" fillId="0" borderId="0" xfId="241" applyFont="1"/>
    <xf numFmtId="0" fontId="58" fillId="0" borderId="0" xfId="240" applyFont="1"/>
    <xf numFmtId="0" fontId="39" fillId="0" borderId="0" xfId="240" applyFont="1"/>
    <xf numFmtId="0" fontId="57" fillId="0" borderId="0" xfId="241" applyFont="1" applyAlignment="1">
      <alignment horizontal="center" vertical="center"/>
    </xf>
    <xf numFmtId="167" fontId="57" fillId="0" borderId="0" xfId="1" applyNumberFormat="1" applyFont="1" applyAlignment="1">
      <alignment horizontal="center" vertical="center"/>
    </xf>
    <xf numFmtId="0" fontId="17" fillId="0" borderId="0" xfId="241" applyFont="1"/>
    <xf numFmtId="167" fontId="14" fillId="0" borderId="0" xfId="1" applyNumberFormat="1" applyFont="1" applyAlignment="1">
      <alignment horizontal="center" vertical="center"/>
    </xf>
    <xf numFmtId="0" fontId="59" fillId="0" borderId="0" xfId="241" applyFont="1"/>
    <xf numFmtId="0" fontId="60" fillId="0" borderId="0" xfId="241" applyFont="1"/>
    <xf numFmtId="0" fontId="59" fillId="0" borderId="0" xfId="241" applyFont="1" applyAlignment="1">
      <alignment horizontal="center" vertical="center"/>
    </xf>
    <xf numFmtId="167" fontId="59" fillId="0" borderId="0" xfId="1" applyNumberFormat="1" applyFont="1" applyAlignment="1">
      <alignment horizontal="center" vertical="center"/>
    </xf>
    <xf numFmtId="0" fontId="61" fillId="0" borderId="0" xfId="0" applyFont="1"/>
    <xf numFmtId="0" fontId="17" fillId="9" borderId="0" xfId="0" applyFont="1" applyFill="1"/>
    <xf numFmtId="0" fontId="16" fillId="9" borderId="0" xfId="0" applyFont="1" applyFill="1" applyAlignment="1">
      <alignment horizontal="center" vertical="center"/>
    </xf>
    <xf numFmtId="167" fontId="16" fillId="9" borderId="0" xfId="1" applyNumberFormat="1" applyFont="1" applyFill="1" applyAlignment="1">
      <alignment horizontal="center" vertical="center"/>
    </xf>
    <xf numFmtId="167" fontId="53" fillId="16" borderId="0" xfId="1" applyNumberFormat="1" applyFont="1" applyFill="1" applyAlignment="1">
      <alignment horizontal="center" vertical="center"/>
    </xf>
    <xf numFmtId="0" fontId="15" fillId="7" borderId="8" xfId="24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3" fillId="0" borderId="23" xfId="250" applyFont="1" applyBorder="1" applyAlignment="1">
      <alignment horizontal="center" vertical="center" wrapText="1"/>
    </xf>
    <xf numFmtId="0" fontId="13" fillId="0" borderId="5" xfId="24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1" fillId="0" borderId="9" xfId="240" applyFont="1" applyFill="1" applyBorder="1" applyAlignment="1">
      <alignment horizontal="center" vertical="center"/>
    </xf>
    <xf numFmtId="0" fontId="21" fillId="0" borderId="10" xfId="240" applyFont="1" applyFill="1" applyBorder="1" applyAlignment="1">
      <alignment horizontal="center" vertical="center"/>
    </xf>
    <xf numFmtId="0" fontId="41" fillId="0" borderId="10" xfId="240" applyFont="1" applyFill="1" applyBorder="1" applyAlignment="1">
      <alignment horizontal="center" vertical="center"/>
    </xf>
    <xf numFmtId="0" fontId="22" fillId="0" borderId="10" xfId="240" applyFont="1" applyFill="1" applyBorder="1" applyAlignment="1">
      <alignment horizontal="center" vertical="center"/>
    </xf>
    <xf numFmtId="0" fontId="20" fillId="0" borderId="10" xfId="240" applyFont="1" applyFill="1" applyBorder="1" applyAlignment="1">
      <alignment horizontal="center" vertical="center" wrapText="1"/>
    </xf>
    <xf numFmtId="0" fontId="19" fillId="0" borderId="10" xfId="240" applyFont="1" applyFill="1" applyBorder="1" applyAlignment="1">
      <alignment horizontal="center" vertical="center" wrapText="1"/>
    </xf>
    <xf numFmtId="0" fontId="62" fillId="7" borderId="6" xfId="240" applyFont="1" applyFill="1" applyBorder="1" applyAlignment="1">
      <alignment horizontal="center" vertical="center" wrapText="1"/>
    </xf>
    <xf numFmtId="0" fontId="62" fillId="7" borderId="5" xfId="240" applyFont="1" applyFill="1" applyBorder="1" applyAlignment="1">
      <alignment horizontal="center" vertical="center" wrapText="1"/>
    </xf>
    <xf numFmtId="0" fontId="64" fillId="17" borderId="0" xfId="0" applyFont="1" applyFill="1" applyAlignment="1">
      <alignment horizontal="center" vertical="center"/>
    </xf>
    <xf numFmtId="0" fontId="44" fillId="7" borderId="23" xfId="255" applyFont="1" applyFill="1" applyBorder="1" applyAlignment="1">
      <alignment horizontal="center" vertical="center"/>
    </xf>
    <xf numFmtId="0" fontId="64" fillId="17" borderId="0" xfId="0" applyFont="1" applyFill="1" applyAlignment="1">
      <alignment vertical="center"/>
    </xf>
    <xf numFmtId="0" fontId="41" fillId="16" borderId="5" xfId="240" applyFont="1" applyFill="1" applyBorder="1" applyAlignment="1">
      <alignment horizontal="center" vertical="center" wrapText="1"/>
    </xf>
    <xf numFmtId="167" fontId="41" fillId="16" borderId="5" xfId="1" applyNumberFormat="1" applyFont="1" applyFill="1" applyBorder="1" applyAlignment="1">
      <alignment horizontal="center" vertical="center" wrapText="1"/>
    </xf>
    <xf numFmtId="0" fontId="65" fillId="0" borderId="0" xfId="241" applyFont="1" applyAlignment="1">
      <alignment horizontal="center" vertical="center"/>
    </xf>
    <xf numFmtId="167" fontId="65" fillId="0" borderId="0" xfId="1" applyNumberFormat="1" applyFont="1" applyAlignment="1">
      <alignment horizontal="center" vertical="center"/>
    </xf>
    <xf numFmtId="0" fontId="66" fillId="0" borderId="4" xfId="240" applyFont="1" applyFill="1" applyBorder="1" applyAlignment="1">
      <alignment horizontal="center" vertical="center"/>
    </xf>
    <xf numFmtId="0" fontId="41" fillId="0" borderId="4" xfId="240" applyFont="1" applyBorder="1" applyAlignment="1">
      <alignment horizontal="center" vertical="center" wrapText="1"/>
    </xf>
    <xf numFmtId="0" fontId="51" fillId="4" borderId="4" xfId="255" applyFont="1" applyFill="1" applyBorder="1" applyAlignment="1">
      <alignment horizontal="center" vertical="center"/>
    </xf>
    <xf numFmtId="0" fontId="41" fillId="0" borderId="4" xfId="240" applyFont="1" applyFill="1" applyBorder="1" applyAlignment="1">
      <alignment horizontal="center" vertical="center"/>
    </xf>
    <xf numFmtId="167" fontId="67" fillId="0" borderId="5" xfId="2" applyNumberFormat="1" applyFont="1" applyBorder="1" applyAlignment="1">
      <alignment vertical="center"/>
    </xf>
    <xf numFmtId="0" fontId="51" fillId="0" borderId="4" xfId="255" applyFont="1" applyFill="1" applyBorder="1" applyAlignment="1">
      <alignment horizontal="center" vertical="center"/>
    </xf>
    <xf numFmtId="0" fontId="41" fillId="0" borderId="25" xfId="240" applyFont="1" applyFill="1" applyBorder="1" applyAlignment="1">
      <alignment horizontal="center" vertical="center"/>
    </xf>
    <xf numFmtId="0" fontId="41" fillId="0" borderId="5" xfId="240" applyFont="1" applyFill="1" applyBorder="1" applyAlignment="1">
      <alignment horizontal="center" vertical="center"/>
    </xf>
    <xf numFmtId="0" fontId="41" fillId="0" borderId="4" xfId="80" applyFont="1" applyBorder="1" applyAlignment="1">
      <alignment horizontal="center" vertical="center" wrapText="1"/>
    </xf>
    <xf numFmtId="0" fontId="41" fillId="0" borderId="4" xfId="240" applyFont="1" applyFill="1" applyBorder="1" applyAlignment="1">
      <alignment horizontal="center" vertical="center" wrapText="1"/>
    </xf>
    <xf numFmtId="0" fontId="41" fillId="0" borderId="10" xfId="240" applyFont="1" applyFill="1" applyBorder="1" applyAlignment="1">
      <alignment horizontal="center" vertical="center" wrapText="1"/>
    </xf>
    <xf numFmtId="0" fontId="41" fillId="0" borderId="5" xfId="240" applyFont="1" applyFill="1" applyBorder="1" applyAlignment="1">
      <alignment horizontal="center" vertical="center" wrapText="1"/>
    </xf>
    <xf numFmtId="167" fontId="44" fillId="0" borderId="5" xfId="2" applyNumberFormat="1" applyFont="1" applyFill="1" applyBorder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/>
    </xf>
    <xf numFmtId="0" fontId="41" fillId="7" borderId="5" xfId="240" applyFont="1" applyFill="1" applyBorder="1" applyAlignment="1">
      <alignment horizontal="center" vertical="center" wrapText="1"/>
    </xf>
    <xf numFmtId="0" fontId="50" fillId="0" borderId="4" xfId="255" applyFont="1" applyFill="1" applyBorder="1" applyAlignment="1">
      <alignment horizontal="center" vertical="center"/>
    </xf>
    <xf numFmtId="0" fontId="42" fillId="0" borderId="4" xfId="80" applyFont="1" applyBorder="1" applyAlignment="1">
      <alignment horizontal="center" vertical="center" wrapText="1"/>
    </xf>
    <xf numFmtId="0" fontId="42" fillId="0" borderId="4" xfId="240" applyFont="1" applyFill="1" applyBorder="1" applyAlignment="1">
      <alignment horizontal="center" vertical="center"/>
    </xf>
    <xf numFmtId="0" fontId="42" fillId="0" borderId="4" xfId="240" applyFont="1" applyBorder="1" applyAlignment="1">
      <alignment horizontal="center" vertical="center" wrapText="1"/>
    </xf>
    <xf numFmtId="167" fontId="68" fillId="0" borderId="5" xfId="2" applyNumberFormat="1" applyFont="1" applyBorder="1" applyAlignment="1">
      <alignment vertical="center"/>
    </xf>
    <xf numFmtId="0" fontId="69" fillId="0" borderId="10" xfId="240" applyFont="1" applyFill="1" applyBorder="1" applyAlignment="1">
      <alignment horizontal="center" vertical="center"/>
    </xf>
    <xf numFmtId="0" fontId="42" fillId="0" borderId="5" xfId="240" applyFont="1" applyFill="1" applyBorder="1" applyAlignment="1">
      <alignment horizontal="center" vertical="center" wrapText="1"/>
    </xf>
    <xf numFmtId="0" fontId="69" fillId="7" borderId="5" xfId="24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49" fontId="46" fillId="0" borderId="10" xfId="255" applyNumberFormat="1" applyFont="1" applyFill="1" applyBorder="1" applyAlignment="1">
      <alignment horizontal="center" vertical="center"/>
    </xf>
    <xf numFmtId="0" fontId="70" fillId="0" borderId="0" xfId="0" applyFont="1"/>
    <xf numFmtId="0" fontId="42" fillId="0" borderId="4" xfId="240" applyFont="1" applyFill="1" applyBorder="1" applyAlignment="1">
      <alignment horizontal="center" vertical="center" wrapText="1"/>
    </xf>
    <xf numFmtId="0" fontId="41" fillId="0" borderId="4" xfId="255" applyFont="1" applyFill="1" applyBorder="1" applyAlignment="1">
      <alignment horizontal="center" vertical="center" wrapText="1"/>
    </xf>
    <xf numFmtId="0" fontId="62" fillId="0" borderId="5" xfId="240" applyFont="1" applyFill="1" applyBorder="1" applyAlignment="1">
      <alignment horizontal="center" vertical="center" wrapText="1"/>
    </xf>
    <xf numFmtId="167" fontId="51" fillId="0" borderId="5" xfId="2" applyNumberFormat="1" applyFont="1" applyFill="1" applyBorder="1" applyAlignment="1" applyProtection="1">
      <alignment horizontal="left" vertical="center" wrapText="1"/>
      <protection locked="0"/>
    </xf>
    <xf numFmtId="0" fontId="62" fillId="16" borderId="5" xfId="240" applyFont="1" applyFill="1" applyBorder="1" applyAlignment="1">
      <alignment horizontal="center" vertical="center" wrapText="1"/>
    </xf>
    <xf numFmtId="167" fontId="62" fillId="16" borderId="5" xfId="1" applyNumberFormat="1" applyFont="1" applyFill="1" applyBorder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71" fillId="0" borderId="0" xfId="0" applyFont="1"/>
    <xf numFmtId="0" fontId="41" fillId="0" borderId="23" xfId="80" applyFont="1" applyBorder="1" applyAlignment="1">
      <alignment horizontal="center" vertical="center" wrapText="1"/>
    </xf>
    <xf numFmtId="0" fontId="41" fillId="0" borderId="23" xfId="240" applyFont="1" applyFill="1" applyBorder="1" applyAlignment="1">
      <alignment horizontal="center" vertical="center"/>
    </xf>
    <xf numFmtId="0" fontId="41" fillId="0" borderId="23" xfId="240" applyFont="1" applyBorder="1" applyAlignment="1">
      <alignment horizontal="center" vertical="center" wrapText="1"/>
    </xf>
    <xf numFmtId="0" fontId="51" fillId="0" borderId="4" xfId="240" applyFont="1" applyFill="1" applyBorder="1" applyAlignment="1">
      <alignment horizontal="center" vertical="center"/>
    </xf>
    <xf numFmtId="0" fontId="46" fillId="9" borderId="4" xfId="240" applyFont="1" applyFill="1" applyBorder="1" applyAlignment="1">
      <alignment horizontal="center" vertical="center"/>
    </xf>
    <xf numFmtId="0" fontId="46" fillId="0" borderId="4" xfId="240" applyFont="1" applyFill="1" applyBorder="1" applyAlignment="1">
      <alignment horizontal="center" vertical="center"/>
    </xf>
    <xf numFmtId="0" fontId="41" fillId="0" borderId="24" xfId="240" applyFont="1" applyFill="1" applyBorder="1" applyAlignment="1">
      <alignment horizontal="center" vertical="center"/>
    </xf>
    <xf numFmtId="167" fontId="67" fillId="0" borderId="4" xfId="2" applyNumberFormat="1" applyFont="1" applyBorder="1" applyAlignment="1">
      <alignment vertical="center"/>
    </xf>
    <xf numFmtId="167" fontId="41" fillId="8" borderId="4" xfId="13" applyNumberFormat="1" applyFont="1" applyFill="1" applyBorder="1" applyAlignment="1">
      <alignment horizontal="center" vertical="center"/>
    </xf>
    <xf numFmtId="167" fontId="67" fillId="8" borderId="4" xfId="13" applyNumberFormat="1" applyFont="1" applyFill="1" applyBorder="1" applyAlignment="1">
      <alignment vertical="center"/>
    </xf>
    <xf numFmtId="167" fontId="67" fillId="0" borderId="4" xfId="2" applyNumberFormat="1" applyFont="1" applyFill="1" applyBorder="1" applyAlignment="1">
      <alignment vertical="center"/>
    </xf>
    <xf numFmtId="0" fontId="41" fillId="0" borderId="0" xfId="0" applyFont="1"/>
    <xf numFmtId="0" fontId="41" fillId="0" borderId="4" xfId="240" applyFont="1" applyBorder="1" applyAlignment="1">
      <alignment horizontal="center" vertical="center"/>
    </xf>
    <xf numFmtId="0" fontId="41" fillId="7" borderId="4" xfId="80" applyFont="1" applyFill="1" applyBorder="1" applyAlignment="1">
      <alignment horizontal="center" vertical="center" wrapText="1"/>
    </xf>
    <xf numFmtId="0" fontId="72" fillId="0" borderId="4" xfId="255" applyFont="1" applyFill="1" applyBorder="1" applyAlignment="1">
      <alignment horizontal="center" vertical="center" wrapText="1"/>
    </xf>
    <xf numFmtId="0" fontId="73" fillId="0" borderId="24" xfId="240" applyFont="1" applyFill="1" applyBorder="1" applyAlignment="1">
      <alignment horizontal="center" vertical="center"/>
    </xf>
    <xf numFmtId="0" fontId="73" fillId="0" borderId="5" xfId="240" applyFont="1" applyFill="1" applyBorder="1" applyAlignment="1">
      <alignment horizontal="center" vertical="center"/>
    </xf>
    <xf numFmtId="0" fontId="73" fillId="0" borderId="4" xfId="80" applyFont="1" applyBorder="1" applyAlignment="1">
      <alignment horizontal="center" vertical="center" wrapText="1"/>
    </xf>
    <xf numFmtId="0" fontId="73" fillId="0" borderId="4" xfId="240" applyFont="1" applyFill="1" applyBorder="1" applyAlignment="1">
      <alignment horizontal="center" vertical="center"/>
    </xf>
    <xf numFmtId="0" fontId="73" fillId="0" borderId="4" xfId="240" applyFont="1" applyBorder="1" applyAlignment="1">
      <alignment horizontal="center" vertical="center"/>
    </xf>
    <xf numFmtId="0" fontId="73" fillId="0" borderId="4" xfId="255" applyFont="1" applyFill="1" applyBorder="1" applyAlignment="1">
      <alignment horizontal="center" vertical="center"/>
    </xf>
    <xf numFmtId="0" fontId="72" fillId="0" borderId="4" xfId="255" applyFont="1" applyFill="1" applyBorder="1" applyAlignment="1">
      <alignment horizontal="center" vertical="center"/>
    </xf>
    <xf numFmtId="0" fontId="73" fillId="0" borderId="4" xfId="240" applyFont="1" applyFill="1" applyBorder="1" applyAlignment="1">
      <alignment horizontal="center" vertical="center" wrapText="1"/>
    </xf>
    <xf numFmtId="167" fontId="74" fillId="0" borderId="5" xfId="2" applyNumberFormat="1" applyFont="1" applyBorder="1" applyAlignment="1">
      <alignment vertical="center"/>
    </xf>
    <xf numFmtId="0" fontId="73" fillId="0" borderId="5" xfId="240" applyFont="1" applyBorder="1" applyAlignment="1">
      <alignment horizontal="center" vertical="center" wrapText="1"/>
    </xf>
    <xf numFmtId="0" fontId="73" fillId="0" borderId="5" xfId="255" applyFont="1" applyFill="1" applyBorder="1" applyAlignment="1">
      <alignment horizontal="center" vertical="center" wrapText="1"/>
    </xf>
    <xf numFmtId="0" fontId="73" fillId="0" borderId="5" xfId="240" applyFont="1" applyFill="1" applyBorder="1" applyAlignment="1">
      <alignment horizontal="center" vertical="center" wrapText="1"/>
    </xf>
    <xf numFmtId="0" fontId="13" fillId="18" borderId="24" xfId="240" applyFont="1" applyFill="1" applyBorder="1" applyAlignment="1">
      <alignment horizontal="center" vertical="center"/>
    </xf>
    <xf numFmtId="0" fontId="13" fillId="18" borderId="5" xfId="240" applyFont="1" applyFill="1" applyBorder="1" applyAlignment="1">
      <alignment horizontal="center" vertical="center"/>
    </xf>
    <xf numFmtId="0" fontId="13" fillId="18" borderId="4" xfId="80" applyFont="1" applyFill="1" applyBorder="1" applyAlignment="1">
      <alignment horizontal="center" vertical="center" wrapText="1"/>
    </xf>
    <xf numFmtId="0" fontId="51" fillId="18" borderId="4" xfId="240" applyFont="1" applyFill="1" applyBorder="1" applyAlignment="1">
      <alignment horizontal="center" vertical="center"/>
    </xf>
    <xf numFmtId="0" fontId="13" fillId="18" borderId="5" xfId="255" applyFont="1" applyFill="1" applyBorder="1" applyAlignment="1">
      <alignment horizontal="center" vertical="center" wrapText="1"/>
    </xf>
    <xf numFmtId="0" fontId="13" fillId="18" borderId="5" xfId="240" applyFont="1" applyFill="1" applyBorder="1" applyAlignment="1">
      <alignment horizontal="center" vertical="center" wrapText="1"/>
    </xf>
    <xf numFmtId="167" fontId="43" fillId="18" borderId="5" xfId="2" applyNumberFormat="1" applyFont="1" applyFill="1" applyBorder="1" applyAlignment="1">
      <alignment vertical="center"/>
    </xf>
    <xf numFmtId="0" fontId="20" fillId="18" borderId="10" xfId="240" applyFont="1" applyFill="1" applyBorder="1" applyAlignment="1">
      <alignment horizontal="center" vertical="center" wrapText="1"/>
    </xf>
    <xf numFmtId="0" fontId="62" fillId="18" borderId="5" xfId="240" applyFont="1" applyFill="1" applyBorder="1" applyAlignment="1">
      <alignment horizontal="center" vertical="center" wrapText="1"/>
    </xf>
    <xf numFmtId="0" fontId="13" fillId="18" borderId="23" xfId="80" applyFont="1" applyFill="1" applyBorder="1" applyAlignment="1">
      <alignment horizontal="center" vertical="center" wrapText="1"/>
    </xf>
    <xf numFmtId="0" fontId="44" fillId="18" borderId="23" xfId="255" applyFont="1" applyFill="1" applyBorder="1" applyAlignment="1">
      <alignment horizontal="center" vertical="center"/>
    </xf>
    <xf numFmtId="0" fontId="13" fillId="18" borderId="23" xfId="240" applyFont="1" applyFill="1" applyBorder="1" applyAlignment="1">
      <alignment horizontal="center" vertical="center" wrapText="1"/>
    </xf>
    <xf numFmtId="167" fontId="42" fillId="18" borderId="23" xfId="13" applyNumberFormat="1" applyFont="1" applyFill="1" applyBorder="1" applyAlignment="1">
      <alignment horizontal="center" vertical="center"/>
    </xf>
    <xf numFmtId="0" fontId="67" fillId="18" borderId="23" xfId="255" applyFont="1" applyFill="1" applyBorder="1" applyAlignment="1">
      <alignment horizontal="center" vertical="center"/>
    </xf>
    <xf numFmtId="0" fontId="41" fillId="18" borderId="5" xfId="240" applyFont="1" applyFill="1" applyBorder="1" applyAlignment="1">
      <alignment horizontal="center" vertical="center" wrapText="1"/>
    </xf>
    <xf numFmtId="167" fontId="41" fillId="18" borderId="5" xfId="1" applyNumberFormat="1" applyFont="1" applyFill="1" applyBorder="1" applyAlignment="1">
      <alignment horizontal="center" vertical="center" wrapText="1"/>
    </xf>
    <xf numFmtId="167" fontId="62" fillId="18" borderId="5" xfId="1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167" fontId="55" fillId="19" borderId="5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4" fillId="0" borderId="0" xfId="0" applyFont="1" applyFill="1" applyAlignment="1">
      <alignment vertical="center"/>
    </xf>
    <xf numFmtId="0" fontId="75" fillId="0" borderId="0" xfId="0" applyFont="1" applyFill="1" applyAlignment="1">
      <alignment vertical="center"/>
    </xf>
    <xf numFmtId="0" fontId="76" fillId="0" borderId="0" xfId="0" applyFont="1" applyFill="1" applyAlignment="1">
      <alignment vertical="center"/>
    </xf>
    <xf numFmtId="0" fontId="55" fillId="0" borderId="0" xfId="0" applyFont="1" applyFill="1" applyAlignment="1">
      <alignment vertical="center"/>
    </xf>
    <xf numFmtId="1" fontId="25" fillId="20" borderId="11" xfId="0" applyNumberFormat="1" applyFont="1" applyFill="1" applyBorder="1" applyAlignment="1">
      <alignment horizontal="center" vertical="center" wrapText="1"/>
    </xf>
    <xf numFmtId="0" fontId="2" fillId="0" borderId="4" xfId="90" applyFont="1" applyFill="1" applyBorder="1" applyAlignment="1">
      <alignment horizontal="left" vertical="center"/>
    </xf>
    <xf numFmtId="0" fontId="2" fillId="0" borderId="4" xfId="9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44" fillId="0" borderId="4" xfId="90" applyFont="1" applyFill="1" applyBorder="1" applyAlignment="1">
      <alignment horizontal="left" vertical="center"/>
    </xf>
    <xf numFmtId="0" fontId="44" fillId="0" borderId="4" xfId="9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left" vertical="center"/>
    </xf>
    <xf numFmtId="0" fontId="75" fillId="0" borderId="4" xfId="90" applyFont="1" applyFill="1" applyBorder="1" applyAlignment="1">
      <alignment horizontal="left" vertical="center"/>
    </xf>
    <xf numFmtId="0" fontId="75" fillId="0" borderId="4" xfId="90" applyFont="1" applyFill="1" applyBorder="1" applyAlignment="1">
      <alignment horizontal="center" vertical="center"/>
    </xf>
    <xf numFmtId="0" fontId="75" fillId="0" borderId="4" xfId="0" applyFont="1" applyFill="1" applyBorder="1" applyAlignment="1">
      <alignment horizontal="center" vertical="center"/>
    </xf>
    <xf numFmtId="0" fontId="76" fillId="0" borderId="4" xfId="90" applyFont="1" applyFill="1" applyBorder="1" applyAlignment="1">
      <alignment horizontal="left" vertical="center"/>
    </xf>
    <xf numFmtId="0" fontId="76" fillId="0" borderId="4" xfId="90" applyFont="1" applyFill="1" applyBorder="1" applyAlignment="1">
      <alignment horizontal="center" vertical="center"/>
    </xf>
    <xf numFmtId="0" fontId="76" fillId="0" borderId="4" xfId="0" applyFont="1" applyFill="1" applyBorder="1" applyAlignment="1">
      <alignment horizontal="left" vertical="center"/>
    </xf>
    <xf numFmtId="1" fontId="44" fillId="0" borderId="4" xfId="0" applyNumberFormat="1" applyFont="1" applyFill="1" applyBorder="1" applyAlignment="1">
      <alignment horizontal="left" vertical="center"/>
    </xf>
    <xf numFmtId="0" fontId="75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44" fillId="0" borderId="4" xfId="0" applyFont="1" applyFill="1" applyBorder="1" applyAlignment="1">
      <alignment vertical="center"/>
    </xf>
    <xf numFmtId="167" fontId="44" fillId="0" borderId="4" xfId="1" applyNumberFormat="1" applyFont="1" applyFill="1" applyBorder="1" applyAlignment="1">
      <alignment horizontal="center" vertical="center"/>
    </xf>
    <xf numFmtId="0" fontId="76" fillId="7" borderId="4" xfId="90" applyFont="1" applyFill="1" applyBorder="1" applyAlignment="1">
      <alignment horizontal="left" vertical="center"/>
    </xf>
    <xf numFmtId="0" fontId="2" fillId="7" borderId="4" xfId="90" applyFont="1" applyFill="1" applyBorder="1" applyAlignment="1">
      <alignment horizontal="center" vertical="center"/>
    </xf>
    <xf numFmtId="0" fontId="76" fillId="7" borderId="4" xfId="90" applyFont="1" applyFill="1" applyBorder="1" applyAlignment="1">
      <alignment horizontal="center" vertical="center"/>
    </xf>
    <xf numFmtId="0" fontId="76" fillId="7" borderId="4" xfId="0" applyFont="1" applyFill="1" applyBorder="1" applyAlignment="1">
      <alignment horizontal="left" vertical="center"/>
    </xf>
    <xf numFmtId="0" fontId="75" fillId="0" borderId="4" xfId="0" applyFont="1" applyFill="1" applyBorder="1" applyAlignment="1">
      <alignment horizontal="left" vertical="center"/>
    </xf>
    <xf numFmtId="0" fontId="2" fillId="7" borderId="4" xfId="90" applyFont="1" applyFill="1" applyBorder="1" applyAlignment="1">
      <alignment horizontal="left" vertical="center"/>
    </xf>
    <xf numFmtId="0" fontId="55" fillId="0" borderId="4" xfId="0" applyFont="1" applyFill="1" applyBorder="1" applyAlignment="1">
      <alignment vertical="center"/>
    </xf>
    <xf numFmtId="0" fontId="55" fillId="0" borderId="4" xfId="0" applyFont="1" applyFill="1" applyBorder="1" applyAlignment="1">
      <alignment horizontal="center" vertical="center"/>
    </xf>
    <xf numFmtId="0" fontId="55" fillId="0" borderId="4" xfId="90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left" vertical="center"/>
    </xf>
    <xf numFmtId="0" fontId="2" fillId="21" borderId="4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9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3" fillId="0" borderId="7" xfId="255" applyFont="1" applyFill="1" applyBorder="1" applyAlignment="1">
      <alignment horizontal="center" vertical="center"/>
    </xf>
    <xf numFmtId="0" fontId="44" fillId="18" borderId="7" xfId="255" applyFont="1" applyFill="1" applyBorder="1" applyAlignment="1">
      <alignment horizontal="center" vertical="center"/>
    </xf>
    <xf numFmtId="1" fontId="51" fillId="20" borderId="11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1" fontId="54" fillId="20" borderId="11" xfId="0" applyNumberFormat="1" applyFont="1" applyFill="1" applyBorder="1" applyAlignment="1">
      <alignment horizontal="center" vertical="center" wrapText="1"/>
    </xf>
    <xf numFmtId="167" fontId="55" fillId="0" borderId="4" xfId="1" applyNumberFormat="1" applyFont="1" applyFill="1" applyBorder="1" applyAlignment="1">
      <alignment horizontal="center" vertical="center"/>
    </xf>
    <xf numFmtId="167" fontId="55" fillId="7" borderId="4" xfId="1" applyNumberFormat="1" applyFont="1" applyFill="1" applyBorder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1" fontId="25" fillId="10" borderId="11" xfId="0" applyNumberFormat="1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0" borderId="4" xfId="90" applyNumberFormat="1" applyFont="1" applyFill="1" applyBorder="1" applyAlignment="1">
      <alignment horizontal="center" vertical="center"/>
    </xf>
    <xf numFmtId="1" fontId="2" fillId="0" borderId="4" xfId="90" applyNumberFormat="1" applyFont="1" applyFill="1" applyBorder="1" applyAlignment="1">
      <alignment horizontal="center" vertical="center"/>
    </xf>
    <xf numFmtId="1" fontId="44" fillId="0" borderId="4" xfId="90" applyNumberFormat="1" applyFont="1" applyFill="1" applyBorder="1" applyAlignment="1">
      <alignment horizontal="center" vertical="center"/>
    </xf>
    <xf numFmtId="1" fontId="75" fillId="0" borderId="4" xfId="90" applyNumberFormat="1" applyFont="1" applyFill="1" applyBorder="1" applyAlignment="1">
      <alignment horizontal="center" vertical="center"/>
    </xf>
    <xf numFmtId="1" fontId="76" fillId="0" borderId="4" xfId="90" applyNumberFormat="1" applyFont="1" applyFill="1" applyBorder="1" applyAlignment="1">
      <alignment horizontal="center" vertical="center"/>
    </xf>
    <xf numFmtId="1" fontId="44" fillId="0" borderId="4" xfId="0" applyNumberFormat="1" applyFont="1" applyFill="1" applyBorder="1" applyAlignment="1">
      <alignment horizontal="center" vertical="center"/>
    </xf>
    <xf numFmtId="1" fontId="75" fillId="0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76" fillId="7" borderId="4" xfId="90" applyNumberFormat="1" applyFont="1" applyFill="1" applyBorder="1" applyAlignment="1">
      <alignment horizontal="center" vertical="center"/>
    </xf>
    <xf numFmtId="1" fontId="55" fillId="0" borderId="4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" fillId="17" borderId="4" xfId="90" applyNumberFormat="1" applyFont="1" applyFill="1" applyBorder="1" applyAlignment="1">
      <alignment horizontal="center" vertical="center"/>
    </xf>
    <xf numFmtId="0" fontId="44" fillId="0" borderId="4" xfId="90" applyNumberFormat="1" applyFont="1" applyFill="1" applyBorder="1" applyAlignment="1">
      <alignment horizontal="center" vertical="center"/>
    </xf>
    <xf numFmtId="0" fontId="76" fillId="0" borderId="4" xfId="0" applyFont="1" applyFill="1" applyBorder="1" applyAlignment="1">
      <alignment horizontal="center" vertical="center"/>
    </xf>
    <xf numFmtId="0" fontId="77" fillId="0" borderId="4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44" fillId="0" borderId="4" xfId="0" applyNumberFormat="1" applyFont="1" applyFill="1" applyBorder="1" applyAlignment="1">
      <alignment horizontal="center" vertical="center"/>
    </xf>
    <xf numFmtId="0" fontId="55" fillId="0" borderId="4" xfId="0" applyNumberFormat="1" applyFont="1" applyFill="1" applyBorder="1" applyAlignment="1">
      <alignment horizontal="center" vertical="center"/>
    </xf>
    <xf numFmtId="0" fontId="75" fillId="0" borderId="4" xfId="90" applyNumberFormat="1" applyFont="1" applyFill="1" applyBorder="1" applyAlignment="1">
      <alignment horizontal="center" vertical="center"/>
    </xf>
    <xf numFmtId="0" fontId="78" fillId="0" borderId="9" xfId="240" applyFont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12" fillId="0" borderId="36" xfId="0" pivotButton="1" applyFont="1" applyBorder="1"/>
    <xf numFmtId="0" fontId="12" fillId="0" borderId="37" xfId="0" applyFont="1" applyBorder="1"/>
    <xf numFmtId="0" fontId="12" fillId="0" borderId="36" xfId="0" applyFont="1" applyBorder="1"/>
    <xf numFmtId="0" fontId="12" fillId="0" borderId="37" xfId="0" applyNumberFormat="1" applyFont="1" applyBorder="1"/>
    <xf numFmtId="0" fontId="12" fillId="0" borderId="38" xfId="0" applyFont="1" applyBorder="1"/>
    <xf numFmtId="0" fontId="12" fillId="0" borderId="39" xfId="0" applyNumberFormat="1" applyFont="1" applyBorder="1"/>
    <xf numFmtId="0" fontId="12" fillId="0" borderId="40" xfId="0" applyFont="1" applyBorder="1"/>
    <xf numFmtId="0" fontId="12" fillId="0" borderId="41" xfId="0" applyNumberFormat="1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44" xfId="0" applyFont="1" applyBorder="1"/>
    <xf numFmtId="0" fontId="12" fillId="0" borderId="45" xfId="0" applyFont="1" applyBorder="1"/>
    <xf numFmtId="0" fontId="12" fillId="0" borderId="36" xfId="0" applyNumberFormat="1" applyFont="1" applyBorder="1"/>
    <xf numFmtId="0" fontId="12" fillId="0" borderId="45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/>
    <xf numFmtId="0" fontId="12" fillId="0" borderId="40" xfId="0" applyNumberFormat="1" applyFont="1" applyBorder="1"/>
    <xf numFmtId="0" fontId="12" fillId="0" borderId="46" xfId="0" applyNumberFormat="1" applyFont="1" applyBorder="1"/>
    <xf numFmtId="0" fontId="12" fillId="0" borderId="42" xfId="0" pivotButton="1" applyFont="1" applyBorder="1"/>
    <xf numFmtId="0" fontId="12" fillId="0" borderId="47" xfId="0" applyFont="1" applyBorder="1"/>
    <xf numFmtId="1" fontId="2" fillId="7" borderId="4" xfId="90" applyNumberFormat="1" applyFont="1" applyFill="1" applyBorder="1" applyAlignment="1">
      <alignment horizontal="center" vertical="center"/>
    </xf>
    <xf numFmtId="0" fontId="78" fillId="7" borderId="9" xfId="24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167" fontId="2" fillId="0" borderId="4" xfId="1" applyNumberFormat="1" applyFont="1" applyFill="1" applyBorder="1" applyAlignment="1">
      <alignment horizontal="center" vertical="center"/>
    </xf>
    <xf numFmtId="1" fontId="55" fillId="0" borderId="4" xfId="1" applyNumberFormat="1" applyFont="1" applyFill="1" applyBorder="1" applyAlignment="1">
      <alignment horizontal="center" vertical="center"/>
    </xf>
    <xf numFmtId="1" fontId="44" fillId="0" borderId="4" xfId="1" applyNumberFormat="1" applyFont="1" applyFill="1" applyBorder="1" applyAlignment="1">
      <alignment horizontal="center" vertical="center"/>
    </xf>
    <xf numFmtId="1" fontId="55" fillId="7" borderId="4" xfId="1" applyNumberFormat="1" applyFont="1" applyFill="1" applyBorder="1" applyAlignment="1">
      <alignment horizontal="center" vertical="center"/>
    </xf>
    <xf numFmtId="1" fontId="44" fillId="0" borderId="0" xfId="0" applyNumberFormat="1" applyFont="1" applyFill="1" applyAlignment="1">
      <alignment horizontal="center" vertical="center"/>
    </xf>
    <xf numFmtId="1" fontId="44" fillId="7" borderId="4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left" vertical="center" wrapText="1"/>
    </xf>
    <xf numFmtId="0" fontId="12" fillId="7" borderId="26" xfId="0" applyFont="1" applyFill="1" applyBorder="1" applyAlignment="1">
      <alignment horizontal="left" vertical="center" wrapText="1"/>
    </xf>
    <xf numFmtId="0" fontId="79" fillId="5" borderId="27" xfId="240" applyFont="1" applyFill="1" applyBorder="1" applyAlignment="1">
      <alignment horizontal="center" vertical="center" wrapText="1"/>
    </xf>
    <xf numFmtId="0" fontId="79" fillId="5" borderId="6" xfId="240" applyFont="1" applyFill="1" applyBorder="1" applyAlignment="1">
      <alignment horizontal="center" vertical="center" wrapText="1"/>
    </xf>
    <xf numFmtId="0" fontId="79" fillId="5" borderId="28" xfId="240" applyFont="1" applyFill="1" applyBorder="1" applyAlignment="1">
      <alignment horizontal="center" vertical="center" wrapText="1"/>
    </xf>
    <xf numFmtId="0" fontId="79" fillId="5" borderId="29" xfId="240" applyFont="1" applyFill="1" applyBorder="1" applyAlignment="1">
      <alignment horizontal="center" vertical="center" wrapText="1"/>
    </xf>
    <xf numFmtId="0" fontId="80" fillId="5" borderId="27" xfId="240" applyFont="1" applyFill="1" applyBorder="1" applyAlignment="1">
      <alignment horizontal="center" vertical="center" wrapText="1"/>
    </xf>
    <xf numFmtId="0" fontId="80" fillId="5" borderId="6" xfId="240" applyFont="1" applyFill="1" applyBorder="1" applyAlignment="1">
      <alignment horizontal="center" vertical="center" wrapText="1"/>
    </xf>
    <xf numFmtId="0" fontId="16" fillId="10" borderId="30" xfId="240" applyFont="1" applyFill="1" applyBorder="1" applyAlignment="1">
      <alignment horizontal="center" vertical="center" wrapText="1"/>
    </xf>
    <xf numFmtId="0" fontId="16" fillId="16" borderId="9" xfId="240" applyFont="1" applyFill="1" applyBorder="1" applyAlignment="1">
      <alignment horizontal="center" vertical="center" wrapText="1"/>
    </xf>
    <xf numFmtId="0" fontId="16" fillId="16" borderId="12" xfId="240" applyFont="1" applyFill="1" applyBorder="1" applyAlignment="1">
      <alignment horizontal="center" vertical="center" wrapText="1"/>
    </xf>
    <xf numFmtId="0" fontId="16" fillId="13" borderId="30" xfId="240" applyFont="1" applyFill="1" applyBorder="1" applyAlignment="1">
      <alignment horizontal="center" vertical="center" wrapText="1"/>
    </xf>
    <xf numFmtId="0" fontId="16" fillId="12" borderId="30" xfId="240" applyFont="1" applyFill="1" applyBorder="1" applyAlignment="1">
      <alignment horizontal="center" vertical="center" wrapText="1"/>
    </xf>
    <xf numFmtId="0" fontId="16" fillId="7" borderId="30" xfId="240" applyFont="1" applyFill="1" applyBorder="1" applyAlignment="1">
      <alignment horizontal="center" vertical="center" wrapText="1"/>
    </xf>
    <xf numFmtId="0" fontId="81" fillId="5" borderId="27" xfId="240" applyFont="1" applyFill="1" applyBorder="1" applyAlignment="1">
      <alignment horizontal="center" vertical="center" wrapText="1"/>
    </xf>
    <xf numFmtId="0" fontId="81" fillId="5" borderId="6" xfId="240" applyFont="1" applyFill="1" applyBorder="1" applyAlignment="1">
      <alignment horizontal="center" vertical="center" wrapText="1"/>
    </xf>
    <xf numFmtId="0" fontId="16" fillId="11" borderId="30" xfId="240" applyFont="1" applyFill="1" applyBorder="1" applyAlignment="1">
      <alignment horizontal="center" vertical="center" wrapText="1"/>
    </xf>
    <xf numFmtId="0" fontId="11" fillId="5" borderId="31" xfId="240" applyFont="1" applyFill="1" applyBorder="1" applyAlignment="1">
      <alignment horizontal="center" vertical="center" wrapText="1"/>
    </xf>
    <xf numFmtId="0" fontId="11" fillId="5" borderId="32" xfId="240" applyFont="1" applyFill="1" applyBorder="1" applyAlignment="1">
      <alignment horizontal="center" vertical="center" wrapText="1"/>
    </xf>
    <xf numFmtId="0" fontId="11" fillId="5" borderId="33" xfId="240" applyFont="1" applyFill="1" applyBorder="1" applyAlignment="1">
      <alignment horizontal="center" vertical="center" wrapText="1"/>
    </xf>
    <xf numFmtId="0" fontId="82" fillId="22" borderId="2" xfId="240" applyFont="1" applyFill="1" applyBorder="1" applyAlignment="1">
      <alignment horizontal="center" vertical="center" wrapText="1"/>
    </xf>
    <xf numFmtId="0" fontId="3" fillId="5" borderId="34" xfId="240" applyFont="1" applyFill="1" applyBorder="1" applyAlignment="1">
      <alignment horizontal="center" vertical="center" wrapText="1"/>
    </xf>
    <xf numFmtId="0" fontId="3" fillId="5" borderId="1" xfId="240" applyFont="1" applyFill="1" applyBorder="1" applyAlignment="1">
      <alignment horizontal="center" vertical="center" wrapText="1"/>
    </xf>
    <xf numFmtId="166" fontId="3" fillId="5" borderId="34" xfId="15" applyNumberFormat="1" applyFont="1" applyFill="1" applyBorder="1" applyAlignment="1">
      <alignment horizontal="center" vertical="center" wrapText="1"/>
    </xf>
    <xf numFmtId="166" fontId="3" fillId="5" borderId="1" xfId="15" applyNumberFormat="1" applyFont="1" applyFill="1" applyBorder="1" applyAlignment="1">
      <alignment horizontal="center" vertical="center" wrapText="1"/>
    </xf>
    <xf numFmtId="0" fontId="3" fillId="5" borderId="35" xfId="240" applyFont="1" applyFill="1" applyBorder="1" applyAlignment="1">
      <alignment horizontal="center" vertical="center" wrapText="1"/>
    </xf>
    <xf numFmtId="0" fontId="3" fillId="5" borderId="14" xfId="240" applyFont="1" applyFill="1" applyBorder="1" applyAlignment="1">
      <alignment horizontal="center" vertical="center" wrapText="1"/>
    </xf>
  </cellXfs>
  <cellStyles count="257">
    <cellStyle name="Comma" xfId="1" builtinId="3"/>
    <cellStyle name="Comma 10" xfId="2"/>
    <cellStyle name="Comma 10 2" xfId="3"/>
    <cellStyle name="Comma 10 3" xfId="4"/>
    <cellStyle name="Comma 11" xfId="5"/>
    <cellStyle name="Comma 12" xfId="6"/>
    <cellStyle name="Comma 13" xfId="7"/>
    <cellStyle name="Comma 14" xfId="8"/>
    <cellStyle name="Comma 16" xfId="9"/>
    <cellStyle name="Comma 17" xfId="10"/>
    <cellStyle name="Comma 18" xfId="11"/>
    <cellStyle name="Comma 19" xfId="12"/>
    <cellStyle name="Comma 2" xfId="13"/>
    <cellStyle name="Comma 2 10" xfId="14"/>
    <cellStyle name="Comma 2 2" xfId="15"/>
    <cellStyle name="Comma 2 3" xfId="16"/>
    <cellStyle name="Comma 2 4" xfId="17"/>
    <cellStyle name="Comma 2 5" xfId="18"/>
    <cellStyle name="Comma 2 6" xfId="19"/>
    <cellStyle name="Comma 2 7" xfId="20"/>
    <cellStyle name="Comma 2 8" xfId="21"/>
    <cellStyle name="Comma 2 9" xfId="22"/>
    <cellStyle name="Comma 20" xfId="23"/>
    <cellStyle name="Comma 21" xfId="24"/>
    <cellStyle name="Comma 23" xfId="25"/>
    <cellStyle name="Comma 24" xfId="26"/>
    <cellStyle name="Comma 25" xfId="27"/>
    <cellStyle name="Comma 26" xfId="28"/>
    <cellStyle name="Comma 27" xfId="29"/>
    <cellStyle name="Comma 28" xfId="30"/>
    <cellStyle name="Comma 29" xfId="31"/>
    <cellStyle name="Comma 3" xfId="32"/>
    <cellStyle name="Comma 30" xfId="33"/>
    <cellStyle name="Comma 31" xfId="34"/>
    <cellStyle name="Comma 32" xfId="35"/>
    <cellStyle name="Comma 33" xfId="36"/>
    <cellStyle name="Comma 34" xfId="37"/>
    <cellStyle name="Comma 35" xfId="38"/>
    <cellStyle name="Comma 36" xfId="39"/>
    <cellStyle name="Comma 37" xfId="40"/>
    <cellStyle name="Comma 38" xfId="41"/>
    <cellStyle name="Comma 39" xfId="42"/>
    <cellStyle name="Comma 4" xfId="43"/>
    <cellStyle name="Comma 40" xfId="44"/>
    <cellStyle name="Comma 41" xfId="45"/>
    <cellStyle name="Comma 42" xfId="46"/>
    <cellStyle name="Comma 43" xfId="47"/>
    <cellStyle name="Comma 44" xfId="48"/>
    <cellStyle name="Comma 45" xfId="49"/>
    <cellStyle name="Comma 46" xfId="50"/>
    <cellStyle name="Comma 47" xfId="51"/>
    <cellStyle name="Comma 49" xfId="52"/>
    <cellStyle name="Comma 5" xfId="53"/>
    <cellStyle name="Comma 50" xfId="54"/>
    <cellStyle name="Comma 51" xfId="55"/>
    <cellStyle name="Comma 52" xfId="56"/>
    <cellStyle name="Comma 53" xfId="57"/>
    <cellStyle name="Comma 54" xfId="58"/>
    <cellStyle name="Comma 55" xfId="59"/>
    <cellStyle name="Comma 56" xfId="60"/>
    <cellStyle name="Comma 57" xfId="61"/>
    <cellStyle name="Comma 58" xfId="62"/>
    <cellStyle name="Comma 59" xfId="63"/>
    <cellStyle name="Comma 6" xfId="64"/>
    <cellStyle name="Comma 60" xfId="65"/>
    <cellStyle name="Comma 61" xfId="66"/>
    <cellStyle name="Comma 62" xfId="67"/>
    <cellStyle name="Comma 63" xfId="68"/>
    <cellStyle name="Comma 64" xfId="69"/>
    <cellStyle name="Comma 65" xfId="70"/>
    <cellStyle name="Comma 66" xfId="71"/>
    <cellStyle name="Comma 67" xfId="72"/>
    <cellStyle name="Comma 68" xfId="73"/>
    <cellStyle name="Comma 69" xfId="74"/>
    <cellStyle name="Comma 7" xfId="75"/>
    <cellStyle name="Comma 70" xfId="76"/>
    <cellStyle name="Comma 71" xfId="77"/>
    <cellStyle name="Comma 8" xfId="78"/>
    <cellStyle name="Comma 9" xfId="79"/>
    <cellStyle name="Normal" xfId="0" builtinId="0"/>
    <cellStyle name="Normal 10" xfId="80"/>
    <cellStyle name="Normal 11" xfId="81"/>
    <cellStyle name="Normal 12" xfId="82"/>
    <cellStyle name="Normal 13" xfId="83"/>
    <cellStyle name="Normal 14" xfId="84"/>
    <cellStyle name="Normal 15" xfId="85"/>
    <cellStyle name="Normal 16" xfId="86"/>
    <cellStyle name="Normal 17" xfId="87"/>
    <cellStyle name="Normal 18" xfId="88"/>
    <cellStyle name="Normal 19" xfId="89"/>
    <cellStyle name="Normal 2" xfId="90"/>
    <cellStyle name="Normal 2 10" xfId="91"/>
    <cellStyle name="Normal 2 11" xfId="92"/>
    <cellStyle name="Normal 2 12" xfId="93"/>
    <cellStyle name="Normal 2 13" xfId="94"/>
    <cellStyle name="Normal 2 14" xfId="95"/>
    <cellStyle name="Normal 2 15" xfId="96"/>
    <cellStyle name="Normal 2 16" xfId="97"/>
    <cellStyle name="Normal 2 17" xfId="98"/>
    <cellStyle name="Normal 2 18" xfId="99"/>
    <cellStyle name="Normal 2 19" xfId="100"/>
    <cellStyle name="Normal 2 2" xfId="101"/>
    <cellStyle name="Normal 2 20" xfId="102"/>
    <cellStyle name="Normal 2 21" xfId="103"/>
    <cellStyle name="Normal 2 22" xfId="104"/>
    <cellStyle name="Normal 2 23" xfId="105"/>
    <cellStyle name="Normal 2 24" xfId="106"/>
    <cellStyle name="Normal 2 25" xfId="107"/>
    <cellStyle name="Normal 2 26" xfId="108"/>
    <cellStyle name="Normal 2 27" xfId="109"/>
    <cellStyle name="Normal 2 28" xfId="110"/>
    <cellStyle name="Normal 2 29" xfId="111"/>
    <cellStyle name="Normal 2 3" xfId="112"/>
    <cellStyle name="Normal 2 30" xfId="113"/>
    <cellStyle name="Normal 2 31" xfId="114"/>
    <cellStyle name="Normal 2 32" xfId="115"/>
    <cellStyle name="Normal 2 33" xfId="116"/>
    <cellStyle name="Normal 2 34" xfId="117"/>
    <cellStyle name="Normal 2 35" xfId="118"/>
    <cellStyle name="Normal 2 36" xfId="119"/>
    <cellStyle name="Normal 2 37" xfId="120"/>
    <cellStyle name="Normal 2 38" xfId="121"/>
    <cellStyle name="Normal 2 39" xfId="122"/>
    <cellStyle name="Normal 2 4" xfId="123"/>
    <cellStyle name="Normal 2 40" xfId="124"/>
    <cellStyle name="Normal 2 41" xfId="125"/>
    <cellStyle name="Normal 2 42" xfId="126"/>
    <cellStyle name="Normal 2 43" xfId="127"/>
    <cellStyle name="Normal 2 44" xfId="128"/>
    <cellStyle name="Normal 2 45" xfId="129"/>
    <cellStyle name="Normal 2 46" xfId="130"/>
    <cellStyle name="Normal 2 47" xfId="131"/>
    <cellStyle name="Normal 2 48" xfId="132"/>
    <cellStyle name="Normal 2 49" xfId="133"/>
    <cellStyle name="Normal 2 5" xfId="134"/>
    <cellStyle name="Normal 2 50" xfId="135"/>
    <cellStyle name="Normal 2 51" xfId="136"/>
    <cellStyle name="Normal 2 52" xfId="137"/>
    <cellStyle name="Normal 2 53" xfId="138"/>
    <cellStyle name="Normal 2 54" xfId="139"/>
    <cellStyle name="Normal 2 55" xfId="140"/>
    <cellStyle name="Normal 2 56" xfId="141"/>
    <cellStyle name="Normal 2 57" xfId="142"/>
    <cellStyle name="Normal 2 58" xfId="143"/>
    <cellStyle name="Normal 2 59" xfId="144"/>
    <cellStyle name="Normal 2 6" xfId="145"/>
    <cellStyle name="Normal 2 60" xfId="146"/>
    <cellStyle name="Normal 2 61" xfId="147"/>
    <cellStyle name="Normal 2 62" xfId="148"/>
    <cellStyle name="Normal 2 63" xfId="149"/>
    <cellStyle name="Normal 2 64" xfId="150"/>
    <cellStyle name="Normal 2 65" xfId="151"/>
    <cellStyle name="Normal 2 66" xfId="152"/>
    <cellStyle name="Normal 2 67" xfId="153"/>
    <cellStyle name="Normal 2 68" xfId="154"/>
    <cellStyle name="Normal 2 69" xfId="155"/>
    <cellStyle name="Normal 2 7" xfId="156"/>
    <cellStyle name="Normal 2 70" xfId="157"/>
    <cellStyle name="Normal 2 71" xfId="158"/>
    <cellStyle name="Normal 2 72" xfId="159"/>
    <cellStyle name="Normal 2 73" xfId="160"/>
    <cellStyle name="Normal 2 74" xfId="161"/>
    <cellStyle name="Normal 2 8" xfId="162"/>
    <cellStyle name="Normal 2 9" xfId="163"/>
    <cellStyle name="Normal 20" xfId="164"/>
    <cellStyle name="Normal 21" xfId="165"/>
    <cellStyle name="Normal 22" xfId="166"/>
    <cellStyle name="Normal 23" xfId="167"/>
    <cellStyle name="Normal 24" xfId="168"/>
    <cellStyle name="Normal 25" xfId="169"/>
    <cellStyle name="Normal 26" xfId="170"/>
    <cellStyle name="Normal 27" xfId="171"/>
    <cellStyle name="Normal 28" xfId="172"/>
    <cellStyle name="Normal 29" xfId="173"/>
    <cellStyle name="Normal 3" xfId="174"/>
    <cellStyle name="Normal 3 2" xfId="175"/>
    <cellStyle name="Normal 3 3" xfId="176"/>
    <cellStyle name="Normal 30" xfId="177"/>
    <cellStyle name="Normal 31" xfId="178"/>
    <cellStyle name="Normal 32" xfId="179"/>
    <cellStyle name="Normal 33" xfId="180"/>
    <cellStyle name="Normal 34" xfId="181"/>
    <cellStyle name="Normal 35" xfId="182"/>
    <cellStyle name="Normal 36" xfId="183"/>
    <cellStyle name="Normal 37" xfId="184"/>
    <cellStyle name="Normal 38" xfId="185"/>
    <cellStyle name="Normal 39" xfId="186"/>
    <cellStyle name="Normal 4" xfId="187"/>
    <cellStyle name="Normal 4 10" xfId="188"/>
    <cellStyle name="Normal 4 2" xfId="189"/>
    <cellStyle name="Normal 4 3" xfId="190"/>
    <cellStyle name="Normal 4 4" xfId="191"/>
    <cellStyle name="Normal 4 5" xfId="192"/>
    <cellStyle name="Normal 4 6" xfId="193"/>
    <cellStyle name="Normal 4 7" xfId="194"/>
    <cellStyle name="Normal 4 8" xfId="195"/>
    <cellStyle name="Normal 4 9" xfId="196"/>
    <cellStyle name="Normal 40" xfId="197"/>
    <cellStyle name="Normal 41" xfId="198"/>
    <cellStyle name="Normal 42" xfId="199"/>
    <cellStyle name="Normal 43" xfId="200"/>
    <cellStyle name="Normal 44" xfId="201"/>
    <cellStyle name="Normal 45" xfId="202"/>
    <cellStyle name="Normal 46" xfId="203"/>
    <cellStyle name="Normal 47" xfId="204"/>
    <cellStyle name="Normal 48" xfId="205"/>
    <cellStyle name="Normal 49" xfId="206"/>
    <cellStyle name="Normal 5" xfId="207"/>
    <cellStyle name="Normal 5 2" xfId="208"/>
    <cellStyle name="Normal 50" xfId="209"/>
    <cellStyle name="Normal 50 2" xfId="210"/>
    <cellStyle name="Normal 51" xfId="211"/>
    <cellStyle name="Normal 52" xfId="212"/>
    <cellStyle name="Normal 53" xfId="213"/>
    <cellStyle name="Normal 54" xfId="214"/>
    <cellStyle name="Normal 55" xfId="215"/>
    <cellStyle name="Normal 56" xfId="216"/>
    <cellStyle name="Normal 57" xfId="217"/>
    <cellStyle name="Normal 58" xfId="218"/>
    <cellStyle name="Normal 59" xfId="219"/>
    <cellStyle name="Normal 6" xfId="220"/>
    <cellStyle name="Normal 6 2" xfId="221"/>
    <cellStyle name="Normal 6 3" xfId="222"/>
    <cellStyle name="Normal 60" xfId="223"/>
    <cellStyle name="Normal 61" xfId="224"/>
    <cellStyle name="Normal 62" xfId="225"/>
    <cellStyle name="Normal 63" xfId="226"/>
    <cellStyle name="Normal 64" xfId="227"/>
    <cellStyle name="Normal 65" xfId="228"/>
    <cellStyle name="Normal 66" xfId="229"/>
    <cellStyle name="Normal 67" xfId="230"/>
    <cellStyle name="Normal 68" xfId="231"/>
    <cellStyle name="Normal 69" xfId="232"/>
    <cellStyle name="Normal 7" xfId="233"/>
    <cellStyle name="Normal 70" xfId="234"/>
    <cellStyle name="Normal 71" xfId="235"/>
    <cellStyle name="Normal 72" xfId="236"/>
    <cellStyle name="Normal 73" xfId="237"/>
    <cellStyle name="Normal 74" xfId="238"/>
    <cellStyle name="Normal 74 2" xfId="239"/>
    <cellStyle name="Normal 75" xfId="240"/>
    <cellStyle name="Normal 76" xfId="241"/>
    <cellStyle name="Normal 8" xfId="242"/>
    <cellStyle name="Normal 81" xfId="243"/>
    <cellStyle name="Normal 81 2" xfId="244"/>
    <cellStyle name="Normal 83" xfId="245"/>
    <cellStyle name="Normal 83 2" xfId="246"/>
    <cellStyle name="Normal 9" xfId="247"/>
    <cellStyle name="Normal 94" xfId="248"/>
    <cellStyle name="Normal 94 2" xfId="249"/>
    <cellStyle name="Normal_09越南新电饭煲和电水壶定价表_09越南基地电器进口出厂价确认" xfId="250"/>
    <cellStyle name="Percent" xfId="251" builtinId="5"/>
    <cellStyle name="常规 2" xfId="252"/>
    <cellStyle name="常规 2 2" xfId="253"/>
    <cellStyle name="常规 2 3" xfId="254"/>
    <cellStyle name="常规 3 3" xfId="255"/>
    <cellStyle name="常规_产品成本库存CIF PAK总管 4" xfId="256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a Luong" refreshedDate="43967.518001273151" createdVersion="1" refreshedVersion="4" recordCount="435" upgradeOnRefresh="1">
  <cacheSource type="worksheet">
    <worksheetSource ref="A2:AO437" sheet="List Model"/>
  </cacheSource>
  <cacheFields count="27">
    <cacheField name="CMMF" numFmtId="0">
      <sharedItems containsString="0" containsBlank="1" containsNumber="1" containsInteger="1" minValue="1500578154" maxValue="8010000563"/>
    </cacheField>
    <cacheField name="Model" numFmtId="0">
      <sharedItems count="435">
        <s v="PS14"/>
        <s v="HT08008-1"/>
        <s v="HT08008-1C"/>
        <s v="HT08008-2"/>
        <s v="HT08008-2C"/>
        <s v="HT08008-3"/>
        <s v="HT08008-4"/>
        <s v="HT08008-4C"/>
        <s v="HT08008-5"/>
        <s v="HT08008-5C"/>
        <s v="HT08008-6"/>
        <s v="HT08008-8"/>
        <s v="HT08008-8C"/>
        <s v="S05S20"/>
        <s v="S10A20"/>
        <s v="S30A18"/>
        <s v="S30A20"/>
        <s v="S30A22"/>
        <s v="S30A24"/>
        <s v="S08A24"/>
        <s v="S08A24IH"/>
        <s v="H18202-T18"/>
        <s v="H18202-T20"/>
        <s v="H18202-T24"/>
        <s v="H20203-T16"/>
        <s v="H18203-T18"/>
        <s v="H18203-T20"/>
        <s v="H18203-T24"/>
        <s v="H18203-T18A"/>
        <s v="H18203-T20A"/>
        <s v="H18203-T24A"/>
        <s v="H18203-T18C"/>
        <s v="H18203-T20C"/>
        <s v="H18203-T24C"/>
        <s v="H18204-T18"/>
        <s v="H18204-T20"/>
        <s v="H18204-T24"/>
        <s v="H20204-T20"/>
        <s v="H20205-J22"/>
        <s v="H20205-J30"/>
        <s v="T0305-B"/>
        <s v="T0305-G"/>
        <s v="T0305-Y"/>
        <s v="TW08001"/>
        <s v="S30A-T1"/>
        <s v="H06011-T2A"/>
        <s v="YG22"/>
        <s v="YG24"/>
        <s v="YGH22"/>
        <s v="YL183F5"/>
        <s v="PJ12C2"/>
        <s v="F06A20"/>
        <s v="F06A22"/>
        <s v="F06A24"/>
        <s v="F06A26"/>
        <s v="F06A28"/>
        <s v="F06A30"/>
        <s v="F09A16"/>
        <s v="F09A20"/>
        <s v="F10A26"/>
        <s v="F13A24"/>
        <s v="F13A28"/>
        <s v="F15A24"/>
        <s v="F17A22IHA"/>
        <s v="F17A26IH"/>
        <s v="F23A24"/>
        <s v="F23A24IH"/>
        <s v="F23A26"/>
        <s v="F23A26IH"/>
        <s v="F23A28"/>
        <s v="F23A28IH"/>
        <s v="H18201-J24"/>
        <s v="H18201-J26"/>
        <s v="H18201-J28"/>
        <s v="H18201-SJ28"/>
        <s v="H18202-J24"/>
        <s v="H18202-J26"/>
        <s v="H18203-J22"/>
        <s v="H18203-J24"/>
        <s v="H18203-J26"/>
        <s v="H18203-SJ28"/>
        <s v="H18203-J24A"/>
        <s v="H18203-J26A"/>
        <s v="H18203-SJ28A"/>
        <s v="H18203-J22C"/>
        <s v="H18203-J24C"/>
        <s v="H18203-J26C"/>
        <s v="H18203-J22D"/>
        <s v="H18203-J24D"/>
        <s v="H18203-J26D"/>
        <s v="H18204-J22"/>
        <s v="H18204-J24"/>
        <s v="H18204-J26"/>
        <s v="H20201-J22"/>
        <s v="H20202-J22"/>
        <s v="H07011-1"/>
        <s v="H07011-2"/>
        <s v="H07011-3"/>
        <s v="H07011-4"/>
        <s v="W06A32"/>
        <s v="W06A36"/>
        <s v="W07A30-C"/>
        <s v="W07A34"/>
        <s v="16YB3VN-36"/>
        <s v="16YB3VN-WH"/>
        <s v="20FC17A-35"/>
        <s v="SRC810VN"/>
        <s v="SRC811VN"/>
        <s v="40FC33VN-75"/>
        <s v="50FC29VN-75"/>
        <s v="50FC33VN-75"/>
        <s v="50HC12VN-120"/>
        <s v="50YB13VN-50"/>
        <s v="50YB13VN-CF"/>
        <s v="50YB13VN-RD"/>
        <s v="50YB19VN-GR"/>
        <s v="50YB19VN-PK"/>
        <s v="50YB19VN-YL"/>
        <s v="50FC533VN-75"/>
        <s v="SRC741"/>
        <s v="SRC818VN"/>
        <s v="SRC819VN"/>
        <s v="50YA10VN-100"/>
        <s v="50YA310VN"/>
        <s v="50YC10DVN-100"/>
        <s v="520QVN-100"/>
        <s v="H30FK802VN-136"/>
        <s v="HFK26EVN-130"/>
        <s v="CB36VN"/>
        <s v="CB45VN-210"/>
        <s v="SDHCB11TVN-GR"/>
        <s v="SDHCB11TVN-YL"/>
        <s v="15S06AVN"/>
        <s v="17S18AVN"/>
        <s v="17S18BVN"/>
        <s v="17S20AVN"/>
        <s v="18S09AVN"/>
        <s v="SW-1513AVN"/>
        <s v="SW-1815VN"/>
        <s v="C6202272"/>
        <s v="C6203272"/>
        <s v="C6204672"/>
        <s v="C6207172"/>
        <s v="C6422314"/>
        <s v="C6427914"/>
        <s v="C6822472"/>
        <s v="C6824672"/>
        <s v="G1352395"/>
        <s v="G1354595"/>
        <s v="H9104314"/>
        <s v="H9104414"/>
        <s v="H9104614"/>
        <s v="B9052395"/>
        <s v="B9054495"/>
        <s v="B9054695"/>
        <s v="B907S644"/>
        <s v="C6200272"/>
        <s v="C6200472"/>
        <s v="C6200572"/>
        <s v="C6200672"/>
        <s v="C6201972"/>
        <s v="C6428414"/>
        <s v="C6428614"/>
        <s v="C6820275"/>
        <s v="C6820472"/>
        <s v="C6820672"/>
        <s v="C6820772"/>
        <s v="C6821972"/>
        <s v="G1350295"/>
        <s v="G1350495"/>
        <s v="G1350695"/>
        <s v="G1358495"/>
        <s v="G1358695"/>
        <s v="H9100414"/>
        <s v="H9100514"/>
        <s v="H9100614"/>
        <s v="H9109014"/>
        <s v="RK604165"/>
        <s v="RK803565"/>
        <s v="RK805565"/>
        <s v="RK732168"/>
        <s v="RK733168"/>
        <s v="RK762168"/>
        <s v="RK224168"/>
        <s v="RK808168"/>
        <s v="RK752168"/>
        <s v="KI810D30"/>
        <s v="KI820565"/>
        <s v="KO370840"/>
        <s v="BF2731MS"/>
        <s v="BL815EKR"/>
        <s v="BL967B66"/>
        <s v="BL2A1166"/>
        <s v="BL42Q166"/>
        <s v="BL42S166"/>
        <s v="BL307165"/>
        <s v="HB833840"/>
        <s v="BL133AKR"/>
        <s v="BL1B1D39"/>
        <s v="BL142A42"/>
        <s v="BL2A0166"/>
        <s v="BL305840"/>
        <s v="BL309166"/>
        <s v="BL30A165"/>
        <s v="BL427166"/>
        <s v="BL438166"/>
        <s v="FS2610L0"/>
        <s v="FS2620L0"/>
        <s v="FS2920L0"/>
        <s v="FV1022T0"/>
        <s v="FV1026L0"/>
        <s v="FV1320E1"/>
        <s v="FV1520L0"/>
        <s v="FV1721L0"/>
        <s v="FV1844E0"/>
        <s v="FV1849E0"/>
        <s v="FV3910E0"/>
        <s v="FV3925L0"/>
        <s v="FV3930E0"/>
        <s v="FV3951E0"/>
        <s v="FV3965E0"/>
        <s v="FV4870L0"/>
        <s v="FV4970E0"/>
        <s v="FV4980E0"/>
        <s v="FV5330L0"/>
        <s v="FV5335"/>
        <s v="FV5525E0"/>
        <s v="FV9603L0"/>
        <s v="FV5717E0"/>
        <s v="FV5737E0"/>
        <s v="DT6130E0"/>
        <s v="DT3030E0"/>
        <s v="DT7000E0"/>
        <s v="DT8100E0"/>
        <s v="IT2460E0"/>
        <s v="IT2461E0"/>
        <s v="IT3420E0"/>
        <s v="IT3440E0"/>
        <s v="QT1020E0"/>
        <s v="GV7550E0"/>
        <s v="TT356171"/>
        <s v="TT1321"/>
        <s v="HT142138"/>
        <s v="OF464810"/>
        <s v="ZN350H66"/>
        <s v="MF805"/>
        <s v="HB1011A4"/>
        <s v="VC140165"/>
        <s v="TG3918"/>
        <s v="TW3786HA"/>
        <s v="VU2310F0"/>
        <s v="VU4410F0"/>
        <s v="VU4440F0"/>
        <s v="VF2255X0"/>
        <s v="VF3410T0"/>
        <s v="VF3617O1"/>
        <s v="VF3627O1"/>
        <s v="VF3629-71"/>
        <s v="VF3637O1"/>
        <s v="VF3639-71"/>
        <s v="VF3640F0"/>
        <s v="VF3647O1"/>
        <s v="VF3649-71"/>
        <s v="VF3650-71"/>
        <s v="VF3660-71"/>
        <s v="VF3670-71"/>
        <s v="VF3680-71"/>
        <s v="VF6410-71"/>
        <s v="B12001-EV0"/>
        <s v="B12001-LV0"/>
        <s v="B12001-XV0"/>
        <s v="B12005-OV0"/>
        <s v="B12005-OV1"/>
        <s v="B12005-XV0"/>
        <s v="B12005-XV1"/>
        <s v="B12005-XZ0"/>
        <s v="B16001-EV0"/>
        <s v="B16001-LV0"/>
        <s v="B16001-XV1"/>
        <s v="B16017-EV0"/>
        <s v="B16017-LV0"/>
        <s v="B16017-XV0"/>
        <s v="B18001-XV0"/>
        <s v="A16001-LS1"/>
        <s v="A16001-OS1"/>
        <s v="A16001-XV1"/>
        <s v="A16007-EV0"/>
        <s v="A16007-LV0"/>
        <s v="A16007-XV0"/>
        <s v="A16008-DS0"/>
        <s v="A16008-DV0"/>
        <s v="A16008-DZ1"/>
        <s v="A16008-DZ2"/>
        <s v="A16008-DE0"/>
        <s v="A16008-DM0"/>
        <s v="A16008-DV1"/>
        <s v="A16008-XZ0"/>
        <s v="A16008-DV2"/>
        <s v="A16009-DV1"/>
        <s v="A16009-XV0"/>
        <s v="A16010-OV0"/>
        <s v="A16010-OV1"/>
        <s v="A16010-XV0"/>
        <s v="A16010-XV1"/>
        <s v="A16017-LV0"/>
        <s v="A16017-XV0"/>
        <s v="A16018-BV0"/>
        <s v="A16018-BV1"/>
        <s v="A16018-BV2"/>
        <s v="A16018-BV3"/>
        <s v="A16018-GV0"/>
        <s v="A16018-GV1"/>
        <s v="A16018-GV2"/>
        <s v="A16018-GV3"/>
        <s v="A16018-WV0"/>
        <s v="A16018-XV0"/>
        <s v="A16019-BV0"/>
        <s v="A16019-BZ0"/>
        <s v="A16019-GV0"/>
        <s v="A16019-XV0"/>
        <s v="A16020-DV0"/>
        <s v="A16020-XV0"/>
        <s v="A16021-DV0"/>
        <s v="A16021-XV0"/>
        <s v="D16009-XV0"/>
        <s v="D16010-EV0"/>
        <s v="D16011-LV0"/>
        <s v="D16012-DV0"/>
        <s v="D16013-XV0"/>
        <s v="D16016-DV0"/>
        <s v="D16017-EV0"/>
        <s v="D16017-LV0"/>
        <s v="D16018-BV0"/>
        <s v="D16018-BV1"/>
        <s v="D16018-GV0"/>
        <s v="D16018-GV1"/>
        <s v="D16018-WV0"/>
        <s v="D16019-DV0"/>
        <s v="D16019-WV0"/>
        <s v="D16020-DV0"/>
        <s v="D16021-BV1"/>
        <s v="D16021-GV0"/>
        <s v="D16021-XV0"/>
        <s v="D16022-DV0"/>
        <s v="D16023-BV1"/>
        <s v="D16023-DV0"/>
        <s v="D16023-GV0"/>
        <s v="D16024-DV0"/>
        <s v="D16025-BV1"/>
        <s v="D16025-GV0"/>
        <s v="D16025-XV0"/>
        <s v="D16026-DV0"/>
        <s v="D16026-XV0"/>
        <s v="D16027-TV0"/>
        <s v="D16027-XV0"/>
        <s v="D16028-TV0"/>
        <s v="D16028-XV0"/>
        <s v="D18001-DM0"/>
        <s v="D18001-DV0"/>
        <s v="D18001-XV1"/>
        <s v="D18001-DV1"/>
        <s v="D18003-DS0"/>
        <s v="D18003-DS2"/>
        <s v="D18003-DS3"/>
        <s v="D18003-DV0"/>
        <s v="D18004-XV1"/>
        <s v="D18005-DV0"/>
        <s v="D18005-DM0"/>
        <s v="D20001-DS0"/>
        <s v="D20002-DV0"/>
        <s v="D20002-DZ0"/>
        <s v="D24001-DS0"/>
        <s v="D24001-DV0"/>
        <s v="L16003-EV0"/>
        <s v="L16003-LM0"/>
        <s v="L16003-LV1"/>
        <s v="L16003-XV1"/>
        <s v="L16006-LV0"/>
        <s v="L16006-XV0"/>
        <s v="L16009-DV0"/>
        <s v="L16009-DV1"/>
        <s v="L16012-DV0"/>
        <s v="L16017-XV0"/>
        <s v="L16017-LV0"/>
        <s v="L16018-BV0"/>
        <s v="L16018-BV1"/>
        <s v="L16018-GV0"/>
        <s v="L16018-GV1"/>
        <s v="L16018-GV2"/>
        <s v="L16018-GV3"/>
        <s v="L16018-TV0"/>
        <s v="L16018-XV0"/>
        <s v="L16019-BV0"/>
        <s v="L16019-GV0"/>
        <s v="L16019-GV1"/>
        <s v="L16019-XV0"/>
        <s v="L16020-DV0"/>
        <s v="L16021-DV0"/>
        <s v="L16021-XV0"/>
        <s v="L16022-BV1"/>
        <s v="L16022-DV0"/>
        <s v="L16022-GV0"/>
        <s v="L16022-XV0"/>
        <s v="L16023-DV0"/>
        <s v="L18001-DV0"/>
        <s v="L18002-DS1"/>
        <s v="L18002-DV0"/>
        <s v="L18002-DV1"/>
        <s v="L18002-DV3"/>
        <s v="L18004-DS1"/>
        <s v="L18004-DV0"/>
        <s v="L20002-DS2"/>
        <s v="L20002-DV0"/>
        <s v="L24001-DS0"/>
        <s v="L24001-DV0"/>
        <s v="F12001-LV1"/>
        <s v="F12001-XV1"/>
        <s v="F12004-LV1"/>
        <s v="F12004-TV1"/>
        <s v="F12004-XV1"/>
        <s v="F16001-LV1"/>
        <s v="F16001-XV1"/>
        <s v="HF1401-TV0"/>
        <s v="X16001-SV0"/>
        <s v="X16001-XS0"/>
        <s v="X16001-XM0"/>
        <s v="X16001-XV0"/>
        <s v="X16002-SV0"/>
        <s v="X16002-XV0"/>
        <s v="H08001-SV0"/>
        <s v="H10001-SV0"/>
        <s v="J48004-SV0"/>
        <s v="J56004-SV0"/>
        <s v="QS1001-SV0"/>
        <s v="V04001-SV0"/>
      </sharedItems>
    </cacheField>
    <cacheField name="Bar Code" numFmtId="0">
      <sharedItems containsBlank="1"/>
    </cacheField>
    <cacheField name="SIZE" numFmtId="0">
      <sharedItems containsBlank="1"/>
    </cacheField>
    <cacheField name="Phân Loại" numFmtId="0">
      <sharedItems containsBlank="1"/>
    </cacheField>
    <cacheField name="Brand" numFmtId="0">
      <sharedItems count="3">
        <s v="Supor"/>
        <s v="Tefal"/>
        <s v="AsiaVina"/>
      </sharedItems>
    </cacheField>
    <cacheField name="Loại Sản phẩm" numFmtId="0">
      <sharedItems containsBlank="1"/>
    </cacheField>
    <cacheField name="Tên Sản Phẩm" numFmtId="0">
      <sharedItems containsBlank="1" containsMixedTypes="1" containsNumber="1" containsInteger="1" minValue="0" maxValue="0"/>
    </cacheField>
    <cacheField name="Màu sắc" numFmtId="0">
      <sharedItems containsBlank="1"/>
    </cacheField>
    <cacheField name="Prod. life stage 2020" numFmtId="0">
      <sharedItems/>
    </cacheField>
    <cacheField name="Chanel MT" numFmtId="0">
      <sharedItems containsBlank="1" count="2">
        <s v="MT"/>
        <m/>
      </sharedItems>
    </cacheField>
    <cacheField name="Chanel GT" numFmtId="0">
      <sharedItems containsBlank="1" count="2">
        <s v="GT"/>
        <m/>
      </sharedItems>
    </cacheField>
    <cacheField name="Co.op/Xtra" numFmtId="0">
      <sharedItems containsBlank="1"/>
    </cacheField>
    <cacheField name="Mega" numFmtId="0">
      <sharedItems containsBlank="1"/>
    </cacheField>
    <cacheField name="Emart" numFmtId="0">
      <sharedItems containsBlank="1"/>
    </cacheField>
    <cacheField name="Aeon" numFmtId="0">
      <sharedItems containsBlank="1"/>
    </cacheField>
    <cacheField name="Lotte" numFmtId="0">
      <sharedItems containsBlank="1"/>
    </cacheField>
    <cacheField name="Lan Chi" numFmtId="0">
      <sharedItems containsBlank="1"/>
    </cacheField>
    <cacheField name="Cao Phong" numFmtId="0">
      <sharedItems containsBlank="1"/>
    </cacheField>
    <cacheField name="Nguyễn Kim" numFmtId="0">
      <sharedItems containsBlank="1"/>
    </cacheField>
    <cacheField name="DMX" numFmtId="0">
      <sharedItems containsBlank="1"/>
    </cacheField>
    <cacheField name="Pico" numFmtId="0">
      <sharedItems containsBlank="1"/>
    </cacheField>
    <cacheField name="GT-Long Bình" numFmtId="0">
      <sharedItems containsBlank="1"/>
    </cacheField>
    <cacheField name="Price-MT" numFmtId="0">
      <sharedItems containsString="0" containsBlank="1" containsNumber="1" minValue="0" maxValue="5391000"/>
    </cacheField>
    <cacheField name="Price- GT" numFmtId="0">
      <sharedItems containsString="0" containsBlank="1" containsNumber="1" containsInteger="1" minValue="0" maxValue="2466364"/>
    </cacheField>
    <cacheField name="Inventory GS-_x000a_South" numFmtId="0">
      <sharedItems containsNonDate="0" containsString="0" containsBlank="1"/>
    </cacheField>
    <cacheField name="Inventory GS-_x000a_Nort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5">
  <r>
    <n v="7115900050"/>
    <x v="0"/>
    <s v="8936042290227"/>
    <s v="14cm"/>
    <s v="CW"/>
    <x v="0"/>
    <s v="Nồi Canh"/>
    <s v="Nồi sữa "/>
    <s v="Trắng bạc"/>
    <s v="On going"/>
    <x v="0"/>
    <x v="0"/>
    <s v="Co.op /Xtra"/>
    <s v="On going"/>
    <m/>
    <s v="On going"/>
    <m/>
    <s v="On going"/>
    <m/>
    <m/>
    <m/>
    <m/>
    <s v="On going"/>
    <n v="160000"/>
    <n v="128182"/>
    <m/>
    <m/>
  </r>
  <r>
    <n v="7115900037"/>
    <x v="1"/>
    <s v="8936042290524"/>
    <s v="18cm"/>
    <s v="CW"/>
    <x v="0"/>
    <s v="Nồi Canh"/>
    <s v="Healthy"/>
    <s v="Trắng bạc"/>
    <s v="On going"/>
    <x v="0"/>
    <x v="0"/>
    <s v="Co.op /Xtra"/>
    <s v="On going"/>
    <m/>
    <s v="On going"/>
    <m/>
    <s v="On going"/>
    <m/>
    <m/>
    <m/>
    <m/>
    <m/>
    <n v="180910"/>
    <n v="145455"/>
    <m/>
    <m/>
  </r>
  <r>
    <n v="7115900782"/>
    <x v="2"/>
    <s v="8936042290524"/>
    <s v="18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180910"/>
    <n v="0"/>
    <m/>
    <m/>
  </r>
  <r>
    <n v="7115900038"/>
    <x v="3"/>
    <s v="8936042290531"/>
    <s v="20cm"/>
    <s v="CW"/>
    <x v="0"/>
    <s v="Nồi Canh"/>
    <s v="Healthy"/>
    <s v="Trắng bạc"/>
    <s v="On going"/>
    <x v="0"/>
    <x v="0"/>
    <m/>
    <m/>
    <m/>
    <m/>
    <m/>
    <m/>
    <m/>
    <m/>
    <m/>
    <m/>
    <m/>
    <n v="202637"/>
    <n v="161818"/>
    <m/>
    <m/>
  </r>
  <r>
    <n v="7115900778"/>
    <x v="4"/>
    <s v="8936042290531"/>
    <s v="20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202637"/>
    <n v="0"/>
    <m/>
    <m/>
  </r>
  <r>
    <n v="7115900039"/>
    <x v="5"/>
    <s v="8936042290548"/>
    <s v="22cm"/>
    <s v="CW"/>
    <x v="0"/>
    <s v="Nồi Canh"/>
    <s v="Healthy"/>
    <s v="Trắng bạc"/>
    <s v="On going"/>
    <x v="0"/>
    <x v="0"/>
    <m/>
    <s v="On going"/>
    <m/>
    <s v="On going"/>
    <m/>
    <s v="On going"/>
    <m/>
    <m/>
    <m/>
    <m/>
    <m/>
    <n v="237182"/>
    <n v="190000"/>
    <m/>
    <m/>
  </r>
  <r>
    <n v="7115900040"/>
    <x v="6"/>
    <s v="8936042290555"/>
    <s v="26cm"/>
    <s v="CW"/>
    <x v="0"/>
    <s v="Nồi Canh"/>
    <s v="Healthy"/>
    <s v="Trắng bạc"/>
    <s v="On going"/>
    <x v="0"/>
    <x v="0"/>
    <m/>
    <s v="On going"/>
    <m/>
    <s v="On going"/>
    <m/>
    <s v="On going"/>
    <m/>
    <m/>
    <m/>
    <m/>
    <m/>
    <n v="316273"/>
    <n v="252727"/>
    <m/>
    <m/>
  </r>
  <r>
    <n v="7115900779"/>
    <x v="7"/>
    <s v="8936042290555"/>
    <s v="26cm"/>
    <s v="CW"/>
    <x v="0"/>
    <s v="Nồi Canh"/>
    <s v="Healthy"/>
    <s v="Trắng bạc"/>
    <s v="On going"/>
    <x v="0"/>
    <x v="1"/>
    <m/>
    <m/>
    <m/>
    <m/>
    <m/>
    <m/>
    <m/>
    <m/>
    <s v="EOL"/>
    <m/>
    <m/>
    <n v="316273"/>
    <n v="0"/>
    <m/>
    <m/>
  </r>
  <r>
    <n v="7115900119"/>
    <x v="8"/>
    <s v="8936042290678"/>
    <s v="24cm"/>
    <s v="CW"/>
    <x v="0"/>
    <s v="Nồi Canh"/>
    <s v="Healthy"/>
    <s v="Trắng bạc"/>
    <s v="On going"/>
    <x v="0"/>
    <x v="0"/>
    <m/>
    <m/>
    <m/>
    <m/>
    <m/>
    <m/>
    <m/>
    <m/>
    <m/>
    <m/>
    <m/>
    <n v="282637"/>
    <n v="226364"/>
    <m/>
    <m/>
  </r>
  <r>
    <n v="7115900780"/>
    <x v="9"/>
    <s v="8936042290678"/>
    <s v="24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282637"/>
    <n v="0"/>
    <m/>
    <m/>
  </r>
  <r>
    <n v="7115900120"/>
    <x v="10"/>
    <s v="8936042290685"/>
    <s v="30cm"/>
    <s v="CW"/>
    <x v="0"/>
    <s v="Nồi Canh"/>
    <s v="Healthy"/>
    <s v="Trắng bạc"/>
    <s v="On going"/>
    <x v="0"/>
    <x v="0"/>
    <m/>
    <m/>
    <m/>
    <s v="On going"/>
    <m/>
    <s v="On going"/>
    <m/>
    <m/>
    <m/>
    <m/>
    <s v="On going"/>
    <n v="537182"/>
    <n v="430000"/>
    <m/>
    <m/>
  </r>
  <r>
    <n v="7115900155"/>
    <x v="11"/>
    <s v="8936042290784"/>
    <s v="28cm"/>
    <s v="CW"/>
    <x v="0"/>
    <s v="Nồi Canh"/>
    <s v="Healthy"/>
    <s v="Trắng bạc"/>
    <s v="On going"/>
    <x v="0"/>
    <x v="0"/>
    <s v="Co.op /Xtra"/>
    <m/>
    <m/>
    <m/>
    <m/>
    <m/>
    <m/>
    <m/>
    <m/>
    <m/>
    <m/>
    <n v="422637"/>
    <n v="339091"/>
    <m/>
    <m/>
  </r>
  <r>
    <n v="7115900781"/>
    <x v="12"/>
    <s v="8936042290784"/>
    <s v="28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422637"/>
    <n v="0"/>
    <m/>
    <m/>
  </r>
  <r>
    <n v="7115900285"/>
    <x v="13"/>
    <m/>
    <s v="20cm"/>
    <s v="CW"/>
    <x v="0"/>
    <s v="Nồi Canh"/>
    <s v="Inox"/>
    <s v="Trắng"/>
    <s v="Discontinued"/>
    <x v="0"/>
    <x v="0"/>
    <m/>
    <m/>
    <m/>
    <m/>
    <m/>
    <m/>
    <m/>
    <m/>
    <m/>
    <m/>
    <m/>
    <m/>
    <m/>
    <m/>
    <m/>
  </r>
  <r>
    <n v="7115900491"/>
    <x v="14"/>
    <s v="8936042292610"/>
    <m/>
    <s v="CW"/>
    <x v="0"/>
    <s v="Nồi Canh"/>
    <s v="N/a"/>
    <s v="Trắng bạc"/>
    <s v="Discontinued"/>
    <x v="0"/>
    <x v="0"/>
    <m/>
    <m/>
    <m/>
    <m/>
    <m/>
    <m/>
    <m/>
    <m/>
    <m/>
    <m/>
    <m/>
    <n v="217273"/>
    <n v="0"/>
    <m/>
    <m/>
  </r>
  <r>
    <n v="7115900702"/>
    <x v="15"/>
    <s v="8936042292986"/>
    <s v="18cm"/>
    <s v="CW"/>
    <x v="0"/>
    <s v="Nồi Canh"/>
    <s v="Comfort"/>
    <s v="Trắng bạc"/>
    <s v="On going"/>
    <x v="0"/>
    <x v="0"/>
    <s v="Co.op /Xtra"/>
    <m/>
    <m/>
    <m/>
    <m/>
    <m/>
    <m/>
    <m/>
    <m/>
    <m/>
    <m/>
    <n v="205364"/>
    <n v="165455"/>
    <m/>
    <m/>
  </r>
  <r>
    <n v="7115900703"/>
    <x v="16"/>
    <s v="8936042293037"/>
    <s v="20cm"/>
    <s v="CW"/>
    <x v="0"/>
    <s v="Nồi Canh"/>
    <s v="Comfort"/>
    <s v="Trắng bạc"/>
    <s v="On going"/>
    <x v="0"/>
    <x v="0"/>
    <m/>
    <m/>
    <m/>
    <m/>
    <m/>
    <m/>
    <m/>
    <m/>
    <s v="EOL"/>
    <m/>
    <m/>
    <n v="237182"/>
    <n v="190000"/>
    <m/>
    <m/>
  </r>
  <r>
    <n v="7115900704"/>
    <x v="17"/>
    <s v="8936042293006"/>
    <s v="22cm"/>
    <s v="CW"/>
    <x v="0"/>
    <s v="Nồi Canh"/>
    <s v="Comfort"/>
    <s v="Trắng bạc"/>
    <s v="On going"/>
    <x v="0"/>
    <x v="0"/>
    <s v="Co.op /Xtra"/>
    <m/>
    <s v="EOL"/>
    <m/>
    <m/>
    <m/>
    <m/>
    <m/>
    <m/>
    <m/>
    <m/>
    <n v="268091"/>
    <n v="215455"/>
    <m/>
    <m/>
  </r>
  <r>
    <n v="7115900705"/>
    <x v="18"/>
    <s v="8936042293013"/>
    <s v="24cm"/>
    <s v="CW"/>
    <x v="0"/>
    <s v="Nồi Canh"/>
    <s v="Comfort"/>
    <s v="Trắng bạc"/>
    <s v="On going"/>
    <x v="0"/>
    <x v="0"/>
    <s v="Co.op /Xtra"/>
    <m/>
    <m/>
    <m/>
    <m/>
    <m/>
    <m/>
    <m/>
    <s v="EOL"/>
    <m/>
    <m/>
    <n v="299000"/>
    <n v="239091"/>
    <m/>
    <m/>
  </r>
  <r>
    <n v="7115900345"/>
    <x v="19"/>
    <s v="8936042292085"/>
    <s v="24cm"/>
    <s v="CW"/>
    <x v="0"/>
    <s v="Nồi Canh"/>
    <s v="Fruits"/>
    <s v="Hồng Sen"/>
    <s v="Discontinued"/>
    <x v="0"/>
    <x v="0"/>
    <m/>
    <m/>
    <m/>
    <m/>
    <m/>
    <m/>
    <m/>
    <m/>
    <m/>
    <m/>
    <m/>
    <n v="300510"/>
    <n v="242727"/>
    <m/>
    <m/>
  </r>
  <r>
    <n v="7115900348"/>
    <x v="20"/>
    <s v="8936042292115"/>
    <s v="24cm"/>
    <s v="CW"/>
    <x v="0"/>
    <s v="Nồi Canh"/>
    <s v="Fruits"/>
    <s v="Hồng Sen"/>
    <s v="Discontinued"/>
    <x v="0"/>
    <x v="0"/>
    <m/>
    <m/>
    <m/>
    <m/>
    <m/>
    <m/>
    <m/>
    <m/>
    <m/>
    <m/>
    <m/>
    <n v="403546"/>
    <n v="323636"/>
    <m/>
    <m/>
  </r>
  <r>
    <n v="7115900798"/>
    <x v="21"/>
    <s v="8936042293433"/>
    <s v="18cm"/>
    <s v="CW"/>
    <x v="0"/>
    <s v="Nồi Canh"/>
    <s v="Ruby"/>
    <s v="Đỏ Đô"/>
    <s v="To be discontinued"/>
    <x v="0"/>
    <x v="0"/>
    <m/>
    <m/>
    <m/>
    <m/>
    <m/>
    <m/>
    <m/>
    <m/>
    <m/>
    <m/>
    <m/>
    <n v="281727.27272727271"/>
    <n v="225455"/>
    <m/>
    <m/>
  </r>
  <r>
    <n v="7115900799"/>
    <x v="22"/>
    <s v="8936042293440"/>
    <s v="20cm"/>
    <s v="CW"/>
    <x v="0"/>
    <s v="Nồi Canh"/>
    <s v="Ruby"/>
    <s v="Đỏ Đô"/>
    <s v="To be discontinued"/>
    <x v="0"/>
    <x v="0"/>
    <m/>
    <m/>
    <m/>
    <m/>
    <m/>
    <m/>
    <m/>
    <m/>
    <m/>
    <m/>
    <m/>
    <n v="327181.81818181818"/>
    <n v="260000"/>
    <m/>
    <m/>
  </r>
  <r>
    <n v="7115900800"/>
    <x v="23"/>
    <s v="8936042293457"/>
    <s v="24cm"/>
    <s v="CW"/>
    <x v="0"/>
    <s v="Nồi Canh"/>
    <s v="Ruby"/>
    <s v="Đỏ Đô"/>
    <s v="To be discontinued"/>
    <x v="0"/>
    <x v="1"/>
    <m/>
    <m/>
    <m/>
    <m/>
    <m/>
    <m/>
    <m/>
    <m/>
    <m/>
    <m/>
    <m/>
    <n v="354454.54545454541"/>
    <n v="0"/>
    <m/>
    <m/>
  </r>
  <r>
    <n v="7115900871"/>
    <x v="24"/>
    <s v="8936042294263"/>
    <s v="16cm"/>
    <s v="CW"/>
    <x v="0"/>
    <s v="Nồi Canh"/>
    <s v="Update"/>
    <s v="Update"/>
    <s v="New"/>
    <x v="0"/>
    <x v="1"/>
    <m/>
    <m/>
    <m/>
    <m/>
    <m/>
    <m/>
    <m/>
    <m/>
    <m/>
    <m/>
    <m/>
    <m/>
    <n v="0"/>
    <m/>
    <m/>
  </r>
  <r>
    <n v="7115900805"/>
    <x v="25"/>
    <s v="8936042293501"/>
    <s v="18cm"/>
    <s v="CW"/>
    <x v="0"/>
    <s v="Nồi Canh"/>
    <s v="Affinity"/>
    <s v="Đồng"/>
    <s v="To be discontinued"/>
    <x v="0"/>
    <x v="0"/>
    <m/>
    <m/>
    <m/>
    <m/>
    <m/>
    <m/>
    <m/>
    <m/>
    <m/>
    <m/>
    <m/>
    <n v="276272.72727272724"/>
    <n v="220000"/>
    <m/>
    <m/>
  </r>
  <r>
    <n v="7115900806"/>
    <x v="26"/>
    <s v="8936042293518"/>
    <s v="20cm"/>
    <s v="CW"/>
    <x v="0"/>
    <s v="Nồi Canh"/>
    <s v="Affinity"/>
    <s v="Đồng"/>
    <s v="To be discontinued"/>
    <x v="0"/>
    <x v="0"/>
    <m/>
    <m/>
    <m/>
    <m/>
    <m/>
    <m/>
    <m/>
    <m/>
    <m/>
    <m/>
    <m/>
    <n v="327181.81818181818"/>
    <n v="260000"/>
    <m/>
    <m/>
  </r>
  <r>
    <n v="7115900807"/>
    <x v="27"/>
    <s v="8936042293525"/>
    <s v="24cm"/>
    <s v="CW"/>
    <x v="0"/>
    <s v="Nồi Canh"/>
    <s v="Affinity"/>
    <s v="Đồng"/>
    <s v="Discontinued"/>
    <x v="0"/>
    <x v="0"/>
    <m/>
    <m/>
    <m/>
    <m/>
    <m/>
    <m/>
    <m/>
    <m/>
    <m/>
    <m/>
    <m/>
    <n v="363545.45454545453"/>
    <n v="290000"/>
    <m/>
    <m/>
  </r>
  <r>
    <n v="7115900836"/>
    <x v="28"/>
    <s v="8936042293570"/>
    <s v="18cm"/>
    <s v="CW"/>
    <x v="0"/>
    <s v="Nồi Canh"/>
    <s v="Affinity"/>
    <s v="Xanh Ngọc"/>
    <s v="To be discontinued"/>
    <x v="0"/>
    <x v="0"/>
    <m/>
    <m/>
    <m/>
    <m/>
    <s v="On going"/>
    <m/>
    <m/>
    <m/>
    <m/>
    <m/>
    <m/>
    <n v="272636.36363636359"/>
    <n v="219091"/>
    <m/>
    <m/>
  </r>
  <r>
    <n v="7115900813"/>
    <x v="29"/>
    <s v="8936042293587"/>
    <s v="20cm"/>
    <s v="CW"/>
    <x v="0"/>
    <s v="Nồi Canh"/>
    <s v="Affinity"/>
    <s v="Xanh Ngọc"/>
    <s v="Discontinued"/>
    <x v="0"/>
    <x v="0"/>
    <m/>
    <m/>
    <m/>
    <m/>
    <m/>
    <m/>
    <m/>
    <m/>
    <m/>
    <m/>
    <m/>
    <n v="327181.81818181818"/>
    <n v="260000"/>
    <m/>
    <m/>
  </r>
  <r>
    <n v="7115900814"/>
    <x v="30"/>
    <s v="8936042293594"/>
    <s v="24cm"/>
    <s v="CW"/>
    <x v="0"/>
    <s v="Nồi Canh"/>
    <s v="Affinity"/>
    <s v="Xanh Ngọc"/>
    <s v="Discontinued"/>
    <x v="0"/>
    <x v="0"/>
    <m/>
    <m/>
    <m/>
    <m/>
    <m/>
    <m/>
    <m/>
    <m/>
    <m/>
    <m/>
    <m/>
    <n v="363545.45454545453"/>
    <n v="290000"/>
    <m/>
    <m/>
  </r>
  <r>
    <n v="7115900841"/>
    <x v="31"/>
    <s v="8936042293648"/>
    <s v="18cm"/>
    <s v="CW"/>
    <x v="0"/>
    <s v="Nồi Canh"/>
    <s v="Affinity"/>
    <s v="Đen"/>
    <s v="Discontinued"/>
    <x v="0"/>
    <x v="0"/>
    <m/>
    <m/>
    <m/>
    <m/>
    <m/>
    <m/>
    <m/>
    <m/>
    <m/>
    <m/>
    <m/>
    <n v="269910"/>
    <n v="219091"/>
    <m/>
    <m/>
  </r>
  <r>
    <n v="7115900842"/>
    <x v="32"/>
    <s v="8936042293655"/>
    <s v="20cm"/>
    <s v="CW"/>
    <x v="0"/>
    <s v="Nồi Canh"/>
    <s v="Affinity"/>
    <s v="Đen"/>
    <s v="Discontinued"/>
    <x v="0"/>
    <x v="0"/>
    <m/>
    <m/>
    <m/>
    <m/>
    <m/>
    <m/>
    <m/>
    <m/>
    <m/>
    <m/>
    <m/>
    <n v="323910"/>
    <n v="260000"/>
    <m/>
    <m/>
  </r>
  <r>
    <n v="7115900843"/>
    <x v="33"/>
    <s v="8936042293662"/>
    <s v="24cm"/>
    <s v="CW"/>
    <x v="0"/>
    <s v="Nồi Canh"/>
    <s v="Affinity"/>
    <s v="Đen"/>
    <s v="Discontinued"/>
    <x v="0"/>
    <x v="0"/>
    <m/>
    <m/>
    <m/>
    <m/>
    <m/>
    <m/>
    <m/>
    <m/>
    <m/>
    <m/>
    <m/>
    <n v="359910"/>
    <n v="290000"/>
    <m/>
    <m/>
  </r>
  <r>
    <n v="7115900828"/>
    <x v="34"/>
    <s v="8936042293730"/>
    <s v="18cm"/>
    <s v="CW"/>
    <x v="0"/>
    <s v="Nồi Canh"/>
    <s v="Affinity"/>
    <s v="Xám"/>
    <s v="Discontinued"/>
    <x v="0"/>
    <x v="0"/>
    <m/>
    <m/>
    <m/>
    <m/>
    <m/>
    <m/>
    <m/>
    <m/>
    <m/>
    <m/>
    <m/>
    <n v="255363.63636363635"/>
    <n v="205455"/>
    <m/>
    <m/>
  </r>
  <r>
    <n v="7115900829"/>
    <x v="35"/>
    <s v="8936042293747"/>
    <s v="20cm"/>
    <s v="CW"/>
    <x v="0"/>
    <s v="Nồi Canh"/>
    <s v="Affinity"/>
    <s v="Xám"/>
    <s v="Discontinued"/>
    <x v="0"/>
    <x v="1"/>
    <m/>
    <m/>
    <m/>
    <m/>
    <m/>
    <m/>
    <m/>
    <s v="Discontinued"/>
    <m/>
    <m/>
    <m/>
    <n v="291727.27272727271"/>
    <n v="0"/>
    <m/>
    <m/>
  </r>
  <r>
    <n v="7115900830"/>
    <x v="36"/>
    <s v="8936042293754"/>
    <s v="24cm"/>
    <s v="CW"/>
    <x v="0"/>
    <s v="Nồi Canh"/>
    <s v="Affinity"/>
    <s v="Xám"/>
    <s v="Discontinued"/>
    <x v="0"/>
    <x v="0"/>
    <m/>
    <m/>
    <m/>
    <m/>
    <m/>
    <m/>
    <m/>
    <s v="Discontinued"/>
    <m/>
    <m/>
    <m/>
    <n v="319000"/>
    <n v="255455"/>
    <m/>
    <m/>
  </r>
  <r>
    <n v="7115900872"/>
    <x v="37"/>
    <s v="8936042294270"/>
    <s v="20cm"/>
    <s v="CW"/>
    <x v="0"/>
    <s v="Nồi Canh"/>
    <s v="Update"/>
    <s v="Update"/>
    <s v="New"/>
    <x v="0"/>
    <x v="1"/>
    <m/>
    <m/>
    <m/>
    <m/>
    <m/>
    <m/>
    <m/>
    <m/>
    <m/>
    <m/>
    <m/>
    <m/>
    <n v="0"/>
    <m/>
    <m/>
  </r>
  <r>
    <n v="7115900873"/>
    <x v="38"/>
    <s v="8936042294287"/>
    <s v="22cm"/>
    <s v="CW"/>
    <x v="0"/>
    <s v="Nồi Canh"/>
    <s v="Update"/>
    <s v="Update"/>
    <s v="New"/>
    <x v="0"/>
    <x v="0"/>
    <m/>
    <m/>
    <m/>
    <m/>
    <m/>
    <m/>
    <m/>
    <m/>
    <m/>
    <m/>
    <m/>
    <m/>
    <n v="0"/>
    <m/>
    <m/>
  </r>
  <r>
    <n v="7115900874"/>
    <x v="39"/>
    <s v="8936042294294"/>
    <s v="30cm"/>
    <s v="CW"/>
    <x v="0"/>
    <s v="Nồi Canh"/>
    <s v="Update"/>
    <s v="Update"/>
    <s v="New"/>
    <x v="0"/>
    <x v="0"/>
    <m/>
    <m/>
    <m/>
    <m/>
    <m/>
    <m/>
    <m/>
    <m/>
    <m/>
    <m/>
    <m/>
    <m/>
    <n v="0"/>
    <m/>
    <m/>
  </r>
  <r>
    <n v="7116900005"/>
    <x v="40"/>
    <s v="8936042290234"/>
    <s v="10/12 cm"/>
    <s v="CW"/>
    <x v="0"/>
    <s v="Bộ Nồi"/>
    <s v="Bobo"/>
    <s v="Đen"/>
    <s v="On going"/>
    <x v="0"/>
    <x v="0"/>
    <s v="Co.op /Xtra"/>
    <m/>
    <m/>
    <s v="EOL"/>
    <m/>
    <s v="On going"/>
    <m/>
    <m/>
    <m/>
    <s v="On going"/>
    <s v="On going"/>
    <n v="227182"/>
    <n v="180000"/>
    <m/>
    <m/>
  </r>
  <r>
    <n v="7116900006"/>
    <x v="41"/>
    <s v="8936042290234"/>
    <s v="10/12 cm"/>
    <s v="CW"/>
    <x v="0"/>
    <s v="Bộ Nồi"/>
    <s v="Bobo"/>
    <s v="Xanh Lá"/>
    <s v="On going"/>
    <x v="0"/>
    <x v="0"/>
    <s v="Co.op /Xtra"/>
    <m/>
    <m/>
    <s v="EOL"/>
    <m/>
    <s v="On going"/>
    <m/>
    <m/>
    <m/>
    <s v="On going"/>
    <s v="On going"/>
    <n v="227182"/>
    <n v="180000"/>
    <m/>
    <m/>
  </r>
  <r>
    <n v="7116900007"/>
    <x v="42"/>
    <s v="8936042290234"/>
    <s v="10/12 cm"/>
    <s v="CW"/>
    <x v="0"/>
    <s v="Bộ Nồi"/>
    <s v="Bobo"/>
    <s v="Vàng"/>
    <s v="On going"/>
    <x v="0"/>
    <x v="0"/>
    <s v="Co.op /Xtra"/>
    <m/>
    <m/>
    <s v="EOL"/>
    <m/>
    <s v="On going"/>
    <m/>
    <m/>
    <m/>
    <s v="On going"/>
    <s v="On going"/>
    <n v="227182"/>
    <n v="180000"/>
    <m/>
    <m/>
  </r>
  <r>
    <n v="7116900004"/>
    <x v="43"/>
    <s v="8936042290661"/>
    <s v="(18/20/22cm)"/>
    <s v="CW"/>
    <x v="0"/>
    <s v="Bộ Nồi"/>
    <s v="Healthy"/>
    <s v="Nhôm"/>
    <s v="On going"/>
    <x v="0"/>
    <x v="0"/>
    <s v="Co.op /Xtra"/>
    <m/>
    <m/>
    <s v="On going"/>
    <m/>
    <m/>
    <m/>
    <m/>
    <m/>
    <m/>
    <m/>
    <n v="619910"/>
    <n v="495455"/>
    <m/>
    <m/>
  </r>
  <r>
    <n v="7116900133"/>
    <x v="44"/>
    <s v="8936042292962"/>
    <m/>
    <s v="CW"/>
    <x v="0"/>
    <s v="Bộ Nồi"/>
    <s v="Comfort"/>
    <s v="Nhôm"/>
    <s v="Discontinued"/>
    <x v="0"/>
    <x v="1"/>
    <m/>
    <m/>
    <m/>
    <m/>
    <m/>
    <m/>
    <m/>
    <m/>
    <m/>
    <m/>
    <m/>
    <n v="629100"/>
    <m/>
    <m/>
    <m/>
  </r>
  <r>
    <n v="7116900096"/>
    <x v="45"/>
    <s v="8936042292153"/>
    <m/>
    <s v="CW"/>
    <x v="0"/>
    <s v="Bộ Nồi"/>
    <s v="Comfort"/>
    <s v="Nhôm"/>
    <s v="Discontinued"/>
    <x v="0"/>
    <x v="0"/>
    <m/>
    <m/>
    <m/>
    <m/>
    <m/>
    <m/>
    <m/>
    <m/>
    <m/>
    <m/>
    <m/>
    <m/>
    <m/>
    <m/>
    <m/>
  </r>
  <r>
    <n v="7114900002"/>
    <x v="46"/>
    <s v="8936042290265"/>
    <s v="6L"/>
    <s v="CW"/>
    <x v="0"/>
    <s v="Nồi ASG"/>
    <s v="2 Tay cầm"/>
    <s v="Nhôm"/>
    <s v="On going"/>
    <x v="0"/>
    <x v="0"/>
    <s v="Co.op /Xtra"/>
    <m/>
    <m/>
    <m/>
    <m/>
    <s v="On going"/>
    <m/>
    <m/>
    <m/>
    <s v="On going"/>
    <s v="On going"/>
    <n v="1008182"/>
    <n v="810000"/>
    <m/>
    <m/>
  </r>
  <r>
    <n v="7114900003"/>
    <x v="47"/>
    <s v="8936042290272"/>
    <m/>
    <s v="CW"/>
    <x v="0"/>
    <s v="Nồi ASG"/>
    <s v="2 Tay cầm"/>
    <s v="Nhôm"/>
    <s v="Discontinued"/>
    <x v="1"/>
    <x v="0"/>
    <m/>
    <m/>
    <m/>
    <m/>
    <m/>
    <m/>
    <m/>
    <m/>
    <m/>
    <m/>
    <m/>
    <n v="926100"/>
    <n v="865455"/>
    <m/>
    <m/>
  </r>
  <r>
    <n v="7114900022"/>
    <x v="48"/>
    <s v="8936042291200"/>
    <s v="6L"/>
    <s v="CW"/>
    <x v="0"/>
    <s v="Nồi ASG"/>
    <s v="2 Tay cầm"/>
    <s v="Đen"/>
    <s v="On going"/>
    <x v="0"/>
    <x v="0"/>
    <s v="Co.op /Xtra"/>
    <m/>
    <m/>
    <m/>
    <m/>
    <m/>
    <m/>
    <m/>
    <m/>
    <m/>
    <s v="On going"/>
    <n v="1080910"/>
    <n v="865455"/>
    <m/>
    <m/>
  </r>
  <r>
    <n v="7114900004"/>
    <x v="49"/>
    <s v="8936042290289"/>
    <s v="3.5 L"/>
    <s v="CW"/>
    <x v="0"/>
    <s v="Nồi ASG"/>
    <s v="1 Tay cầm"/>
    <s v="Nhôm"/>
    <s v="On going"/>
    <x v="0"/>
    <x v="0"/>
    <s v="Co.op /Xtra"/>
    <m/>
    <m/>
    <m/>
    <m/>
    <m/>
    <m/>
    <m/>
    <s v="EOL"/>
    <m/>
    <m/>
    <n v="548182"/>
    <n v="439091"/>
    <m/>
    <m/>
  </r>
  <r>
    <n v="7115900031"/>
    <x v="50"/>
    <s v="8936042290180"/>
    <s v="12cm"/>
    <s v="CW"/>
    <x v="0"/>
    <s v="Chảo Chiên"/>
    <s v="MINI"/>
    <s v="Đen"/>
    <s v="On going"/>
    <x v="0"/>
    <x v="0"/>
    <s v="Co.op /Xtra"/>
    <m/>
    <m/>
    <m/>
    <m/>
    <m/>
    <m/>
    <m/>
    <m/>
    <m/>
    <m/>
    <n v="75364"/>
    <n v="60909"/>
    <m/>
    <m/>
  </r>
  <r>
    <n v="7115900319"/>
    <x v="51"/>
    <s v="8936042291798"/>
    <s v="20cm"/>
    <s v="CW"/>
    <x v="0"/>
    <s v="Chảo Chiên"/>
    <s v="Comfort"/>
    <s v="Đen"/>
    <s v="On going"/>
    <x v="0"/>
    <x v="0"/>
    <m/>
    <m/>
    <m/>
    <m/>
    <m/>
    <s v="On going"/>
    <m/>
    <s v="On going"/>
    <m/>
    <m/>
    <m/>
    <n v="122310"/>
    <n v="99091"/>
    <m/>
    <m/>
  </r>
  <r>
    <n v="7115900320"/>
    <x v="52"/>
    <s v="8936042291804"/>
    <s v="22cm"/>
    <s v="CW"/>
    <x v="0"/>
    <s v="Chảo Chiên"/>
    <s v="Comfort"/>
    <s v="Đen"/>
    <s v="On going"/>
    <x v="0"/>
    <x v="0"/>
    <s v="Co.op /Xtra"/>
    <m/>
    <m/>
    <s v="Key Model"/>
    <m/>
    <m/>
    <m/>
    <m/>
    <m/>
    <m/>
    <m/>
    <n v="135455"/>
    <n v="110000"/>
    <m/>
    <m/>
  </r>
  <r>
    <n v="7115900321"/>
    <x v="53"/>
    <s v="8936042291811"/>
    <s v="24cm"/>
    <s v="CW"/>
    <x v="0"/>
    <s v="Chảo Chiên"/>
    <s v="Comfort"/>
    <s v="Đen"/>
    <s v="On going"/>
    <x v="0"/>
    <x v="0"/>
    <s v="Co.op /Xtra"/>
    <m/>
    <m/>
    <m/>
    <m/>
    <m/>
    <m/>
    <m/>
    <m/>
    <s v="On going"/>
    <m/>
    <n v="154455"/>
    <n v="123636"/>
    <m/>
    <m/>
  </r>
  <r>
    <n v="7115900322"/>
    <x v="54"/>
    <s v="8936042291828"/>
    <s v="26cm"/>
    <s v="CW"/>
    <x v="0"/>
    <s v="Chảo Chiên"/>
    <s v="Comfort"/>
    <s v="Đen"/>
    <s v="On going"/>
    <x v="0"/>
    <x v="0"/>
    <s v="Co.op /Xtra"/>
    <s v="On going"/>
    <s v="EOL"/>
    <s v="On going"/>
    <m/>
    <s v="On going"/>
    <m/>
    <m/>
    <s v="EOL"/>
    <s v="On going"/>
    <m/>
    <n v="175364"/>
    <n v="140000"/>
    <m/>
    <m/>
  </r>
  <r>
    <n v="7115900323"/>
    <x v="55"/>
    <s v="8936042291835"/>
    <s v="28cm"/>
    <s v="CW"/>
    <x v="0"/>
    <s v="Chảo Chiên"/>
    <s v="Comfort"/>
    <s v="Đen"/>
    <s v="On going"/>
    <x v="0"/>
    <x v="0"/>
    <s v="Co.op /Xtra"/>
    <s v="On going"/>
    <s v="EOL"/>
    <s v="On going"/>
    <m/>
    <s v="On going"/>
    <m/>
    <s v="On going"/>
    <m/>
    <m/>
    <m/>
    <n v="195364"/>
    <n v="156364"/>
    <m/>
    <m/>
  </r>
  <r>
    <n v="7115900324"/>
    <x v="56"/>
    <s v="8936042291842"/>
    <s v="30cm"/>
    <s v="CW"/>
    <x v="0"/>
    <s v="Chảo Chiên"/>
    <s v="Comfort"/>
    <s v="Đen"/>
    <s v="On going"/>
    <x v="0"/>
    <x v="0"/>
    <m/>
    <m/>
    <m/>
    <s v="On going"/>
    <m/>
    <s v="On going"/>
    <m/>
    <m/>
    <s v="On going"/>
    <s v="On going"/>
    <m/>
    <n v="216273"/>
    <n v="172727"/>
    <m/>
    <m/>
  </r>
  <r>
    <n v="7115900325"/>
    <x v="57"/>
    <s v="8936042291859"/>
    <s v="16cm"/>
    <s v="CW"/>
    <x v="0"/>
    <s v="Chảo Chiên"/>
    <s v="Everyway"/>
    <s v="Đỏ Đô"/>
    <s v="On going"/>
    <x v="0"/>
    <x v="0"/>
    <s v="Co.op /Xtra"/>
    <s v="Key Model"/>
    <s v="EOL"/>
    <s v="Key Model"/>
    <m/>
    <s v="On going"/>
    <m/>
    <m/>
    <m/>
    <m/>
    <m/>
    <n v="131819"/>
    <n v="109091"/>
    <m/>
    <m/>
  </r>
  <r>
    <n v="7115900326"/>
    <x v="58"/>
    <s v="8936042291866"/>
    <s v="20cm"/>
    <s v="CW"/>
    <x v="0"/>
    <s v="Chảo Chiên"/>
    <s v="Everyway"/>
    <s v="Xanh Dương"/>
    <s v="On going"/>
    <x v="0"/>
    <x v="0"/>
    <s v="Co.op /Xtra"/>
    <s v="Key Model"/>
    <s v="EOL"/>
    <s v="Key Model"/>
    <m/>
    <s v="On going"/>
    <m/>
    <m/>
    <m/>
    <s v="On going"/>
    <m/>
    <n v="164455"/>
    <n v="131818"/>
    <m/>
    <m/>
  </r>
  <r>
    <n v="7115900331"/>
    <x v="59"/>
    <m/>
    <s v="26cm"/>
    <s v="CW"/>
    <x v="0"/>
    <s v="Chảo Chiên"/>
    <s v="Ever"/>
    <s v="Đen"/>
    <s v="Discontinued"/>
    <x v="0"/>
    <x v="1"/>
    <m/>
    <m/>
    <m/>
    <m/>
    <m/>
    <m/>
    <m/>
    <m/>
    <m/>
    <m/>
    <m/>
    <m/>
    <n v="0"/>
    <m/>
    <m/>
  </r>
  <r>
    <n v="7115900339"/>
    <x v="60"/>
    <s v="8936042292023"/>
    <s v="24cm"/>
    <s v="CW"/>
    <x v="0"/>
    <s v="Chảo Chiên"/>
    <s v="Healthy"/>
    <s v="Đen"/>
    <s v="Discontinued"/>
    <x v="0"/>
    <x v="1"/>
    <m/>
    <m/>
    <m/>
    <m/>
    <m/>
    <m/>
    <m/>
    <m/>
    <m/>
    <m/>
    <m/>
    <m/>
    <n v="0"/>
    <m/>
    <m/>
  </r>
  <r>
    <n v="7115900341"/>
    <x v="61"/>
    <m/>
    <s v="28cm"/>
    <s v="CW"/>
    <x v="0"/>
    <s v="Chảo Chiên"/>
    <s v="Healthy"/>
    <s v="Đen"/>
    <s v="Discontinued"/>
    <x v="0"/>
    <x v="0"/>
    <m/>
    <m/>
    <m/>
    <m/>
    <m/>
    <m/>
    <m/>
    <m/>
    <m/>
    <m/>
    <m/>
    <m/>
    <m/>
    <m/>
    <m/>
  </r>
  <r>
    <n v="4200005532"/>
    <x v="62"/>
    <s v="8936042292474"/>
    <s v="24cm"/>
    <s v="CW"/>
    <x v="0"/>
    <s v="Chảo Chiên"/>
    <s v="Thermo-spot"/>
    <s v="Đen"/>
    <s v="Discontinued"/>
    <x v="0"/>
    <x v="1"/>
    <m/>
    <m/>
    <m/>
    <m/>
    <m/>
    <m/>
    <m/>
    <m/>
    <m/>
    <m/>
    <m/>
    <n v="161100"/>
    <n v="0"/>
    <m/>
    <m/>
  </r>
  <r>
    <n v="7115900505"/>
    <x v="63"/>
    <s v="8936042292504"/>
    <s v="22cm"/>
    <s v="CW"/>
    <x v="0"/>
    <s v="Chảo Chiên"/>
    <s v="Fruity"/>
    <s v="Đỏ"/>
    <s v="Discontinued"/>
    <x v="0"/>
    <x v="1"/>
    <m/>
    <m/>
    <m/>
    <m/>
    <m/>
    <m/>
    <m/>
    <m/>
    <m/>
    <m/>
    <m/>
    <m/>
    <m/>
    <m/>
    <m/>
  </r>
  <r>
    <n v="7115900483"/>
    <x v="64"/>
    <s v="8936042292528"/>
    <s v="26cm"/>
    <s v="CW"/>
    <x v="0"/>
    <s v="Chảo Chiên"/>
    <s v="Fruity"/>
    <s v="Xanh Lá"/>
    <s v="Discontinued"/>
    <x v="0"/>
    <x v="1"/>
    <m/>
    <m/>
    <m/>
    <m/>
    <m/>
    <m/>
    <m/>
    <m/>
    <m/>
    <m/>
    <m/>
    <n v="250000"/>
    <n v="0"/>
    <m/>
    <m/>
  </r>
  <r>
    <n v="7115900758"/>
    <x v="65"/>
    <s v="8936042293198"/>
    <s v="24cm"/>
    <s v="CW"/>
    <x v="0"/>
    <s v="Chảo Chiên"/>
    <s v="Rock Marble"/>
    <s v="Mè Đen"/>
    <s v="On going"/>
    <x v="0"/>
    <x v="0"/>
    <m/>
    <m/>
    <m/>
    <m/>
    <m/>
    <m/>
    <m/>
    <m/>
    <m/>
    <m/>
    <m/>
    <n v="253637"/>
    <n v="199091"/>
    <m/>
    <m/>
  </r>
  <r>
    <n v="7115900755"/>
    <x v="66"/>
    <s v="8936042293167"/>
    <s v="24cm"/>
    <s v="CW"/>
    <x v="0"/>
    <s v="Chảo Chiên"/>
    <s v="Rock Marble"/>
    <s v="Trắng gạo"/>
    <s v="On going"/>
    <x v="0"/>
    <x v="0"/>
    <s v="Co.op /Xtra"/>
    <m/>
    <s v="EOL"/>
    <s v="Key Model"/>
    <m/>
    <m/>
    <m/>
    <m/>
    <s v="On going"/>
    <m/>
    <m/>
    <n v="269910"/>
    <n v="219091"/>
    <m/>
    <m/>
  </r>
  <r>
    <n v="7115900759"/>
    <x v="67"/>
    <s v="8936042293204"/>
    <s v="26cm"/>
    <s v="CW"/>
    <x v="0"/>
    <s v="Chảo Chiên"/>
    <s v="Rock Marble"/>
    <s v="Mè Đen"/>
    <s v="On going"/>
    <x v="0"/>
    <x v="0"/>
    <m/>
    <m/>
    <m/>
    <m/>
    <m/>
    <m/>
    <m/>
    <m/>
    <m/>
    <m/>
    <m/>
    <n v="262728"/>
    <n v="210000"/>
    <m/>
    <m/>
  </r>
  <r>
    <n v="7115900756"/>
    <x v="68"/>
    <s v="8936042293174"/>
    <s v="26cm"/>
    <s v="CW"/>
    <x v="0"/>
    <s v="Chảo Chiên"/>
    <s v="Rock Marble"/>
    <s v="Trắng gạo"/>
    <s v="On going"/>
    <x v="0"/>
    <x v="0"/>
    <s v="Co.op /Xtra"/>
    <s v="Key Model"/>
    <m/>
    <s v="Key Model"/>
    <m/>
    <m/>
    <m/>
    <m/>
    <s v="On going"/>
    <m/>
    <s v="On going"/>
    <n v="293546"/>
    <n v="235455"/>
    <m/>
    <m/>
  </r>
  <r>
    <n v="7115900760"/>
    <x v="69"/>
    <s v="8936042293211"/>
    <s v="28cm"/>
    <s v="CW"/>
    <x v="0"/>
    <s v="Chảo Chiên"/>
    <s v="Rock Marble"/>
    <s v="Mè Đen"/>
    <s v="On going"/>
    <x v="0"/>
    <x v="0"/>
    <m/>
    <m/>
    <m/>
    <m/>
    <m/>
    <m/>
    <m/>
    <m/>
    <m/>
    <m/>
    <m/>
    <n v="283546"/>
    <n v="229091"/>
    <m/>
    <m/>
  </r>
  <r>
    <n v="7115900757"/>
    <x v="70"/>
    <s v="8936042293181"/>
    <s v="28cm"/>
    <s v="CW"/>
    <x v="0"/>
    <s v="Chảo Chiên"/>
    <s v="Rock Marble"/>
    <s v="Trắng gạo"/>
    <s v="On going"/>
    <x v="0"/>
    <x v="0"/>
    <s v="Co.op /Xtra"/>
    <s v="On going"/>
    <m/>
    <s v="Key Model"/>
    <m/>
    <m/>
    <m/>
    <m/>
    <m/>
    <m/>
    <s v="On going"/>
    <n v="323546"/>
    <n v="259091"/>
    <m/>
    <m/>
  </r>
  <r>
    <n v="7115900791"/>
    <x v="71"/>
    <s v="8936042293365"/>
    <s v="24cm"/>
    <s v="CW"/>
    <x v="0"/>
    <s v="Chảo Chiên"/>
    <s v="Lux"/>
    <s v="Xám mờ"/>
    <s v="To be discontinued"/>
    <x v="0"/>
    <x v="0"/>
    <m/>
    <m/>
    <m/>
    <m/>
    <m/>
    <m/>
    <m/>
    <m/>
    <m/>
    <m/>
    <m/>
    <n v="272636.36363636359"/>
    <n v="219091"/>
    <m/>
    <m/>
  </r>
  <r>
    <n v="7115900792"/>
    <x v="72"/>
    <s v="8936042293372"/>
    <s v="26cm"/>
    <s v="CW"/>
    <x v="0"/>
    <s v="Chảo Chiên"/>
    <s v="Lux"/>
    <s v="Xám mờ"/>
    <s v="To be discontinued"/>
    <x v="0"/>
    <x v="0"/>
    <m/>
    <m/>
    <m/>
    <m/>
    <m/>
    <m/>
    <m/>
    <m/>
    <m/>
    <m/>
    <m/>
    <n v="309000"/>
    <n v="249091"/>
    <m/>
    <m/>
  </r>
  <r>
    <n v="7115900793"/>
    <x v="73"/>
    <s v="8936042293389"/>
    <s v="28cm"/>
    <s v="CW"/>
    <x v="0"/>
    <s v="Chảo Chiên"/>
    <s v="Lux"/>
    <s v="Xám mờ"/>
    <s v="On going"/>
    <x v="0"/>
    <x v="0"/>
    <m/>
    <m/>
    <m/>
    <m/>
    <m/>
    <m/>
    <m/>
    <m/>
    <s v="On going"/>
    <m/>
    <m/>
    <n v="354454.54545454541"/>
    <n v="280000"/>
    <m/>
    <m/>
  </r>
  <r>
    <n v="7115900794"/>
    <x v="74"/>
    <s v="8936042293396"/>
    <s v="28cm"/>
    <s v="CW"/>
    <x v="0"/>
    <s v="Chảo Sâu"/>
    <s v="Lux"/>
    <s v="Xám mờ"/>
    <s v="To be discontinued"/>
    <x v="0"/>
    <x v="0"/>
    <m/>
    <m/>
    <m/>
    <m/>
    <m/>
    <m/>
    <m/>
    <m/>
    <m/>
    <m/>
    <m/>
    <n v="354454.54545454541"/>
    <n v="285455"/>
    <m/>
    <m/>
  </r>
  <r>
    <n v="7115900795"/>
    <x v="75"/>
    <s v="8936042293402"/>
    <s v="24cm"/>
    <s v="CW"/>
    <x v="0"/>
    <s v="Chảo Chiên"/>
    <s v="Ruby"/>
    <s v="Đỏ Đô"/>
    <s v="Discontinued"/>
    <x v="0"/>
    <x v="0"/>
    <m/>
    <m/>
    <m/>
    <m/>
    <m/>
    <m/>
    <m/>
    <s v="Discontinued"/>
    <m/>
    <m/>
    <m/>
    <n v="271710"/>
    <n v="219091"/>
    <m/>
    <m/>
  </r>
  <r>
    <n v="7115900796"/>
    <x v="76"/>
    <s v="8936042293419"/>
    <s v="26cm"/>
    <s v="CW"/>
    <x v="0"/>
    <s v="Chảo Chiên"/>
    <s v="Ruby"/>
    <s v="Đỏ Đô"/>
    <s v="On going"/>
    <x v="0"/>
    <x v="0"/>
    <m/>
    <m/>
    <m/>
    <m/>
    <m/>
    <m/>
    <m/>
    <m/>
    <m/>
    <m/>
    <m/>
    <n v="305910"/>
    <n v="247273"/>
    <m/>
    <m/>
  </r>
  <r>
    <n v="7115900801"/>
    <x v="77"/>
    <s v="8936042293464"/>
    <s v="22cm"/>
    <s v="CW"/>
    <x v="0"/>
    <s v="Chảo Chiên"/>
    <s v="Affinity"/>
    <s v="Đồng"/>
    <s v="To be discontinued"/>
    <x v="0"/>
    <x v="0"/>
    <m/>
    <m/>
    <m/>
    <m/>
    <m/>
    <m/>
    <m/>
    <m/>
    <m/>
    <m/>
    <m/>
    <n v="227181.81818181818"/>
    <n v="180000"/>
    <m/>
    <m/>
  </r>
  <r>
    <n v="7115900802"/>
    <x v="78"/>
    <s v="8936042293471"/>
    <s v="24cm"/>
    <s v="CW"/>
    <x v="0"/>
    <s v="Chảo Chiên"/>
    <s v="Affinity"/>
    <s v="Đồng"/>
    <s v="To be discontinued"/>
    <x v="0"/>
    <x v="0"/>
    <m/>
    <m/>
    <m/>
    <m/>
    <m/>
    <m/>
    <m/>
    <m/>
    <m/>
    <m/>
    <m/>
    <n v="254454.54545454544"/>
    <n v="199091"/>
    <m/>
    <m/>
  </r>
  <r>
    <n v="7115900803"/>
    <x v="79"/>
    <s v="8936042293488"/>
    <s v="26cm"/>
    <s v="CW"/>
    <x v="0"/>
    <s v="Chảo Chiên"/>
    <s v="Affinity"/>
    <s v="Đồng"/>
    <s v="To be discontinued"/>
    <x v="0"/>
    <x v="0"/>
    <m/>
    <m/>
    <m/>
    <m/>
    <m/>
    <m/>
    <m/>
    <m/>
    <m/>
    <m/>
    <m/>
    <n v="272636.36363636359"/>
    <n v="219091"/>
    <m/>
    <m/>
  </r>
  <r>
    <n v="7115900804"/>
    <x v="80"/>
    <s v="8936042293495"/>
    <s v="28cm"/>
    <s v="CW"/>
    <x v="0"/>
    <s v="Chảo Sâu"/>
    <s v="Affinity"/>
    <s v="Đồng"/>
    <s v="On going"/>
    <x v="0"/>
    <x v="0"/>
    <m/>
    <m/>
    <m/>
    <m/>
    <m/>
    <m/>
    <m/>
    <m/>
    <m/>
    <m/>
    <m/>
    <n v="345363.63636363635"/>
    <n v="276364"/>
    <m/>
    <m/>
  </r>
  <r>
    <n v="7115900809"/>
    <x v="81"/>
    <s v="8936042293549"/>
    <s v="24cm"/>
    <s v="CW"/>
    <x v="0"/>
    <s v="Chảo Chiên"/>
    <s v="Affinity"/>
    <s v="Xanh Lá"/>
    <s v="On going"/>
    <x v="0"/>
    <x v="0"/>
    <m/>
    <m/>
    <m/>
    <m/>
    <s v="On going"/>
    <m/>
    <m/>
    <m/>
    <s v="EOL"/>
    <m/>
    <m/>
    <n v="254454.54545454544"/>
    <n v="205455"/>
    <m/>
    <m/>
  </r>
  <r>
    <n v="7115900810"/>
    <x v="82"/>
    <s v="8936042293556"/>
    <s v="26cm"/>
    <s v="CW"/>
    <x v="0"/>
    <s v="Chảo Chiên"/>
    <s v="Affinity"/>
    <s v="Green"/>
    <s v="To be discontinued"/>
    <x v="0"/>
    <x v="0"/>
    <m/>
    <m/>
    <m/>
    <m/>
    <s v="On going"/>
    <m/>
    <m/>
    <m/>
    <m/>
    <m/>
    <m/>
    <n v="272636.36363636359"/>
    <n v="219091"/>
    <m/>
    <m/>
  </r>
  <r>
    <n v="7115900811"/>
    <x v="83"/>
    <s v="8936042293563"/>
    <s v="28cm"/>
    <s v="CW"/>
    <x v="0"/>
    <s v="Chảo Sâu"/>
    <s v="Affinity"/>
    <s v="Green"/>
    <s v="To be discontinued"/>
    <x v="0"/>
    <x v="0"/>
    <m/>
    <m/>
    <m/>
    <m/>
    <s v="On going"/>
    <m/>
    <m/>
    <m/>
    <m/>
    <m/>
    <m/>
    <n v="345363.63636363635"/>
    <n v="276364"/>
    <m/>
    <m/>
  </r>
  <r>
    <n v="7115900837"/>
    <x v="84"/>
    <s v="8936042293600"/>
    <s v="22cm"/>
    <s v="CW"/>
    <x v="0"/>
    <s v="Chảo Chiên"/>
    <s v="Affinity"/>
    <s v="Đen"/>
    <s v="Discontinued"/>
    <x v="0"/>
    <x v="0"/>
    <m/>
    <m/>
    <m/>
    <m/>
    <m/>
    <m/>
    <m/>
    <s v="Discontinued"/>
    <m/>
    <m/>
    <m/>
    <n v="227181.81818181818"/>
    <n v="180000"/>
    <m/>
    <m/>
  </r>
  <r>
    <n v="7115900838"/>
    <x v="85"/>
    <s v="8936042293617"/>
    <s v="24cm"/>
    <s v="CW"/>
    <x v="0"/>
    <s v="Chảo Chiên"/>
    <s v="Affinity"/>
    <s v="Đen"/>
    <s v="To be discontinued"/>
    <x v="0"/>
    <x v="0"/>
    <m/>
    <m/>
    <m/>
    <m/>
    <m/>
    <m/>
    <m/>
    <s v="To be discontinued"/>
    <m/>
    <m/>
    <m/>
    <n v="254454.54545454544"/>
    <n v="205455"/>
    <m/>
    <m/>
  </r>
  <r>
    <n v="7115900839"/>
    <x v="86"/>
    <s v="8936042293624"/>
    <s v="26cm"/>
    <s v="CW"/>
    <x v="0"/>
    <s v="Chảo Chiên"/>
    <s v="Affinity"/>
    <s v="Đen"/>
    <s v="To be discontinued"/>
    <x v="0"/>
    <x v="0"/>
    <m/>
    <m/>
    <m/>
    <m/>
    <m/>
    <m/>
    <m/>
    <m/>
    <m/>
    <m/>
    <m/>
    <n v="272636.36363636359"/>
    <n v="219091"/>
    <m/>
    <m/>
  </r>
  <r>
    <n v="7115900822"/>
    <x v="87"/>
    <s v="8936042293679"/>
    <s v="22cm"/>
    <s v="CW"/>
    <x v="0"/>
    <s v="Chảo Chiên"/>
    <s v="Affinity"/>
    <s v="Glass Red "/>
    <s v="To be discontinued"/>
    <x v="0"/>
    <x v="1"/>
    <m/>
    <m/>
    <m/>
    <m/>
    <s v="EOL"/>
    <m/>
    <m/>
    <s v="To be discontinued"/>
    <m/>
    <m/>
    <m/>
    <n v="238090.90909090906"/>
    <n v="0"/>
    <m/>
    <m/>
  </r>
  <r>
    <n v="7115900823"/>
    <x v="88"/>
    <s v="8936042293686"/>
    <s v="24cm"/>
    <s v="CW"/>
    <x v="0"/>
    <s v="Chảo Chiên"/>
    <s v="Affinity"/>
    <s v="Glass Red "/>
    <s v="To be discontinued"/>
    <x v="0"/>
    <x v="1"/>
    <m/>
    <m/>
    <m/>
    <m/>
    <s v="EOL"/>
    <m/>
    <m/>
    <s v="To be discontinued"/>
    <m/>
    <m/>
    <m/>
    <n v="260818.18181818179"/>
    <n v="0"/>
    <m/>
    <m/>
  </r>
  <r>
    <n v="7115900824"/>
    <x v="89"/>
    <s v="8936042293693"/>
    <s v="26cm"/>
    <s v="CW"/>
    <x v="0"/>
    <s v="Chảo Chiên"/>
    <s v="Affinity"/>
    <s v="Glass Red "/>
    <s v="To be discontinued"/>
    <x v="0"/>
    <x v="1"/>
    <m/>
    <m/>
    <m/>
    <m/>
    <s v="EOL"/>
    <m/>
    <m/>
    <m/>
    <m/>
    <m/>
    <m/>
    <n v="285363.63636363635"/>
    <n v="0"/>
    <m/>
    <m/>
  </r>
  <r>
    <n v="7115900825"/>
    <x v="90"/>
    <s v="8936042293709"/>
    <s v="22cm"/>
    <s v="CW"/>
    <x v="0"/>
    <s v="Chảo Chiên"/>
    <s v="Affinity"/>
    <s v="Glass Grey"/>
    <s v="Discontinued"/>
    <x v="0"/>
    <x v="1"/>
    <m/>
    <m/>
    <m/>
    <m/>
    <m/>
    <m/>
    <m/>
    <s v="Discontinued"/>
    <m/>
    <m/>
    <m/>
    <n v="197910"/>
    <n v="0"/>
    <m/>
    <m/>
  </r>
  <r>
    <n v="7115900826"/>
    <x v="91"/>
    <s v="8936042293716"/>
    <s v="24cm"/>
    <s v="CW"/>
    <x v="0"/>
    <s v="Chảo Chiên"/>
    <s v="Affinity"/>
    <s v="Glass Grey"/>
    <s v="Discontinued"/>
    <x v="0"/>
    <x v="1"/>
    <m/>
    <m/>
    <m/>
    <m/>
    <m/>
    <m/>
    <m/>
    <s v="Discontinued"/>
    <m/>
    <m/>
    <m/>
    <n v="215910"/>
    <n v="0"/>
    <m/>
    <m/>
  </r>
  <r>
    <n v="7115900827"/>
    <x v="92"/>
    <s v="8936042293723"/>
    <s v="26cm"/>
    <s v="CW"/>
    <x v="0"/>
    <s v="Chảo Chiên"/>
    <s v="Affinity"/>
    <s v="Glass Grey"/>
    <s v="Discontinued"/>
    <x v="0"/>
    <x v="1"/>
    <m/>
    <m/>
    <m/>
    <m/>
    <m/>
    <m/>
    <m/>
    <s v="Discontinued"/>
    <m/>
    <m/>
    <m/>
    <n v="233910"/>
    <n v="0"/>
    <m/>
    <m/>
  </r>
  <r>
    <n v="7115900869"/>
    <x v="93"/>
    <s v="8936042294249"/>
    <s v="22cm"/>
    <s v="CW"/>
    <x v="0"/>
    <s v="Chảo Chiên"/>
    <s v="Update"/>
    <s v="Update"/>
    <s v="New"/>
    <x v="0"/>
    <x v="1"/>
    <m/>
    <m/>
    <m/>
    <m/>
    <m/>
    <m/>
    <m/>
    <m/>
    <m/>
    <m/>
    <m/>
    <m/>
    <n v="0"/>
    <m/>
    <m/>
  </r>
  <r>
    <n v="7115900870"/>
    <x v="94"/>
    <s v="8936042294256"/>
    <s v="22cm"/>
    <s v="CW"/>
    <x v="0"/>
    <s v="Chảo Chiên"/>
    <s v="Update"/>
    <s v="Update"/>
    <s v="New"/>
    <x v="0"/>
    <x v="1"/>
    <m/>
    <m/>
    <m/>
    <m/>
    <m/>
    <m/>
    <m/>
    <m/>
    <m/>
    <m/>
    <m/>
    <m/>
    <n v="0"/>
    <m/>
    <m/>
  </r>
  <r>
    <n v="7115900212"/>
    <x v="95"/>
    <s v="8936042291125"/>
    <s v="32 cm"/>
    <s v="CW"/>
    <x v="0"/>
    <s v="Chảo Xào"/>
    <s v="Spear"/>
    <s v="Đen"/>
    <s v="On going"/>
    <x v="0"/>
    <x v="0"/>
    <s v="Co.op /Xtra"/>
    <s v="On going"/>
    <m/>
    <s v="On going"/>
    <m/>
    <s v="On going"/>
    <m/>
    <m/>
    <m/>
    <m/>
    <s v="On going"/>
    <n v="378091"/>
    <n v="305455"/>
    <m/>
    <m/>
  </r>
  <r>
    <n v="7115900213"/>
    <x v="96"/>
    <s v="8936042291132"/>
    <s v="34 cm"/>
    <s v="CW"/>
    <x v="0"/>
    <s v="Chảo Xào"/>
    <s v="Spear"/>
    <s v="Đen"/>
    <s v="On going"/>
    <x v="0"/>
    <x v="0"/>
    <s v="Co.op /Xtra"/>
    <m/>
    <m/>
    <m/>
    <m/>
    <s v="On going"/>
    <m/>
    <m/>
    <m/>
    <m/>
    <s v="On going"/>
    <n v="401728"/>
    <n v="321818"/>
    <m/>
    <m/>
  </r>
  <r>
    <n v="7115900214"/>
    <x v="97"/>
    <s v="8936042291149"/>
    <s v="36 cm"/>
    <s v="CW"/>
    <x v="0"/>
    <s v="Chảo Xào"/>
    <s v="Spear"/>
    <s v="Đen"/>
    <s v="On going"/>
    <x v="0"/>
    <x v="0"/>
    <m/>
    <s v="On going"/>
    <m/>
    <s v="On going"/>
    <m/>
    <m/>
    <m/>
    <m/>
    <s v="On going"/>
    <m/>
    <s v="On going"/>
    <n v="416273"/>
    <n v="333636"/>
    <m/>
    <m/>
  </r>
  <r>
    <n v="7115900215"/>
    <x v="98"/>
    <s v="8936042291156"/>
    <s v="40 cm"/>
    <s v="CW"/>
    <x v="0"/>
    <s v="Chảo Xào"/>
    <s v="Spear"/>
    <s v="Đen"/>
    <s v="On going"/>
    <x v="0"/>
    <x v="0"/>
    <s v="Co.op /Xtra"/>
    <s v="On going"/>
    <s v="EOL"/>
    <m/>
    <m/>
    <s v="On going"/>
    <m/>
    <m/>
    <m/>
    <m/>
    <s v="On going"/>
    <n v="504455"/>
    <n v="410000"/>
    <m/>
    <m/>
  </r>
  <r>
    <n v="7115900499"/>
    <x v="99"/>
    <s v="8936042292665"/>
    <s v="32cm"/>
    <s v="CW"/>
    <x v="0"/>
    <s v="Chảo Xào"/>
    <s v="Comfort"/>
    <s v="Đen"/>
    <s v="On going"/>
    <x v="0"/>
    <x v="0"/>
    <s v="Co.op /Xtra"/>
    <s v="Key Model"/>
    <m/>
    <s v="Key Model"/>
    <m/>
    <m/>
    <m/>
    <m/>
    <m/>
    <m/>
    <m/>
    <n v="333546"/>
    <n v="267273"/>
    <m/>
    <m/>
  </r>
  <r>
    <n v="7115900500"/>
    <x v="100"/>
    <s v="8936042292672"/>
    <s v="36cm"/>
    <s v="CW"/>
    <x v="0"/>
    <s v="Chảo Xào"/>
    <s v="Comfort"/>
    <s v="Đen"/>
    <s v="On going"/>
    <x v="0"/>
    <x v="0"/>
    <s v="Co.op /Xtra"/>
    <s v="On going"/>
    <m/>
    <s v="On going"/>
    <m/>
    <s v="On going"/>
    <m/>
    <m/>
    <m/>
    <m/>
    <m/>
    <n v="417182"/>
    <n v="333636"/>
    <m/>
    <m/>
  </r>
  <r>
    <n v="7115900697"/>
    <x v="101"/>
    <s v="8936042292924"/>
    <s v="30cm"/>
    <s v="CW"/>
    <x v="0"/>
    <s v="Chảo Xào"/>
    <s v="Comfort"/>
    <s v="Xanh Lá"/>
    <s v="Discontinued"/>
    <x v="1"/>
    <x v="0"/>
    <m/>
    <m/>
    <m/>
    <m/>
    <m/>
    <m/>
    <m/>
    <m/>
    <m/>
    <m/>
    <m/>
    <n v="197100"/>
    <n v="160000"/>
    <m/>
    <m/>
  </r>
  <r>
    <n v="7115900694"/>
    <x v="102"/>
    <m/>
    <s v="34cm"/>
    <s v="CW"/>
    <x v="0"/>
    <s v="Chảo Xào"/>
    <s v="Comfort"/>
    <s v="Xanh Lá"/>
    <s v="Discontinued"/>
    <x v="1"/>
    <x v="0"/>
    <m/>
    <m/>
    <m/>
    <m/>
    <m/>
    <m/>
    <m/>
    <m/>
    <m/>
    <m/>
    <m/>
    <n v="197100"/>
    <n v="160000"/>
    <m/>
    <m/>
  </r>
  <r>
    <n v="7212000157"/>
    <x v="103"/>
    <s v="6950609401064"/>
    <s v="0.8L"/>
    <s v="SDA"/>
    <x v="0"/>
    <s v="Nồi Cơm Điện"/>
    <m/>
    <s v="Trắng"/>
    <s v="On going"/>
    <x v="1"/>
    <x v="0"/>
    <s v="Co.op /Xtra"/>
    <m/>
    <m/>
    <m/>
    <m/>
    <m/>
    <m/>
    <m/>
    <m/>
    <m/>
    <m/>
    <n v="599091"/>
    <n v="480000"/>
    <m/>
    <m/>
  </r>
  <r>
    <n v="7211003281"/>
    <x v="104"/>
    <s v="6950609405581"/>
    <s v="0.8L"/>
    <s v="SDA"/>
    <x v="0"/>
    <s v="Nồi Cơm Điện"/>
    <m/>
    <s v="Trắng"/>
    <s v="On going"/>
    <x v="0"/>
    <x v="0"/>
    <m/>
    <m/>
    <m/>
    <m/>
    <m/>
    <m/>
    <m/>
    <m/>
    <m/>
    <m/>
    <m/>
    <n v="599091"/>
    <n v="480000"/>
    <m/>
    <m/>
  </r>
  <r>
    <n v="7211003059"/>
    <x v="105"/>
    <s v="6950609405383"/>
    <s v="0.8L"/>
    <s v="SDA"/>
    <x v="0"/>
    <s v="Nồi Cơm Điện"/>
    <m/>
    <m/>
    <s v="On going"/>
    <x v="0"/>
    <x v="0"/>
    <s v="Co.op /Xtra"/>
    <s v="Key Model"/>
    <m/>
    <m/>
    <m/>
    <m/>
    <s v="On going"/>
    <m/>
    <m/>
    <m/>
    <m/>
    <n v="900000"/>
    <n v="720000"/>
    <m/>
    <m/>
  </r>
  <r>
    <n v="7211003665"/>
    <x v="106"/>
    <s v="6950610217678"/>
    <s v="1.2L"/>
    <s v="SDA"/>
    <x v="0"/>
    <s v="Nồi Cơm Điện"/>
    <m/>
    <m/>
    <s v="On going"/>
    <x v="0"/>
    <x v="0"/>
    <m/>
    <m/>
    <s v="On going"/>
    <m/>
    <s v="No Display"/>
    <s v="On going"/>
    <m/>
    <m/>
    <m/>
    <m/>
    <m/>
    <n v="635454.54545454541"/>
    <n v="509091"/>
    <m/>
    <m/>
  </r>
  <r>
    <n v="7211003666"/>
    <x v="107"/>
    <s v="6950610217685"/>
    <s v="1.2L"/>
    <s v="SDA"/>
    <x v="0"/>
    <s v="Nồi Cơm Điện"/>
    <m/>
    <m/>
    <s v="New"/>
    <x v="0"/>
    <x v="0"/>
    <m/>
    <m/>
    <s v="On going"/>
    <s v="On going"/>
    <m/>
    <s v="On going"/>
    <m/>
    <m/>
    <m/>
    <m/>
    <m/>
    <n v="635454.54545454541"/>
    <n v="509091"/>
    <m/>
    <m/>
  </r>
  <r>
    <n v="7212000261"/>
    <x v="108"/>
    <s v="6950609404287"/>
    <s v="1.5L"/>
    <s v="SDA"/>
    <x v="0"/>
    <s v="Nồi Cơm Điện"/>
    <s v="E-Spherical"/>
    <m/>
    <s v="On going"/>
    <x v="0"/>
    <x v="0"/>
    <m/>
    <s v="On going"/>
    <m/>
    <m/>
    <m/>
    <m/>
    <m/>
    <s v="Key Model"/>
    <m/>
    <m/>
    <m/>
    <n v="1435455"/>
    <n v="1149091"/>
    <m/>
    <m/>
  </r>
  <r>
    <n v="7212000236"/>
    <x v="109"/>
    <s v="6950609403990"/>
    <s v="1.8L"/>
    <s v="SDA"/>
    <x v="0"/>
    <s v="Nồi Cơm Điện"/>
    <s v="E-Spherical"/>
    <m/>
    <s v="On going"/>
    <x v="0"/>
    <x v="0"/>
    <m/>
    <s v="On going"/>
    <m/>
    <m/>
    <m/>
    <m/>
    <m/>
    <s v="Key Model"/>
    <m/>
    <m/>
    <m/>
    <n v="1162728"/>
    <n v="930000"/>
    <m/>
    <m/>
  </r>
  <r>
    <n v="7212000233"/>
    <x v="110"/>
    <s v="6950609403853"/>
    <s v="1.8L"/>
    <s v="SDA"/>
    <x v="0"/>
    <s v="Nồi Cơm Điện"/>
    <m/>
    <m/>
    <s v="On going"/>
    <x v="0"/>
    <x v="0"/>
    <s v="Co.op /Xtra"/>
    <s v="Key Model"/>
    <m/>
    <m/>
    <m/>
    <m/>
    <m/>
    <m/>
    <m/>
    <m/>
    <m/>
    <n v="1626364"/>
    <n v="1300000"/>
    <m/>
    <m/>
  </r>
  <r>
    <n v="7212000263"/>
    <x v="111"/>
    <s v="6950609404737"/>
    <s v="1.8L"/>
    <s v="SDA"/>
    <x v="0"/>
    <s v="Nồi Cơm Điện"/>
    <m/>
    <m/>
    <s v="On going"/>
    <x v="0"/>
    <x v="0"/>
    <s v="Co.op /Xtra"/>
    <m/>
    <m/>
    <m/>
    <m/>
    <m/>
    <m/>
    <m/>
    <m/>
    <m/>
    <m/>
    <n v="2526364"/>
    <n v="2021818"/>
    <m/>
    <m/>
  </r>
  <r>
    <n v="7212000245"/>
    <x v="112"/>
    <s v="6950609404164"/>
    <s v="1.8L"/>
    <s v="SDA"/>
    <x v="0"/>
    <s v="Nồi Cơm Điện"/>
    <m/>
    <m/>
    <s v="On going"/>
    <x v="0"/>
    <x v="0"/>
    <s v="Co.op /Xtra"/>
    <m/>
    <m/>
    <m/>
    <m/>
    <m/>
    <m/>
    <m/>
    <m/>
    <m/>
    <m/>
    <n v="999091"/>
    <n v="799091"/>
    <m/>
    <m/>
  </r>
  <r>
    <n v="7211003216"/>
    <x v="113"/>
    <s v="6950609405512"/>
    <s v="1.8L"/>
    <s v="SDA"/>
    <x v="0"/>
    <s v="Nồi Cơm Điện"/>
    <m/>
    <m/>
    <s v="On going"/>
    <x v="0"/>
    <x v="0"/>
    <m/>
    <m/>
    <m/>
    <m/>
    <m/>
    <m/>
    <m/>
    <m/>
    <s v="On going"/>
    <m/>
    <m/>
    <n v="1117273"/>
    <n v="899091"/>
    <m/>
    <m/>
  </r>
  <r>
    <n v="7211003215"/>
    <x v="114"/>
    <s v="6950609405505"/>
    <s v="1.8L"/>
    <s v="SDA"/>
    <x v="0"/>
    <s v="Nồi Cơm Điện"/>
    <m/>
    <m/>
    <s v="On going"/>
    <x v="0"/>
    <x v="0"/>
    <m/>
    <m/>
    <m/>
    <m/>
    <m/>
    <m/>
    <m/>
    <m/>
    <m/>
    <m/>
    <m/>
    <n v="1117273"/>
    <n v="899091"/>
    <m/>
    <m/>
  </r>
  <r>
    <n v="7211003278"/>
    <x v="115"/>
    <s v="6950609405550"/>
    <s v="1.8L"/>
    <s v="SDA"/>
    <x v="0"/>
    <s v="Nồi Cơm Điện"/>
    <m/>
    <m/>
    <s v="On going"/>
    <x v="0"/>
    <x v="0"/>
    <s v="Co.op /Xtra"/>
    <s v="On going"/>
    <m/>
    <m/>
    <m/>
    <m/>
    <m/>
    <m/>
    <m/>
    <m/>
    <m/>
    <n v="999091"/>
    <n v="799091"/>
    <m/>
    <m/>
  </r>
  <r>
    <n v="7211003279"/>
    <x v="116"/>
    <s v="6950609405567"/>
    <s v="1.8L"/>
    <s v="SDA"/>
    <x v="0"/>
    <s v="Nồi Cơm Điện"/>
    <m/>
    <m/>
    <s v="On going"/>
    <x v="1"/>
    <x v="0"/>
    <m/>
    <m/>
    <m/>
    <m/>
    <m/>
    <m/>
    <m/>
    <m/>
    <m/>
    <m/>
    <m/>
    <n v="999091"/>
    <n v="799091"/>
    <m/>
    <m/>
  </r>
  <r>
    <n v="7211003280"/>
    <x v="117"/>
    <s v="6950609405574"/>
    <s v="1.8L"/>
    <s v="SDA"/>
    <x v="0"/>
    <s v="Nồi Cơm Điện"/>
    <m/>
    <m/>
    <s v="On going"/>
    <x v="0"/>
    <x v="0"/>
    <s v="Co.op /Xtra"/>
    <m/>
    <m/>
    <m/>
    <m/>
    <m/>
    <m/>
    <m/>
    <m/>
    <m/>
    <m/>
    <n v="999091"/>
    <n v="799091"/>
    <m/>
    <m/>
  </r>
  <r>
    <n v="7211003430"/>
    <x v="118"/>
    <s v="6950609405758"/>
    <s v="1.8L"/>
    <s v="SDA"/>
    <x v="0"/>
    <s v="Nồi Cơm Điện"/>
    <m/>
    <m/>
    <s v="On going"/>
    <x v="0"/>
    <x v="0"/>
    <m/>
    <m/>
    <m/>
    <m/>
    <m/>
    <m/>
    <m/>
    <m/>
    <s v="EOL"/>
    <m/>
    <m/>
    <n v="1626363.6363636362"/>
    <n v="1300000"/>
    <m/>
    <m/>
  </r>
  <r>
    <n v="7212000224"/>
    <x v="119"/>
    <s v="6950609402504"/>
    <s v="1.8L"/>
    <s v="SDA"/>
    <x v="0"/>
    <s v="Nồi Cơm Điện"/>
    <m/>
    <m/>
    <s v="Discontinued"/>
    <x v="0"/>
    <x v="0"/>
    <m/>
    <m/>
    <m/>
    <m/>
    <m/>
    <m/>
    <m/>
    <m/>
    <m/>
    <m/>
    <m/>
    <n v="617273"/>
    <m/>
    <m/>
    <m/>
  </r>
  <r>
    <n v="7211003667"/>
    <x v="120"/>
    <s v="6950610217692"/>
    <s v="1.8L"/>
    <s v="SDA"/>
    <x v="0"/>
    <s v="Nồi Cơm Điện"/>
    <m/>
    <m/>
    <s v="New"/>
    <x v="0"/>
    <x v="0"/>
    <m/>
    <m/>
    <m/>
    <m/>
    <m/>
    <m/>
    <m/>
    <m/>
    <m/>
    <m/>
    <m/>
    <n v="719100"/>
    <n v="581818"/>
    <m/>
    <m/>
  </r>
  <r>
    <n v="7211003668"/>
    <x v="121"/>
    <s v="6950610217708"/>
    <s v="1.8L"/>
    <s v="SDA"/>
    <x v="0"/>
    <s v="Nồi Cơm Điện"/>
    <m/>
    <m/>
    <s v="To be discontinued"/>
    <x v="0"/>
    <x v="0"/>
    <m/>
    <m/>
    <m/>
    <m/>
    <m/>
    <s v="On going"/>
    <m/>
    <m/>
    <m/>
    <m/>
    <m/>
    <n v="719100"/>
    <n v="581818"/>
    <m/>
    <m/>
  </r>
  <r>
    <n v="7212000170"/>
    <x v="122"/>
    <s v="6950610202544"/>
    <s v="5L"/>
    <s v="SDA"/>
    <x v="0"/>
    <s v="Nồi ASĐ"/>
    <m/>
    <m/>
    <s v="On going"/>
    <x v="0"/>
    <x v="0"/>
    <s v="Co.op /Xtra"/>
    <s v="On going"/>
    <m/>
    <m/>
    <m/>
    <m/>
    <m/>
    <m/>
    <m/>
    <m/>
    <m/>
    <n v="1335455"/>
    <n v="1069091"/>
    <m/>
    <m/>
  </r>
  <r>
    <n v="7212000220"/>
    <x v="123"/>
    <s v="6950610204678"/>
    <s v="5L"/>
    <s v="SDA"/>
    <x v="0"/>
    <s v="Nồi ASĐ"/>
    <m/>
    <m/>
    <s v="On going"/>
    <x v="0"/>
    <x v="0"/>
    <m/>
    <m/>
    <m/>
    <m/>
    <m/>
    <m/>
    <m/>
    <m/>
    <s v="On going"/>
    <m/>
    <m/>
    <n v="1144546"/>
    <n v="1069091"/>
    <m/>
    <m/>
  </r>
  <r>
    <n v="7212000238"/>
    <x v="124"/>
    <s v="6950610208638"/>
    <s v="5L"/>
    <s v="SDA"/>
    <x v="0"/>
    <s v="Nồi ASĐ"/>
    <m/>
    <m/>
    <s v="On going"/>
    <x v="0"/>
    <x v="0"/>
    <s v="Co.op /Xtra"/>
    <m/>
    <m/>
    <m/>
    <m/>
    <m/>
    <m/>
    <m/>
    <s v="On going"/>
    <m/>
    <m/>
    <n v="1580910"/>
    <n v="1265455"/>
    <m/>
    <m/>
  </r>
  <r>
    <n v="7212000246"/>
    <x v="125"/>
    <s v="6950610209468"/>
    <s v="5L"/>
    <s v="SDA"/>
    <x v="0"/>
    <s v="Nồi ASĐ"/>
    <m/>
    <m/>
    <s v="On going"/>
    <x v="0"/>
    <x v="0"/>
    <s v="Co.op /Xtra"/>
    <s v="On going"/>
    <m/>
    <m/>
    <m/>
    <m/>
    <m/>
    <m/>
    <m/>
    <m/>
    <m/>
    <n v="1726364"/>
    <n v="1381818"/>
    <m/>
    <m/>
  </r>
  <r>
    <n v="7211003300"/>
    <x v="126"/>
    <s v="0072110033001"/>
    <s v="5L"/>
    <s v="SDA"/>
    <x v="0"/>
    <s v="Nồi Lẩu"/>
    <m/>
    <m/>
    <s v="On going"/>
    <x v="0"/>
    <x v="0"/>
    <m/>
    <s v="On going"/>
    <s v="On going"/>
    <s v="Key Model"/>
    <m/>
    <s v="On going"/>
    <s v="To be discontinued"/>
    <m/>
    <s v="On going"/>
    <m/>
    <m/>
    <n v="635455"/>
    <n v="509091"/>
    <m/>
    <m/>
  </r>
  <r>
    <n v="7211003299"/>
    <x v="127"/>
    <s v="0072110032998"/>
    <s v="4L"/>
    <s v="SDA"/>
    <x v="0"/>
    <s v="Nồi Lẩu"/>
    <m/>
    <m/>
    <s v="On going"/>
    <x v="1"/>
    <x v="0"/>
    <m/>
    <m/>
    <m/>
    <m/>
    <m/>
    <m/>
    <s v="On going"/>
    <m/>
    <s v="On going"/>
    <m/>
    <m/>
    <n v="580909"/>
    <n v="465455"/>
    <m/>
    <m/>
  </r>
  <r>
    <n v="7212000254"/>
    <x v="128"/>
    <s v="6950610210310"/>
    <m/>
    <s v="SDA"/>
    <x v="0"/>
    <s v="Bếp Điện Từ"/>
    <s v="Easy Cooking"/>
    <m/>
    <s v="On going"/>
    <x v="0"/>
    <x v="0"/>
    <m/>
    <s v="On going"/>
    <m/>
    <m/>
    <m/>
    <m/>
    <m/>
    <s v="On going"/>
    <m/>
    <m/>
    <m/>
    <n v="799091"/>
    <n v="639091"/>
    <m/>
    <m/>
  </r>
  <r>
    <n v="7212000247"/>
    <x v="129"/>
    <s v="8936042294218"/>
    <m/>
    <s v="SDA"/>
    <x v="0"/>
    <s v="Bếp Điện Từ"/>
    <m/>
    <m/>
    <s v="On going"/>
    <x v="0"/>
    <x v="0"/>
    <m/>
    <s v="On going"/>
    <m/>
    <m/>
    <m/>
    <m/>
    <m/>
    <m/>
    <m/>
    <m/>
    <m/>
    <n v="899091"/>
    <n v="719091"/>
    <m/>
    <m/>
  </r>
  <r>
    <n v="7211003302"/>
    <x v="130"/>
    <s v="6950610215292"/>
    <m/>
    <s v="SDA"/>
    <x v="0"/>
    <s v="Bếp Điện Từ"/>
    <m/>
    <m/>
    <s v="On going"/>
    <x v="1"/>
    <x v="0"/>
    <m/>
    <m/>
    <m/>
    <m/>
    <m/>
    <m/>
    <m/>
    <m/>
    <m/>
    <m/>
    <m/>
    <n v="1090000"/>
    <n v="871818"/>
    <m/>
    <m/>
  </r>
  <r>
    <n v="7211003301"/>
    <x v="131"/>
    <s v="6950610215292"/>
    <m/>
    <s v="SDA"/>
    <x v="0"/>
    <s v="Bếp Điện Từ"/>
    <m/>
    <m/>
    <s v="On going"/>
    <x v="0"/>
    <x v="0"/>
    <m/>
    <m/>
    <m/>
    <m/>
    <m/>
    <m/>
    <m/>
    <m/>
    <m/>
    <m/>
    <m/>
    <n v="1090000"/>
    <n v="871818"/>
    <m/>
    <m/>
  </r>
  <r>
    <n v="7212000239"/>
    <x v="132"/>
    <s v="8936042294195"/>
    <s v="1.5L"/>
    <s v="SDA"/>
    <x v="0"/>
    <s v="Bình đun"/>
    <m/>
    <m/>
    <s v="On going"/>
    <x v="0"/>
    <x v="0"/>
    <s v="Co.op /Xtra"/>
    <m/>
    <m/>
    <m/>
    <m/>
    <m/>
    <m/>
    <m/>
    <m/>
    <m/>
    <m/>
    <n v="544546"/>
    <n v="436364"/>
    <m/>
    <m/>
  </r>
  <r>
    <n v="7212000240"/>
    <x v="133"/>
    <s v="8936042294201"/>
    <s v="1.7L"/>
    <s v="SDA"/>
    <x v="0"/>
    <s v="Bình đun"/>
    <m/>
    <m/>
    <s v="On going"/>
    <x v="0"/>
    <x v="0"/>
    <m/>
    <s v="On going"/>
    <m/>
    <m/>
    <m/>
    <m/>
    <m/>
    <m/>
    <m/>
    <m/>
    <m/>
    <n v="599091"/>
    <n v="480000"/>
    <m/>
    <m/>
  </r>
  <r>
    <n v="7212000259"/>
    <x v="134"/>
    <s v="8936042294232"/>
    <s v="1.7L"/>
    <s v="SDA"/>
    <x v="0"/>
    <s v="Bình đun"/>
    <m/>
    <m/>
    <s v="On going"/>
    <x v="0"/>
    <x v="0"/>
    <m/>
    <m/>
    <m/>
    <m/>
    <m/>
    <m/>
    <m/>
    <m/>
    <m/>
    <m/>
    <m/>
    <n v="599091"/>
    <n v="480000"/>
    <m/>
    <m/>
  </r>
  <r>
    <n v="7212000262"/>
    <x v="135"/>
    <s v="6950610210594"/>
    <s v="1.7L"/>
    <s v="SDA"/>
    <x v="0"/>
    <s v="Bình đun"/>
    <m/>
    <m/>
    <s v="On going"/>
    <x v="0"/>
    <x v="0"/>
    <s v="Co.op /Xtra"/>
    <m/>
    <m/>
    <m/>
    <m/>
    <m/>
    <m/>
    <m/>
    <s v="EOL"/>
    <m/>
    <m/>
    <n v="699091"/>
    <n v="560000"/>
    <m/>
    <m/>
  </r>
  <r>
    <n v="7212000256"/>
    <x v="136"/>
    <s v="6950610210389"/>
    <s v="1.8L"/>
    <s v="SDA"/>
    <x v="0"/>
    <s v="Bình đun"/>
    <m/>
    <m/>
    <s v="On going"/>
    <x v="0"/>
    <x v="0"/>
    <s v="Co.op /Xtra"/>
    <m/>
    <m/>
    <m/>
    <m/>
    <m/>
    <m/>
    <m/>
    <m/>
    <m/>
    <m/>
    <n v="626364"/>
    <n v="501818"/>
    <m/>
    <m/>
  </r>
  <r>
    <n v="7211003296"/>
    <x v="137"/>
    <s v="6950610214356"/>
    <s v="1.5L"/>
    <s v="SDA"/>
    <x v="0"/>
    <s v="Bình đun"/>
    <m/>
    <m/>
    <s v="On going"/>
    <x v="0"/>
    <x v="0"/>
    <s v="Co.op /Xtra"/>
    <m/>
    <m/>
    <m/>
    <m/>
    <m/>
    <m/>
    <m/>
    <m/>
    <m/>
    <m/>
    <n v="363636"/>
    <n v="290000"/>
    <m/>
    <m/>
  </r>
  <r>
    <n v="7211003295"/>
    <x v="138"/>
    <s v="6950610214943"/>
    <s v="1.8L"/>
    <s v="SDA"/>
    <x v="0"/>
    <s v="Bình đun"/>
    <m/>
    <m/>
    <s v="On going"/>
    <x v="0"/>
    <x v="0"/>
    <s v="Co.op /Xtra"/>
    <m/>
    <m/>
    <m/>
    <m/>
    <m/>
    <m/>
    <m/>
    <m/>
    <m/>
    <m/>
    <n v="409091"/>
    <n v="328182"/>
    <m/>
    <m/>
  </r>
  <r>
    <n v="2100088986"/>
    <x v="139"/>
    <s v="3168430224759"/>
    <s v="16cm"/>
    <s v="CW"/>
    <x v="1"/>
    <s v="Nồi Canh"/>
    <s v="EXPERTISE"/>
    <s v="Đen"/>
    <s v="To be discontinued"/>
    <x v="0"/>
    <x v="0"/>
    <m/>
    <m/>
    <m/>
    <m/>
    <m/>
    <m/>
    <m/>
    <m/>
    <s v="EOL"/>
    <m/>
    <m/>
    <n v="917273"/>
    <n v="733636"/>
    <m/>
    <m/>
  </r>
  <r>
    <n v="2100088994"/>
    <x v="140"/>
    <s v="3168430224827"/>
    <s v="24cm"/>
    <s v="CW"/>
    <x v="1"/>
    <s v="Nồi Canh"/>
    <s v="EXPERTISE"/>
    <s v="Đen"/>
    <s v="To be discontinued"/>
    <x v="0"/>
    <x v="0"/>
    <m/>
    <m/>
    <m/>
    <m/>
    <m/>
    <m/>
    <m/>
    <m/>
    <s v="EOL"/>
    <m/>
    <m/>
    <n v="1345455"/>
    <n v="1076364"/>
    <m/>
    <m/>
  </r>
  <r>
    <n v="2100089957"/>
    <x v="141"/>
    <s v="3168430226920"/>
    <s v="24cm"/>
    <s v="CW"/>
    <x v="1"/>
    <s v="Nồi Canh"/>
    <s v="EXPERTISE"/>
    <s v="Đen"/>
    <s v="To be discontinued"/>
    <x v="0"/>
    <x v="0"/>
    <m/>
    <m/>
    <m/>
    <m/>
    <m/>
    <m/>
    <m/>
    <s v="To be discontinued"/>
    <s v="On going"/>
    <m/>
    <m/>
    <n v="1254546"/>
    <n v="999091"/>
    <m/>
    <m/>
  </r>
  <r>
    <n v="2100089958"/>
    <x v="142"/>
    <s v="3168430226937"/>
    <s v="26cm"/>
    <s v="CW"/>
    <x v="1"/>
    <s v="Nồi Canh"/>
    <s v="EXPERTISE"/>
    <s v="Đen"/>
    <s v="To be discontinued"/>
    <x v="0"/>
    <x v="0"/>
    <m/>
    <m/>
    <m/>
    <m/>
    <m/>
    <m/>
    <m/>
    <m/>
    <s v="EOL"/>
    <m/>
    <m/>
    <n v="1136364"/>
    <n v="910000"/>
    <m/>
    <m/>
  </r>
  <r>
    <n v="2100108073"/>
    <x v="143"/>
    <s v="3168430276130"/>
    <s v="18cm"/>
    <s v="CW"/>
    <x v="1"/>
    <s v="Nồi Canh"/>
    <s v="Pure Chef PLUS"/>
    <s v="Red"/>
    <s v="To be discontinued"/>
    <x v="0"/>
    <x v="0"/>
    <m/>
    <m/>
    <m/>
    <m/>
    <m/>
    <m/>
    <m/>
    <s v="To be discontinued"/>
    <m/>
    <m/>
    <m/>
    <n v="350000"/>
    <n v="280000"/>
    <m/>
    <m/>
  </r>
  <r>
    <n v="2100108126"/>
    <x v="144"/>
    <s v="3168430285415"/>
    <s v="22cm"/>
    <s v="CW"/>
    <x v="1"/>
    <s v="Nồi Canh"/>
    <s v="Pure Chef PLUS"/>
    <s v="Red"/>
    <s v="To be discontinued"/>
    <x v="0"/>
    <x v="0"/>
    <m/>
    <m/>
    <m/>
    <m/>
    <m/>
    <m/>
    <m/>
    <s v="To be discontinued"/>
    <m/>
    <m/>
    <m/>
    <n v="495454.54545454541"/>
    <n v="396364"/>
    <m/>
    <m/>
  </r>
  <r>
    <n v="2100090221"/>
    <x v="145"/>
    <s v="3168430228283"/>
    <s v="20cm"/>
    <s v="CW"/>
    <x v="1"/>
    <s v="Nồi Canh"/>
    <s v="CHARACTER"/>
    <s v="Red"/>
    <s v="Discontinued"/>
    <x v="0"/>
    <x v="0"/>
    <m/>
    <m/>
    <m/>
    <m/>
    <m/>
    <m/>
    <m/>
    <m/>
    <s v="EOL"/>
    <m/>
    <m/>
    <n v="971819"/>
    <n v="780000"/>
    <m/>
    <m/>
  </r>
  <r>
    <n v="2100090223"/>
    <x v="146"/>
    <s v="3168430228306"/>
    <s v="24cm"/>
    <s v="CW"/>
    <x v="1"/>
    <s v="Nồi Canh"/>
    <s v="CHARACTER"/>
    <s v="Red"/>
    <s v="Discontinued"/>
    <x v="1"/>
    <x v="0"/>
    <m/>
    <m/>
    <m/>
    <m/>
    <m/>
    <m/>
    <m/>
    <m/>
    <s v="EOL"/>
    <m/>
    <m/>
    <n v="1116000"/>
    <n v="900000"/>
    <m/>
    <m/>
  </r>
  <r>
    <n v="2100112230"/>
    <x v="147"/>
    <s v="3168430297272"/>
    <s v="18cm"/>
    <s v="CW"/>
    <x v="1"/>
    <s v="Nồi Canh"/>
    <s v="So Chef"/>
    <s v="Red"/>
    <s v="New"/>
    <x v="0"/>
    <x v="0"/>
    <s v="Xtra"/>
    <m/>
    <s v="On going"/>
    <s v="On going"/>
    <m/>
    <m/>
    <m/>
    <m/>
    <m/>
    <m/>
    <m/>
    <n v="346500"/>
    <n v="280000"/>
    <m/>
    <m/>
  </r>
  <r>
    <n v="2100112231"/>
    <x v="148"/>
    <s v="3168430297289"/>
    <s v="22cm"/>
    <s v="CW"/>
    <x v="1"/>
    <s v="Nồi Canh"/>
    <s v="So Chef"/>
    <s v="Red"/>
    <s v="New"/>
    <x v="0"/>
    <x v="0"/>
    <s v="Xtra"/>
    <m/>
    <s v="On going"/>
    <s v="On going"/>
    <m/>
    <m/>
    <m/>
    <m/>
    <m/>
    <m/>
    <m/>
    <n v="490500"/>
    <n v="396364"/>
    <m/>
    <m/>
  </r>
  <r>
    <n v="2100110225"/>
    <x v="149"/>
    <s v="3168430289802"/>
    <s v="18cm"/>
    <s v="CW"/>
    <x v="1"/>
    <s v="Nồi Canh"/>
    <s v="SENSATION"/>
    <s v="Copper"/>
    <s v="New"/>
    <x v="0"/>
    <x v="0"/>
    <m/>
    <m/>
    <m/>
    <s v="On going"/>
    <m/>
    <m/>
    <m/>
    <m/>
    <s v="EOL"/>
    <m/>
    <m/>
    <n v="353636.36363636359"/>
    <n v="282727"/>
    <m/>
    <m/>
  </r>
  <r>
    <n v="2100110226"/>
    <x v="150"/>
    <s v="3168430289819"/>
    <s v="20cm"/>
    <s v="CW"/>
    <x v="1"/>
    <s v="Nồi Canh"/>
    <s v="SENSATION"/>
    <s v="Copper"/>
    <s v="New"/>
    <x v="0"/>
    <x v="0"/>
    <m/>
    <m/>
    <m/>
    <m/>
    <m/>
    <m/>
    <m/>
    <s v="On going"/>
    <s v="EOL"/>
    <m/>
    <m/>
    <n v="399090.90909090906"/>
    <n v="319091"/>
    <m/>
    <m/>
  </r>
  <r>
    <n v="2100110227"/>
    <x v="151"/>
    <s v="3168430289826"/>
    <s v="24cm"/>
    <s v="CW"/>
    <x v="1"/>
    <s v="Nồi Canh"/>
    <s v="SENSATION"/>
    <s v="Copper"/>
    <s v="New"/>
    <x v="0"/>
    <x v="0"/>
    <m/>
    <m/>
    <m/>
    <m/>
    <m/>
    <m/>
    <m/>
    <m/>
    <s v="EOL"/>
    <m/>
    <m/>
    <n v="453636.36363636359"/>
    <n v="362727"/>
    <m/>
    <m/>
  </r>
  <r>
    <n v="2100114151"/>
    <x v="152"/>
    <s v="3168430301740"/>
    <s v="18cm"/>
    <s v="CW"/>
    <x v="1"/>
    <s v="Nồi Canh"/>
    <s v="Simpleo"/>
    <s v="Trắng"/>
    <s v="New"/>
    <x v="1"/>
    <x v="0"/>
    <m/>
    <m/>
    <s v="On going"/>
    <s v="On going"/>
    <s v="On going"/>
    <m/>
    <m/>
    <m/>
    <m/>
    <m/>
    <m/>
    <n v="444545"/>
    <n v="356364"/>
    <m/>
    <m/>
  </r>
  <r>
    <n v="2100114152"/>
    <x v="153"/>
    <s v="3168430301757"/>
    <s v="20cm"/>
    <s v="CW"/>
    <x v="1"/>
    <s v="Nồi Canh"/>
    <s v="Simpleo"/>
    <s v="Trắng"/>
    <s v="New"/>
    <x v="1"/>
    <x v="0"/>
    <m/>
    <m/>
    <s v="On going"/>
    <s v="On going"/>
    <s v="On going"/>
    <m/>
    <m/>
    <m/>
    <m/>
    <m/>
    <m/>
    <n v="453636"/>
    <n v="362727"/>
    <m/>
    <m/>
  </r>
  <r>
    <n v="2100114153"/>
    <x v="154"/>
    <s v="3168430301764"/>
    <s v="24cm"/>
    <s v="CW"/>
    <x v="1"/>
    <s v="Nồi Canh"/>
    <s v="Simpleo"/>
    <s v="Trắng"/>
    <s v="New"/>
    <x v="1"/>
    <x v="0"/>
    <s v="Xtra"/>
    <m/>
    <s v="On going"/>
    <s v="On going"/>
    <s v="On going"/>
    <m/>
    <m/>
    <m/>
    <m/>
    <m/>
    <m/>
    <n v="526364"/>
    <n v="421818"/>
    <m/>
    <m/>
  </r>
  <r>
    <n v="2100114154"/>
    <x v="155"/>
    <s v="3168430301207"/>
    <s v="16/20/24 cm"/>
    <s v="CW"/>
    <x v="1"/>
    <s v="Bộ Nồi"/>
    <s v="Simpleo"/>
    <s v="Trắng"/>
    <s v="New"/>
    <x v="1"/>
    <x v="0"/>
    <m/>
    <m/>
    <s v="On going"/>
    <s v="On going"/>
    <s v="On going"/>
    <m/>
    <m/>
    <m/>
    <m/>
    <m/>
    <m/>
    <n v="1180909"/>
    <n v="945455"/>
    <m/>
    <m/>
  </r>
  <r>
    <n v="2100088988"/>
    <x v="156"/>
    <s v="3168430224773"/>
    <s v="21cm"/>
    <s v="CW"/>
    <x v="1"/>
    <s v="Chảo Chiên"/>
    <s v="EXPERTISE"/>
    <s v="Đen"/>
    <s v="To be discontinued"/>
    <x v="0"/>
    <x v="0"/>
    <m/>
    <m/>
    <m/>
    <s v="On going"/>
    <m/>
    <m/>
    <m/>
    <m/>
    <s v="EOL"/>
    <m/>
    <m/>
    <n v="690000"/>
    <n v="551818"/>
    <m/>
    <m/>
  </r>
  <r>
    <n v="2100088989"/>
    <x v="157"/>
    <s v="3168430224780"/>
    <s v="24cm"/>
    <s v="CW"/>
    <x v="1"/>
    <s v="Chảo Chiên"/>
    <s v="EXPERTISE"/>
    <s v="Đen"/>
    <s v="To be discontinued"/>
    <x v="0"/>
    <x v="0"/>
    <m/>
    <m/>
    <m/>
    <s v="On going"/>
    <m/>
    <m/>
    <m/>
    <s v="To be discontinued"/>
    <s v="EOL"/>
    <m/>
    <m/>
    <n v="717273"/>
    <n v="573636"/>
    <m/>
    <m/>
  </r>
  <r>
    <n v="2100088990"/>
    <x v="158"/>
    <s v="3168430224797"/>
    <s v="26cm"/>
    <s v="CW"/>
    <x v="1"/>
    <s v="Chảo Chiên"/>
    <s v="EXPERTISE"/>
    <s v="Đen"/>
    <s v="To be discontinued"/>
    <x v="0"/>
    <x v="0"/>
    <m/>
    <m/>
    <m/>
    <m/>
    <m/>
    <m/>
    <m/>
    <m/>
    <s v="EOL"/>
    <m/>
    <m/>
    <n v="744546"/>
    <n v="596364"/>
    <m/>
    <m/>
  </r>
  <r>
    <n v="2100088991"/>
    <x v="159"/>
    <s v="3168430224803"/>
    <s v="28cm"/>
    <s v="CW"/>
    <x v="1"/>
    <s v="Chảo Chiên"/>
    <s v="EXPERTISE"/>
    <s v="Đen"/>
    <s v="To be discontinued"/>
    <x v="0"/>
    <x v="0"/>
    <m/>
    <m/>
    <m/>
    <m/>
    <m/>
    <m/>
    <m/>
    <s v="To be discontinued"/>
    <s v="EOL"/>
    <m/>
    <m/>
    <n v="826364"/>
    <n v="661818"/>
    <m/>
    <m/>
  </r>
  <r>
    <n v="2100088993"/>
    <x v="160"/>
    <s v="3168430224834"/>
    <s v="28cm"/>
    <s v="CW"/>
    <x v="1"/>
    <s v="Chảo chiên sâu"/>
    <s v="EXPERTISE"/>
    <s v="Đen"/>
    <s v="To be discontinued"/>
    <x v="0"/>
    <x v="0"/>
    <m/>
    <m/>
    <m/>
    <m/>
    <m/>
    <m/>
    <m/>
    <m/>
    <s v="EOL"/>
    <m/>
    <m/>
    <n v="862728"/>
    <n v="690000"/>
    <m/>
    <m/>
  </r>
  <r>
    <n v="2100108075"/>
    <x v="161"/>
    <s v="3168430246409"/>
    <s v="24cm"/>
    <s v="CW"/>
    <x v="1"/>
    <s v="Chảo chiên sâu"/>
    <s v="Pure Chef PLUS"/>
    <s v="Red"/>
    <s v="Discontinued"/>
    <x v="0"/>
    <x v="0"/>
    <m/>
    <m/>
    <m/>
    <m/>
    <m/>
    <m/>
    <m/>
    <m/>
    <s v="EOL"/>
    <m/>
    <m/>
    <n v="322727.27272727271"/>
    <n v="259091"/>
    <m/>
    <m/>
  </r>
  <r>
    <n v="2100108076"/>
    <x v="162"/>
    <s v="3168430246416"/>
    <s v="28cm"/>
    <s v="CW"/>
    <x v="1"/>
    <s v="Chảo chiên sâu"/>
    <s v="Pure Chef PLUS"/>
    <s v="Red"/>
    <s v="Discontinued"/>
    <x v="0"/>
    <x v="0"/>
    <m/>
    <m/>
    <m/>
    <m/>
    <m/>
    <m/>
    <m/>
    <m/>
    <s v="EOL"/>
    <m/>
    <m/>
    <n v="440909.09090909088"/>
    <n v="352727"/>
    <m/>
    <m/>
  </r>
  <r>
    <n v="2100090225"/>
    <x v="163"/>
    <s v="3168430228191"/>
    <s v="21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647100"/>
    <n v="522727"/>
    <m/>
    <m/>
  </r>
  <r>
    <n v="2100090215"/>
    <x v="164"/>
    <s v="3168430228207"/>
    <s v="24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674100"/>
    <n v="545455"/>
    <m/>
    <m/>
  </r>
  <r>
    <n v="2100090216"/>
    <x v="165"/>
    <s v="3168430228221"/>
    <s v="28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701100"/>
    <n v="566364"/>
    <m/>
    <m/>
  </r>
  <r>
    <n v="2100090217"/>
    <x v="166"/>
    <s v="3168430228252"/>
    <s v="30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959000"/>
    <n v="698182"/>
    <m/>
    <m/>
  </r>
  <r>
    <n v="2100090218"/>
    <x v="167"/>
    <s v="3168430228238"/>
    <s v="28cm"/>
    <s v="CW"/>
    <x v="1"/>
    <s v="Chảo chiên sâu"/>
    <s v="CHARACTER"/>
    <s v="Red"/>
    <s v="To be discontinued"/>
    <x v="0"/>
    <x v="0"/>
    <m/>
    <m/>
    <m/>
    <m/>
    <m/>
    <m/>
    <m/>
    <m/>
    <s v="EOL"/>
    <m/>
    <m/>
    <n v="989000"/>
    <n v="719091"/>
    <m/>
    <m/>
  </r>
  <r>
    <n v="2100112236"/>
    <x v="168"/>
    <s v="3168430297517"/>
    <s v="21cm"/>
    <s v="CW"/>
    <x v="1"/>
    <s v="Chảo Chiên"/>
    <s v="So Chef"/>
    <s v="Red"/>
    <s v="New"/>
    <x v="0"/>
    <x v="0"/>
    <s v="Xtra"/>
    <m/>
    <s v="On going"/>
    <s v="Key Model"/>
    <m/>
    <m/>
    <m/>
    <m/>
    <m/>
    <m/>
    <m/>
    <n v="269100"/>
    <n v="217273"/>
    <m/>
    <m/>
  </r>
  <r>
    <n v="2100112237"/>
    <x v="169"/>
    <s v="3168430297524"/>
    <s v="24cm"/>
    <s v="CW"/>
    <x v="1"/>
    <s v="Chảo Chiên"/>
    <s v="So Chef"/>
    <s v="Red"/>
    <s v="New"/>
    <x v="0"/>
    <x v="0"/>
    <s v="Xtra"/>
    <m/>
    <s v="On going"/>
    <s v="Key Model"/>
    <m/>
    <m/>
    <m/>
    <m/>
    <m/>
    <m/>
    <m/>
    <n v="346500"/>
    <n v="280000"/>
    <m/>
    <m/>
  </r>
  <r>
    <n v="2100112238"/>
    <x v="170"/>
    <s v="3168430297548"/>
    <s v="28cm"/>
    <s v="CW"/>
    <x v="1"/>
    <s v="Chảo Chiên"/>
    <s v="So Chef"/>
    <s v="Red"/>
    <s v="New"/>
    <x v="0"/>
    <x v="0"/>
    <s v="Xtra"/>
    <m/>
    <s v="On going"/>
    <s v="On going"/>
    <m/>
    <m/>
    <m/>
    <m/>
    <m/>
    <m/>
    <m/>
    <n v="418500"/>
    <n v="338182"/>
    <m/>
    <m/>
  </r>
  <r>
    <n v="2100112232"/>
    <x v="171"/>
    <s v="3168430297296"/>
    <s v="24cm"/>
    <s v="CW"/>
    <x v="1"/>
    <s v="Chảo chiên sâu"/>
    <s v="So Chef"/>
    <s v="Red"/>
    <s v="New"/>
    <x v="0"/>
    <x v="0"/>
    <s v="Xtra"/>
    <m/>
    <s v="On going"/>
    <s v="Key Model"/>
    <m/>
    <m/>
    <m/>
    <m/>
    <m/>
    <m/>
    <m/>
    <n v="319500"/>
    <n v="258182"/>
    <m/>
    <m/>
  </r>
  <r>
    <n v="2100112233"/>
    <x v="172"/>
    <s v="3168430297302"/>
    <s v="28cm"/>
    <s v="CW"/>
    <x v="1"/>
    <s v="Chảo chiên sâu"/>
    <s v="So Chef"/>
    <s v="Red"/>
    <s v="New"/>
    <x v="0"/>
    <x v="0"/>
    <s v="Xtra"/>
    <m/>
    <s v="On going"/>
    <s v="Key Model"/>
    <m/>
    <m/>
    <m/>
    <m/>
    <m/>
    <m/>
    <m/>
    <n v="436500"/>
    <n v="352727"/>
    <m/>
    <m/>
  </r>
  <r>
    <n v="2100110229"/>
    <x v="173"/>
    <s v="3168430289840"/>
    <s v="24cm"/>
    <s v="CW"/>
    <x v="1"/>
    <s v="Chảo Chiên"/>
    <s v="SENSATION"/>
    <s v="Copper"/>
    <s v="New"/>
    <x v="0"/>
    <x v="0"/>
    <m/>
    <m/>
    <m/>
    <s v="On going"/>
    <m/>
    <m/>
    <m/>
    <m/>
    <s v="On going"/>
    <m/>
    <m/>
    <n v="353636.36363636359"/>
    <n v="282727"/>
    <m/>
    <m/>
  </r>
  <r>
    <n v="2100110230"/>
    <x v="174"/>
    <s v="3168430289857"/>
    <s v="26cm"/>
    <s v="CW"/>
    <x v="1"/>
    <s v="Chảo Chiên"/>
    <s v="SENSATION"/>
    <s v="Copper"/>
    <s v="New"/>
    <x v="0"/>
    <x v="0"/>
    <m/>
    <m/>
    <m/>
    <s v="Key Model"/>
    <m/>
    <m/>
    <m/>
    <s v="On going"/>
    <m/>
    <m/>
    <m/>
    <n v="389999.99999999994"/>
    <n v="311818"/>
    <m/>
    <m/>
  </r>
  <r>
    <n v="2100110231"/>
    <x v="175"/>
    <s v="3168430289864"/>
    <s v="28cm"/>
    <s v="CW"/>
    <x v="1"/>
    <s v="Chảo Chiên"/>
    <s v="SENSATION"/>
    <s v="Copper"/>
    <s v="New"/>
    <x v="0"/>
    <x v="0"/>
    <m/>
    <m/>
    <m/>
    <s v="On going"/>
    <m/>
    <m/>
    <m/>
    <s v="On going"/>
    <s v="On going"/>
    <m/>
    <m/>
    <n v="444545.45454545453"/>
    <n v="356364"/>
    <m/>
    <m/>
  </r>
  <r>
    <n v="2100110228"/>
    <x v="176"/>
    <s v="3168430289833"/>
    <s v="28cm"/>
    <s v="CW"/>
    <x v="1"/>
    <s v="Chảo chiên sâu"/>
    <s v="SENSATION"/>
    <s v="Copper"/>
    <s v="New"/>
    <x v="0"/>
    <x v="0"/>
    <m/>
    <m/>
    <m/>
    <m/>
    <m/>
    <m/>
    <m/>
    <s v="On going"/>
    <m/>
    <m/>
    <m/>
    <n v="508181.81818181812"/>
    <n v="410000"/>
    <m/>
    <m/>
  </r>
  <r>
    <n v="7211003293"/>
    <x v="177"/>
    <s v="3016661153112"/>
    <s v="0.7L"/>
    <s v="SDA"/>
    <x v="1"/>
    <s v="Nồi Cơm Điện"/>
    <s v="Mini Pro"/>
    <m/>
    <s v="On going"/>
    <x v="0"/>
    <x v="0"/>
    <s v="Xtra"/>
    <s v="On going"/>
    <s v="On going"/>
    <s v="On going"/>
    <m/>
    <m/>
    <m/>
    <m/>
    <s v="On going"/>
    <s v="On going"/>
    <m/>
    <n v="2263636.3636363633"/>
    <n v="1810000"/>
    <m/>
    <m/>
  </r>
  <r>
    <n v="7211003008"/>
    <x v="178"/>
    <s v="3016661151453"/>
    <s v="1.0L"/>
    <s v="SDA"/>
    <x v="1"/>
    <s v="Nồi Cơm Điện"/>
    <s v="Compact Pro"/>
    <m/>
    <s v="On going"/>
    <x v="0"/>
    <x v="0"/>
    <m/>
    <s v="On going"/>
    <s v="On going"/>
    <s v="Key Model"/>
    <s v="On going"/>
    <m/>
    <m/>
    <m/>
    <s v="EOL"/>
    <s v="On going"/>
    <m/>
    <n v="2718181.8181818179"/>
    <n v="2175455"/>
    <m/>
    <m/>
  </r>
  <r>
    <n v="7211002122"/>
    <x v="179"/>
    <s v="3045386372225"/>
    <s v="1.8L"/>
    <s v="SDA"/>
    <x v="1"/>
    <s v="Nồi Cơm Điện"/>
    <s v="Compact Pro"/>
    <m/>
    <s v="On going"/>
    <x v="0"/>
    <x v="0"/>
    <s v="Xtra"/>
    <s v="On going"/>
    <s v="On going"/>
    <s v="On going"/>
    <s v="On going"/>
    <m/>
    <m/>
    <m/>
    <s v="EOL"/>
    <s v="On going"/>
    <m/>
    <n v="3081818.1818181816"/>
    <n v="2466364"/>
    <m/>
    <m/>
  </r>
  <r>
    <n v="7211004184"/>
    <x v="180"/>
    <s v="3045387241841"/>
    <m/>
    <s v="SDA"/>
    <x v="1"/>
    <s v="Nồi Cơm Điện"/>
    <s v="Easy Rice"/>
    <m/>
    <s v="New"/>
    <x v="0"/>
    <x v="0"/>
    <m/>
    <m/>
    <m/>
    <m/>
    <m/>
    <m/>
    <m/>
    <m/>
    <m/>
    <m/>
    <m/>
    <m/>
    <n v="0"/>
    <m/>
    <m/>
  </r>
  <r>
    <n v="7211004185"/>
    <x v="181"/>
    <s v="Update"/>
    <m/>
    <s v="SDA"/>
    <x v="1"/>
    <s v="Nồi Cơm Điện"/>
    <m/>
    <m/>
    <s v="New"/>
    <x v="0"/>
    <x v="0"/>
    <m/>
    <m/>
    <m/>
    <m/>
    <m/>
    <m/>
    <m/>
    <m/>
    <m/>
    <m/>
    <m/>
    <m/>
    <n v="0"/>
    <m/>
    <m/>
  </r>
  <r>
    <n v="7211004172"/>
    <x v="182"/>
    <s v="Update"/>
    <m/>
    <s v="SDA"/>
    <x v="1"/>
    <s v="Nồi Cơm Điện"/>
    <m/>
    <m/>
    <s v="New"/>
    <x v="0"/>
    <x v="0"/>
    <m/>
    <m/>
    <m/>
    <m/>
    <m/>
    <m/>
    <m/>
    <m/>
    <m/>
    <m/>
    <m/>
    <n v="2691000"/>
    <n v="0"/>
    <m/>
    <m/>
  </r>
  <r>
    <n v="7211004175"/>
    <x v="183"/>
    <s v="Update"/>
    <m/>
    <s v="SDA"/>
    <x v="1"/>
    <s v="Nồi Cơm Điện"/>
    <m/>
    <m/>
    <s v="New"/>
    <x v="0"/>
    <x v="0"/>
    <m/>
    <m/>
    <m/>
    <m/>
    <m/>
    <m/>
    <m/>
    <m/>
    <m/>
    <m/>
    <m/>
    <m/>
    <n v="0"/>
    <m/>
    <m/>
  </r>
  <r>
    <n v="7211004195"/>
    <x v="184"/>
    <s v="3045387241957"/>
    <m/>
    <s v="SDA"/>
    <x v="1"/>
    <s v="Nồi Cơm Điện"/>
    <m/>
    <m/>
    <s v="New"/>
    <x v="0"/>
    <x v="1"/>
    <m/>
    <m/>
    <m/>
    <m/>
    <m/>
    <m/>
    <m/>
    <m/>
    <m/>
    <m/>
    <m/>
    <n v="2241000"/>
    <n v="0"/>
    <m/>
    <m/>
  </r>
  <r>
    <n v="7211004194"/>
    <x v="185"/>
    <s v="3045387241940"/>
    <m/>
    <s v="SDA"/>
    <x v="1"/>
    <s v="Nồi Cơm Điện"/>
    <m/>
    <m/>
    <s v="New"/>
    <x v="0"/>
    <x v="0"/>
    <m/>
    <m/>
    <m/>
    <m/>
    <m/>
    <m/>
    <m/>
    <m/>
    <m/>
    <m/>
    <m/>
    <n v="1574100"/>
    <n v="0"/>
    <m/>
    <m/>
  </r>
  <r>
    <n v="7211003437"/>
    <x v="186"/>
    <s v="3045380034372"/>
    <s v="1.5L"/>
    <s v="SDA"/>
    <x v="1"/>
    <s v="Bình đun"/>
    <s v="Theia"/>
    <m/>
    <s v="To be discontinued"/>
    <x v="0"/>
    <x v="0"/>
    <s v="Xtra"/>
    <m/>
    <m/>
    <s v="On going"/>
    <m/>
    <m/>
    <m/>
    <m/>
    <m/>
    <m/>
    <m/>
    <n v="908181.81818181812"/>
    <n v="726364"/>
    <m/>
    <m/>
  </r>
  <r>
    <n v="7211003444"/>
    <x v="187"/>
    <s v="3045386380428"/>
    <s v="1.5L"/>
    <s v="SDA"/>
    <x v="1"/>
    <s v="Bình đun"/>
    <s v="Theia Control"/>
    <m/>
    <s v="To be discontinued"/>
    <x v="0"/>
    <x v="0"/>
    <s v="Xtra"/>
    <m/>
    <m/>
    <s v="On going"/>
    <s v="On going"/>
    <m/>
    <m/>
    <s v="To be discontinued"/>
    <m/>
    <m/>
    <m/>
    <n v="1253636.3636363635"/>
    <n v="999091"/>
    <m/>
    <m/>
  </r>
  <r>
    <n v="7211001702"/>
    <x v="188"/>
    <s v="3045386369010"/>
    <m/>
    <s v="SDA"/>
    <x v="1"/>
    <s v="Bình đun"/>
    <m/>
    <m/>
    <s v="Discontinued"/>
    <x v="0"/>
    <x v="0"/>
    <m/>
    <m/>
    <m/>
    <m/>
    <m/>
    <m/>
    <m/>
    <m/>
    <m/>
    <m/>
    <m/>
    <m/>
    <m/>
    <m/>
    <m/>
  </r>
  <r>
    <n v="7211000490"/>
    <x v="189"/>
    <s v="3016661132278"/>
    <s v="1.7L"/>
    <s v="SDA"/>
    <x v="1"/>
    <s v="Bình đun"/>
    <m/>
    <m/>
    <s v="Discontinued"/>
    <x v="0"/>
    <x v="0"/>
    <m/>
    <m/>
    <m/>
    <m/>
    <m/>
    <m/>
    <m/>
    <m/>
    <m/>
    <m/>
    <m/>
    <m/>
    <m/>
    <m/>
    <m/>
  </r>
  <r>
    <n v="7211003326"/>
    <x v="190"/>
    <s v="3016661153297"/>
    <m/>
    <s v="SDA"/>
    <x v="1"/>
    <s v="Sinh Tố"/>
    <m/>
    <m/>
    <s v="New"/>
    <x v="0"/>
    <x v="1"/>
    <m/>
    <m/>
    <m/>
    <m/>
    <m/>
    <m/>
    <m/>
    <m/>
    <m/>
    <m/>
    <m/>
    <n v="2690100"/>
    <n v="0"/>
    <m/>
    <m/>
  </r>
  <r>
    <n v="7211004136"/>
    <x v="191"/>
    <s v="3016661159343"/>
    <m/>
    <s v="SDA"/>
    <x v="1"/>
    <s v="Sinh Tố"/>
    <m/>
    <m/>
    <s v="New"/>
    <x v="0"/>
    <x v="1"/>
    <m/>
    <m/>
    <m/>
    <m/>
    <m/>
    <m/>
    <m/>
    <m/>
    <m/>
    <m/>
    <m/>
    <n v="3896100"/>
    <n v="0"/>
    <m/>
    <m/>
  </r>
  <r>
    <n v="8010000553"/>
    <x v="192"/>
    <s v="3016661154904"/>
    <m/>
    <s v="SDA"/>
    <x v="1"/>
    <s v="Sinh Tố"/>
    <m/>
    <m/>
    <s v="New"/>
    <x v="0"/>
    <x v="1"/>
    <m/>
    <m/>
    <m/>
    <m/>
    <m/>
    <m/>
    <m/>
    <m/>
    <m/>
    <m/>
    <m/>
    <m/>
    <n v="0"/>
    <m/>
    <m/>
  </r>
  <r>
    <n v="7211004067"/>
    <x v="193"/>
    <s v="3016661158551"/>
    <m/>
    <s v="SDA"/>
    <x v="1"/>
    <s v="Sinh Tố"/>
    <m/>
    <m/>
    <s v="New"/>
    <x v="0"/>
    <x v="1"/>
    <m/>
    <m/>
    <m/>
    <m/>
    <m/>
    <m/>
    <m/>
    <m/>
    <m/>
    <m/>
    <m/>
    <n v="1521000"/>
    <n v="0"/>
    <m/>
    <m/>
  </r>
  <r>
    <n v="7211003692"/>
    <x v="194"/>
    <s v="3016661156151"/>
    <m/>
    <s v="SDA"/>
    <x v="1"/>
    <s v="Sinh Tố"/>
    <m/>
    <m/>
    <s v="New"/>
    <x v="0"/>
    <x v="1"/>
    <m/>
    <m/>
    <m/>
    <m/>
    <m/>
    <m/>
    <m/>
    <m/>
    <m/>
    <m/>
    <m/>
    <m/>
    <n v="0"/>
    <m/>
    <m/>
  </r>
  <r>
    <n v="7211002427"/>
    <x v="195"/>
    <s v="3016661147340"/>
    <m/>
    <s v="SDA"/>
    <x v="1"/>
    <s v="Sinh Tố"/>
    <m/>
    <m/>
    <s v="Discontinued"/>
    <x v="0"/>
    <x v="0"/>
    <m/>
    <m/>
    <m/>
    <m/>
    <m/>
    <m/>
    <m/>
    <m/>
    <s v="EOL"/>
    <m/>
    <m/>
    <m/>
    <m/>
    <m/>
    <m/>
  </r>
  <r>
    <n v="8000035779"/>
    <x v="196"/>
    <s v="3016661147494"/>
    <m/>
    <s v="SDA"/>
    <x v="1"/>
    <s v="Sinh tố cầm tay"/>
    <m/>
    <s v="HANDBLEND/STICK MIXR"/>
    <s v="Discontinued"/>
    <x v="0"/>
    <x v="0"/>
    <m/>
    <m/>
    <m/>
    <m/>
    <m/>
    <m/>
    <m/>
    <m/>
    <m/>
    <m/>
    <m/>
    <n v="2473546"/>
    <n v="0"/>
    <m/>
    <m/>
  </r>
  <r>
    <n v="7211002524"/>
    <x v="197"/>
    <s v="3016661148248"/>
    <s v="0.6 L"/>
    <s v="SDA"/>
    <x v="1"/>
    <s v="Máy Ép Trái Cây"/>
    <s v="Mix&amp;Drink"/>
    <m/>
    <s v="To be discontinued"/>
    <x v="0"/>
    <x v="1"/>
    <m/>
    <m/>
    <s v="On going"/>
    <m/>
    <s v="No Display"/>
    <s v="On going"/>
    <s v="To be discontinued"/>
    <m/>
    <m/>
    <m/>
    <m/>
    <n v="1026363.6363636362"/>
    <n v="0"/>
    <m/>
    <m/>
  </r>
  <r>
    <n v="8010000165"/>
    <x v="198"/>
    <s v="3016661151897"/>
    <m/>
    <s v="SDA"/>
    <x v="1"/>
    <s v="Máy Ép Trái Cây"/>
    <n v="0"/>
    <m/>
    <s v="To be discontinued"/>
    <x v="0"/>
    <x v="0"/>
    <m/>
    <m/>
    <s v="On going"/>
    <s v="On going"/>
    <s v="On going"/>
    <m/>
    <m/>
    <m/>
    <m/>
    <m/>
    <m/>
    <n v="1026363.6363636362"/>
    <n v="821818"/>
    <m/>
    <m/>
  </r>
  <r>
    <n v="7211001367"/>
    <x v="199"/>
    <s v="3016661142628"/>
    <m/>
    <s v="SDA"/>
    <x v="1"/>
    <s v="Máy Ép Trái Cây"/>
    <n v="0"/>
    <s v="Đen"/>
    <s v="To be discontinued"/>
    <x v="0"/>
    <x v="0"/>
    <m/>
    <m/>
    <s v="EOL"/>
    <m/>
    <m/>
    <m/>
    <m/>
    <m/>
    <s v="EOL"/>
    <m/>
    <m/>
    <n v="1354546"/>
    <n v="1085455"/>
    <m/>
    <m/>
  </r>
  <r>
    <n v="8010000563"/>
    <x v="200"/>
    <s v="3016661155055"/>
    <s v="1.25L"/>
    <s v="SDA"/>
    <x v="1"/>
    <s v="Máy Ép Trái Cây"/>
    <s v="Blendeo"/>
    <m/>
    <s v="On going"/>
    <x v="0"/>
    <x v="0"/>
    <m/>
    <m/>
    <s v="On going"/>
    <m/>
    <s v="No Display"/>
    <m/>
    <m/>
    <m/>
    <m/>
    <m/>
    <m/>
    <n v="635454.54545454541"/>
    <n v="509091"/>
    <m/>
    <m/>
  </r>
  <r>
    <n v="7211000987"/>
    <x v="201"/>
    <s v="3016661140600"/>
    <m/>
    <s v="SDA"/>
    <x v="1"/>
    <s v="Máy Ép Trái Cây"/>
    <n v="0"/>
    <m/>
    <s v="To be discontinued"/>
    <x v="0"/>
    <x v="1"/>
    <m/>
    <m/>
    <m/>
    <m/>
    <m/>
    <m/>
    <m/>
    <m/>
    <s v="EOL"/>
    <m/>
    <m/>
    <n v="724410"/>
    <m/>
    <m/>
    <m/>
  </r>
  <r>
    <n v="7211002386"/>
    <x v="202"/>
    <s v="3016661147210"/>
    <m/>
    <s v="SDA"/>
    <x v="1"/>
    <s v="Máy Ép Trái Cây"/>
    <n v="0"/>
    <s v="Trắng"/>
    <s v="Discontinued"/>
    <x v="1"/>
    <x v="0"/>
    <m/>
    <m/>
    <m/>
    <m/>
    <m/>
    <m/>
    <m/>
    <m/>
    <s v="On going"/>
    <m/>
    <m/>
    <n v="1791000"/>
    <n v="1449091"/>
    <m/>
    <m/>
  </r>
  <r>
    <n v="7211002429"/>
    <x v="203"/>
    <s v="3016661147357"/>
    <m/>
    <s v="SDA"/>
    <x v="1"/>
    <s v="Máy Ép Trái Cây"/>
    <n v="0"/>
    <s v="Trắng"/>
    <s v="Discontinued"/>
    <x v="1"/>
    <x v="0"/>
    <m/>
    <m/>
    <s v="New"/>
    <m/>
    <s v="No Display"/>
    <m/>
    <m/>
    <m/>
    <s v="On going"/>
    <m/>
    <m/>
    <n v="1041728"/>
    <n v="833636"/>
    <m/>
    <m/>
  </r>
  <r>
    <n v="7211003136"/>
    <x v="204"/>
    <s v="3016661151880"/>
    <m/>
    <s v="SDA"/>
    <x v="1"/>
    <s v="Máy Ép Trái Cây"/>
    <s v="Blendforce 2 Plastic"/>
    <m/>
    <s v="To be discontinued"/>
    <x v="0"/>
    <x v="0"/>
    <m/>
    <m/>
    <s v="On going"/>
    <s v="On going"/>
    <m/>
    <m/>
    <m/>
    <m/>
    <m/>
    <m/>
    <m/>
    <n v="1161000"/>
    <n v="939091"/>
    <m/>
    <m/>
  </r>
  <r>
    <n v="7211003372"/>
    <x v="205"/>
    <s v="3016661153716"/>
    <s v="1.25L"/>
    <s v="SDA"/>
    <x v="1"/>
    <s v="Máy Ép Trái Cây"/>
    <s v="Blendforce 2 Glass"/>
    <m/>
    <s v="On going"/>
    <x v="0"/>
    <x v="0"/>
    <s v="Xtra"/>
    <m/>
    <s v="On going"/>
    <m/>
    <s v="On going"/>
    <m/>
    <m/>
    <m/>
    <s v="EOL"/>
    <m/>
    <m/>
    <n v="1536363.6363636362"/>
    <n v="1229091"/>
    <m/>
    <m/>
  </r>
  <r>
    <n v="1830006116"/>
    <x v="206"/>
    <s v="3121040061169"/>
    <m/>
    <s v="Iron"/>
    <x v="1"/>
    <s v="Bàn ủi khô"/>
    <n v="0"/>
    <m/>
    <s v="On going"/>
    <x v="0"/>
    <x v="0"/>
    <m/>
    <m/>
    <m/>
    <m/>
    <m/>
    <m/>
    <m/>
    <m/>
    <s v="On going"/>
    <m/>
    <m/>
    <n v="261000"/>
    <n v="210000"/>
    <m/>
    <m/>
  </r>
  <r>
    <n v="1830006142"/>
    <x v="207"/>
    <s v="3121040061428"/>
    <m/>
    <s v="Iron"/>
    <x v="1"/>
    <s v="Bàn ủi khô"/>
    <s v="Million"/>
    <m/>
    <s v="On going"/>
    <x v="0"/>
    <x v="0"/>
    <m/>
    <m/>
    <m/>
    <m/>
    <s v="On going"/>
    <m/>
    <m/>
    <s v="On going"/>
    <s v="On going"/>
    <m/>
    <m/>
    <n v="263636.36363636359"/>
    <n v="210000"/>
    <m/>
    <m/>
  </r>
  <r>
    <n v="1830006029"/>
    <x v="208"/>
    <s v="3121040060292"/>
    <m/>
    <s v="Iron"/>
    <x v="1"/>
    <s v="Bàn ủi khô"/>
    <s v="Classic"/>
    <m/>
    <s v="On going"/>
    <x v="0"/>
    <x v="0"/>
    <s v="Xtra"/>
    <s v="On going"/>
    <m/>
    <m/>
    <s v="On going"/>
    <m/>
    <m/>
    <s v="On going"/>
    <s v="On going"/>
    <m/>
    <m/>
    <n v="318181.81818181818"/>
    <n v="255455"/>
    <m/>
    <m/>
  </r>
  <r>
    <n v="1830006063"/>
    <x v="209"/>
    <s v="3121040060636"/>
    <m/>
    <s v="Iron"/>
    <x v="1"/>
    <s v="Bàn ủi hơi nước"/>
    <n v="0"/>
    <m/>
    <s v="On going"/>
    <x v="0"/>
    <x v="1"/>
    <m/>
    <m/>
    <m/>
    <m/>
    <m/>
    <m/>
    <m/>
    <m/>
    <s v="EOL"/>
    <m/>
    <m/>
    <n v="540000"/>
    <n v="0"/>
    <m/>
    <m/>
  </r>
  <r>
    <n v="1830006120"/>
    <x v="210"/>
    <s v="3121040061206"/>
    <m/>
    <s v="Iron"/>
    <x v="1"/>
    <s v="Bàn ủi hơi nước"/>
    <s v="Essential"/>
    <m/>
    <s v="To be discontinued"/>
    <x v="0"/>
    <x v="0"/>
    <s v="Xtra"/>
    <m/>
    <s v="On going"/>
    <m/>
    <m/>
    <m/>
    <m/>
    <m/>
    <m/>
    <m/>
    <m/>
    <n v="454545.45454545453"/>
    <n v="363636"/>
    <m/>
    <m/>
  </r>
  <r>
    <n v="1830005215"/>
    <x v="211"/>
    <s v="3121040046647"/>
    <m/>
    <s v="Iron"/>
    <x v="1"/>
    <s v="Bàn ủi hơi nước"/>
    <n v="0"/>
    <m/>
    <s v="Discontinued"/>
    <x v="0"/>
    <x v="0"/>
    <m/>
    <m/>
    <m/>
    <m/>
    <m/>
    <m/>
    <m/>
    <m/>
    <m/>
    <m/>
    <m/>
    <n v="621000"/>
    <n v="0"/>
    <m/>
    <m/>
  </r>
  <r>
    <n v="1830006083"/>
    <x v="212"/>
    <s v="3121040060834"/>
    <m/>
    <s v="Iron"/>
    <x v="1"/>
    <s v="Bàn ủi hơi nước"/>
    <s v="Access"/>
    <m/>
    <s v="To be discontinued"/>
    <x v="0"/>
    <x v="1"/>
    <m/>
    <m/>
    <s v="On going"/>
    <m/>
    <m/>
    <m/>
    <m/>
    <s v="To be discontinued"/>
    <s v="On going"/>
    <m/>
    <m/>
    <n v="772727.27272727271"/>
    <n v="0"/>
    <m/>
    <m/>
  </r>
  <r>
    <n v="1830006603"/>
    <x v="213"/>
    <s v="3121040066034"/>
    <m/>
    <s v="Iron"/>
    <x v="1"/>
    <s v="Bàn ủi hơi nước"/>
    <s v="Eco Master"/>
    <m/>
    <s v="To be discontinued"/>
    <x v="0"/>
    <x v="0"/>
    <m/>
    <m/>
    <m/>
    <s v="On going"/>
    <s v="On going"/>
    <m/>
    <m/>
    <s v="To be discontinued"/>
    <m/>
    <m/>
    <m/>
    <n v="627272.72727272718"/>
    <n v="501818"/>
    <m/>
    <m/>
  </r>
  <r>
    <n v="1830006975"/>
    <x v="214"/>
    <s v="3121040069752"/>
    <m/>
    <s v="Iron"/>
    <x v="1"/>
    <s v="Bàn ủi hơi nước"/>
    <m/>
    <m/>
    <s v="New"/>
    <x v="0"/>
    <x v="1"/>
    <m/>
    <m/>
    <m/>
    <m/>
    <m/>
    <m/>
    <m/>
    <m/>
    <m/>
    <m/>
    <m/>
    <m/>
    <n v="0"/>
    <m/>
    <m/>
  </r>
  <r>
    <n v="1830007075"/>
    <x v="215"/>
    <s v="3121040070758"/>
    <m/>
    <s v="Iron"/>
    <x v="1"/>
    <s v="Bàn ủi hơi nước"/>
    <m/>
    <m/>
    <s v="New"/>
    <x v="0"/>
    <x v="1"/>
    <m/>
    <m/>
    <m/>
    <m/>
    <m/>
    <m/>
    <m/>
    <m/>
    <m/>
    <m/>
    <m/>
    <m/>
    <n v="0"/>
    <m/>
    <m/>
  </r>
  <r>
    <n v="1830005278"/>
    <x v="216"/>
    <s v="3121040052785"/>
    <m/>
    <s v="Iron"/>
    <x v="1"/>
    <s v="Bàn ủi hơi nước"/>
    <n v="0"/>
    <m/>
    <s v="Discontinued"/>
    <x v="1"/>
    <x v="0"/>
    <m/>
    <m/>
    <m/>
    <m/>
    <m/>
    <m/>
    <m/>
    <m/>
    <m/>
    <m/>
    <m/>
    <n v="1305000"/>
    <n v="1055455"/>
    <m/>
    <m/>
  </r>
  <r>
    <n v="1830005460"/>
    <x v="217"/>
    <s v="3121040054604"/>
    <m/>
    <s v="Iron"/>
    <x v="1"/>
    <s v="Bàn ủi hơi nước"/>
    <n v="0"/>
    <m/>
    <s v="Discontinued"/>
    <x v="1"/>
    <x v="0"/>
    <m/>
    <m/>
    <m/>
    <m/>
    <m/>
    <m/>
    <m/>
    <m/>
    <m/>
    <m/>
    <m/>
    <n v="1413000"/>
    <n v="1140000"/>
    <m/>
    <m/>
  </r>
  <r>
    <n v="1830005283"/>
    <x v="218"/>
    <s v="3121040052839"/>
    <m/>
    <s v="Iron"/>
    <x v="1"/>
    <s v="Bàn ủi hơi nước"/>
    <n v="0"/>
    <m/>
    <s v="Discontinued"/>
    <x v="0"/>
    <x v="0"/>
    <m/>
    <m/>
    <m/>
    <m/>
    <m/>
    <m/>
    <m/>
    <m/>
    <m/>
    <m/>
    <m/>
    <n v="1467000"/>
    <n v="0"/>
    <m/>
    <m/>
  </r>
  <r>
    <n v="1830006846"/>
    <x v="219"/>
    <s v="3121040068465"/>
    <m/>
    <s v="Iron"/>
    <x v="1"/>
    <s v="Bàn ủi hơi nước"/>
    <s v="Easy Gliss"/>
    <m/>
    <s v="To be discontinued"/>
    <x v="0"/>
    <x v="1"/>
    <s v="Xtra"/>
    <m/>
    <s v="On going"/>
    <m/>
    <m/>
    <m/>
    <m/>
    <s v="To be discontinued"/>
    <m/>
    <m/>
    <m/>
    <n v="1318181.8181818181"/>
    <n v="0"/>
    <m/>
    <m/>
  </r>
  <r>
    <n v="1830006854"/>
    <x v="220"/>
    <s v="3121040068540"/>
    <m/>
    <s v="Iron"/>
    <x v="1"/>
    <s v="Bàn ủi hơi nước"/>
    <s v="Easy Gliss"/>
    <m/>
    <s v="To be discontinued"/>
    <x v="0"/>
    <x v="1"/>
    <m/>
    <m/>
    <s v="On going"/>
    <s v="On going"/>
    <s v="On going"/>
    <m/>
    <s v="To be discontinued"/>
    <m/>
    <s v="On going"/>
    <s v="On going"/>
    <m/>
    <n v="1427272.7272727271"/>
    <n v="0"/>
    <m/>
    <m/>
  </r>
  <r>
    <n v="1830005120"/>
    <x v="221"/>
    <s v="3121040051207"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5910"/>
    <x v="222"/>
    <s v="3121040059104"/>
    <m/>
    <s v="Iron"/>
    <x v="1"/>
    <s v="Bàn ủi hơi nước"/>
    <n v="0"/>
    <m/>
    <s v="Discontinued"/>
    <x v="1"/>
    <x v="0"/>
    <m/>
    <m/>
    <m/>
    <m/>
    <m/>
    <m/>
    <m/>
    <m/>
    <m/>
    <s v="On going"/>
    <m/>
    <n v="1999999.9999999998"/>
    <n v="1600000"/>
    <m/>
    <m/>
  </r>
  <r>
    <n v="1830006865"/>
    <x v="223"/>
    <s v="3121040068656"/>
    <m/>
    <s v="Iron"/>
    <x v="1"/>
    <s v="Bàn ủi hơi nước"/>
    <s v="Stmart Protect"/>
    <m/>
    <s v="On going"/>
    <x v="0"/>
    <x v="0"/>
    <m/>
    <m/>
    <s v="On going"/>
    <m/>
    <s v="On going"/>
    <m/>
    <m/>
    <s v="On going"/>
    <m/>
    <s v="On going"/>
    <m/>
    <n v="1999999.9999999998"/>
    <n v="1600000"/>
    <m/>
    <m/>
  </r>
  <r>
    <n v="1830003796"/>
    <x v="224"/>
    <s v="3121040037966"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m/>
    <x v="225"/>
    <m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5888"/>
    <x v="226"/>
    <s v="3121040058886"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4756"/>
    <x v="227"/>
    <m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7574"/>
    <x v="228"/>
    <s v="3121040075746"/>
    <m/>
    <s v="Iron"/>
    <x v="1"/>
    <s v="Bàn ủi hơi nước"/>
    <m/>
    <m/>
    <s v="New"/>
    <x v="0"/>
    <x v="1"/>
    <m/>
    <m/>
    <m/>
    <m/>
    <m/>
    <m/>
    <m/>
    <m/>
    <m/>
    <m/>
    <m/>
    <m/>
    <n v="0"/>
    <m/>
    <m/>
  </r>
  <r>
    <n v="1830007584"/>
    <x v="229"/>
    <s v="3121040075845"/>
    <m/>
    <s v="Iron"/>
    <x v="1"/>
    <s v="Bàn ủi hơi nước"/>
    <m/>
    <m/>
    <s v="New"/>
    <x v="0"/>
    <x v="1"/>
    <m/>
    <m/>
    <m/>
    <m/>
    <m/>
    <m/>
    <m/>
    <m/>
    <m/>
    <m/>
    <m/>
    <n v="1736100"/>
    <n v="0"/>
    <m/>
    <m/>
  </r>
  <r>
    <n v="1830007745"/>
    <x v="230"/>
    <s v="3121040077450"/>
    <m/>
    <s v="Iron"/>
    <x v="1"/>
    <s v="Bàn Ủi hơi Cầm Tay"/>
    <m/>
    <m/>
    <s v="New"/>
    <x v="0"/>
    <x v="1"/>
    <m/>
    <m/>
    <m/>
    <m/>
    <m/>
    <m/>
    <m/>
    <m/>
    <m/>
    <m/>
    <m/>
    <m/>
    <n v="0"/>
    <m/>
    <m/>
  </r>
  <r>
    <n v="1830007750"/>
    <x v="231"/>
    <s v="3121040077504"/>
    <m/>
    <s v="Iron"/>
    <x v="1"/>
    <s v="Bàn Ủi hơi Cầm Tay"/>
    <m/>
    <m/>
    <s v="New"/>
    <x v="0"/>
    <x v="1"/>
    <m/>
    <m/>
    <m/>
    <m/>
    <m/>
    <m/>
    <m/>
    <m/>
    <m/>
    <m/>
    <m/>
    <m/>
    <n v="0"/>
    <m/>
    <m/>
  </r>
  <r>
    <n v="1830006595"/>
    <x v="232"/>
    <s v="3121040065952"/>
    <m/>
    <s v="Iron"/>
    <x v="1"/>
    <s v="Bàn Ủi hơi Cầm Tay"/>
    <n v="0"/>
    <m/>
    <s v="New"/>
    <x v="0"/>
    <x v="1"/>
    <m/>
    <m/>
    <m/>
    <m/>
    <m/>
    <m/>
    <m/>
    <s v="New"/>
    <m/>
    <m/>
    <m/>
    <n v="908182"/>
    <n v="0"/>
    <m/>
    <m/>
  </r>
  <r>
    <n v="1830007173"/>
    <x v="233"/>
    <s v="3121040071731"/>
    <m/>
    <s v="Iron"/>
    <x v="1"/>
    <s v="Bàn Ủi hơi Cầm Tay"/>
    <n v="0"/>
    <m/>
    <s v="New"/>
    <x v="0"/>
    <x v="1"/>
    <m/>
    <m/>
    <m/>
    <m/>
    <m/>
    <m/>
    <m/>
    <m/>
    <m/>
    <m/>
    <m/>
    <n v="1154545"/>
    <n v="0"/>
    <m/>
    <m/>
  </r>
  <r>
    <n v="1830007628"/>
    <x v="234"/>
    <s v="3121040076286"/>
    <m/>
    <s v="Iron"/>
    <x v="1"/>
    <s v="Bàn ủi hơi đứng"/>
    <m/>
    <m/>
    <s v="New"/>
    <x v="0"/>
    <x v="1"/>
    <m/>
    <m/>
    <m/>
    <m/>
    <m/>
    <m/>
    <m/>
    <m/>
    <m/>
    <m/>
    <m/>
    <m/>
    <n v="0"/>
    <m/>
    <m/>
  </r>
  <r>
    <n v="1830007629"/>
    <x v="235"/>
    <s v="3121040076293"/>
    <m/>
    <s v="Iron"/>
    <x v="1"/>
    <s v="Bàn ủi hơi đứng"/>
    <m/>
    <m/>
    <s v="New"/>
    <x v="0"/>
    <x v="1"/>
    <m/>
    <m/>
    <m/>
    <m/>
    <m/>
    <m/>
    <m/>
    <m/>
    <m/>
    <m/>
    <m/>
    <n v="1619100"/>
    <n v="0"/>
    <m/>
    <m/>
  </r>
  <r>
    <n v="1830006980"/>
    <x v="236"/>
    <s v="3121040069806"/>
    <m/>
    <s v="Iron"/>
    <x v="1"/>
    <s v="Bàn ủi hơi đứng"/>
    <m/>
    <m/>
    <s v="New"/>
    <x v="0"/>
    <x v="1"/>
    <m/>
    <m/>
    <m/>
    <m/>
    <m/>
    <m/>
    <m/>
    <m/>
    <m/>
    <m/>
    <m/>
    <n v="1799100"/>
    <n v="0"/>
    <m/>
    <m/>
  </r>
  <r>
    <n v="1830006984"/>
    <x v="237"/>
    <s v="3121040069844"/>
    <m/>
    <s v="Iron"/>
    <x v="1"/>
    <s v="Bàn ủi hơi đứng"/>
    <m/>
    <m/>
    <s v="New"/>
    <x v="0"/>
    <x v="1"/>
    <m/>
    <m/>
    <m/>
    <m/>
    <m/>
    <m/>
    <m/>
    <m/>
    <m/>
    <m/>
    <m/>
    <n v="2600100"/>
    <n v="0"/>
    <m/>
    <m/>
  </r>
  <r>
    <n v="2820102010"/>
    <x v="238"/>
    <s v="3121042810215"/>
    <m/>
    <s v="Iron"/>
    <x v="1"/>
    <s v="Bàn ủi hơi đứng"/>
    <m/>
    <m/>
    <s v="New"/>
    <x v="0"/>
    <x v="1"/>
    <m/>
    <m/>
    <m/>
    <m/>
    <m/>
    <m/>
    <m/>
    <m/>
    <m/>
    <m/>
    <m/>
    <n v="5391000"/>
    <n v="0"/>
    <m/>
    <m/>
  </r>
  <r>
    <n v="1830004638"/>
    <x v="239"/>
    <s v="3121040046388"/>
    <m/>
    <s v="Iron"/>
    <x v="1"/>
    <s v="Bàn ủi hơi hệ thống"/>
    <m/>
    <m/>
    <s v="Discontinued"/>
    <x v="0"/>
    <x v="0"/>
    <m/>
    <m/>
    <m/>
    <m/>
    <m/>
    <m/>
    <m/>
    <m/>
    <m/>
    <m/>
    <m/>
    <m/>
    <m/>
    <m/>
    <m/>
  </r>
  <r>
    <n v="1500578154"/>
    <x v="240"/>
    <m/>
    <m/>
    <s v="SDA"/>
    <x v="1"/>
    <s v="Máy nướng bánh mì"/>
    <m/>
    <m/>
    <s v="Discontinued"/>
    <x v="0"/>
    <x v="0"/>
    <m/>
    <m/>
    <m/>
    <m/>
    <m/>
    <m/>
    <m/>
    <m/>
    <m/>
    <m/>
    <m/>
    <m/>
    <m/>
    <m/>
    <m/>
  </r>
  <r>
    <m/>
    <x v="241"/>
    <m/>
    <m/>
    <s v="SDA"/>
    <x v="1"/>
    <s v="Máy nướng bánh mì"/>
    <m/>
    <m/>
    <s v="Discontinued"/>
    <x v="0"/>
    <x v="0"/>
    <m/>
    <m/>
    <m/>
    <m/>
    <m/>
    <m/>
    <m/>
    <m/>
    <m/>
    <m/>
    <m/>
    <m/>
    <m/>
    <m/>
    <m/>
  </r>
  <r>
    <n v="1500637019"/>
    <x v="242"/>
    <s v="3045386370191"/>
    <m/>
    <s v="SDA"/>
    <x v="1"/>
    <s v="Máy đánh trứng"/>
    <m/>
    <m/>
    <s v="Discontinued"/>
    <x v="0"/>
    <x v="0"/>
    <m/>
    <m/>
    <m/>
    <m/>
    <m/>
    <m/>
    <m/>
    <m/>
    <m/>
    <m/>
    <m/>
    <m/>
    <m/>
    <m/>
    <m/>
  </r>
  <r>
    <n v="8000035698"/>
    <x v="243"/>
    <s v="3016661147036"/>
    <m/>
    <s v="SDA"/>
    <x v="1"/>
    <s v="Lò Nướng"/>
    <m/>
    <m/>
    <s v="Discontinued"/>
    <x v="0"/>
    <x v="0"/>
    <m/>
    <m/>
    <m/>
    <m/>
    <m/>
    <m/>
    <m/>
    <m/>
    <m/>
    <m/>
    <m/>
    <m/>
    <m/>
    <m/>
    <m/>
  </r>
  <r>
    <n v="1500636613"/>
    <x v="244"/>
    <m/>
    <m/>
    <s v="SDA"/>
    <x v="1"/>
    <s v="Máy Ép Trái Cây"/>
    <m/>
    <m/>
    <s v="Discontinued"/>
    <x v="0"/>
    <x v="0"/>
    <m/>
    <m/>
    <m/>
    <m/>
    <m/>
    <m/>
    <m/>
    <m/>
    <m/>
    <m/>
    <m/>
    <m/>
    <m/>
    <m/>
    <m/>
  </r>
  <r>
    <m/>
    <x v="245"/>
    <m/>
    <m/>
    <s v="SDA"/>
    <x v="1"/>
    <s v="Máy Xay Thịt"/>
    <m/>
    <m/>
    <s v="Discontinued"/>
    <x v="0"/>
    <x v="0"/>
    <m/>
    <m/>
    <m/>
    <m/>
    <m/>
    <m/>
    <m/>
    <m/>
    <m/>
    <m/>
    <m/>
    <m/>
    <m/>
    <m/>
    <m/>
  </r>
  <r>
    <n v="8000034568"/>
    <x v="246"/>
    <s v="3016661140150"/>
    <m/>
    <s v="SDA"/>
    <x v="1"/>
    <s v="Máy Sinh tố cầm tay"/>
    <m/>
    <m/>
    <s v="Discontinued"/>
    <x v="0"/>
    <x v="0"/>
    <m/>
    <m/>
    <m/>
    <m/>
    <m/>
    <m/>
    <m/>
    <m/>
    <m/>
    <m/>
    <m/>
    <m/>
    <m/>
    <m/>
    <m/>
  </r>
  <r>
    <n v="7211001129"/>
    <x v="247"/>
    <s v="3045386358816"/>
    <m/>
    <s v="SDA"/>
    <x v="1"/>
    <s v="Nồi Hấp"/>
    <m/>
    <m/>
    <s v="Discontinued"/>
    <x v="0"/>
    <x v="0"/>
    <m/>
    <m/>
    <m/>
    <m/>
    <m/>
    <m/>
    <m/>
    <m/>
    <m/>
    <m/>
    <m/>
    <m/>
    <m/>
    <m/>
    <m/>
  </r>
  <r>
    <m/>
    <x v="248"/>
    <m/>
    <m/>
    <s v="SDA"/>
    <x v="1"/>
    <s v="Vỉ Nướng"/>
    <m/>
    <m/>
    <s v="Discontinued"/>
    <x v="0"/>
    <x v="0"/>
    <m/>
    <m/>
    <m/>
    <m/>
    <m/>
    <m/>
    <m/>
    <m/>
    <m/>
    <m/>
    <m/>
    <m/>
    <m/>
    <m/>
    <m/>
  </r>
  <r>
    <n v="2211400010"/>
    <x v="249"/>
    <s v="3221614000102"/>
    <m/>
    <s v="SDA"/>
    <x v="1"/>
    <s v="Máy Hút Bụi"/>
    <m/>
    <m/>
    <s v="Discontinued"/>
    <x v="0"/>
    <x v="0"/>
    <m/>
    <m/>
    <m/>
    <m/>
    <m/>
    <m/>
    <m/>
    <m/>
    <m/>
    <m/>
    <m/>
    <m/>
    <m/>
    <m/>
    <m/>
  </r>
  <r>
    <n v="4100000621"/>
    <x v="250"/>
    <s v="3121044106217"/>
    <m/>
    <s v="FAN"/>
    <x v="1"/>
    <s v="Quạt Bàn"/>
    <m/>
    <m/>
    <s v="New"/>
    <x v="0"/>
    <x v="0"/>
    <m/>
    <m/>
    <m/>
    <m/>
    <m/>
    <m/>
    <m/>
    <m/>
    <m/>
    <m/>
    <m/>
    <m/>
    <n v="0"/>
    <m/>
    <m/>
  </r>
  <r>
    <n v="4100000623"/>
    <x v="251"/>
    <s v="3121044106231"/>
    <m/>
    <s v="FAN"/>
    <x v="1"/>
    <s v="Quạt Đứng"/>
    <m/>
    <m/>
    <s v="New"/>
    <x v="0"/>
    <x v="0"/>
    <m/>
    <m/>
    <m/>
    <m/>
    <m/>
    <m/>
    <m/>
    <m/>
    <m/>
    <m/>
    <m/>
    <m/>
    <n v="0"/>
    <m/>
    <m/>
  </r>
  <r>
    <n v="4100000625"/>
    <x v="252"/>
    <s v="3121044106255"/>
    <m/>
    <s v="FAN"/>
    <x v="1"/>
    <s v="Quạt Đứng-Remote"/>
    <m/>
    <m/>
    <s v="New"/>
    <x v="0"/>
    <x v="0"/>
    <m/>
    <m/>
    <m/>
    <m/>
    <m/>
    <m/>
    <m/>
    <m/>
    <m/>
    <m/>
    <m/>
    <m/>
    <n v="0"/>
    <m/>
    <m/>
  </r>
  <r>
    <n v="4100000628"/>
    <x v="253"/>
    <s v="8936008700593"/>
    <m/>
    <s v="FAN"/>
    <x v="1"/>
    <s v="Quạt Đứng"/>
    <m/>
    <s v="Xanh Dương"/>
    <s v="Update"/>
    <x v="0"/>
    <x v="0"/>
    <m/>
    <m/>
    <m/>
    <m/>
    <m/>
    <m/>
    <m/>
    <m/>
    <m/>
    <m/>
    <m/>
    <m/>
    <n v="0"/>
    <m/>
    <m/>
  </r>
  <r>
    <n v="4100000259"/>
    <x v="254"/>
    <m/>
    <m/>
    <s v="FAN"/>
    <x v="1"/>
    <s v="Quạt Bàn"/>
    <m/>
    <s v="Xám"/>
    <s v="Discontinued"/>
    <x v="0"/>
    <x v="0"/>
    <m/>
    <m/>
    <m/>
    <m/>
    <m/>
    <m/>
    <m/>
    <m/>
    <m/>
    <m/>
    <m/>
    <m/>
    <n v="0"/>
    <m/>
    <m/>
  </r>
  <r>
    <n v="4200000223"/>
    <x v="255"/>
    <s v="8936008705451"/>
    <m/>
    <s v="FAN"/>
    <x v="1"/>
    <s v="Quạt Bàn"/>
    <m/>
    <s v="Nâu"/>
    <s v="Discontinued"/>
    <x v="1"/>
    <x v="0"/>
    <m/>
    <m/>
    <m/>
    <m/>
    <m/>
    <m/>
    <m/>
    <m/>
    <m/>
    <m/>
    <m/>
    <n v="850000"/>
    <n v="850000"/>
    <m/>
    <m/>
  </r>
  <r>
    <n v="4200000224"/>
    <x v="256"/>
    <s v="8936008705468"/>
    <m/>
    <s v="FAN"/>
    <x v="1"/>
    <s v="Quạt Lửng"/>
    <m/>
    <s v="Nâu"/>
    <s v="Discontinued"/>
    <x v="0"/>
    <x v="0"/>
    <m/>
    <m/>
    <m/>
    <m/>
    <m/>
    <m/>
    <m/>
    <m/>
    <m/>
    <m/>
    <m/>
    <n v="1140000"/>
    <n v="0"/>
    <m/>
    <m/>
  </r>
  <r>
    <n v="4200004453"/>
    <x v="257"/>
    <s v="8936008709565"/>
    <m/>
    <s v="FAN"/>
    <x v="1"/>
    <s v="Quạt Lửng"/>
    <m/>
    <s v="Nâu"/>
    <s v="Discontinued"/>
    <x v="1"/>
    <x v="0"/>
    <m/>
    <m/>
    <m/>
    <m/>
    <m/>
    <m/>
    <m/>
    <m/>
    <s v="EOL"/>
    <m/>
    <m/>
    <n v="1450000"/>
    <n v="1450000"/>
    <m/>
    <m/>
  </r>
  <r>
    <n v="4200000225"/>
    <x v="258"/>
    <s v="8936008705475"/>
    <m/>
    <s v="FAN"/>
    <x v="1"/>
    <s v="Quạt Treo"/>
    <m/>
    <s v="Nâu"/>
    <s v="Discontinued"/>
    <x v="0"/>
    <x v="0"/>
    <m/>
    <m/>
    <m/>
    <m/>
    <m/>
    <m/>
    <m/>
    <m/>
    <m/>
    <m/>
    <m/>
    <n v="1170000"/>
    <n v="0"/>
    <m/>
    <m/>
  </r>
  <r>
    <n v="4200004454"/>
    <x v="259"/>
    <s v="8936008709572"/>
    <m/>
    <s v="FAN"/>
    <x v="1"/>
    <s v="Quạt Treo"/>
    <m/>
    <s v="Nâu"/>
    <s v="Discontinued"/>
    <x v="1"/>
    <x v="0"/>
    <m/>
    <m/>
    <m/>
    <m/>
    <m/>
    <m/>
    <s v="Discontinued"/>
    <m/>
    <s v="EOL"/>
    <m/>
    <m/>
    <n v="1640000"/>
    <n v="1640000"/>
    <m/>
    <m/>
  </r>
  <r>
    <n v="4100000113"/>
    <x v="260"/>
    <s v="3121044101137"/>
    <m/>
    <s v="FAN"/>
    <x v="1"/>
    <s v="Quạt Đứng"/>
    <m/>
    <s v="Nâu"/>
    <s v="Update"/>
    <x v="0"/>
    <x v="0"/>
    <m/>
    <m/>
    <m/>
    <m/>
    <m/>
    <m/>
    <m/>
    <m/>
    <m/>
    <m/>
    <m/>
    <n v="0"/>
    <n v="0"/>
    <m/>
    <m/>
  </r>
  <r>
    <n v="4200000226"/>
    <x v="261"/>
    <s v="8936008705482"/>
    <m/>
    <s v="FAN"/>
    <x v="1"/>
    <s v="Quạt Đứng"/>
    <m/>
    <s v="Nâu"/>
    <s v="Discontinued"/>
    <x v="0"/>
    <x v="0"/>
    <m/>
    <m/>
    <m/>
    <m/>
    <m/>
    <m/>
    <m/>
    <m/>
    <m/>
    <m/>
    <m/>
    <n v="1340000"/>
    <n v="0"/>
    <m/>
    <m/>
  </r>
  <r>
    <n v="4200004455"/>
    <x v="262"/>
    <s v="8936008709589"/>
    <m/>
    <s v="FAN"/>
    <x v="1"/>
    <s v="Quạt Đứng"/>
    <m/>
    <s v="Nâu"/>
    <s v="Discontinued"/>
    <x v="1"/>
    <x v="0"/>
    <m/>
    <m/>
    <m/>
    <m/>
    <m/>
    <m/>
    <m/>
    <m/>
    <s v="EOL"/>
    <m/>
    <m/>
    <n v="1640000"/>
    <n v="1640000"/>
    <m/>
    <m/>
  </r>
  <r>
    <n v="4200004456"/>
    <x v="263"/>
    <s v="8936008709596"/>
    <m/>
    <s v="FAN"/>
    <x v="1"/>
    <s v="Quạt Đứng"/>
    <m/>
    <s v="Nâu"/>
    <s v="Discontinued"/>
    <x v="1"/>
    <x v="0"/>
    <m/>
    <m/>
    <m/>
    <m/>
    <m/>
    <m/>
    <m/>
    <m/>
    <m/>
    <m/>
    <m/>
    <n v="1900000"/>
    <n v="1900000"/>
    <m/>
    <m/>
  </r>
  <r>
    <n v="4200006145"/>
    <x v="264"/>
    <s v="8936008709503"/>
    <m/>
    <s v="FAN"/>
    <x v="1"/>
    <s v="Quạt Lửng"/>
    <m/>
    <m/>
    <s v="To be discontinued"/>
    <x v="0"/>
    <x v="1"/>
    <m/>
    <m/>
    <m/>
    <m/>
    <m/>
    <m/>
    <m/>
    <m/>
    <m/>
    <m/>
    <m/>
    <n v="1545455"/>
    <n v="0"/>
    <m/>
    <m/>
  </r>
  <r>
    <n v="4200006146"/>
    <x v="265"/>
    <s v="8936008709510"/>
    <m/>
    <s v="FAN"/>
    <x v="1"/>
    <s v="Quạt Treo"/>
    <m/>
    <m/>
    <s v="On going"/>
    <x v="0"/>
    <x v="1"/>
    <m/>
    <m/>
    <m/>
    <m/>
    <m/>
    <m/>
    <m/>
    <m/>
    <s v="EOL"/>
    <m/>
    <m/>
    <n v="1363636"/>
    <n v="0"/>
    <m/>
    <m/>
  </r>
  <r>
    <n v="4200006147"/>
    <x v="266"/>
    <s v="8936008709527"/>
    <m/>
    <s v="FAN"/>
    <x v="1"/>
    <s v="Quạt Đứng"/>
    <m/>
    <m/>
    <s v="On going"/>
    <x v="0"/>
    <x v="1"/>
    <m/>
    <m/>
    <m/>
    <m/>
    <m/>
    <m/>
    <m/>
    <m/>
    <m/>
    <m/>
    <m/>
    <n v="1636364"/>
    <n v="0"/>
    <m/>
    <m/>
  </r>
  <r>
    <n v="4200006020"/>
    <x v="267"/>
    <s v="8936008709534"/>
    <m/>
    <s v="FAN"/>
    <x v="1"/>
    <s v="Quạt Đứng"/>
    <m/>
    <s v="Trắng"/>
    <s v="On going"/>
    <x v="0"/>
    <x v="1"/>
    <m/>
    <m/>
    <m/>
    <m/>
    <m/>
    <m/>
    <m/>
    <m/>
    <m/>
    <m/>
    <m/>
    <n v="1909091"/>
    <n v="0"/>
    <m/>
    <m/>
  </r>
  <r>
    <n v="4200000030"/>
    <x v="268"/>
    <s v="8936008700449"/>
    <m/>
    <s v="FAN"/>
    <x v="2"/>
    <s v="Quạt Bàn"/>
    <s v="Table fan"/>
    <s v="Thiên Thanh"/>
    <s v="On going"/>
    <x v="0"/>
    <x v="0"/>
    <m/>
    <m/>
    <m/>
    <m/>
    <m/>
    <m/>
    <m/>
    <s v="On going"/>
    <m/>
    <m/>
    <m/>
    <n v="0"/>
    <n v="280000"/>
    <m/>
    <m/>
  </r>
  <r>
    <n v="4200000031"/>
    <x v="269"/>
    <s v="8936008700456"/>
    <m/>
    <s v="FAN"/>
    <x v="2"/>
    <s v="Quạt Bàn"/>
    <s v="Table fan"/>
    <s v="Xanh Lá"/>
    <s v="Discontinued"/>
    <x v="0"/>
    <x v="0"/>
    <m/>
    <m/>
    <m/>
    <m/>
    <m/>
    <m/>
    <m/>
    <m/>
    <s v="EOL"/>
    <m/>
    <m/>
    <n v="0"/>
    <n v="280000"/>
    <m/>
    <m/>
  </r>
  <r>
    <n v="4200006859"/>
    <x v="270"/>
    <s v="8936008700432"/>
    <m/>
    <s v="FAN"/>
    <x v="2"/>
    <s v="Quạt Bàn"/>
    <s v="Table fan"/>
    <s v="Xám"/>
    <s v="New"/>
    <x v="1"/>
    <x v="0"/>
    <m/>
    <m/>
    <m/>
    <m/>
    <m/>
    <m/>
    <m/>
    <m/>
    <m/>
    <m/>
    <m/>
    <n v="0"/>
    <n v="280000"/>
    <m/>
    <m/>
  </r>
  <r>
    <n v="4200000292"/>
    <x v="271"/>
    <s v="8936008709978"/>
    <m/>
    <s v="FAN"/>
    <x v="2"/>
    <s v="Quạt Bàn"/>
    <s v="Update"/>
    <s v="Đỏ"/>
    <s v="Discontinued"/>
    <x v="0"/>
    <x v="0"/>
    <m/>
    <m/>
    <m/>
    <m/>
    <m/>
    <m/>
    <m/>
    <m/>
    <m/>
    <m/>
    <m/>
    <n v="280000"/>
    <n v="0"/>
    <m/>
    <m/>
  </r>
  <r>
    <n v="4200000298"/>
    <x v="272"/>
    <s v="8936008709978"/>
    <m/>
    <s v="FAN"/>
    <x v="2"/>
    <s v="Quạt Bàn"/>
    <s v="Update"/>
    <s v="Đỏ"/>
    <s v="Discontinued"/>
    <x v="1"/>
    <x v="0"/>
    <m/>
    <m/>
    <m/>
    <m/>
    <m/>
    <m/>
    <m/>
    <m/>
    <m/>
    <m/>
    <m/>
    <n v="280000"/>
    <n v="280000"/>
    <m/>
    <m/>
  </r>
  <r>
    <n v="4200000165"/>
    <x v="273"/>
    <s v="8936008705376"/>
    <m/>
    <s v="FAN"/>
    <x v="2"/>
    <s v="Quạt Bàn"/>
    <s v="Update"/>
    <s v="Xám"/>
    <s v="Discontinued"/>
    <x v="0"/>
    <x v="0"/>
    <m/>
    <m/>
    <m/>
    <m/>
    <m/>
    <m/>
    <m/>
    <m/>
    <m/>
    <m/>
    <m/>
    <n v="300000"/>
    <n v="0"/>
    <m/>
    <m/>
  </r>
  <r>
    <n v="4200000284"/>
    <x v="274"/>
    <s v="8936008705376"/>
    <m/>
    <s v="FAN"/>
    <x v="2"/>
    <s v="Quạt Bàn"/>
    <s v="Update"/>
    <s v="Xám"/>
    <s v="B2B items"/>
    <x v="0"/>
    <x v="0"/>
    <m/>
    <m/>
    <m/>
    <m/>
    <m/>
    <m/>
    <m/>
    <m/>
    <m/>
    <m/>
    <m/>
    <n v="300000"/>
    <n v="0"/>
    <m/>
    <m/>
  </r>
  <r>
    <n v="4200006599"/>
    <x v="275"/>
    <s v="8936008705376"/>
    <m/>
    <s v="FAN"/>
    <x v="2"/>
    <s v="Quạt Bàn"/>
    <s v="Update"/>
    <s v="Xám"/>
    <s v="B2B items"/>
    <x v="0"/>
    <x v="0"/>
    <m/>
    <m/>
    <m/>
    <m/>
    <m/>
    <m/>
    <m/>
    <m/>
    <m/>
    <m/>
    <m/>
    <n v="0"/>
    <n v="0"/>
    <m/>
    <m/>
  </r>
  <r>
    <n v="4200000046"/>
    <x v="276"/>
    <s v="8936008704546"/>
    <m/>
    <s v="FAN"/>
    <x v="2"/>
    <s v="Quạt Bàn"/>
    <s v="Table fan"/>
    <s v="Thiên Thanh"/>
    <s v="On going"/>
    <x v="0"/>
    <x v="0"/>
    <m/>
    <m/>
    <m/>
    <m/>
    <m/>
    <m/>
    <m/>
    <s v="On going"/>
    <s v="EOL"/>
    <m/>
    <m/>
    <n v="438182"/>
    <n v="438182"/>
    <m/>
    <m/>
  </r>
  <r>
    <n v="4200000047"/>
    <x v="277"/>
    <s v="8936008704553"/>
    <m/>
    <s v="FAN"/>
    <x v="2"/>
    <s v="Quạt Bàn"/>
    <s v="Table fan"/>
    <s v="Xanh Lá"/>
    <s v="Discontinued"/>
    <x v="0"/>
    <x v="0"/>
    <m/>
    <m/>
    <m/>
    <m/>
    <m/>
    <m/>
    <m/>
    <m/>
    <m/>
    <m/>
    <m/>
    <n v="438182"/>
    <n v="438182"/>
    <m/>
    <m/>
  </r>
  <r>
    <n v="4200006860"/>
    <x v="278"/>
    <s v="8936008700661"/>
    <m/>
    <s v="FAN"/>
    <x v="2"/>
    <s v="Quạt Bàn"/>
    <s v="Table fan"/>
    <s v="Xám"/>
    <s v="New"/>
    <x v="0"/>
    <x v="0"/>
    <m/>
    <m/>
    <m/>
    <m/>
    <m/>
    <m/>
    <s v="New"/>
    <s v="New"/>
    <s v="On going"/>
    <m/>
    <m/>
    <n v="438182"/>
    <n v="0"/>
    <m/>
    <m/>
  </r>
  <r>
    <n v="4200000250"/>
    <x v="279"/>
    <s v="8936008709787"/>
    <m/>
    <s v="FAN"/>
    <x v="2"/>
    <s v="Quạt Bàn"/>
    <s v="Update"/>
    <s v="Xanh Lam"/>
    <s v="Discontinued"/>
    <x v="0"/>
    <x v="0"/>
    <m/>
    <m/>
    <m/>
    <m/>
    <m/>
    <m/>
    <m/>
    <m/>
    <m/>
    <m/>
    <m/>
    <n v="500000"/>
    <n v="0"/>
    <m/>
    <m/>
  </r>
  <r>
    <n v="4200000246"/>
    <x v="280"/>
    <s v="8936008709770"/>
    <m/>
    <s v="FAN"/>
    <x v="2"/>
    <s v="Quạt Bàn"/>
    <s v="Update"/>
    <s v="Xanh Lá"/>
    <s v="Discontinued"/>
    <x v="1"/>
    <x v="0"/>
    <m/>
    <m/>
    <m/>
    <m/>
    <m/>
    <m/>
    <m/>
    <m/>
    <m/>
    <m/>
    <m/>
    <n v="535455"/>
    <n v="535455"/>
    <m/>
    <m/>
  </r>
  <r>
    <n v="4200000213"/>
    <x v="281"/>
    <s v="8936008709763"/>
    <m/>
    <s v="FAN"/>
    <x v="2"/>
    <s v="Quạt Bàn"/>
    <s v="Update"/>
    <s v="Xám"/>
    <s v="Discontinued"/>
    <x v="0"/>
    <x v="0"/>
    <m/>
    <m/>
    <m/>
    <m/>
    <m/>
    <m/>
    <m/>
    <m/>
    <m/>
    <m/>
    <m/>
    <n v="535455"/>
    <n v="0"/>
    <m/>
    <m/>
  </r>
  <r>
    <n v="4200000217"/>
    <x v="282"/>
    <s v="8936008709886"/>
    <m/>
    <s v="FAN"/>
    <x v="2"/>
    <s v="Quạt Bàn"/>
    <m/>
    <m/>
    <s v="Discontinued"/>
    <x v="1"/>
    <x v="0"/>
    <m/>
    <m/>
    <m/>
    <m/>
    <m/>
    <m/>
    <m/>
    <m/>
    <m/>
    <m/>
    <m/>
    <n v="770000"/>
    <n v="770000"/>
    <m/>
    <m/>
  </r>
  <r>
    <n v="4200000257"/>
    <x v="283"/>
    <s v="8936008700050"/>
    <m/>
    <s v="FAN"/>
    <x v="2"/>
    <s v="Quạt Lửng"/>
    <m/>
    <s v="Lá Mạ"/>
    <s v="Update"/>
    <x v="0"/>
    <x v="0"/>
    <m/>
    <m/>
    <m/>
    <m/>
    <m/>
    <m/>
    <m/>
    <m/>
    <m/>
    <m/>
    <m/>
    <m/>
    <n v="0"/>
    <m/>
    <m/>
  </r>
  <r>
    <n v="4200000258"/>
    <x v="284"/>
    <s v="8936008700081"/>
    <m/>
    <s v="FAN"/>
    <x v="2"/>
    <s v="Quạt Lửng"/>
    <m/>
    <s v="Đỏ"/>
    <s v="Update"/>
    <x v="0"/>
    <x v="0"/>
    <m/>
    <m/>
    <m/>
    <m/>
    <m/>
    <m/>
    <m/>
    <m/>
    <m/>
    <m/>
    <m/>
    <m/>
    <n v="0"/>
    <m/>
    <m/>
  </r>
  <r>
    <n v="4200000289"/>
    <x v="285"/>
    <s v="8936008707431"/>
    <m/>
    <s v="FAN"/>
    <x v="2"/>
    <s v="Quạt Lửng"/>
    <m/>
    <s v="Xám"/>
    <s v="Discontinued"/>
    <x v="0"/>
    <x v="1"/>
    <m/>
    <m/>
    <m/>
    <m/>
    <m/>
    <m/>
    <m/>
    <m/>
    <m/>
    <m/>
    <m/>
    <n v="399091"/>
    <n v="0"/>
    <m/>
    <m/>
  </r>
  <r>
    <n v="4200000013"/>
    <x v="286"/>
    <s v="8936008707547"/>
    <m/>
    <s v="FAN"/>
    <x v="2"/>
    <s v="Quạt Lửng"/>
    <m/>
    <s v="Thiên Thanh"/>
    <s v="Discontinued"/>
    <x v="0"/>
    <x v="1"/>
    <m/>
    <m/>
    <m/>
    <m/>
    <m/>
    <m/>
    <m/>
    <m/>
    <m/>
    <m/>
    <m/>
    <n v="437273"/>
    <n v="0"/>
    <m/>
    <m/>
  </r>
  <r>
    <n v="4200000014"/>
    <x v="287"/>
    <s v="8936008707554"/>
    <m/>
    <s v="FAN"/>
    <x v="2"/>
    <s v="Quạt Lửng"/>
    <m/>
    <s v="Lá Mạ"/>
    <s v="Discontinued"/>
    <x v="0"/>
    <x v="0"/>
    <m/>
    <m/>
    <m/>
    <m/>
    <m/>
    <m/>
    <m/>
    <m/>
    <m/>
    <m/>
    <m/>
    <n v="437273"/>
    <n v="0"/>
    <m/>
    <m/>
  </r>
  <r>
    <n v="4200000016"/>
    <x v="288"/>
    <s v="8936008707448"/>
    <m/>
    <s v="FAN"/>
    <x v="2"/>
    <s v="Quạt Lửng"/>
    <m/>
    <m/>
    <s v="Discontinued"/>
    <x v="0"/>
    <x v="0"/>
    <m/>
    <m/>
    <m/>
    <m/>
    <m/>
    <m/>
    <m/>
    <m/>
    <m/>
    <m/>
    <m/>
    <n v="437273"/>
    <n v="0"/>
    <m/>
    <m/>
  </r>
  <r>
    <n v="4200006547"/>
    <x v="289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n v="0"/>
    <m/>
    <m/>
  </r>
  <r>
    <n v="4200000017"/>
    <x v="290"/>
    <s v="8936008709091"/>
    <m/>
    <s v="FAN"/>
    <x v="2"/>
    <s v="Quạt Lửng"/>
    <s v="Heavy duty"/>
    <s v="Đen"/>
    <s v="On going"/>
    <x v="1"/>
    <x v="0"/>
    <m/>
    <m/>
    <m/>
    <m/>
    <m/>
    <m/>
    <m/>
    <m/>
    <m/>
    <m/>
    <m/>
    <m/>
    <n v="360000"/>
    <m/>
    <m/>
  </r>
  <r>
    <n v="4200006982"/>
    <x v="291"/>
    <s v="8936008709091"/>
    <m/>
    <s v="FAN"/>
    <x v="2"/>
    <s v="Quạt Lửng"/>
    <s v="Heavy duty"/>
    <s v="Đen"/>
    <s v="B2B items"/>
    <x v="1"/>
    <x v="0"/>
    <m/>
    <m/>
    <m/>
    <m/>
    <m/>
    <m/>
    <m/>
    <m/>
    <m/>
    <m/>
    <m/>
    <m/>
    <n v="0"/>
    <m/>
    <m/>
  </r>
  <r>
    <n v="4200007017"/>
    <x v="292"/>
    <m/>
    <m/>
    <s v="FAN"/>
    <x v="2"/>
    <s v="Quạt Lửng"/>
    <s v="Heavy duty"/>
    <s v="Đen"/>
    <s v="B2B items"/>
    <x v="1"/>
    <x v="0"/>
    <m/>
    <m/>
    <m/>
    <m/>
    <m/>
    <m/>
    <m/>
    <m/>
    <m/>
    <m/>
    <m/>
    <m/>
    <n v="0"/>
    <m/>
    <m/>
  </r>
  <r>
    <n v="4200000182"/>
    <x v="293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m/>
    <m/>
    <m/>
  </r>
  <r>
    <n v="4200000183"/>
    <x v="294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m/>
    <m/>
    <m/>
  </r>
  <r>
    <n v="4200003517"/>
    <x v="295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m/>
    <m/>
    <m/>
  </r>
  <r>
    <n v="4200006124"/>
    <x v="296"/>
    <s v="8936008709039"/>
    <m/>
    <s v="FAN"/>
    <x v="2"/>
    <s v="Quạt Lửng"/>
    <s v="Heavy duty"/>
    <s v="Xám"/>
    <s v="Update"/>
    <x v="0"/>
    <x v="0"/>
    <m/>
    <m/>
    <m/>
    <m/>
    <m/>
    <m/>
    <m/>
    <m/>
    <m/>
    <m/>
    <m/>
    <m/>
    <m/>
    <m/>
    <m/>
  </r>
  <r>
    <n v="4200006854"/>
    <x v="297"/>
    <s v="8936008709091"/>
    <m/>
    <s v="FAN"/>
    <x v="2"/>
    <s v="Quạt Lửng"/>
    <s v="Heavy duty"/>
    <s v="Đen"/>
    <s v="New"/>
    <x v="1"/>
    <x v="0"/>
    <m/>
    <m/>
    <m/>
    <m/>
    <m/>
    <m/>
    <m/>
    <m/>
    <m/>
    <m/>
    <m/>
    <m/>
    <n v="360000"/>
    <m/>
    <m/>
  </r>
  <r>
    <n v="4200004511"/>
    <x v="298"/>
    <s v="8936008709695"/>
    <m/>
    <s v="FAN"/>
    <x v="2"/>
    <s v="Quạt Lửng"/>
    <s v="Spring Breeze"/>
    <s v="Đen"/>
    <s v="DMX Exclusive 2017"/>
    <x v="0"/>
    <x v="1"/>
    <m/>
    <m/>
    <m/>
    <m/>
    <m/>
    <m/>
    <m/>
    <m/>
    <s v="On going"/>
    <m/>
    <m/>
    <m/>
    <m/>
    <m/>
    <m/>
  </r>
  <r>
    <n v="4200000020"/>
    <x v="299"/>
    <s v="8936008709626"/>
    <m/>
    <s v="FAN"/>
    <x v="2"/>
    <s v="Quạt Lửng"/>
    <s v="Spring Breeze"/>
    <s v="Xám"/>
    <s v="On going"/>
    <x v="0"/>
    <x v="1"/>
    <m/>
    <s v="On going"/>
    <m/>
    <m/>
    <m/>
    <m/>
    <s v="New"/>
    <s v="On going"/>
    <m/>
    <m/>
    <m/>
    <n v="469091"/>
    <n v="0"/>
    <m/>
    <m/>
  </r>
  <r>
    <n v="4200000294"/>
    <x v="300"/>
    <s v="8936008709961"/>
    <m/>
    <s v="FAN"/>
    <x v="2"/>
    <s v="Quạt Lửng"/>
    <s v="Update"/>
    <s v="Đỏ"/>
    <s v="Discontinued"/>
    <x v="1"/>
    <x v="0"/>
    <m/>
    <m/>
    <m/>
    <m/>
    <m/>
    <m/>
    <m/>
    <m/>
    <m/>
    <m/>
    <m/>
    <n v="369091"/>
    <n v="369091"/>
    <m/>
    <m/>
  </r>
  <r>
    <n v="4200000296"/>
    <x v="301"/>
    <s v="8936008709961"/>
    <m/>
    <s v="FAN"/>
    <x v="2"/>
    <s v="Quạt Lửng"/>
    <s v="Update"/>
    <s v="Đỏ"/>
    <s v="Discontinued"/>
    <x v="0"/>
    <x v="0"/>
    <m/>
    <m/>
    <m/>
    <m/>
    <m/>
    <m/>
    <m/>
    <m/>
    <m/>
    <m/>
    <m/>
    <n v="369091"/>
    <n v="0"/>
    <m/>
    <m/>
  </r>
  <r>
    <n v="4200000218"/>
    <x v="302"/>
    <s v="8936008705352"/>
    <m/>
    <s v="FAN"/>
    <x v="2"/>
    <s v="Quạt Lửng"/>
    <s v="Update"/>
    <s v="Xám"/>
    <s v="Discontinued"/>
    <x v="0"/>
    <x v="0"/>
    <m/>
    <m/>
    <m/>
    <m/>
    <m/>
    <m/>
    <m/>
    <m/>
    <m/>
    <m/>
    <m/>
    <n v="394545"/>
    <n v="0"/>
    <m/>
    <m/>
  </r>
  <r>
    <n v="4200000295"/>
    <x v="303"/>
    <s v="8936008705352"/>
    <m/>
    <s v="FAN"/>
    <x v="2"/>
    <s v="Quạt Lửng"/>
    <s v="Update"/>
    <s v="Xám"/>
    <s v="B2B items"/>
    <x v="0"/>
    <x v="0"/>
    <m/>
    <m/>
    <m/>
    <m/>
    <m/>
    <m/>
    <m/>
    <m/>
    <m/>
    <m/>
    <m/>
    <n v="394545"/>
    <n v="0"/>
    <m/>
    <m/>
  </r>
  <r>
    <n v="4200000245"/>
    <x v="304"/>
    <s v="8936008709749"/>
    <m/>
    <s v="FAN"/>
    <x v="2"/>
    <s v="Quạt Lửng"/>
    <m/>
    <s v="Xanh Lá"/>
    <s v="Discontinued"/>
    <x v="0"/>
    <x v="0"/>
    <m/>
    <m/>
    <m/>
    <m/>
    <m/>
    <m/>
    <m/>
    <m/>
    <m/>
    <m/>
    <m/>
    <n v="679091"/>
    <n v="0"/>
    <m/>
    <m/>
  </r>
  <r>
    <n v="4200000212"/>
    <x v="305"/>
    <s v="8936008709732"/>
    <m/>
    <s v="FAN"/>
    <x v="2"/>
    <s v="Quạt Lửng"/>
    <m/>
    <s v="Xám"/>
    <s v="Discontinued"/>
    <x v="1"/>
    <x v="0"/>
    <m/>
    <m/>
    <m/>
    <m/>
    <m/>
    <m/>
    <m/>
    <m/>
    <m/>
    <m/>
    <m/>
    <n v="679091"/>
    <n v="679091"/>
    <m/>
    <m/>
  </r>
  <r>
    <n v="4200005352"/>
    <x v="306"/>
    <s v="8936008705161"/>
    <m/>
    <s v="FAN"/>
    <x v="2"/>
    <s v="Quạt Lửng"/>
    <s v="Spring Breeze"/>
    <s v="Xanh Lam"/>
    <s v="On going"/>
    <x v="0"/>
    <x v="0"/>
    <m/>
    <m/>
    <m/>
    <m/>
    <m/>
    <m/>
    <m/>
    <m/>
    <m/>
    <m/>
    <m/>
    <n v="0"/>
    <n v="350000"/>
    <m/>
    <m/>
  </r>
  <r>
    <n v="4200005353"/>
    <x v="307"/>
    <s v="8936008705161"/>
    <m/>
    <s v="FAN"/>
    <x v="2"/>
    <s v="Quạt Lửng"/>
    <s v="Spring Breeze"/>
    <s v="Xanh Lam"/>
    <s v="On going"/>
    <x v="0"/>
    <x v="0"/>
    <m/>
    <m/>
    <m/>
    <m/>
    <m/>
    <m/>
    <m/>
    <m/>
    <m/>
    <m/>
    <m/>
    <n v="0"/>
    <n v="350000"/>
    <m/>
    <m/>
  </r>
  <r>
    <n v="4200005502"/>
    <x v="308"/>
    <s v="8936008708407"/>
    <m/>
    <s v="FAN"/>
    <x v="2"/>
    <s v="Quạt Lửng"/>
    <s v="Spring Breeze"/>
    <s v="Xanh Coban"/>
    <s v="Discontinued"/>
    <x v="1"/>
    <x v="0"/>
    <m/>
    <m/>
    <m/>
    <m/>
    <m/>
    <m/>
    <m/>
    <m/>
    <m/>
    <m/>
    <m/>
    <n v="489091"/>
    <n v="489091"/>
    <m/>
    <m/>
  </r>
  <r>
    <n v="4200005503"/>
    <x v="309"/>
    <s v="8936008708414"/>
    <m/>
    <s v="FAN"/>
    <x v="2"/>
    <s v="Quạt Lửng"/>
    <s v="Spring Breeze"/>
    <s v="Xanh Coban"/>
    <s v="Discontinued"/>
    <x v="1"/>
    <x v="0"/>
    <m/>
    <m/>
    <m/>
    <m/>
    <m/>
    <m/>
    <m/>
    <m/>
    <m/>
    <m/>
    <m/>
    <n v="489091"/>
    <n v="489091"/>
    <m/>
    <m/>
  </r>
  <r>
    <n v="4200005355"/>
    <x v="310"/>
    <s v="8936008705185"/>
    <m/>
    <s v="FAN"/>
    <x v="2"/>
    <s v="Quạt Lửng"/>
    <s v="Spring Breeze"/>
    <s v="Chuối Non"/>
    <s v="Discontinued"/>
    <x v="0"/>
    <x v="0"/>
    <m/>
    <m/>
    <m/>
    <m/>
    <m/>
    <m/>
    <m/>
    <m/>
    <m/>
    <m/>
    <m/>
    <n v="0"/>
    <n v="350000"/>
    <m/>
    <m/>
  </r>
  <r>
    <n v="4200005356"/>
    <x v="311"/>
    <s v="8936008705185"/>
    <m/>
    <s v="FAN"/>
    <x v="2"/>
    <s v="Quạt Lửng"/>
    <s v="Spring Breeze"/>
    <s v="Chuối Non"/>
    <s v="Discontinued"/>
    <x v="0"/>
    <x v="0"/>
    <m/>
    <m/>
    <m/>
    <m/>
    <m/>
    <m/>
    <m/>
    <m/>
    <m/>
    <m/>
    <m/>
    <n v="0"/>
    <n v="350000"/>
    <m/>
    <m/>
  </r>
  <r>
    <n v="4200005504"/>
    <x v="312"/>
    <s v="8936008708421"/>
    <m/>
    <s v="FAN"/>
    <x v="2"/>
    <s v="Quạt Lửng"/>
    <s v="Spring Breeze"/>
    <s v="Lá Đậm"/>
    <s v="Discontinued"/>
    <x v="1"/>
    <x v="0"/>
    <m/>
    <m/>
    <m/>
    <m/>
    <m/>
    <m/>
    <m/>
    <m/>
    <m/>
    <m/>
    <m/>
    <n v="489091"/>
    <n v="489091"/>
    <m/>
    <m/>
  </r>
  <r>
    <n v="4200005505"/>
    <x v="313"/>
    <s v="8936008708438"/>
    <m/>
    <s v="FAN"/>
    <x v="2"/>
    <s v="Quạt Lửng"/>
    <s v="Spring Breeze"/>
    <s v="Lá Đậm"/>
    <s v="Discontinued"/>
    <x v="1"/>
    <x v="0"/>
    <m/>
    <m/>
    <m/>
    <m/>
    <m/>
    <m/>
    <m/>
    <m/>
    <m/>
    <m/>
    <m/>
    <n v="489091"/>
    <n v="489091"/>
    <m/>
    <m/>
  </r>
  <r>
    <n v="4200005354"/>
    <x v="314"/>
    <s v="8936008705178"/>
    <m/>
    <s v="FAN"/>
    <x v="2"/>
    <s v="Quạt Lửng"/>
    <s v="Spring Breeze"/>
    <s v="Trắng xanh"/>
    <s v="Discontinued"/>
    <x v="1"/>
    <x v="0"/>
    <m/>
    <m/>
    <m/>
    <m/>
    <m/>
    <m/>
    <m/>
    <m/>
    <m/>
    <m/>
    <m/>
    <n v="0"/>
    <n v="350000"/>
    <m/>
    <m/>
  </r>
  <r>
    <n v="4200006855"/>
    <x v="315"/>
    <s v="8936008700579"/>
    <m/>
    <s v="FAN"/>
    <x v="2"/>
    <s v="Quạt Lửng"/>
    <s v="Spring Breeze"/>
    <s v="Xám"/>
    <s v="New"/>
    <x v="1"/>
    <x v="0"/>
    <m/>
    <m/>
    <m/>
    <m/>
    <m/>
    <m/>
    <m/>
    <m/>
    <m/>
    <m/>
    <m/>
    <n v="0"/>
    <n v="350000"/>
    <m/>
    <m/>
  </r>
  <r>
    <n v="4200005358"/>
    <x v="316"/>
    <s v="8936008707530"/>
    <m/>
    <s v="FAN"/>
    <x v="2"/>
    <s v="Quạt Lửng"/>
    <m/>
    <s v="Blue Cham"/>
    <s v="On going"/>
    <x v="0"/>
    <x v="1"/>
    <m/>
    <m/>
    <m/>
    <m/>
    <m/>
    <m/>
    <s v="On going"/>
    <s v="On going"/>
    <m/>
    <m/>
    <m/>
    <n v="516364"/>
    <n v="0"/>
    <m/>
    <m/>
  </r>
  <r>
    <n v="4200005850"/>
    <x v="317"/>
    <s v="8936008707578"/>
    <m/>
    <s v="FAN"/>
    <x v="2"/>
    <s v="Quạt Lửng"/>
    <m/>
    <s v="Blue Cham"/>
    <s v="Discontinued"/>
    <x v="0"/>
    <x v="0"/>
    <m/>
    <m/>
    <m/>
    <m/>
    <m/>
    <m/>
    <m/>
    <m/>
    <m/>
    <m/>
    <m/>
    <n v="0"/>
    <n v="0"/>
    <m/>
    <m/>
  </r>
  <r>
    <n v="4200005359"/>
    <x v="318"/>
    <s v="8936008707561"/>
    <m/>
    <s v="FAN"/>
    <x v="2"/>
    <s v="Quạt Lửng"/>
    <m/>
    <s v="Green Dalat"/>
    <s v="Discontinued"/>
    <x v="0"/>
    <x v="1"/>
    <m/>
    <m/>
    <m/>
    <m/>
    <m/>
    <m/>
    <m/>
    <s v="Discontinued"/>
    <s v="On going"/>
    <m/>
    <m/>
    <n v="516364"/>
    <n v="0"/>
    <m/>
    <m/>
  </r>
  <r>
    <n v="4200006856"/>
    <x v="319"/>
    <s v="8936008700586"/>
    <m/>
    <s v="FAN"/>
    <x v="2"/>
    <s v="Quạt Lửng"/>
    <m/>
    <m/>
    <s v="New"/>
    <x v="0"/>
    <x v="0"/>
    <m/>
    <m/>
    <m/>
    <m/>
    <m/>
    <m/>
    <m/>
    <s v="New"/>
    <s v="On going"/>
    <m/>
    <m/>
    <n v="516364"/>
    <n v="0"/>
    <m/>
    <m/>
  </r>
  <r>
    <n v="4200006163"/>
    <x v="320"/>
    <s v="8936008708988"/>
    <m/>
    <s v="FAN"/>
    <x v="2"/>
    <s v="Quạt Lửng"/>
    <s v="Xtra Power &amp; Clear"/>
    <s v="Đen"/>
    <s v="Discontinued"/>
    <x v="0"/>
    <x v="0"/>
    <m/>
    <m/>
    <m/>
    <m/>
    <m/>
    <m/>
    <s v="Discontinued"/>
    <s v="Discontinued"/>
    <m/>
    <m/>
    <m/>
    <n v="659091"/>
    <n v="659091"/>
    <m/>
    <m/>
  </r>
  <r>
    <n v="4200006857"/>
    <x v="321"/>
    <s v="8936008700494"/>
    <m/>
    <s v="FAN"/>
    <x v="2"/>
    <s v="Quạt Lửng"/>
    <s v="Xtra Power &amp; Clear"/>
    <s v="Xám"/>
    <s v="New"/>
    <x v="0"/>
    <x v="0"/>
    <m/>
    <m/>
    <m/>
    <m/>
    <m/>
    <m/>
    <m/>
    <s v="New"/>
    <m/>
    <m/>
    <m/>
    <n v="659091"/>
    <n v="0"/>
    <m/>
    <m/>
  </r>
  <r>
    <n v="4200006160"/>
    <x v="322"/>
    <s v="8936008708889"/>
    <m/>
    <s v="FAN"/>
    <x v="2"/>
    <s v="Quạt Lửng"/>
    <s v="Xtra Power &amp; Clear Anti-Mosquito"/>
    <s v="Đen"/>
    <s v="Discontinued"/>
    <x v="0"/>
    <x v="1"/>
    <m/>
    <m/>
    <m/>
    <m/>
    <m/>
    <m/>
    <m/>
    <s v="Discontinued"/>
    <s v="EOL"/>
    <m/>
    <m/>
    <n v="772727"/>
    <n v="0"/>
    <m/>
    <m/>
  </r>
  <r>
    <n v="4200006858"/>
    <x v="323"/>
    <s v="8936008700531"/>
    <m/>
    <s v="FAN"/>
    <x v="2"/>
    <s v="Quạt Lửng"/>
    <s v="Xtra Power &amp; Clear Anti-Mosquito"/>
    <s v="Xám"/>
    <s v="New"/>
    <x v="0"/>
    <x v="0"/>
    <m/>
    <m/>
    <m/>
    <m/>
    <m/>
    <m/>
    <m/>
    <s v="New"/>
    <s v="On going"/>
    <m/>
    <m/>
    <n v="772727"/>
    <n v="0"/>
    <m/>
    <m/>
  </r>
  <r>
    <n v="4200000070"/>
    <x v="324"/>
    <s v="8936008709121"/>
    <m/>
    <s v="FAN"/>
    <x v="2"/>
    <s v="Quạt Đứng"/>
    <m/>
    <s v="Xám"/>
    <s v="Discontinued"/>
    <x v="0"/>
    <x v="0"/>
    <m/>
    <m/>
    <m/>
    <m/>
    <m/>
    <m/>
    <m/>
    <m/>
    <m/>
    <m/>
    <m/>
    <m/>
    <m/>
    <m/>
    <m/>
  </r>
  <r>
    <n v="4200000071"/>
    <x v="325"/>
    <s v="8936008709343"/>
    <m/>
    <s v="FAN"/>
    <x v="2"/>
    <s v="Quạt Đứng"/>
    <m/>
    <m/>
    <s v="Discontinued"/>
    <x v="0"/>
    <x v="0"/>
    <m/>
    <m/>
    <m/>
    <m/>
    <m/>
    <m/>
    <m/>
    <m/>
    <m/>
    <m/>
    <m/>
    <n v="598182"/>
    <n v="0"/>
    <m/>
    <m/>
  </r>
  <r>
    <n v="4200000075"/>
    <x v="326"/>
    <s v="8936008709459"/>
    <m/>
    <s v="FAN"/>
    <x v="2"/>
    <s v="Quạt Đứng"/>
    <m/>
    <s v="Green"/>
    <s v="Discontinued"/>
    <x v="1"/>
    <x v="0"/>
    <m/>
    <m/>
    <m/>
    <m/>
    <m/>
    <m/>
    <m/>
    <m/>
    <m/>
    <m/>
    <m/>
    <n v="551818"/>
    <n v="551818"/>
    <m/>
    <m/>
  </r>
  <r>
    <n v="4200000077"/>
    <x v="327"/>
    <s v="8936008700227"/>
    <m/>
    <s v="FAN"/>
    <x v="2"/>
    <s v="Quạt Đứng"/>
    <m/>
    <s v="Đen"/>
    <s v="Discontinued"/>
    <x v="0"/>
    <x v="0"/>
    <m/>
    <m/>
    <m/>
    <m/>
    <m/>
    <m/>
    <m/>
    <m/>
    <m/>
    <m/>
    <m/>
    <n v="1648182"/>
    <n v="0"/>
    <m/>
    <m/>
  </r>
  <r>
    <n v="4200000079"/>
    <x v="328"/>
    <s v="8936008700098"/>
    <m/>
    <s v="FAN"/>
    <x v="2"/>
    <s v="Quạt Đứng"/>
    <m/>
    <s v="Grey"/>
    <s v="Discontinued"/>
    <x v="1"/>
    <x v="0"/>
    <m/>
    <m/>
    <m/>
    <m/>
    <m/>
    <m/>
    <m/>
    <m/>
    <m/>
    <m/>
    <m/>
    <n v="948182"/>
    <n v="948182"/>
    <m/>
    <m/>
  </r>
  <r>
    <n v="4200000166"/>
    <x v="329"/>
    <s v="8936008705345"/>
    <m/>
    <s v="FAN"/>
    <x v="2"/>
    <s v="Quạt Đứng"/>
    <m/>
    <s v="Đen"/>
    <s v="Discontinued"/>
    <x v="1"/>
    <x v="0"/>
    <m/>
    <m/>
    <m/>
    <m/>
    <m/>
    <m/>
    <m/>
    <m/>
    <m/>
    <m/>
    <m/>
    <n v="683636"/>
    <n v="683636"/>
    <m/>
    <m/>
  </r>
  <r>
    <n v="4200000252"/>
    <x v="330"/>
    <s v="8936008709848"/>
    <m/>
    <s v="FAN"/>
    <x v="2"/>
    <s v="Quạt Đứng"/>
    <m/>
    <m/>
    <s v="Discontinued"/>
    <x v="1"/>
    <x v="0"/>
    <m/>
    <m/>
    <m/>
    <m/>
    <m/>
    <m/>
    <m/>
    <m/>
    <m/>
    <m/>
    <m/>
    <n v="850000"/>
    <n v="850000"/>
    <m/>
    <m/>
  </r>
  <r>
    <n v="4200000248"/>
    <x v="331"/>
    <s v="8936008709831"/>
    <m/>
    <s v="FAN"/>
    <x v="2"/>
    <s v="Quạt Đứng"/>
    <m/>
    <s v="Green"/>
    <s v="Discontinued"/>
    <x v="1"/>
    <x v="0"/>
    <m/>
    <m/>
    <m/>
    <m/>
    <m/>
    <m/>
    <m/>
    <m/>
    <m/>
    <m/>
    <m/>
    <n v="850000"/>
    <n v="850000"/>
    <m/>
    <m/>
  </r>
  <r>
    <n v="4200005360"/>
    <x v="332"/>
    <s v="8936008709435"/>
    <m/>
    <s v="FAN"/>
    <x v="2"/>
    <s v="Quạt Đứng"/>
    <m/>
    <s v="Xanh lam"/>
    <s v="Update"/>
    <x v="0"/>
    <x v="0"/>
    <m/>
    <m/>
    <m/>
    <m/>
    <m/>
    <m/>
    <m/>
    <m/>
    <s v="EOL"/>
    <m/>
    <m/>
    <m/>
    <m/>
    <m/>
    <m/>
  </r>
  <r>
    <n v="4200005506"/>
    <x v="333"/>
    <s v="8936008708445"/>
    <m/>
    <s v="FAN"/>
    <x v="2"/>
    <s v="Quạt Đứng"/>
    <m/>
    <s v="Blue Halong"/>
    <s v="Discontinued"/>
    <x v="0"/>
    <x v="0"/>
    <m/>
    <m/>
    <m/>
    <m/>
    <m/>
    <m/>
    <m/>
    <m/>
    <m/>
    <m/>
    <m/>
    <n v="647273"/>
    <n v="0"/>
    <m/>
    <m/>
  </r>
  <r>
    <n v="4200005362"/>
    <x v="334"/>
    <s v="8936008709473"/>
    <m/>
    <s v="FAN"/>
    <x v="2"/>
    <s v="Quạt Đứng"/>
    <m/>
    <s v="Green Dalat"/>
    <s v="Discontinued"/>
    <x v="0"/>
    <x v="1"/>
    <m/>
    <m/>
    <m/>
    <m/>
    <m/>
    <m/>
    <m/>
    <m/>
    <m/>
    <m/>
    <m/>
    <n v="647273"/>
    <n v="0"/>
    <m/>
    <m/>
  </r>
  <r>
    <n v="4200005507"/>
    <x v="335"/>
    <s v="8936008708452"/>
    <m/>
    <s v="FAN"/>
    <x v="2"/>
    <s v="Quạt Đứng"/>
    <m/>
    <s v="Green Shamrock"/>
    <s v="Discontinued"/>
    <x v="0"/>
    <x v="0"/>
    <m/>
    <m/>
    <m/>
    <m/>
    <m/>
    <m/>
    <m/>
    <m/>
    <m/>
    <m/>
    <m/>
    <n v="647273"/>
    <n v="0"/>
    <m/>
    <m/>
  </r>
  <r>
    <n v="4200005361"/>
    <x v="336"/>
    <s v="8936008709404"/>
    <m/>
    <s v="FAN"/>
    <x v="2"/>
    <s v="Quạt Đứng"/>
    <m/>
    <s v="White"/>
    <s v="Discontinued"/>
    <x v="0"/>
    <x v="0"/>
    <m/>
    <m/>
    <m/>
    <m/>
    <m/>
    <m/>
    <m/>
    <m/>
    <m/>
    <m/>
    <m/>
    <n v="647273"/>
    <n v="0"/>
    <m/>
    <m/>
  </r>
  <r>
    <n v="4200005370"/>
    <x v="337"/>
    <s v="8936008709114"/>
    <m/>
    <s v="FAN"/>
    <x v="2"/>
    <s v="Quạt Đứng"/>
    <m/>
    <s v="Đen"/>
    <s v="Discontinued"/>
    <x v="1"/>
    <x v="0"/>
    <m/>
    <m/>
    <m/>
    <m/>
    <m/>
    <m/>
    <m/>
    <m/>
    <m/>
    <m/>
    <m/>
    <n v="1611818"/>
    <n v="1611818"/>
    <m/>
    <m/>
  </r>
  <r>
    <n v="4200005514"/>
    <x v="338"/>
    <s v="8936008708544"/>
    <m/>
    <s v="FAN"/>
    <x v="2"/>
    <s v="Quạt Đứng"/>
    <m/>
    <s v="White"/>
    <s v="Discontinued"/>
    <x v="0"/>
    <x v="0"/>
    <m/>
    <m/>
    <m/>
    <m/>
    <m/>
    <m/>
    <m/>
    <m/>
    <m/>
    <m/>
    <m/>
    <n v="1611818"/>
    <n v="0"/>
    <m/>
    <m/>
  </r>
  <r>
    <n v="4200005374"/>
    <x v="339"/>
    <s v="8936008709688"/>
    <m/>
    <s v="FAN"/>
    <x v="2"/>
    <s v="Quạt Đứng"/>
    <s v="Update"/>
    <s v="Đen"/>
    <s v="Discontinued"/>
    <x v="0"/>
    <x v="0"/>
    <m/>
    <m/>
    <m/>
    <m/>
    <m/>
    <m/>
    <m/>
    <m/>
    <m/>
    <m/>
    <m/>
    <m/>
    <m/>
    <m/>
    <m/>
  </r>
  <r>
    <n v="4200005866"/>
    <x v="340"/>
    <s v="8936008709220"/>
    <m/>
    <s v="FAN"/>
    <x v="2"/>
    <s v="Quạt Đứng"/>
    <s v="Power"/>
    <s v="Xanh lam"/>
    <s v="Discontinued"/>
    <x v="0"/>
    <x v="0"/>
    <m/>
    <m/>
    <m/>
    <m/>
    <m/>
    <m/>
    <m/>
    <m/>
    <m/>
    <m/>
    <m/>
    <n v="500000"/>
    <n v="500000"/>
    <m/>
    <m/>
  </r>
  <r>
    <n v="4200005865"/>
    <x v="341"/>
    <s v="8936008709213"/>
    <m/>
    <s v="FAN"/>
    <x v="2"/>
    <s v="Quạt Đứng"/>
    <s v="Power"/>
    <s v="Xanh Lá"/>
    <s v="Discontinued"/>
    <x v="0"/>
    <x v="0"/>
    <m/>
    <m/>
    <m/>
    <m/>
    <m/>
    <m/>
    <m/>
    <m/>
    <m/>
    <m/>
    <m/>
    <n v="500000"/>
    <n v="500000"/>
    <m/>
    <m/>
  </r>
  <r>
    <n v="4200006861"/>
    <x v="342"/>
    <s v="8936008700678"/>
    <m/>
    <s v="FAN"/>
    <x v="2"/>
    <s v="Quạt Đứng"/>
    <s v="Power"/>
    <s v="Xám"/>
    <s v="New"/>
    <x v="0"/>
    <x v="0"/>
    <m/>
    <m/>
    <m/>
    <m/>
    <m/>
    <m/>
    <s v="New"/>
    <s v="New"/>
    <m/>
    <m/>
    <m/>
    <n v="545455"/>
    <n v="0"/>
    <m/>
    <m/>
  </r>
  <r>
    <n v="4200006162"/>
    <x v="343"/>
    <s v="8936008708834"/>
    <m/>
    <s v="FAN"/>
    <x v="2"/>
    <s v="Quạt Đứng"/>
    <s v="Update"/>
    <s v="Đen"/>
    <s v="Discontinued"/>
    <x v="0"/>
    <x v="0"/>
    <m/>
    <m/>
    <m/>
    <m/>
    <m/>
    <m/>
    <m/>
    <m/>
    <s v="EOL"/>
    <m/>
    <m/>
    <n v="772727"/>
    <n v="772727"/>
    <m/>
    <m/>
  </r>
  <r>
    <n v="4200005876"/>
    <x v="344"/>
    <s v="8936008709367"/>
    <m/>
    <s v="FAN"/>
    <x v="2"/>
    <s v="Quạt Đứng"/>
    <s v="Update"/>
    <s v="Xanh lam"/>
    <s v="Discontinued"/>
    <x v="0"/>
    <x v="1"/>
    <m/>
    <m/>
    <m/>
    <m/>
    <m/>
    <m/>
    <m/>
    <m/>
    <m/>
    <m/>
    <m/>
    <n v="1090909"/>
    <n v="0"/>
    <m/>
    <m/>
  </r>
  <r>
    <n v="4200005877"/>
    <x v="345"/>
    <s v="8936008709374"/>
    <m/>
    <s v="FAN"/>
    <x v="2"/>
    <s v="Quạt Đứng"/>
    <s v="Update"/>
    <s v="Đen"/>
    <s v="Discontinued"/>
    <x v="0"/>
    <x v="1"/>
    <m/>
    <m/>
    <m/>
    <m/>
    <m/>
    <m/>
    <m/>
    <s v="Discontinued"/>
    <m/>
    <m/>
    <m/>
    <n v="1090909"/>
    <n v="0"/>
    <m/>
    <m/>
  </r>
  <r>
    <n v="4200005875"/>
    <x v="346"/>
    <s v="8936008709336"/>
    <m/>
    <s v="FAN"/>
    <x v="2"/>
    <s v="Quạt Đứng"/>
    <s v="Update"/>
    <s v="Xanh Lá"/>
    <s v="Discontinued"/>
    <x v="0"/>
    <x v="1"/>
    <m/>
    <m/>
    <m/>
    <m/>
    <m/>
    <m/>
    <m/>
    <m/>
    <m/>
    <m/>
    <m/>
    <n v="1090909"/>
    <n v="0"/>
    <m/>
    <m/>
  </r>
  <r>
    <n v="4200005972"/>
    <x v="347"/>
    <s v="8936008700630"/>
    <m/>
    <s v="FAN"/>
    <x v="2"/>
    <s v="Quạt Đứng"/>
    <s v="Update"/>
    <s v="Đen"/>
    <s v="Discontinued"/>
    <x v="0"/>
    <x v="1"/>
    <m/>
    <m/>
    <m/>
    <m/>
    <m/>
    <m/>
    <s v="Discontinued"/>
    <s v="Discontinued"/>
    <s v="EOL"/>
    <m/>
    <m/>
    <n v="1727273"/>
    <n v="0"/>
    <m/>
    <m/>
  </r>
  <r>
    <n v="4200006158"/>
    <x v="348"/>
    <s v="8936008708865"/>
    <m/>
    <s v="FAN"/>
    <x v="2"/>
    <s v="Quạt Đứng"/>
    <s v="Power Anti-Mosquito"/>
    <s v="Xanh Lam"/>
    <s v="On going"/>
    <x v="0"/>
    <x v="0"/>
    <m/>
    <m/>
    <m/>
    <m/>
    <m/>
    <m/>
    <m/>
    <m/>
    <m/>
    <m/>
    <m/>
    <n v="636364"/>
    <n v="499090"/>
    <m/>
    <m/>
  </r>
  <r>
    <n v="4200006159"/>
    <x v="349"/>
    <s v="8936008708872"/>
    <m/>
    <s v="FAN"/>
    <x v="2"/>
    <s v="Quạt Đứng"/>
    <s v="Power Anti-Mosquito"/>
    <s v="Xanh Lá"/>
    <s v="Discontinued"/>
    <x v="0"/>
    <x v="0"/>
    <m/>
    <m/>
    <m/>
    <m/>
    <m/>
    <m/>
    <m/>
    <m/>
    <m/>
    <m/>
    <m/>
    <n v="0"/>
    <n v="499090"/>
    <m/>
    <m/>
  </r>
  <r>
    <n v="4200006862"/>
    <x v="350"/>
    <s v="8936008700685"/>
    <m/>
    <s v="FAN"/>
    <x v="2"/>
    <s v="Quạt Đứng"/>
    <s v="Power Anti-Mosquito"/>
    <s v="Xám"/>
    <s v="New"/>
    <x v="1"/>
    <x v="0"/>
    <m/>
    <m/>
    <m/>
    <m/>
    <m/>
    <m/>
    <m/>
    <m/>
    <m/>
    <m/>
    <m/>
    <n v="499091"/>
    <n v="499091"/>
    <m/>
    <m/>
  </r>
  <r>
    <n v="4200006161"/>
    <x v="351"/>
    <s v="8936008708933"/>
    <m/>
    <s v="FAN"/>
    <x v="2"/>
    <s v="Quạt Đứng"/>
    <s v="X-Tra Power&amp;Clear Anti-Mosquito"/>
    <s v="Đen"/>
    <s v="Discontinued"/>
    <x v="0"/>
    <x v="1"/>
    <m/>
    <m/>
    <m/>
    <m/>
    <m/>
    <m/>
    <s v="Discontinued"/>
    <s v="Discontinued"/>
    <s v="EOL"/>
    <m/>
    <m/>
    <n v="900000"/>
    <n v="0"/>
    <m/>
    <m/>
  </r>
  <r>
    <n v="4200006863"/>
    <x v="352"/>
    <s v="8936008700692"/>
    <m/>
    <s v="FAN"/>
    <x v="2"/>
    <s v="Quạt Đứng"/>
    <s v="X-Tra Power&amp;Clear Anti-Mosquito"/>
    <s v="Xám"/>
    <s v="New"/>
    <x v="0"/>
    <x v="0"/>
    <m/>
    <m/>
    <m/>
    <m/>
    <m/>
    <m/>
    <m/>
    <s v="New"/>
    <s v="On going"/>
    <m/>
    <m/>
    <n v="900000"/>
    <n v="0"/>
    <m/>
    <m/>
  </r>
  <r>
    <n v="4200006870"/>
    <x v="353"/>
    <s v="8936008700876"/>
    <m/>
    <s v="FAN"/>
    <x v="2"/>
    <s v="Quạt Đứng"/>
    <s v="Essential"/>
    <s v="Trắng"/>
    <s v="New"/>
    <x v="0"/>
    <x v="0"/>
    <m/>
    <m/>
    <m/>
    <m/>
    <m/>
    <m/>
    <m/>
    <s v="New"/>
    <s v="New"/>
    <m/>
    <m/>
    <n v="817273"/>
    <n v="0"/>
    <m/>
    <m/>
  </r>
  <r>
    <n v="4200006852"/>
    <x v="354"/>
    <s v="8936008700463"/>
    <m/>
    <s v="FAN"/>
    <x v="2"/>
    <s v="Quạt Đứng"/>
    <s v="Essential"/>
    <s v="Xám"/>
    <s v="New"/>
    <x v="1"/>
    <x v="0"/>
    <m/>
    <m/>
    <m/>
    <m/>
    <m/>
    <m/>
    <m/>
    <m/>
    <m/>
    <m/>
    <m/>
    <n v="0"/>
    <n v="726364"/>
    <m/>
    <m/>
  </r>
  <r>
    <n v="4200006969"/>
    <x v="355"/>
    <s v="8936008700937"/>
    <m/>
    <s v="FAN"/>
    <x v="2"/>
    <s v="Quạt Đứng"/>
    <s v="Essential"/>
    <s v="Trắng"/>
    <s v="New"/>
    <x v="0"/>
    <x v="0"/>
    <m/>
    <m/>
    <m/>
    <m/>
    <m/>
    <m/>
    <m/>
    <s v="New"/>
    <s v="New"/>
    <m/>
    <m/>
    <n v="1081818"/>
    <n v="0"/>
    <m/>
    <m/>
  </r>
  <r>
    <n v="4200006853"/>
    <x v="356"/>
    <s v="8936008700470"/>
    <m/>
    <s v="FAN"/>
    <x v="2"/>
    <s v="Quạt Đứng"/>
    <s v="Essential"/>
    <s v="Xám"/>
    <s v="New"/>
    <x v="1"/>
    <x v="0"/>
    <m/>
    <m/>
    <m/>
    <m/>
    <m/>
    <m/>
    <m/>
    <m/>
    <m/>
    <m/>
    <m/>
    <n v="0"/>
    <n v="1081818"/>
    <m/>
    <m/>
  </r>
  <r>
    <n v="4200000193"/>
    <x v="357"/>
    <s v="8936008701590"/>
    <m/>
    <s v="FAN"/>
    <x v="2"/>
    <s v="Quạt Đứng"/>
    <s v="Heavy duty"/>
    <m/>
    <s v="Update"/>
    <x v="0"/>
    <x v="0"/>
    <m/>
    <m/>
    <m/>
    <m/>
    <m/>
    <m/>
    <m/>
    <m/>
    <m/>
    <m/>
    <m/>
    <n v="0"/>
    <n v="0"/>
    <m/>
    <m/>
  </r>
  <r>
    <n v="4200000081"/>
    <x v="358"/>
    <s v="8936008701590"/>
    <m/>
    <s v="FAN"/>
    <x v="2"/>
    <s v="Quạt Đứng"/>
    <s v="Heavy duty"/>
    <s v="Đen"/>
    <s v="On going"/>
    <x v="1"/>
    <x v="0"/>
    <m/>
    <m/>
    <m/>
    <m/>
    <m/>
    <m/>
    <m/>
    <m/>
    <m/>
    <m/>
    <m/>
    <n v="0"/>
    <n v="410000"/>
    <m/>
    <m/>
  </r>
  <r>
    <n v="4200007010"/>
    <x v="359"/>
    <s v="8936008701521"/>
    <m/>
    <s v="FAN"/>
    <x v="2"/>
    <s v="Quạt Đứng"/>
    <s v="Heavy duty"/>
    <s v="Đen"/>
    <s v="On going"/>
    <x v="1"/>
    <x v="0"/>
    <m/>
    <m/>
    <m/>
    <m/>
    <m/>
    <m/>
    <m/>
    <m/>
    <m/>
    <m/>
    <m/>
    <m/>
    <n v="0"/>
    <m/>
    <m/>
  </r>
  <r>
    <n v="4200006864"/>
    <x v="360"/>
    <s v="8936008701590"/>
    <m/>
    <s v="FAN"/>
    <x v="2"/>
    <s v="Quạt Đứng"/>
    <s v="Heavy duty"/>
    <m/>
    <s v="New"/>
    <x v="1"/>
    <x v="0"/>
    <m/>
    <m/>
    <m/>
    <m/>
    <m/>
    <m/>
    <m/>
    <m/>
    <m/>
    <m/>
    <m/>
    <n v="0"/>
    <n v="410000"/>
    <m/>
    <m/>
  </r>
  <r>
    <n v="4200000254"/>
    <x v="361"/>
    <s v="8936008700272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5964"/>
    <x v="362"/>
    <s v="8936008700272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6708"/>
    <x v="363"/>
    <s v="8936008700272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0084"/>
    <x v="364"/>
    <s v="8936008700395"/>
    <m/>
    <s v="FAN"/>
    <x v="2"/>
    <s v="Quạt Đứng"/>
    <m/>
    <m/>
    <s v="Discontinued"/>
    <x v="0"/>
    <x v="0"/>
    <m/>
    <m/>
    <m/>
    <m/>
    <m/>
    <m/>
    <m/>
    <m/>
    <m/>
    <m/>
    <m/>
    <n v="489091"/>
    <n v="0"/>
    <m/>
    <m/>
  </r>
  <r>
    <n v="4200006871"/>
    <x v="365"/>
    <s v="8936008700883"/>
    <m/>
    <s v="FAN"/>
    <x v="2"/>
    <s v="Quạt Đứng"/>
    <m/>
    <m/>
    <s v="New"/>
    <x v="0"/>
    <x v="0"/>
    <m/>
    <m/>
    <m/>
    <m/>
    <m/>
    <m/>
    <m/>
    <m/>
    <s v="On going"/>
    <m/>
    <m/>
    <n v="0"/>
    <n v="0"/>
    <m/>
    <m/>
  </r>
  <r>
    <n v="4200000208"/>
    <x v="366"/>
    <s v="8936008709725"/>
    <m/>
    <s v="FAN"/>
    <x v="2"/>
    <s v="Quạt Đứng"/>
    <m/>
    <m/>
    <s v="Discontinued"/>
    <x v="1"/>
    <x v="0"/>
    <m/>
    <m/>
    <m/>
    <m/>
    <m/>
    <m/>
    <m/>
    <m/>
    <m/>
    <m/>
    <m/>
    <n v="610000"/>
    <n v="610000"/>
    <m/>
    <m/>
  </r>
  <r>
    <n v="4200000276"/>
    <x v="367"/>
    <s v="8936008709725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4916"/>
    <x v="368"/>
    <s v="8936008701187"/>
    <m/>
    <s v="FAN"/>
    <x v="2"/>
    <s v="Quạt Đứng"/>
    <s v="Update"/>
    <s v="Đen"/>
    <s v="Update"/>
    <x v="0"/>
    <x v="0"/>
    <m/>
    <m/>
    <m/>
    <m/>
    <m/>
    <m/>
    <m/>
    <m/>
    <m/>
    <m/>
    <m/>
    <n v="0"/>
    <m/>
    <m/>
    <m/>
  </r>
  <r>
    <n v="4200000087"/>
    <x v="369"/>
    <s v="8936008700104"/>
    <m/>
    <s v="FAN"/>
    <x v="2"/>
    <s v="Quạt Đứng"/>
    <s v="Heavy duty"/>
    <s v="Đen"/>
    <s v="On going"/>
    <x v="0"/>
    <x v="0"/>
    <m/>
    <m/>
    <m/>
    <m/>
    <m/>
    <m/>
    <m/>
    <m/>
    <m/>
    <m/>
    <m/>
    <n v="661818"/>
    <n v="661818"/>
    <m/>
    <m/>
  </r>
  <r>
    <n v="4200007024"/>
    <x v="370"/>
    <m/>
    <m/>
    <s v="FAN"/>
    <x v="2"/>
    <s v="Quạt Đứng"/>
    <s v="Heavy duty"/>
    <s v="Đen"/>
    <s v="Update"/>
    <x v="0"/>
    <x v="0"/>
    <m/>
    <m/>
    <m/>
    <m/>
    <m/>
    <m/>
    <m/>
    <m/>
    <m/>
    <m/>
    <m/>
    <m/>
    <n v="0"/>
    <m/>
    <m/>
  </r>
  <r>
    <n v="4200000312"/>
    <x v="371"/>
    <s v="8936008701293"/>
    <m/>
    <s v="FAN"/>
    <x v="2"/>
    <s v="Quạt Đứng"/>
    <s v="Heavy duty"/>
    <s v="Đen"/>
    <s v="Update"/>
    <x v="0"/>
    <x v="0"/>
    <m/>
    <m/>
    <m/>
    <m/>
    <m/>
    <m/>
    <m/>
    <m/>
    <m/>
    <m/>
    <m/>
    <n v="0"/>
    <n v="0"/>
    <m/>
    <m/>
  </r>
  <r>
    <n v="4200000088"/>
    <x v="372"/>
    <s v="8936008701293"/>
    <m/>
    <s v="FAN"/>
    <x v="2"/>
    <s v="Quạt Đứng"/>
    <s v="Heavy duty"/>
    <s v="Đen"/>
    <s v="On going"/>
    <x v="1"/>
    <x v="0"/>
    <m/>
    <m/>
    <m/>
    <m/>
    <m/>
    <m/>
    <m/>
    <m/>
    <m/>
    <m/>
    <m/>
    <n v="1510909"/>
    <n v="1510909"/>
    <m/>
    <m/>
  </r>
  <r>
    <n v="4200000125"/>
    <x v="373"/>
    <s v="8936008702641"/>
    <m/>
    <s v="FAN"/>
    <x v="2"/>
    <s v="Quạt Treo"/>
    <m/>
    <s v="Thiên Thanh"/>
    <s v="Discontinued"/>
    <x v="1"/>
    <x v="0"/>
    <m/>
    <m/>
    <m/>
    <m/>
    <m/>
    <m/>
    <m/>
    <m/>
    <m/>
    <m/>
    <m/>
    <n v="390000"/>
    <n v="390000"/>
    <m/>
    <m/>
  </r>
  <r>
    <n v="4200000197"/>
    <x v="374"/>
    <s v="8936008702658"/>
    <m/>
    <s v="FAN"/>
    <x v="2"/>
    <s v="Quạt Treo"/>
    <m/>
    <m/>
    <s v="Update"/>
    <x v="0"/>
    <x v="0"/>
    <m/>
    <m/>
    <m/>
    <m/>
    <m/>
    <m/>
    <m/>
    <m/>
    <m/>
    <m/>
    <m/>
    <n v="0"/>
    <n v="0"/>
    <m/>
    <m/>
  </r>
  <r>
    <n v="4200000302"/>
    <x v="375"/>
    <s v="8936008702658"/>
    <m/>
    <s v="FAN"/>
    <x v="2"/>
    <s v="Quạt Treo"/>
    <m/>
    <s v="Green"/>
    <s v="Discontinued"/>
    <x v="1"/>
    <x v="0"/>
    <m/>
    <m/>
    <m/>
    <m/>
    <m/>
    <m/>
    <m/>
    <m/>
    <m/>
    <m/>
    <m/>
    <n v="390000"/>
    <n v="390000"/>
    <m/>
    <m/>
  </r>
  <r>
    <n v="4200000124"/>
    <x v="376"/>
    <m/>
    <m/>
    <m/>
    <x v="2"/>
    <m/>
    <m/>
    <m/>
    <s v="Update"/>
    <x v="0"/>
    <x v="0"/>
    <m/>
    <m/>
    <m/>
    <m/>
    <m/>
    <m/>
    <m/>
    <m/>
    <m/>
    <m/>
    <m/>
    <m/>
    <m/>
    <m/>
    <m/>
  </r>
  <r>
    <n v="4200000133"/>
    <x v="377"/>
    <s v="8936008702955"/>
    <m/>
    <s v="FAN"/>
    <x v="2"/>
    <s v="Quạt Treo"/>
    <s v="Update"/>
    <s v="Xanh Lá"/>
    <s v="Discontinued"/>
    <x v="0"/>
    <x v="0"/>
    <m/>
    <m/>
    <m/>
    <m/>
    <m/>
    <m/>
    <m/>
    <m/>
    <m/>
    <m/>
    <m/>
    <n v="603636"/>
    <n v="0"/>
    <m/>
    <m/>
  </r>
  <r>
    <n v="4200004510"/>
    <x v="378"/>
    <s v="8936008709671"/>
    <m/>
    <s v="FAN"/>
    <x v="2"/>
    <s v="Quạt Treo"/>
    <s v="Update"/>
    <s v="Xám"/>
    <s v="DMX Exclusive 2017"/>
    <x v="0"/>
    <x v="1"/>
    <m/>
    <m/>
    <m/>
    <m/>
    <m/>
    <m/>
    <m/>
    <m/>
    <s v="On going"/>
    <m/>
    <m/>
    <n v="0"/>
    <m/>
    <m/>
    <m/>
  </r>
  <r>
    <n v="4200000138"/>
    <x v="379"/>
    <s v="8936008708797"/>
    <m/>
    <s v="FAN"/>
    <x v="2"/>
    <s v="Quạt treo"/>
    <s v="Heavy Duty"/>
    <s v="Đen"/>
    <s v="On going"/>
    <x v="1"/>
    <x v="0"/>
    <m/>
    <m/>
    <m/>
    <m/>
    <m/>
    <m/>
    <m/>
    <m/>
    <m/>
    <m/>
    <m/>
    <n v="404545"/>
    <n v="404545"/>
    <m/>
    <m/>
  </r>
  <r>
    <n v="4200000304"/>
    <x v="380"/>
    <s v="8936008708797"/>
    <m/>
    <s v="FAN"/>
    <x v="2"/>
    <s v="Quạt treo"/>
    <s v="Heavy Duty"/>
    <s v="Đen"/>
    <s v="Discontinued"/>
    <x v="1"/>
    <x v="0"/>
    <m/>
    <m/>
    <m/>
    <m/>
    <m/>
    <m/>
    <m/>
    <m/>
    <m/>
    <m/>
    <m/>
    <n v="404545"/>
    <n v="0"/>
    <m/>
    <m/>
  </r>
  <r>
    <n v="4200000146"/>
    <x v="381"/>
    <s v="8936008705338"/>
    <m/>
    <s v="FAN"/>
    <x v="2"/>
    <s v="Quạt treo"/>
    <m/>
    <s v="Đen"/>
    <s v="Discontinued"/>
    <x v="0"/>
    <x v="0"/>
    <m/>
    <m/>
    <m/>
    <m/>
    <m/>
    <m/>
    <m/>
    <m/>
    <m/>
    <m/>
    <m/>
    <n v="689091"/>
    <n v="0"/>
    <m/>
    <m/>
  </r>
  <r>
    <n v="4200000215"/>
    <x v="382"/>
    <s v="8936008709794"/>
    <m/>
    <s v="FAN"/>
    <x v="2"/>
    <s v="Quạt Treo"/>
    <m/>
    <s v="Xám"/>
    <s v="Discontinued"/>
    <x v="0"/>
    <x v="0"/>
    <m/>
    <m/>
    <m/>
    <m/>
    <m/>
    <m/>
    <m/>
    <m/>
    <m/>
    <m/>
    <m/>
    <n v="556364"/>
    <n v="0"/>
    <m/>
    <m/>
  </r>
  <r>
    <n v="4200000247"/>
    <x v="383"/>
    <s v="8936008709800"/>
    <m/>
    <s v="FAN"/>
    <x v="2"/>
    <s v="Quạt Treo"/>
    <m/>
    <s v="Xanh Lá"/>
    <s v="Discontinued"/>
    <x v="0"/>
    <x v="0"/>
    <m/>
    <m/>
    <m/>
    <m/>
    <m/>
    <m/>
    <m/>
    <m/>
    <m/>
    <m/>
    <m/>
    <m/>
    <m/>
    <m/>
    <m/>
  </r>
  <r>
    <n v="4200005364"/>
    <x v="384"/>
    <s v="8936008702634"/>
    <m/>
    <s v="FAN"/>
    <x v="2"/>
    <s v="Quạt Treo"/>
    <s v="Spring Breeze"/>
    <s v="Xanh Lam"/>
    <s v="Discontinued"/>
    <x v="0"/>
    <x v="0"/>
    <m/>
    <m/>
    <m/>
    <m/>
    <m/>
    <m/>
    <m/>
    <m/>
    <m/>
    <m/>
    <m/>
    <n v="0"/>
    <n v="330000"/>
    <m/>
    <m/>
  </r>
  <r>
    <n v="4200005365"/>
    <x v="385"/>
    <s v="8936008702634"/>
    <m/>
    <s v="FAN"/>
    <x v="2"/>
    <s v="Quạt Treo"/>
    <s v="Spring Breeze"/>
    <s v="Xanh Lam"/>
    <s v="Discontinued"/>
    <x v="0"/>
    <x v="0"/>
    <m/>
    <m/>
    <m/>
    <m/>
    <m/>
    <m/>
    <m/>
    <m/>
    <m/>
    <m/>
    <m/>
    <n v="0"/>
    <n v="330000"/>
    <m/>
    <m/>
  </r>
  <r>
    <n v="4200005366"/>
    <x v="386"/>
    <s v="8936008702665"/>
    <m/>
    <s v="FAN"/>
    <x v="2"/>
    <s v="Quạt Treo"/>
    <s v="Spring Breeze"/>
    <s v="Xanh Lá"/>
    <s v="On going"/>
    <x v="0"/>
    <x v="0"/>
    <m/>
    <m/>
    <m/>
    <m/>
    <m/>
    <m/>
    <m/>
    <m/>
    <m/>
    <m/>
    <m/>
    <n v="0"/>
    <n v="330000"/>
    <m/>
    <m/>
  </r>
  <r>
    <n v="4200005367"/>
    <x v="387"/>
    <s v="8936008702665"/>
    <m/>
    <s v="FAN"/>
    <x v="2"/>
    <s v="Quạt Treo"/>
    <s v="Spring Breeze"/>
    <s v="Xanh Lá"/>
    <s v="On going"/>
    <x v="0"/>
    <x v="0"/>
    <m/>
    <m/>
    <m/>
    <m/>
    <m/>
    <m/>
    <m/>
    <s v="On going"/>
    <m/>
    <m/>
    <m/>
    <n v="0"/>
    <n v="330000"/>
    <m/>
    <m/>
  </r>
  <r>
    <n v="4200005510"/>
    <x v="388"/>
    <s v="8936008708483"/>
    <m/>
    <s v="FAN"/>
    <x v="2"/>
    <s v="Quạt Treo"/>
    <s v="Spring Breeze"/>
    <s v="Xanh Lá"/>
    <s v="Discontinued"/>
    <x v="1"/>
    <x v="0"/>
    <m/>
    <m/>
    <m/>
    <m/>
    <m/>
    <m/>
    <m/>
    <m/>
    <m/>
    <m/>
    <m/>
    <n v="483636"/>
    <n v="483636"/>
    <m/>
    <m/>
  </r>
  <r>
    <n v="4200005511"/>
    <x v="389"/>
    <s v="8936008708513"/>
    <m/>
    <s v="FAN"/>
    <x v="2"/>
    <s v="Quạt Treo"/>
    <s v="Spring Breeze"/>
    <s v="Xanh Lá"/>
    <s v="Discontinued"/>
    <x v="0"/>
    <x v="0"/>
    <m/>
    <m/>
    <m/>
    <m/>
    <m/>
    <m/>
    <m/>
    <m/>
    <m/>
    <m/>
    <m/>
    <n v="483636"/>
    <n v="0"/>
    <m/>
    <m/>
  </r>
  <r>
    <n v="4200006872"/>
    <x v="390"/>
    <s v="8936008700890"/>
    <m/>
    <s v="FAN"/>
    <x v="2"/>
    <s v="Quạt Treo"/>
    <s v="Spring Breeze"/>
    <s v="Trắng"/>
    <s v="New"/>
    <x v="0"/>
    <x v="0"/>
    <m/>
    <m/>
    <m/>
    <m/>
    <m/>
    <m/>
    <s v="New"/>
    <s v="New"/>
    <s v="On going"/>
    <m/>
    <m/>
    <n v="454545"/>
    <n v="0"/>
    <m/>
    <m/>
  </r>
  <r>
    <n v="4200006865"/>
    <x v="391"/>
    <s v="8936008700777"/>
    <m/>
    <s v="FAN"/>
    <x v="2"/>
    <s v="Quạt Treo"/>
    <s v="Spring Breeze"/>
    <s v="Xám"/>
    <s v="New"/>
    <x v="1"/>
    <x v="0"/>
    <m/>
    <m/>
    <m/>
    <m/>
    <m/>
    <m/>
    <m/>
    <m/>
    <m/>
    <m/>
    <m/>
    <n v="0"/>
    <n v="330000"/>
    <m/>
    <m/>
  </r>
  <r>
    <n v="4200005368"/>
    <x v="392"/>
    <s v="8936008702931"/>
    <m/>
    <s v="FAN"/>
    <x v="2"/>
    <s v="Quạt Treo"/>
    <s v="Spring Breeze"/>
    <s v="Xanh lam"/>
    <s v="Discontinued"/>
    <x v="1"/>
    <x v="0"/>
    <m/>
    <m/>
    <m/>
    <m/>
    <m/>
    <m/>
    <m/>
    <m/>
    <m/>
    <m/>
    <m/>
    <n v="0"/>
    <n v="470000"/>
    <m/>
    <m/>
  </r>
  <r>
    <n v="4200005369"/>
    <x v="393"/>
    <s v="8936008702962"/>
    <m/>
    <s v="FAN"/>
    <x v="2"/>
    <s v="Quạt Treo"/>
    <s v="Spring Breeze"/>
    <s v="Xanh Lá"/>
    <s v="On going"/>
    <x v="1"/>
    <x v="0"/>
    <m/>
    <m/>
    <m/>
    <m/>
    <m/>
    <m/>
    <m/>
    <m/>
    <m/>
    <m/>
    <m/>
    <n v="0"/>
    <n v="470000"/>
    <m/>
    <m/>
  </r>
  <r>
    <n v="4200005513"/>
    <x v="394"/>
    <s v="8936008708537"/>
    <m/>
    <s v="FAN"/>
    <x v="2"/>
    <s v="Quạt Treo"/>
    <s v="Spring Breeze"/>
    <s v="Xanh Lá"/>
    <s v="Discontinued"/>
    <x v="1"/>
    <x v="0"/>
    <m/>
    <m/>
    <m/>
    <m/>
    <m/>
    <m/>
    <m/>
    <m/>
    <m/>
    <m/>
    <m/>
    <n v="0"/>
    <n v="470000"/>
    <m/>
    <m/>
  </r>
  <r>
    <n v="4200006866"/>
    <x v="395"/>
    <s v="8936008700784"/>
    <m/>
    <s v="FAN"/>
    <x v="2"/>
    <s v="Quạt Treo"/>
    <s v="Spring Breeze"/>
    <s v="Xám"/>
    <s v="New"/>
    <x v="1"/>
    <x v="0"/>
    <m/>
    <m/>
    <m/>
    <m/>
    <m/>
    <m/>
    <m/>
    <m/>
    <m/>
    <m/>
    <m/>
    <n v="0"/>
    <n v="470000"/>
    <m/>
    <m/>
  </r>
  <r>
    <n v="4200005373"/>
    <x v="396"/>
    <s v="8936008700272"/>
    <m/>
    <s v="FAN"/>
    <x v="2"/>
    <s v="Quạt Treo"/>
    <m/>
    <s v="Đen bạc"/>
    <s v="Discontinued"/>
    <x v="0"/>
    <x v="0"/>
    <m/>
    <m/>
    <m/>
    <m/>
    <m/>
    <m/>
    <m/>
    <m/>
    <m/>
    <m/>
    <m/>
    <m/>
    <m/>
    <m/>
    <m/>
  </r>
  <r>
    <n v="4200006211"/>
    <x v="397"/>
    <s v="8936008708773"/>
    <m/>
    <s v="FAN"/>
    <x v="2"/>
    <s v="Quạt treo"/>
    <s v="Xtra Power &amp; Clean"/>
    <s v="Đen"/>
    <s v="Discontinued"/>
    <x v="0"/>
    <x v="0"/>
    <m/>
    <m/>
    <m/>
    <m/>
    <m/>
    <m/>
    <s v="Discontinued"/>
    <s v="Discontinued"/>
    <m/>
    <m/>
    <m/>
    <n v="590909"/>
    <n v="590909"/>
    <m/>
    <m/>
  </r>
  <r>
    <n v="4200006867"/>
    <x v="398"/>
    <s v="8936008700791"/>
    <m/>
    <s v="FAN"/>
    <x v="2"/>
    <s v="Quạt Treo"/>
    <s v="Xtra Power &amp; Clean"/>
    <s v="Xám"/>
    <s v="New"/>
    <x v="0"/>
    <x v="0"/>
    <m/>
    <m/>
    <m/>
    <m/>
    <m/>
    <m/>
    <m/>
    <s v="New"/>
    <m/>
    <m/>
    <m/>
    <n v="590909"/>
    <n v="0"/>
    <m/>
    <m/>
  </r>
  <r>
    <n v="4200005879"/>
    <x v="399"/>
    <s v="8936008709398"/>
    <m/>
    <s v="FAN"/>
    <x v="2"/>
    <s v="Quạt Treo"/>
    <s v="Xtra Power &amp; Clean RC"/>
    <s v="Xanh Lam"/>
    <s v="Discontinued"/>
    <x v="0"/>
    <x v="1"/>
    <m/>
    <m/>
    <m/>
    <m/>
    <m/>
    <m/>
    <s v="Discontinued"/>
    <m/>
    <s v="EOL"/>
    <m/>
    <m/>
    <n v="772727"/>
    <n v="0"/>
    <m/>
    <m/>
  </r>
  <r>
    <n v="4200006212"/>
    <x v="400"/>
    <s v="8936008708780"/>
    <m/>
    <s v="FAN"/>
    <x v="2"/>
    <s v="Quạt treo"/>
    <s v="Xtra Power &amp; Clean RC"/>
    <s v="Đen"/>
    <s v="Discontinued"/>
    <x v="0"/>
    <x v="1"/>
    <m/>
    <m/>
    <m/>
    <m/>
    <m/>
    <m/>
    <m/>
    <s v="Discontinued"/>
    <m/>
    <m/>
    <m/>
    <n v="772727"/>
    <n v="0"/>
    <m/>
    <m/>
  </r>
  <r>
    <n v="4200005878"/>
    <x v="401"/>
    <s v="8936008709381"/>
    <m/>
    <s v="FAN"/>
    <x v="2"/>
    <s v="Quạt Treo"/>
    <s v="Xtra Power &amp; Clean RC"/>
    <s v="Xanh Lá"/>
    <s v="On going"/>
    <x v="0"/>
    <x v="1"/>
    <m/>
    <m/>
    <m/>
    <m/>
    <m/>
    <m/>
    <m/>
    <s v="On going"/>
    <m/>
    <m/>
    <m/>
    <n v="772727"/>
    <n v="0"/>
    <m/>
    <m/>
  </r>
  <r>
    <n v="4200006868"/>
    <x v="402"/>
    <s v="8936008700838"/>
    <m/>
    <s v="FAN"/>
    <x v="2"/>
    <s v="Quạt Treo"/>
    <s v="Xtra Power &amp; Clean RC"/>
    <s v="Xánh"/>
    <s v="New"/>
    <x v="0"/>
    <x v="0"/>
    <m/>
    <m/>
    <m/>
    <m/>
    <m/>
    <m/>
    <s v="New"/>
    <s v="New"/>
    <s v="On going"/>
    <m/>
    <m/>
    <n v="772727"/>
    <n v="0"/>
    <m/>
    <m/>
  </r>
  <r>
    <n v="4200005973"/>
    <x v="403"/>
    <s v="8936008709497"/>
    <m/>
    <s v="FAN"/>
    <x v="2"/>
    <s v="Quạt treo"/>
    <m/>
    <m/>
    <s v="Discontinued"/>
    <x v="0"/>
    <x v="1"/>
    <m/>
    <m/>
    <m/>
    <m/>
    <m/>
    <m/>
    <m/>
    <s v="Discontinued"/>
    <m/>
    <m/>
    <m/>
    <n v="927273"/>
    <n v="0"/>
    <m/>
    <m/>
  </r>
  <r>
    <n v="4200000150"/>
    <x v="404"/>
    <s v="8936008703099"/>
    <m/>
    <s v="FAN"/>
    <x v="2"/>
    <s v="Quạt treo"/>
    <m/>
    <m/>
    <s v="Discontinued"/>
    <x v="0"/>
    <x v="0"/>
    <m/>
    <m/>
    <m/>
    <m/>
    <m/>
    <m/>
    <m/>
    <m/>
    <m/>
    <m/>
    <m/>
    <n v="360909"/>
    <n v="0"/>
    <m/>
    <m/>
  </r>
  <r>
    <n v="4200004742"/>
    <x v="405"/>
    <s v="8936008707196"/>
    <m/>
    <s v="FAN"/>
    <x v="2"/>
    <s v="Quạt treo"/>
    <s v="Heavy Duty"/>
    <s v="Đen"/>
    <s v="Update"/>
    <x v="0"/>
    <x v="0"/>
    <m/>
    <m/>
    <m/>
    <m/>
    <m/>
    <m/>
    <m/>
    <m/>
    <m/>
    <m/>
    <m/>
    <n v="0"/>
    <m/>
    <m/>
    <m/>
  </r>
  <r>
    <n v="4200000152"/>
    <x v="406"/>
    <s v="8936008707196"/>
    <m/>
    <s v="FAN"/>
    <x v="2"/>
    <s v="Quạt treo"/>
    <s v="Heavy Duty"/>
    <s v="Đen"/>
    <s v="On going"/>
    <x v="1"/>
    <x v="0"/>
    <m/>
    <m/>
    <m/>
    <m/>
    <m/>
    <m/>
    <m/>
    <m/>
    <m/>
    <m/>
    <m/>
    <n v="0"/>
    <n v="380000"/>
    <m/>
    <m/>
  </r>
  <r>
    <n v="4200004584"/>
    <x v="407"/>
    <s v="8936008707196"/>
    <m/>
    <s v="FAN"/>
    <x v="2"/>
    <s v="Quạt treo"/>
    <s v="Heavy Duty"/>
    <s v="Đen"/>
    <s v="Update"/>
    <x v="0"/>
    <x v="0"/>
    <m/>
    <m/>
    <m/>
    <m/>
    <m/>
    <m/>
    <m/>
    <m/>
    <m/>
    <m/>
    <m/>
    <m/>
    <m/>
    <m/>
    <m/>
  </r>
  <r>
    <n v="4200006869"/>
    <x v="408"/>
    <s v="8936008707196"/>
    <m/>
    <s v="FAN"/>
    <x v="2"/>
    <s v="Quạt treo"/>
    <s v="Heavy Duty"/>
    <s v="Đen"/>
    <s v="New"/>
    <x v="1"/>
    <x v="0"/>
    <m/>
    <m/>
    <m/>
    <m/>
    <m/>
    <m/>
    <m/>
    <m/>
    <m/>
    <m/>
    <m/>
    <n v="0"/>
    <n v="380000"/>
    <m/>
    <m/>
  </r>
  <r>
    <n v="4200005962"/>
    <x v="409"/>
    <s v="8936008709718"/>
    <m/>
    <s v="FAN"/>
    <x v="2"/>
    <s v="Quạt treo"/>
    <m/>
    <m/>
    <s v="Update"/>
    <x v="0"/>
    <x v="0"/>
    <m/>
    <m/>
    <m/>
    <m/>
    <m/>
    <m/>
    <m/>
    <m/>
    <m/>
    <m/>
    <m/>
    <n v="0"/>
    <n v="0"/>
    <m/>
    <m/>
  </r>
  <r>
    <n v="4200000210"/>
    <x v="410"/>
    <s v="8936008709718"/>
    <m/>
    <s v="FAN"/>
    <x v="2"/>
    <s v="Quạt treo"/>
    <m/>
    <s v="Đen"/>
    <s v="Discontinued"/>
    <x v="0"/>
    <x v="0"/>
    <m/>
    <m/>
    <m/>
    <m/>
    <m/>
    <m/>
    <m/>
    <m/>
    <m/>
    <m/>
    <m/>
    <n v="481818"/>
    <n v="0"/>
    <m/>
    <m/>
  </r>
  <r>
    <n v="4200004743"/>
    <x v="411"/>
    <s v="8936008700135"/>
    <m/>
    <s v="FAN"/>
    <x v="2"/>
    <s v="Quạt treo"/>
    <s v="Heavy Duty"/>
    <s v="Đen"/>
    <s v="Update"/>
    <x v="0"/>
    <x v="0"/>
    <m/>
    <m/>
    <m/>
    <m/>
    <m/>
    <m/>
    <m/>
    <m/>
    <m/>
    <m/>
    <m/>
    <n v="0"/>
    <m/>
    <m/>
    <m/>
  </r>
  <r>
    <n v="4200000156"/>
    <x v="412"/>
    <s v="8936008700135"/>
    <m/>
    <s v="FAN"/>
    <x v="2"/>
    <s v="Quạt treo"/>
    <s v="Heavy Duty"/>
    <s v="Đen"/>
    <s v="On going"/>
    <x v="1"/>
    <x v="0"/>
    <m/>
    <m/>
    <m/>
    <m/>
    <m/>
    <m/>
    <s v="New"/>
    <m/>
    <m/>
    <m/>
    <m/>
    <n v="551818"/>
    <n v="551818"/>
    <m/>
    <m/>
  </r>
  <r>
    <n v="4200000286"/>
    <x v="413"/>
    <s v="8936008703297"/>
    <m/>
    <s v="FAN"/>
    <x v="2"/>
    <s v="Quạt treo"/>
    <s v="Heavy Duty"/>
    <s v="Đen"/>
    <s v="Update"/>
    <x v="0"/>
    <x v="0"/>
    <m/>
    <m/>
    <m/>
    <m/>
    <m/>
    <m/>
    <m/>
    <m/>
    <m/>
    <m/>
    <m/>
    <n v="0"/>
    <n v="0"/>
    <m/>
    <m/>
  </r>
  <r>
    <n v="4200000157"/>
    <x v="414"/>
    <s v="8936008703297"/>
    <m/>
    <s v="FAN"/>
    <x v="2"/>
    <s v="Quạt treo"/>
    <s v="Heavy Duty"/>
    <s v="Đen"/>
    <s v="On going"/>
    <x v="1"/>
    <x v="0"/>
    <m/>
    <m/>
    <m/>
    <m/>
    <m/>
    <m/>
    <m/>
    <m/>
    <m/>
    <m/>
    <m/>
    <n v="1124545"/>
    <n v="1124545"/>
    <m/>
    <m/>
  </r>
  <r>
    <n v="4200000309"/>
    <x v="415"/>
    <s v="8936008702054"/>
    <m/>
    <s v="FAN"/>
    <x v="2"/>
    <s v="Quạt hộp"/>
    <s v="Box fan"/>
    <s v="Lá Mạ"/>
    <s v="On going"/>
    <x v="0"/>
    <x v="0"/>
    <m/>
    <m/>
    <m/>
    <m/>
    <m/>
    <m/>
    <m/>
    <s v="On going"/>
    <m/>
    <m/>
    <m/>
    <n v="490000"/>
    <n v="490000"/>
    <m/>
    <m/>
  </r>
  <r>
    <n v="4200000314"/>
    <x v="416"/>
    <s v="8936008702023"/>
    <m/>
    <s v="FAN"/>
    <x v="2"/>
    <s v="Quạt hộp"/>
    <s v="Box fan"/>
    <s v="Xám"/>
    <s v="On going"/>
    <x v="0"/>
    <x v="0"/>
    <m/>
    <m/>
    <m/>
    <m/>
    <m/>
    <m/>
    <m/>
    <s v="On going"/>
    <s v="EOL"/>
    <m/>
    <m/>
    <n v="490000"/>
    <n v="490000"/>
    <m/>
    <m/>
  </r>
  <r>
    <n v="4200000316"/>
    <x v="417"/>
    <s v="8936008707752"/>
    <m/>
    <s v="FAN"/>
    <x v="2"/>
    <s v="Quạt hộp"/>
    <s v="Box fan"/>
    <s v="Xanh Lá"/>
    <s v="Discontinued"/>
    <x v="0"/>
    <x v="0"/>
    <m/>
    <m/>
    <m/>
    <m/>
    <m/>
    <m/>
    <m/>
    <m/>
    <m/>
    <m/>
    <m/>
    <n v="406364"/>
    <n v="0"/>
    <m/>
    <m/>
  </r>
  <r>
    <n v="4200004508"/>
    <x v="418"/>
    <s v="8936008709640"/>
    <m/>
    <s v="FAN"/>
    <x v="2"/>
    <s v="Quạt hộp"/>
    <s v="Box fan"/>
    <s v="Trắng"/>
    <s v="Discontinued"/>
    <x v="0"/>
    <x v="0"/>
    <m/>
    <m/>
    <m/>
    <m/>
    <m/>
    <m/>
    <m/>
    <m/>
    <m/>
    <m/>
    <m/>
    <n v="0"/>
    <m/>
    <m/>
    <m/>
  </r>
  <r>
    <n v="4200000317"/>
    <x v="419"/>
    <s v="8936008707721"/>
    <m/>
    <s v="FAN"/>
    <x v="2"/>
    <s v="Quạt hộp"/>
    <s v="Box fan"/>
    <s v="Xám"/>
    <s v="Discontinued"/>
    <x v="0"/>
    <x v="0"/>
    <m/>
    <m/>
    <m/>
    <m/>
    <m/>
    <m/>
    <m/>
    <m/>
    <m/>
    <m/>
    <m/>
    <n v="406364"/>
    <n v="0"/>
    <m/>
    <m/>
  </r>
  <r>
    <n v="4200000315"/>
    <x v="420"/>
    <s v="8936008701958"/>
    <m/>
    <s v="FAN"/>
    <x v="2"/>
    <s v="Quạt hộp"/>
    <s v="Box fan"/>
    <s v="Xanh Lá"/>
    <s v="On going"/>
    <x v="0"/>
    <x v="0"/>
    <m/>
    <m/>
    <m/>
    <m/>
    <m/>
    <m/>
    <m/>
    <s v="On going"/>
    <m/>
    <m/>
    <m/>
    <n v="640000"/>
    <n v="640000"/>
    <m/>
    <m/>
  </r>
  <r>
    <n v="4200000311"/>
    <x v="421"/>
    <s v="8936008707622"/>
    <m/>
    <s v="FAN"/>
    <x v="2"/>
    <s v="Quạt hộp"/>
    <s v="Box fan"/>
    <s v="Xám"/>
    <s v="On going"/>
    <x v="0"/>
    <x v="0"/>
    <m/>
    <m/>
    <m/>
    <m/>
    <m/>
    <m/>
    <m/>
    <s v="On going"/>
    <s v="EOL"/>
    <m/>
    <m/>
    <n v="640000"/>
    <n v="640000"/>
    <m/>
    <m/>
  </r>
  <r>
    <n v="4200000279"/>
    <x v="422"/>
    <s v="8936008705390"/>
    <m/>
    <s v="FAN"/>
    <x v="2"/>
    <s v="Quạt Sưởi"/>
    <m/>
    <s v="White"/>
    <s v="Discontinued"/>
    <x v="0"/>
    <x v="0"/>
    <m/>
    <m/>
    <m/>
    <m/>
    <m/>
    <m/>
    <m/>
    <m/>
    <s v="EOL"/>
    <m/>
    <m/>
    <n v="790909"/>
    <n v="0"/>
    <m/>
    <m/>
  </r>
  <r>
    <n v="4200000162"/>
    <x v="423"/>
    <s v="8936008704317"/>
    <m/>
    <s v="FAN"/>
    <x v="2"/>
    <s v="Quạt Trần Đảo"/>
    <s v="Orbital"/>
    <s v="Trắng Sữa"/>
    <s v="On going"/>
    <x v="1"/>
    <x v="0"/>
    <m/>
    <m/>
    <m/>
    <m/>
    <m/>
    <m/>
    <m/>
    <m/>
    <m/>
    <m/>
    <m/>
    <m/>
    <n v="370000"/>
    <m/>
    <m/>
  </r>
  <r>
    <n v="4200000228"/>
    <x v="424"/>
    <s v="8936008704324"/>
    <m/>
    <s v="FAN"/>
    <x v="2"/>
    <s v="Quạt Trần Đảo"/>
    <s v="Orbital"/>
    <s v="Xám"/>
    <s v="Update"/>
    <x v="0"/>
    <x v="0"/>
    <m/>
    <m/>
    <m/>
    <m/>
    <m/>
    <m/>
    <m/>
    <m/>
    <m/>
    <m/>
    <m/>
    <m/>
    <n v="0"/>
    <m/>
    <m/>
  </r>
  <r>
    <n v="4200000206"/>
    <x v="425"/>
    <s v="8936008704324"/>
    <m/>
    <s v="FAN"/>
    <x v="2"/>
    <s v="Quạt Trần Đảo"/>
    <s v="Orbital"/>
    <s v="Xám"/>
    <s v="Update"/>
    <x v="0"/>
    <x v="0"/>
    <m/>
    <m/>
    <m/>
    <m/>
    <m/>
    <m/>
    <m/>
    <m/>
    <m/>
    <m/>
    <m/>
    <m/>
    <n v="0"/>
    <m/>
    <m/>
  </r>
  <r>
    <n v="4200000163"/>
    <x v="426"/>
    <s v="8936008704324"/>
    <m/>
    <s v="FAN"/>
    <x v="2"/>
    <s v="Quạt Trần Đảo"/>
    <s v="Orbital"/>
    <s v="Xám"/>
    <s v="On going"/>
    <x v="1"/>
    <x v="0"/>
    <m/>
    <m/>
    <m/>
    <m/>
    <m/>
    <m/>
    <m/>
    <s v="On going"/>
    <m/>
    <m/>
    <m/>
    <m/>
    <n v="370000"/>
    <m/>
    <m/>
  </r>
  <r>
    <n v="4200000211"/>
    <x v="427"/>
    <s v="8936008704300"/>
    <m/>
    <s v="FAN"/>
    <x v="2"/>
    <s v="Quạt Trần Đảo"/>
    <s v="Orbital With RC"/>
    <s v="Trắng Sữa"/>
    <s v="To be discontinued"/>
    <x v="1"/>
    <x v="0"/>
    <m/>
    <m/>
    <m/>
    <m/>
    <m/>
    <m/>
    <m/>
    <m/>
    <m/>
    <m/>
    <m/>
    <n v="583636"/>
    <n v="583636"/>
    <m/>
    <m/>
  </r>
  <r>
    <n v="4200000164"/>
    <x v="428"/>
    <s v="8936008704300"/>
    <m/>
    <s v="FAN"/>
    <x v="2"/>
    <s v="Quạt Trần Đảo"/>
    <s v="Orbital With RC"/>
    <s v="Xám"/>
    <s v="On going"/>
    <x v="1"/>
    <x v="0"/>
    <m/>
    <m/>
    <m/>
    <m/>
    <m/>
    <m/>
    <m/>
    <m/>
    <m/>
    <m/>
    <m/>
    <n v="583636"/>
    <n v="583636"/>
    <m/>
    <m/>
  </r>
  <r>
    <n v="4200000111"/>
    <x v="429"/>
    <s v="8936008702313"/>
    <m/>
    <s v="FAN"/>
    <x v="2"/>
    <s v="Quạt khác"/>
    <s v="Ventilation"/>
    <s v="Trắng Sữa"/>
    <s v="On going"/>
    <x v="1"/>
    <x v="0"/>
    <m/>
    <m/>
    <m/>
    <m/>
    <m/>
    <m/>
    <m/>
    <m/>
    <m/>
    <m/>
    <m/>
    <n v="335455"/>
    <n v="335455"/>
    <m/>
    <m/>
  </r>
  <r>
    <n v="4200000112"/>
    <x v="430"/>
    <s v="8936008702214"/>
    <m/>
    <s v="FAN"/>
    <x v="2"/>
    <s v="Quạt khác"/>
    <s v="Ventilation"/>
    <s v="Trắng Sữa"/>
    <s v="On going"/>
    <x v="1"/>
    <x v="0"/>
    <m/>
    <m/>
    <m/>
    <m/>
    <m/>
    <m/>
    <m/>
    <m/>
    <m/>
    <m/>
    <m/>
    <n v="365455"/>
    <n v="365455"/>
    <m/>
    <m/>
  </r>
  <r>
    <n v="4200000308"/>
    <x v="431"/>
    <s v="8936008705420"/>
    <m/>
    <s v="FAN"/>
    <x v="2"/>
    <s v="Quạt Trần"/>
    <s v="Ceiling"/>
    <s v="Grey"/>
    <s v="Discontinued"/>
    <x v="1"/>
    <x v="0"/>
    <m/>
    <m/>
    <m/>
    <m/>
    <m/>
    <m/>
    <m/>
    <m/>
    <m/>
    <m/>
    <m/>
    <n v="845455"/>
    <n v="845455"/>
    <m/>
    <m/>
  </r>
  <r>
    <n v="4200000307"/>
    <x v="432"/>
    <s v="8936008705437"/>
    <m/>
    <s v="FAN"/>
    <x v="2"/>
    <s v="Quạt Trần"/>
    <s v="Ceiling"/>
    <s v="Grey"/>
    <s v="On going"/>
    <x v="1"/>
    <x v="0"/>
    <m/>
    <m/>
    <m/>
    <m/>
    <m/>
    <m/>
    <m/>
    <m/>
    <m/>
    <m/>
    <m/>
    <n v="909091"/>
    <n v="845455"/>
    <m/>
    <m/>
  </r>
  <r>
    <n v="4200000158"/>
    <x v="433"/>
    <s v="8936008700197"/>
    <m/>
    <s v="FAN"/>
    <x v="2"/>
    <s v="Quạt khác"/>
    <s v="Re- Chargeable"/>
    <s v="Trắng Sữa"/>
    <s v="On going"/>
    <x v="1"/>
    <x v="0"/>
    <m/>
    <m/>
    <m/>
    <m/>
    <m/>
    <m/>
    <m/>
    <m/>
    <m/>
    <m/>
    <m/>
    <n v="791818"/>
    <n v="791818"/>
    <m/>
    <m/>
  </r>
  <r>
    <n v="4200000161"/>
    <x v="434"/>
    <s v="8936008704218"/>
    <m/>
    <s v="FAN"/>
    <x v="2"/>
    <s v="Quạt khác"/>
    <s v="Ventilation"/>
    <s v="Trắng Sữa"/>
    <s v="On going"/>
    <x v="1"/>
    <x v="0"/>
    <m/>
    <m/>
    <m/>
    <m/>
    <m/>
    <m/>
    <m/>
    <m/>
    <m/>
    <m/>
    <m/>
    <n v="309091"/>
    <n v="30909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G9" firstHeaderRow="1" firstDataRow="3" firstDataCol="1"/>
  <pivotFields count="27">
    <pivotField compact="0" outline="0" subtotalTop="0" showAll="0" includeNewItemsInFilter="1"/>
    <pivotField dataField="1" compact="0" outline="0" subtotalTop="0" showAll="0" includeNewItemsInFilter="1">
      <items count="436">
        <item x="132"/>
        <item x="103"/>
        <item x="104"/>
        <item x="133"/>
        <item x="134"/>
        <item x="135"/>
        <item x="136"/>
        <item x="105"/>
        <item x="108"/>
        <item x="109"/>
        <item x="110"/>
        <item x="118"/>
        <item x="111"/>
        <item x="122"/>
        <item x="123"/>
        <item x="112"/>
        <item x="113"/>
        <item x="114"/>
        <item x="115"/>
        <item x="116"/>
        <item x="117"/>
        <item x="124"/>
        <item x="125"/>
        <item x="283"/>
        <item x="284"/>
        <item x="285"/>
        <item x="286"/>
        <item x="287"/>
        <item x="288"/>
        <item x="293"/>
        <item x="294"/>
        <item x="289"/>
        <item x="290"/>
        <item x="295"/>
        <item x="297"/>
        <item x="291"/>
        <item x="292"/>
        <item x="296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152"/>
        <item x="153"/>
        <item x="154"/>
        <item x="155"/>
        <item x="189"/>
        <item x="197"/>
        <item x="199"/>
        <item x="198"/>
        <item x="200"/>
        <item x="192"/>
        <item x="201"/>
        <item x="195"/>
        <item x="202"/>
        <item x="203"/>
        <item x="204"/>
        <item x="193"/>
        <item x="194"/>
        <item x="205"/>
        <item x="190"/>
        <item x="191"/>
        <item x="156"/>
        <item x="157"/>
        <item x="158"/>
        <item x="159"/>
        <item x="160"/>
        <item x="139"/>
        <item x="140"/>
        <item x="141"/>
        <item x="142"/>
        <item x="143"/>
        <item x="144"/>
        <item x="161"/>
        <item x="162"/>
        <item x="163"/>
        <item x="164"/>
        <item x="165"/>
        <item x="166"/>
        <item x="167"/>
        <item x="145"/>
        <item x="146"/>
        <item x="128"/>
        <item x="129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59"/>
        <item x="361"/>
        <item x="362"/>
        <item x="363"/>
        <item x="364"/>
        <item x="365"/>
        <item x="367"/>
        <item x="366"/>
        <item x="368"/>
        <item x="369"/>
        <item x="370"/>
        <item x="371"/>
        <item x="372"/>
        <item x="231"/>
        <item x="230"/>
        <item x="232"/>
        <item x="233"/>
        <item x="51"/>
        <item x="52"/>
        <item x="53"/>
        <item x="54"/>
        <item x="55"/>
        <item x="56"/>
        <item x="57"/>
        <item x="58"/>
        <item x="59"/>
        <item x="415"/>
        <item x="416"/>
        <item x="417"/>
        <item x="418"/>
        <item x="419"/>
        <item x="60"/>
        <item x="61"/>
        <item x="62"/>
        <item x="420"/>
        <item x="421"/>
        <item x="63"/>
        <item x="64"/>
        <item x="65"/>
        <item x="66"/>
        <item x="67"/>
        <item x="68"/>
        <item x="69"/>
        <item x="70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27"/>
        <item x="168"/>
        <item x="169"/>
        <item x="170"/>
        <item x="147"/>
        <item x="148"/>
        <item x="171"/>
        <item x="172"/>
        <item x="239"/>
        <item x="45"/>
        <item x="95"/>
        <item x="96"/>
        <item x="97"/>
        <item x="98"/>
        <item x="429"/>
        <item x="430"/>
        <item x="71"/>
        <item x="72"/>
        <item x="73"/>
        <item x="74"/>
        <item x="75"/>
        <item x="76"/>
        <item x="21"/>
        <item x="22"/>
        <item x="23"/>
        <item x="77"/>
        <item x="84"/>
        <item x="87"/>
        <item x="78"/>
        <item x="81"/>
        <item x="85"/>
        <item x="88"/>
        <item x="79"/>
        <item x="82"/>
        <item x="86"/>
        <item x="89"/>
        <item x="80"/>
        <item x="83"/>
        <item x="25"/>
        <item x="28"/>
        <item x="31"/>
        <item x="26"/>
        <item x="29"/>
        <item x="32"/>
        <item x="27"/>
        <item x="30"/>
        <item x="33"/>
        <item x="90"/>
        <item x="91"/>
        <item x="92"/>
        <item x="34"/>
        <item x="35"/>
        <item x="36"/>
        <item x="93"/>
        <item x="94"/>
        <item x="24"/>
        <item x="37"/>
        <item x="38"/>
        <item x="39"/>
        <item x="126"/>
        <item x="173"/>
        <item x="174"/>
        <item x="175"/>
        <item x="149"/>
        <item x="150"/>
        <item x="151"/>
        <item x="176"/>
        <item x="246"/>
        <item x="196"/>
        <item x="422"/>
        <item x="12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42"/>
        <item x="234"/>
        <item x="235"/>
        <item x="236"/>
        <item x="237"/>
        <item x="431"/>
        <item x="432"/>
        <item x="186"/>
        <item x="187"/>
        <item x="188"/>
        <item x="373"/>
        <item x="374"/>
        <item x="375"/>
        <item x="376"/>
        <item x="377"/>
        <item x="378"/>
        <item x="379"/>
        <item x="380"/>
        <item x="381"/>
        <item x="383"/>
        <item x="38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245"/>
        <item x="243"/>
        <item x="50"/>
        <item x="0"/>
        <item x="433"/>
        <item x="238"/>
        <item x="183"/>
        <item x="177"/>
        <item x="180"/>
        <item x="181"/>
        <item x="185"/>
        <item x="182"/>
        <item x="178"/>
        <item x="179"/>
        <item x="184"/>
        <item x="13"/>
        <item x="19"/>
        <item x="20"/>
        <item x="14"/>
        <item x="15"/>
        <item x="16"/>
        <item x="17"/>
        <item x="18"/>
        <item x="44"/>
        <item x="130"/>
        <item x="131"/>
        <item x="119"/>
        <item x="106"/>
        <item x="107"/>
        <item x="120"/>
        <item x="121"/>
        <item x="137"/>
        <item x="138"/>
        <item x="40"/>
        <item x="41"/>
        <item x="42"/>
        <item x="248"/>
        <item x="241"/>
        <item x="240"/>
        <item x="43"/>
        <item x="249"/>
        <item x="434"/>
        <item x="247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50"/>
        <item x="251"/>
        <item x="252"/>
        <item x="99"/>
        <item x="100"/>
        <item x="101"/>
        <item x="102"/>
        <item x="423"/>
        <item x="425"/>
        <item x="424"/>
        <item x="426"/>
        <item x="427"/>
        <item x="428"/>
        <item x="46"/>
        <item x="47"/>
        <item x="48"/>
        <item x="49"/>
        <item x="24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10"/>
    <field x="11"/>
  </colFields>
  <colItems count="6">
    <i>
      <x/>
      <x/>
    </i>
    <i r="1">
      <x v="1"/>
    </i>
    <i t="default">
      <x/>
    </i>
    <i>
      <x v="1"/>
      <x/>
    </i>
    <i t="default">
      <x v="1"/>
    </i>
    <i t="grand">
      <x/>
    </i>
  </colItems>
  <dataFields count="1">
    <dataField name="Count of Model" fld="1" subtotal="count" baseField="0" baseItem="0"/>
  </dataFields>
  <formats count="8">
    <format dxfId="292">
      <pivotArea type="all" dataOnly="0" outline="0" fieldPosition="0"/>
    </format>
    <format dxfId="291">
      <pivotArea outline="0" fieldPosition="0"/>
    </format>
    <format dxfId="290">
      <pivotArea type="origin" dataOnly="0" labelOnly="1" outline="0" fieldPosition="0"/>
    </format>
    <format dxfId="289">
      <pivotArea type="topRight" dataOnly="0" labelOnly="1" outline="0" fieldPosition="0"/>
    </format>
    <format dxfId="288">
      <pivotArea field="5" type="button" dataOnly="0" labelOnly="1" outline="0" axis="axisRow" fieldPosition="0"/>
    </format>
    <format dxfId="287">
      <pivotArea dataOnly="0" labelOnly="1" outline="0" fieldPosition="0">
        <references count="1">
          <reference field="5" count="0"/>
        </references>
      </pivotArea>
    </format>
    <format dxfId="286">
      <pivotArea dataOnly="0" labelOnly="1" grandRow="1" outline="0" fieldPosition="0"/>
    </format>
    <format dxfId="285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AD380"/>
  <sheetViews>
    <sheetView zoomScale="94" zoomScaleNormal="90" workbookViewId="0">
      <pane xSplit="16" ySplit="5" topLeftCell="Q267" activePane="bottomRight" state="frozen"/>
      <selection activeCell="C19" sqref="C19"/>
      <selection pane="topRight" activeCell="C19" sqref="C19"/>
      <selection pane="bottomLeft" activeCell="C19" sqref="C19"/>
      <selection pane="bottomRight" activeCell="H274" sqref="H274"/>
    </sheetView>
  </sheetViews>
  <sheetFormatPr defaultRowHeight="15"/>
  <cols>
    <col min="1" max="1" width="4.125" style="91" customWidth="1"/>
    <col min="2" max="2" width="5.75" style="91" customWidth="1"/>
    <col min="3" max="3" width="4.75" style="91" customWidth="1"/>
    <col min="4" max="4" width="14.125" style="91" customWidth="1"/>
    <col min="5" max="5" width="15" style="91" customWidth="1"/>
    <col min="6" max="6" width="9" style="91" customWidth="1"/>
    <col min="7" max="7" width="8.125" style="91" hidden="1" customWidth="1"/>
    <col min="8" max="8" width="16.875" style="91" customWidth="1"/>
    <col min="9" max="10" width="13" style="91" customWidth="1"/>
    <col min="11" max="11" width="19.375" style="122" bestFit="1" customWidth="1"/>
    <col min="12" max="12" width="16.375" style="91" hidden="1" customWidth="1"/>
    <col min="13" max="13" width="13" style="91" hidden="1" customWidth="1"/>
    <col min="14" max="14" width="9.125" style="91" customWidth="1"/>
    <col min="15" max="15" width="9" style="92" customWidth="1"/>
    <col min="16" max="16" width="10.25" style="91" hidden="1" customWidth="1"/>
    <col min="17" max="17" width="7.625" style="91" customWidth="1"/>
    <col min="18" max="18" width="15.25" style="93" bestFit="1" customWidth="1"/>
    <col min="19" max="19" width="6.125" style="91" customWidth="1"/>
    <col min="20" max="20" width="15.25" style="93" bestFit="1" customWidth="1"/>
    <col min="21" max="21" width="6.125" style="91" customWidth="1"/>
    <col min="22" max="22" width="13.625" style="93" bestFit="1" customWidth="1"/>
    <col min="23" max="23" width="6.125" style="91" customWidth="1"/>
    <col min="24" max="24" width="13.625" style="93" bestFit="1" customWidth="1"/>
    <col min="25" max="25" width="6.125" style="91" customWidth="1"/>
    <col min="26" max="26" width="13.625" style="93" bestFit="1" customWidth="1"/>
    <col min="27" max="27" width="7.875" style="91" customWidth="1"/>
    <col min="28" max="28" width="15.75" style="93" customWidth="1"/>
    <col min="29" max="29" width="9.25" style="91" customWidth="1"/>
    <col min="30" max="16384" width="9" style="91"/>
  </cols>
  <sheetData>
    <row r="1" spans="1:30" ht="20.25" hidden="1" customHeight="1" thickBot="1">
      <c r="A1" s="386" t="s">
        <v>553</v>
      </c>
      <c r="B1" s="386"/>
      <c r="C1" s="386"/>
      <c r="D1" s="130" t="s">
        <v>554</v>
      </c>
      <c r="E1" s="184" t="s">
        <v>515</v>
      </c>
      <c r="F1" s="134"/>
      <c r="H1" s="131" t="s">
        <v>556</v>
      </c>
      <c r="I1" s="140"/>
      <c r="J1" s="140"/>
      <c r="K1" s="186" t="s">
        <v>575</v>
      </c>
      <c r="M1" s="140"/>
    </row>
    <row r="2" spans="1:30" ht="20.25" hidden="1" customHeight="1" thickTop="1">
      <c r="A2" s="387"/>
      <c r="B2" s="387"/>
      <c r="C2" s="387"/>
      <c r="D2" s="132" t="s">
        <v>555</v>
      </c>
      <c r="E2" s="185" t="s">
        <v>559</v>
      </c>
      <c r="F2" s="135"/>
      <c r="H2" s="133" t="s">
        <v>557</v>
      </c>
      <c r="I2" s="181"/>
      <c r="J2" s="181"/>
      <c r="K2" s="187" t="s">
        <v>558</v>
      </c>
      <c r="M2" s="181"/>
    </row>
    <row r="3" spans="1:30" s="95" customFormat="1" ht="20.25" customHeight="1" thickTop="1">
      <c r="A3" s="390" t="s">
        <v>176</v>
      </c>
      <c r="B3" s="388" t="s">
        <v>634</v>
      </c>
      <c r="C3" s="388" t="s">
        <v>178</v>
      </c>
      <c r="D3" s="388" t="s">
        <v>179</v>
      </c>
      <c r="E3" s="388" t="s">
        <v>180</v>
      </c>
      <c r="F3" s="388" t="s">
        <v>561</v>
      </c>
      <c r="G3" s="388" t="s">
        <v>181</v>
      </c>
      <c r="H3" s="388" t="s">
        <v>182</v>
      </c>
      <c r="I3" s="388" t="s">
        <v>183</v>
      </c>
      <c r="J3" s="388" t="s">
        <v>979</v>
      </c>
      <c r="K3" s="388" t="s">
        <v>653</v>
      </c>
      <c r="L3" s="388" t="s">
        <v>498</v>
      </c>
      <c r="M3" s="388" t="s">
        <v>183</v>
      </c>
      <c r="N3" s="388" t="s">
        <v>490</v>
      </c>
      <c r="O3" s="392" t="s">
        <v>633</v>
      </c>
      <c r="P3" s="400" t="s">
        <v>635</v>
      </c>
      <c r="Q3" s="399" t="s">
        <v>566</v>
      </c>
      <c r="R3" s="399"/>
      <c r="S3" s="394" t="s">
        <v>567</v>
      </c>
      <c r="T3" s="394"/>
      <c r="U3" s="402" t="s">
        <v>568</v>
      </c>
      <c r="V3" s="402"/>
      <c r="W3" s="397" t="s">
        <v>569</v>
      </c>
      <c r="X3" s="397"/>
      <c r="Y3" s="398" t="s">
        <v>570</v>
      </c>
      <c r="Z3" s="398"/>
      <c r="AA3" s="395" t="s">
        <v>177</v>
      </c>
      <c r="AB3" s="396"/>
      <c r="AC3" s="396"/>
    </row>
    <row r="4" spans="1:30" s="96" customFormat="1" ht="30.75" customHeight="1">
      <c r="A4" s="391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93"/>
      <c r="P4" s="401"/>
      <c r="Q4" s="180" t="s">
        <v>189</v>
      </c>
      <c r="R4" s="139" t="s">
        <v>100</v>
      </c>
      <c r="S4" s="141" t="s">
        <v>189</v>
      </c>
      <c r="T4" s="142" t="s">
        <v>100</v>
      </c>
      <c r="U4" s="143" t="s">
        <v>189</v>
      </c>
      <c r="V4" s="144" t="s">
        <v>100</v>
      </c>
      <c r="W4" s="147" t="s">
        <v>189</v>
      </c>
      <c r="X4" s="148" t="s">
        <v>100</v>
      </c>
      <c r="Y4" s="145" t="s">
        <v>189</v>
      </c>
      <c r="Z4" s="146" t="s">
        <v>100</v>
      </c>
      <c r="AA4" s="161" t="s">
        <v>189</v>
      </c>
      <c r="AB4" s="161" t="s">
        <v>100</v>
      </c>
      <c r="AC4" s="194" t="s">
        <v>631</v>
      </c>
    </row>
    <row r="5" spans="1:30" s="95" customFormat="1" ht="18" customHeight="1">
      <c r="A5" s="107">
        <v>2020</v>
      </c>
      <c r="B5" s="108">
        <v>3</v>
      </c>
      <c r="C5" s="108"/>
      <c r="D5" s="109" t="s">
        <v>425</v>
      </c>
      <c r="E5" s="109" t="s">
        <v>426</v>
      </c>
      <c r="F5" s="102" t="s">
        <v>562</v>
      </c>
      <c r="G5" s="108" t="s">
        <v>23</v>
      </c>
      <c r="H5" s="116" t="s">
        <v>576</v>
      </c>
      <c r="I5" s="117" t="s">
        <v>203</v>
      </c>
      <c r="J5" s="117"/>
      <c r="K5" s="241" t="s">
        <v>15</v>
      </c>
      <c r="L5" s="110" t="s">
        <v>206</v>
      </c>
      <c r="M5" s="117" t="s">
        <v>203</v>
      </c>
      <c r="N5" s="110" t="s">
        <v>560</v>
      </c>
      <c r="O5" s="118">
        <v>160000</v>
      </c>
      <c r="P5" s="188"/>
      <c r="Q5" s="110"/>
      <c r="R5" s="282">
        <f>Q5*$O5</f>
        <v>0</v>
      </c>
      <c r="S5" s="110"/>
      <c r="T5" s="282">
        <f>S5*$O5</f>
        <v>0</v>
      </c>
      <c r="U5" s="110"/>
      <c r="V5" s="282">
        <f>U5*$O5</f>
        <v>0</v>
      </c>
      <c r="W5" s="110"/>
      <c r="X5" s="282">
        <f>W5*$O5</f>
        <v>0</v>
      </c>
      <c r="Y5" s="110"/>
      <c r="Z5" s="282">
        <f>Y5*$O5</f>
        <v>0</v>
      </c>
      <c r="AA5" s="233">
        <f t="shared" ref="AA5:AA71" si="0">SUMIF($Q$4:$Z$4,"BÁN",$Q5:$Z5)</f>
        <v>0</v>
      </c>
      <c r="AB5" s="234">
        <f t="shared" ref="AB5:AB71" si="1">SUMIF($Q$4:$Z$4,"THÀNH TIỀN
BÁN THỰC TẾ",$Q5:$Z5)</f>
        <v>0</v>
      </c>
      <c r="AC5" s="195"/>
    </row>
    <row r="6" spans="1:30" s="95" customFormat="1" ht="18" customHeight="1">
      <c r="A6" s="107">
        <v>2020</v>
      </c>
      <c r="B6" s="108">
        <v>3</v>
      </c>
      <c r="C6" s="108"/>
      <c r="D6" s="102"/>
      <c r="E6" s="102"/>
      <c r="F6" s="102" t="s">
        <v>562</v>
      </c>
      <c r="G6" s="98" t="s">
        <v>23</v>
      </c>
      <c r="H6" s="99" t="s">
        <v>576</v>
      </c>
      <c r="I6" s="103" t="s">
        <v>2</v>
      </c>
      <c r="J6" s="103"/>
      <c r="K6" s="242" t="s">
        <v>491</v>
      </c>
      <c r="L6" s="101" t="s">
        <v>206</v>
      </c>
      <c r="M6" s="103" t="s">
        <v>2</v>
      </c>
      <c r="N6" s="101" t="s">
        <v>469</v>
      </c>
      <c r="O6" s="118">
        <v>180910</v>
      </c>
      <c r="P6" s="189"/>
      <c r="Q6" s="110"/>
      <c r="R6" s="282">
        <f t="shared" ref="R6:V69" si="2">Q6*$O6</f>
        <v>0</v>
      </c>
      <c r="S6" s="110"/>
      <c r="T6" s="282">
        <f t="shared" si="2"/>
        <v>0</v>
      </c>
      <c r="U6" s="110"/>
      <c r="V6" s="282">
        <f t="shared" si="2"/>
        <v>0</v>
      </c>
      <c r="W6" s="110"/>
      <c r="X6" s="282">
        <f t="shared" ref="X6:X69" si="3">W6*$O6</f>
        <v>0</v>
      </c>
      <c r="Y6" s="110"/>
      <c r="Z6" s="282">
        <f t="shared" ref="Z6:Z69" si="4">Y6*$O6</f>
        <v>0</v>
      </c>
      <c r="AA6" s="233">
        <f t="shared" si="0"/>
        <v>0</v>
      </c>
      <c r="AB6" s="234">
        <f t="shared" si="1"/>
        <v>0</v>
      </c>
      <c r="AC6" s="195"/>
    </row>
    <row r="7" spans="1:30" s="95" customFormat="1" ht="18" customHeight="1">
      <c r="A7" s="107">
        <v>2020</v>
      </c>
      <c r="B7" s="108">
        <v>3</v>
      </c>
      <c r="C7" s="108"/>
      <c r="D7" s="102"/>
      <c r="E7" s="102"/>
      <c r="F7" s="102" t="s">
        <v>562</v>
      </c>
      <c r="G7" s="98" t="s">
        <v>23</v>
      </c>
      <c r="H7" s="99" t="s">
        <v>576</v>
      </c>
      <c r="I7" s="103" t="s">
        <v>2</v>
      </c>
      <c r="J7" s="103"/>
      <c r="K7" s="242" t="s">
        <v>492</v>
      </c>
      <c r="L7" s="101" t="s">
        <v>206</v>
      </c>
      <c r="M7" s="103" t="s">
        <v>2</v>
      </c>
      <c r="N7" s="101" t="s">
        <v>475</v>
      </c>
      <c r="O7" s="118">
        <v>202637</v>
      </c>
      <c r="P7" s="189"/>
      <c r="Q7" s="110"/>
      <c r="R7" s="282">
        <f t="shared" si="2"/>
        <v>0</v>
      </c>
      <c r="S7" s="110"/>
      <c r="T7" s="282">
        <f t="shared" si="2"/>
        <v>0</v>
      </c>
      <c r="U7" s="110"/>
      <c r="V7" s="282">
        <f t="shared" si="2"/>
        <v>0</v>
      </c>
      <c r="W7" s="110"/>
      <c r="X7" s="282">
        <f t="shared" si="3"/>
        <v>0</v>
      </c>
      <c r="Y7" s="110"/>
      <c r="Z7" s="282">
        <f t="shared" si="4"/>
        <v>0</v>
      </c>
      <c r="AA7" s="233">
        <f t="shared" si="0"/>
        <v>0</v>
      </c>
      <c r="AB7" s="234">
        <f t="shared" si="1"/>
        <v>0</v>
      </c>
      <c r="AC7" s="195"/>
    </row>
    <row r="8" spans="1:30" s="95" customFormat="1" ht="18" customHeight="1">
      <c r="A8" s="107">
        <v>2020</v>
      </c>
      <c r="B8" s="108">
        <v>3</v>
      </c>
      <c r="C8" s="108"/>
      <c r="D8" s="102"/>
      <c r="E8" s="102"/>
      <c r="F8" s="102" t="s">
        <v>562</v>
      </c>
      <c r="G8" s="98" t="s">
        <v>23</v>
      </c>
      <c r="H8" s="99" t="s">
        <v>576</v>
      </c>
      <c r="I8" s="103" t="s">
        <v>2</v>
      </c>
      <c r="J8" s="103"/>
      <c r="K8" s="242" t="s">
        <v>493</v>
      </c>
      <c r="L8" s="101" t="s">
        <v>206</v>
      </c>
      <c r="M8" s="103" t="s">
        <v>2</v>
      </c>
      <c r="N8" s="101" t="s">
        <v>471</v>
      </c>
      <c r="O8" s="118">
        <v>237182</v>
      </c>
      <c r="P8" s="189"/>
      <c r="Q8" s="110"/>
      <c r="R8" s="282">
        <f t="shared" si="2"/>
        <v>0</v>
      </c>
      <c r="S8" s="110"/>
      <c r="T8" s="282">
        <f t="shared" si="2"/>
        <v>0</v>
      </c>
      <c r="U8" s="110"/>
      <c r="V8" s="282">
        <f t="shared" si="2"/>
        <v>0</v>
      </c>
      <c r="W8" s="110"/>
      <c r="X8" s="282">
        <f t="shared" si="3"/>
        <v>0</v>
      </c>
      <c r="Y8" s="110"/>
      <c r="Z8" s="282">
        <f t="shared" si="4"/>
        <v>0</v>
      </c>
      <c r="AA8" s="233">
        <f t="shared" si="0"/>
        <v>0</v>
      </c>
      <c r="AB8" s="234">
        <f t="shared" si="1"/>
        <v>0</v>
      </c>
      <c r="AC8" s="195"/>
    </row>
    <row r="9" spans="1:30" s="95" customFormat="1" ht="18" customHeight="1">
      <c r="A9" s="107">
        <v>2020</v>
      </c>
      <c r="B9" s="108">
        <v>3</v>
      </c>
      <c r="C9" s="108"/>
      <c r="D9" s="102"/>
      <c r="E9" s="102"/>
      <c r="F9" s="102" t="s">
        <v>562</v>
      </c>
      <c r="G9" s="98" t="s">
        <v>23</v>
      </c>
      <c r="H9" s="99" t="s">
        <v>576</v>
      </c>
      <c r="I9" s="103" t="s">
        <v>2</v>
      </c>
      <c r="J9" s="103"/>
      <c r="K9" s="242" t="s">
        <v>494</v>
      </c>
      <c r="L9" s="101" t="s">
        <v>206</v>
      </c>
      <c r="M9" s="103" t="s">
        <v>2</v>
      </c>
      <c r="N9" s="101" t="s">
        <v>461</v>
      </c>
      <c r="O9" s="118">
        <v>282637</v>
      </c>
      <c r="P9" s="189"/>
      <c r="Q9" s="110"/>
      <c r="R9" s="282">
        <f t="shared" si="2"/>
        <v>0</v>
      </c>
      <c r="S9" s="110"/>
      <c r="T9" s="282">
        <f t="shared" si="2"/>
        <v>0</v>
      </c>
      <c r="U9" s="110"/>
      <c r="V9" s="282">
        <f t="shared" si="2"/>
        <v>0</v>
      </c>
      <c r="W9" s="110"/>
      <c r="X9" s="282">
        <f t="shared" si="3"/>
        <v>0</v>
      </c>
      <c r="Y9" s="110"/>
      <c r="Z9" s="282">
        <f t="shared" si="4"/>
        <v>0</v>
      </c>
      <c r="AA9" s="233">
        <f t="shared" si="0"/>
        <v>0</v>
      </c>
      <c r="AB9" s="234">
        <f t="shared" si="1"/>
        <v>0</v>
      </c>
      <c r="AC9" s="195"/>
    </row>
    <row r="10" spans="1:30" s="95" customFormat="1" ht="18" customHeight="1">
      <c r="A10" s="107">
        <v>2020</v>
      </c>
      <c r="B10" s="108">
        <v>3</v>
      </c>
      <c r="C10" s="108"/>
      <c r="D10" s="102"/>
      <c r="E10" s="102"/>
      <c r="F10" s="102" t="s">
        <v>562</v>
      </c>
      <c r="G10" s="98" t="s">
        <v>23</v>
      </c>
      <c r="H10" s="99" t="s">
        <v>576</v>
      </c>
      <c r="I10" s="103" t="s">
        <v>2</v>
      </c>
      <c r="J10" s="103"/>
      <c r="K10" s="242" t="s">
        <v>495</v>
      </c>
      <c r="L10" s="101" t="s">
        <v>206</v>
      </c>
      <c r="M10" s="103" t="s">
        <v>2</v>
      </c>
      <c r="N10" s="101" t="s">
        <v>463</v>
      </c>
      <c r="O10" s="118">
        <v>316273</v>
      </c>
      <c r="P10" s="189"/>
      <c r="Q10" s="110"/>
      <c r="R10" s="282">
        <f t="shared" si="2"/>
        <v>0</v>
      </c>
      <c r="S10" s="110"/>
      <c r="T10" s="282">
        <f t="shared" si="2"/>
        <v>0</v>
      </c>
      <c r="U10" s="110"/>
      <c r="V10" s="282">
        <f t="shared" si="2"/>
        <v>0</v>
      </c>
      <c r="W10" s="110"/>
      <c r="X10" s="282">
        <f t="shared" si="3"/>
        <v>0</v>
      </c>
      <c r="Y10" s="110"/>
      <c r="Z10" s="282">
        <f t="shared" si="4"/>
        <v>0</v>
      </c>
      <c r="AA10" s="233">
        <f t="shared" si="0"/>
        <v>0</v>
      </c>
      <c r="AB10" s="234">
        <f t="shared" si="1"/>
        <v>0</v>
      </c>
      <c r="AC10" s="195"/>
    </row>
    <row r="11" spans="1:30" s="95" customFormat="1" ht="18" customHeight="1">
      <c r="A11" s="107">
        <v>2020</v>
      </c>
      <c r="B11" s="108">
        <v>3</v>
      </c>
      <c r="C11" s="108"/>
      <c r="D11" s="102"/>
      <c r="E11" s="102"/>
      <c r="F11" s="102" t="s">
        <v>562</v>
      </c>
      <c r="G11" s="98" t="s">
        <v>23</v>
      </c>
      <c r="H11" s="99" t="s">
        <v>576</v>
      </c>
      <c r="I11" s="103" t="s">
        <v>2</v>
      </c>
      <c r="J11" s="103"/>
      <c r="K11" s="242" t="s">
        <v>496</v>
      </c>
      <c r="L11" s="101" t="s">
        <v>206</v>
      </c>
      <c r="M11" s="103" t="s">
        <v>2</v>
      </c>
      <c r="N11" s="101" t="s">
        <v>462</v>
      </c>
      <c r="O11" s="118">
        <v>422637</v>
      </c>
      <c r="P11" s="189"/>
      <c r="Q11" s="110"/>
      <c r="R11" s="282">
        <f t="shared" si="2"/>
        <v>0</v>
      </c>
      <c r="S11" s="110"/>
      <c r="T11" s="282">
        <f t="shared" si="2"/>
        <v>0</v>
      </c>
      <c r="U11" s="110"/>
      <c r="V11" s="282">
        <f t="shared" si="2"/>
        <v>0</v>
      </c>
      <c r="W11" s="110"/>
      <c r="X11" s="282">
        <f t="shared" si="3"/>
        <v>0</v>
      </c>
      <c r="Y11" s="110"/>
      <c r="Z11" s="282">
        <f t="shared" si="4"/>
        <v>0</v>
      </c>
      <c r="AA11" s="233">
        <f t="shared" si="0"/>
        <v>0</v>
      </c>
      <c r="AB11" s="234">
        <f t="shared" si="1"/>
        <v>0</v>
      </c>
      <c r="AC11" s="195"/>
    </row>
    <row r="12" spans="1:30" s="95" customFormat="1" ht="18" customHeight="1">
      <c r="A12" s="107">
        <v>2020</v>
      </c>
      <c r="B12" s="108">
        <v>3</v>
      </c>
      <c r="C12" s="108"/>
      <c r="D12" s="102"/>
      <c r="E12" s="102"/>
      <c r="F12" s="102" t="s">
        <v>562</v>
      </c>
      <c r="G12" s="98" t="s">
        <v>23</v>
      </c>
      <c r="H12" s="99" t="s">
        <v>576</v>
      </c>
      <c r="I12" s="103" t="s">
        <v>2</v>
      </c>
      <c r="J12" s="103"/>
      <c r="K12" s="242" t="s">
        <v>497</v>
      </c>
      <c r="L12" s="101" t="s">
        <v>206</v>
      </c>
      <c r="M12" s="103" t="s">
        <v>2</v>
      </c>
      <c r="N12" s="101" t="s">
        <v>464</v>
      </c>
      <c r="O12" s="118">
        <v>537182</v>
      </c>
      <c r="P12" s="189"/>
      <c r="Q12" s="110"/>
      <c r="R12" s="282">
        <f t="shared" si="2"/>
        <v>0</v>
      </c>
      <c r="S12" s="110"/>
      <c r="T12" s="282">
        <f t="shared" si="2"/>
        <v>0</v>
      </c>
      <c r="U12" s="110"/>
      <c r="V12" s="282">
        <f t="shared" si="2"/>
        <v>0</v>
      </c>
      <c r="W12" s="110"/>
      <c r="X12" s="282">
        <f t="shared" si="3"/>
        <v>0</v>
      </c>
      <c r="Y12" s="110"/>
      <c r="Z12" s="282">
        <f t="shared" si="4"/>
        <v>0</v>
      </c>
      <c r="AA12" s="233">
        <f t="shared" si="0"/>
        <v>0</v>
      </c>
      <c r="AB12" s="234">
        <f t="shared" si="1"/>
        <v>0</v>
      </c>
      <c r="AC12" s="195"/>
    </row>
    <row r="13" spans="1:30" s="119" customFormat="1" ht="18" customHeight="1">
      <c r="A13" s="107">
        <v>2020</v>
      </c>
      <c r="B13" s="108">
        <v>3</v>
      </c>
      <c r="C13" s="108"/>
      <c r="D13" s="102"/>
      <c r="E13" s="102"/>
      <c r="F13" s="102" t="s">
        <v>562</v>
      </c>
      <c r="G13" s="98" t="s">
        <v>23</v>
      </c>
      <c r="H13" s="99" t="s">
        <v>576</v>
      </c>
      <c r="I13" s="103"/>
      <c r="J13" s="103"/>
      <c r="K13" s="242" t="s">
        <v>153</v>
      </c>
      <c r="L13" s="101" t="s">
        <v>206</v>
      </c>
      <c r="M13" s="103"/>
      <c r="N13" s="101" t="s">
        <v>469</v>
      </c>
      <c r="O13" s="118">
        <v>205364</v>
      </c>
      <c r="P13" s="189"/>
      <c r="Q13" s="110"/>
      <c r="R13" s="282">
        <f t="shared" si="2"/>
        <v>0</v>
      </c>
      <c r="S13" s="110"/>
      <c r="T13" s="282">
        <f t="shared" si="2"/>
        <v>0</v>
      </c>
      <c r="U13" s="110"/>
      <c r="V13" s="282">
        <f t="shared" si="2"/>
        <v>0</v>
      </c>
      <c r="W13" s="110"/>
      <c r="X13" s="282">
        <f t="shared" si="3"/>
        <v>0</v>
      </c>
      <c r="Y13" s="110"/>
      <c r="Z13" s="282">
        <f t="shared" si="4"/>
        <v>0</v>
      </c>
      <c r="AA13" s="233">
        <f t="shared" si="0"/>
        <v>0</v>
      </c>
      <c r="AB13" s="234">
        <f t="shared" si="1"/>
        <v>0</v>
      </c>
      <c r="AC13" s="195"/>
      <c r="AD13" s="95"/>
    </row>
    <row r="14" spans="1:30" s="119" customFormat="1" ht="18" customHeight="1">
      <c r="A14" s="107">
        <v>2020</v>
      </c>
      <c r="B14" s="108">
        <v>3</v>
      </c>
      <c r="C14" s="108"/>
      <c r="D14" s="102"/>
      <c r="E14" s="102"/>
      <c r="F14" s="102" t="s">
        <v>562</v>
      </c>
      <c r="G14" s="98" t="s">
        <v>23</v>
      </c>
      <c r="H14" s="99" t="s">
        <v>576</v>
      </c>
      <c r="I14" s="103"/>
      <c r="J14" s="103"/>
      <c r="K14" s="242" t="s">
        <v>154</v>
      </c>
      <c r="L14" s="101" t="s">
        <v>206</v>
      </c>
      <c r="M14" s="103"/>
      <c r="N14" s="101" t="s">
        <v>475</v>
      </c>
      <c r="O14" s="118">
        <v>237182</v>
      </c>
      <c r="P14" s="189"/>
      <c r="Q14" s="110"/>
      <c r="R14" s="282">
        <f t="shared" si="2"/>
        <v>0</v>
      </c>
      <c r="S14" s="110"/>
      <c r="T14" s="282">
        <f t="shared" si="2"/>
        <v>0</v>
      </c>
      <c r="U14" s="110"/>
      <c r="V14" s="282">
        <f t="shared" si="2"/>
        <v>0</v>
      </c>
      <c r="W14" s="110"/>
      <c r="X14" s="282">
        <f t="shared" si="3"/>
        <v>0</v>
      </c>
      <c r="Y14" s="110"/>
      <c r="Z14" s="282">
        <f t="shared" si="4"/>
        <v>0</v>
      </c>
      <c r="AA14" s="233">
        <f t="shared" si="0"/>
        <v>0</v>
      </c>
      <c r="AB14" s="234">
        <f t="shared" si="1"/>
        <v>0</v>
      </c>
      <c r="AC14" s="195"/>
      <c r="AD14" s="95"/>
    </row>
    <row r="15" spans="1:30" s="119" customFormat="1" ht="18" customHeight="1">
      <c r="A15" s="107">
        <v>2020</v>
      </c>
      <c r="B15" s="108">
        <v>3</v>
      </c>
      <c r="C15" s="108"/>
      <c r="D15" s="102"/>
      <c r="E15" s="102"/>
      <c r="F15" s="102" t="s">
        <v>562</v>
      </c>
      <c r="G15" s="98" t="s">
        <v>23</v>
      </c>
      <c r="H15" s="99" t="s">
        <v>576</v>
      </c>
      <c r="I15" s="103"/>
      <c r="J15" s="103"/>
      <c r="K15" s="242" t="s">
        <v>155</v>
      </c>
      <c r="L15" s="101" t="s">
        <v>206</v>
      </c>
      <c r="M15" s="103"/>
      <c r="N15" s="101" t="s">
        <v>471</v>
      </c>
      <c r="O15" s="118">
        <v>268091</v>
      </c>
      <c r="P15" s="189"/>
      <c r="Q15" s="110"/>
      <c r="R15" s="282">
        <f t="shared" si="2"/>
        <v>0</v>
      </c>
      <c r="S15" s="110"/>
      <c r="T15" s="282">
        <f t="shared" si="2"/>
        <v>0</v>
      </c>
      <c r="U15" s="110"/>
      <c r="V15" s="282">
        <f t="shared" si="2"/>
        <v>0</v>
      </c>
      <c r="W15" s="110"/>
      <c r="X15" s="282">
        <f t="shared" si="3"/>
        <v>0</v>
      </c>
      <c r="Y15" s="110"/>
      <c r="Z15" s="282">
        <f t="shared" si="4"/>
        <v>0</v>
      </c>
      <c r="AA15" s="233">
        <f t="shared" si="0"/>
        <v>0</v>
      </c>
      <c r="AB15" s="234">
        <f t="shared" si="1"/>
        <v>0</v>
      </c>
      <c r="AC15" s="195"/>
      <c r="AD15" s="95"/>
    </row>
    <row r="16" spans="1:30" s="119" customFormat="1" ht="18" customHeight="1">
      <c r="A16" s="107">
        <v>2020</v>
      </c>
      <c r="B16" s="108">
        <v>3</v>
      </c>
      <c r="C16" s="108"/>
      <c r="D16" s="102"/>
      <c r="E16" s="102"/>
      <c r="F16" s="102" t="s">
        <v>562</v>
      </c>
      <c r="G16" s="98" t="s">
        <v>23</v>
      </c>
      <c r="H16" s="99" t="s">
        <v>576</v>
      </c>
      <c r="I16" s="103"/>
      <c r="J16" s="103"/>
      <c r="K16" s="242" t="s">
        <v>156</v>
      </c>
      <c r="L16" s="101" t="s">
        <v>206</v>
      </c>
      <c r="M16" s="103"/>
      <c r="N16" s="101" t="s">
        <v>461</v>
      </c>
      <c r="O16" s="118">
        <v>299000</v>
      </c>
      <c r="P16" s="189"/>
      <c r="Q16" s="110"/>
      <c r="R16" s="282">
        <f t="shared" si="2"/>
        <v>0</v>
      </c>
      <c r="S16" s="110"/>
      <c r="T16" s="282">
        <f t="shared" si="2"/>
        <v>0</v>
      </c>
      <c r="U16" s="110"/>
      <c r="V16" s="282">
        <f t="shared" si="2"/>
        <v>0</v>
      </c>
      <c r="W16" s="110"/>
      <c r="X16" s="282">
        <f t="shared" si="3"/>
        <v>0</v>
      </c>
      <c r="Y16" s="110"/>
      <c r="Z16" s="282">
        <f t="shared" si="4"/>
        <v>0</v>
      </c>
      <c r="AA16" s="233">
        <f t="shared" si="0"/>
        <v>0</v>
      </c>
      <c r="AB16" s="234">
        <f t="shared" si="1"/>
        <v>0</v>
      </c>
      <c r="AC16" s="195"/>
      <c r="AD16" s="95"/>
    </row>
    <row r="17" spans="1:30" s="119" customFormat="1" ht="18" customHeight="1">
      <c r="A17" s="107">
        <v>2019</v>
      </c>
      <c r="B17" s="108">
        <v>10</v>
      </c>
      <c r="C17" s="108"/>
      <c r="D17" s="102"/>
      <c r="E17" s="102"/>
      <c r="F17" s="102" t="s">
        <v>562</v>
      </c>
      <c r="G17" s="98" t="s">
        <v>23</v>
      </c>
      <c r="H17" s="99" t="s">
        <v>576</v>
      </c>
      <c r="I17" s="103"/>
      <c r="J17" s="103"/>
      <c r="K17" s="242" t="s">
        <v>451</v>
      </c>
      <c r="L17" s="101" t="s">
        <v>206</v>
      </c>
      <c r="M17" s="103"/>
      <c r="N17" s="101" t="s">
        <v>463</v>
      </c>
      <c r="O17" s="118">
        <v>323100</v>
      </c>
      <c r="P17" s="189"/>
      <c r="Q17" s="110"/>
      <c r="R17" s="282">
        <f t="shared" si="2"/>
        <v>0</v>
      </c>
      <c r="S17" s="110"/>
      <c r="T17" s="282">
        <f t="shared" si="2"/>
        <v>0</v>
      </c>
      <c r="U17" s="110"/>
      <c r="V17" s="282">
        <f t="shared" si="2"/>
        <v>0</v>
      </c>
      <c r="W17" s="110"/>
      <c r="X17" s="282">
        <f t="shared" si="3"/>
        <v>0</v>
      </c>
      <c r="Y17" s="110"/>
      <c r="Z17" s="282">
        <f t="shared" si="4"/>
        <v>0</v>
      </c>
      <c r="AA17" s="233">
        <f>SUMIF($Q$4:$Z$4,"BÁN",$Q17:$Z17)</f>
        <v>0</v>
      </c>
      <c r="AB17" s="234">
        <f>SUMIF($Q$4:$Z$4,"THÀNH TIỀN
BÁN THỰC TẾ",$Q17:$Z17)</f>
        <v>0</v>
      </c>
      <c r="AC17" s="195"/>
      <c r="AD17" s="95"/>
    </row>
    <row r="18" spans="1:30" s="119" customFormat="1" ht="18" customHeight="1">
      <c r="A18" s="107">
        <v>2019</v>
      </c>
      <c r="B18" s="108">
        <v>10</v>
      </c>
      <c r="C18" s="108"/>
      <c r="D18" s="102"/>
      <c r="E18" s="102"/>
      <c r="F18" s="102" t="s">
        <v>562</v>
      </c>
      <c r="G18" s="98" t="s">
        <v>23</v>
      </c>
      <c r="H18" s="99" t="s">
        <v>576</v>
      </c>
      <c r="I18" s="103"/>
      <c r="J18" s="103"/>
      <c r="K18" s="242" t="s">
        <v>452</v>
      </c>
      <c r="L18" s="101" t="s">
        <v>206</v>
      </c>
      <c r="M18" s="103"/>
      <c r="N18" s="101" t="s">
        <v>462</v>
      </c>
      <c r="O18" s="118">
        <v>359100</v>
      </c>
      <c r="P18" s="189"/>
      <c r="Q18" s="110"/>
      <c r="R18" s="282">
        <f t="shared" si="2"/>
        <v>0</v>
      </c>
      <c r="S18" s="110"/>
      <c r="T18" s="282">
        <f t="shared" si="2"/>
        <v>0</v>
      </c>
      <c r="U18" s="110"/>
      <c r="V18" s="282">
        <f t="shared" si="2"/>
        <v>0</v>
      </c>
      <c r="W18" s="110"/>
      <c r="X18" s="282">
        <f t="shared" si="3"/>
        <v>0</v>
      </c>
      <c r="Y18" s="110"/>
      <c r="Z18" s="282">
        <f t="shared" si="4"/>
        <v>0</v>
      </c>
      <c r="AA18" s="233">
        <f>SUMIF($Q$4:$Z$4,"BÁN",$Q18:$Z18)</f>
        <v>0</v>
      </c>
      <c r="AB18" s="234">
        <f>SUMIF($Q$4:$Z$4,"THÀNH TIỀN
BÁN THỰC TẾ",$Q18:$Z18)</f>
        <v>0</v>
      </c>
      <c r="AC18" s="195"/>
      <c r="AD18" s="95"/>
    </row>
    <row r="19" spans="1:30" s="119" customFormat="1" ht="18" customHeight="1">
      <c r="A19" s="107">
        <v>2019</v>
      </c>
      <c r="B19" s="108">
        <v>10</v>
      </c>
      <c r="C19" s="108"/>
      <c r="D19" s="102"/>
      <c r="E19" s="102"/>
      <c r="F19" s="102" t="s">
        <v>562</v>
      </c>
      <c r="G19" s="98" t="s">
        <v>23</v>
      </c>
      <c r="H19" s="99" t="s">
        <v>576</v>
      </c>
      <c r="I19" s="103" t="s">
        <v>34</v>
      </c>
      <c r="J19" s="103"/>
      <c r="K19" s="242" t="s">
        <v>128</v>
      </c>
      <c r="L19" s="101" t="s">
        <v>206</v>
      </c>
      <c r="M19" s="103" t="s">
        <v>34</v>
      </c>
      <c r="N19" s="101" t="s">
        <v>462</v>
      </c>
      <c r="O19" s="118">
        <f>398000*0.9</f>
        <v>358200</v>
      </c>
      <c r="P19" s="189"/>
      <c r="Q19" s="110"/>
      <c r="R19" s="282">
        <f t="shared" si="2"/>
        <v>0</v>
      </c>
      <c r="S19" s="110"/>
      <c r="T19" s="282">
        <f t="shared" si="2"/>
        <v>0</v>
      </c>
      <c r="U19" s="110"/>
      <c r="V19" s="282">
        <f t="shared" si="2"/>
        <v>0</v>
      </c>
      <c r="W19" s="110"/>
      <c r="X19" s="282">
        <f t="shared" si="3"/>
        <v>0</v>
      </c>
      <c r="Y19" s="110"/>
      <c r="Z19" s="282">
        <f t="shared" si="4"/>
        <v>0</v>
      </c>
      <c r="AA19" s="233">
        <f>SUMIF($Q$4:$Z$4,"BÁN",$Q19:$Z19)</f>
        <v>0</v>
      </c>
      <c r="AB19" s="234">
        <f>SUMIF($Q$4:$Z$4,"THÀNH TIỀN
BÁN THỰC TẾ",$Q19:$Z19)</f>
        <v>0</v>
      </c>
      <c r="AC19" s="195"/>
      <c r="AD19" s="95"/>
    </row>
    <row r="20" spans="1:30" s="95" customFormat="1" ht="18" customHeight="1">
      <c r="A20" s="107">
        <v>2020</v>
      </c>
      <c r="B20" s="108">
        <v>3</v>
      </c>
      <c r="C20" s="108"/>
      <c r="D20" s="102"/>
      <c r="E20" s="102"/>
      <c r="F20" s="102" t="s">
        <v>562</v>
      </c>
      <c r="G20" s="98" t="s">
        <v>23</v>
      </c>
      <c r="H20" s="99" t="s">
        <v>576</v>
      </c>
      <c r="I20" s="103" t="s">
        <v>239</v>
      </c>
      <c r="J20" s="103"/>
      <c r="K20" s="242" t="s">
        <v>236</v>
      </c>
      <c r="L20" s="101" t="s">
        <v>499</v>
      </c>
      <c r="M20" s="103" t="s">
        <v>239</v>
      </c>
      <c r="N20" s="101" t="s">
        <v>469</v>
      </c>
      <c r="O20" s="118">
        <v>281727.27272727271</v>
      </c>
      <c r="P20" s="189"/>
      <c r="Q20" s="110"/>
      <c r="R20" s="282">
        <f t="shared" si="2"/>
        <v>0</v>
      </c>
      <c r="S20" s="110"/>
      <c r="T20" s="282">
        <f t="shared" si="2"/>
        <v>0</v>
      </c>
      <c r="U20" s="110"/>
      <c r="V20" s="282">
        <f t="shared" si="2"/>
        <v>0</v>
      </c>
      <c r="W20" s="110"/>
      <c r="X20" s="282">
        <f t="shared" si="3"/>
        <v>0</v>
      </c>
      <c r="Y20" s="110"/>
      <c r="Z20" s="282">
        <f t="shared" si="4"/>
        <v>0</v>
      </c>
      <c r="AA20" s="233">
        <f t="shared" si="0"/>
        <v>0</v>
      </c>
      <c r="AB20" s="234">
        <f t="shared" si="1"/>
        <v>0</v>
      </c>
      <c r="AC20" s="195"/>
    </row>
    <row r="21" spans="1:30" s="95" customFormat="1" ht="18" customHeight="1">
      <c r="A21" s="107">
        <v>2020</v>
      </c>
      <c r="B21" s="108">
        <v>3</v>
      </c>
      <c r="C21" s="108"/>
      <c r="D21" s="102"/>
      <c r="E21" s="102"/>
      <c r="F21" s="102" t="s">
        <v>562</v>
      </c>
      <c r="G21" s="98" t="s">
        <v>23</v>
      </c>
      <c r="H21" s="99" t="s">
        <v>576</v>
      </c>
      <c r="I21" s="103" t="s">
        <v>239</v>
      </c>
      <c r="J21" s="103"/>
      <c r="K21" s="242" t="s">
        <v>237</v>
      </c>
      <c r="L21" s="101" t="s">
        <v>499</v>
      </c>
      <c r="M21" s="103" t="s">
        <v>239</v>
      </c>
      <c r="N21" s="101" t="s">
        <v>475</v>
      </c>
      <c r="O21" s="118">
        <v>327181.81818181818</v>
      </c>
      <c r="P21" s="189"/>
      <c r="Q21" s="110"/>
      <c r="R21" s="282">
        <f t="shared" si="2"/>
        <v>0</v>
      </c>
      <c r="S21" s="110"/>
      <c r="T21" s="282">
        <f t="shared" si="2"/>
        <v>0</v>
      </c>
      <c r="U21" s="110"/>
      <c r="V21" s="282">
        <f t="shared" si="2"/>
        <v>0</v>
      </c>
      <c r="W21" s="110"/>
      <c r="X21" s="282">
        <f t="shared" si="3"/>
        <v>0</v>
      </c>
      <c r="Y21" s="110"/>
      <c r="Z21" s="282">
        <f t="shared" si="4"/>
        <v>0</v>
      </c>
      <c r="AA21" s="233">
        <f t="shared" si="0"/>
        <v>0</v>
      </c>
      <c r="AB21" s="234">
        <f t="shared" si="1"/>
        <v>0</v>
      </c>
      <c r="AC21" s="195"/>
    </row>
    <row r="22" spans="1:30" s="95" customFormat="1" ht="18" customHeight="1">
      <c r="A22" s="107">
        <v>2020</v>
      </c>
      <c r="B22" s="108">
        <v>3</v>
      </c>
      <c r="C22" s="108"/>
      <c r="D22" s="102"/>
      <c r="E22" s="102"/>
      <c r="F22" s="102" t="s">
        <v>562</v>
      </c>
      <c r="G22" s="98" t="s">
        <v>23</v>
      </c>
      <c r="H22" s="99" t="s">
        <v>576</v>
      </c>
      <c r="I22" s="103" t="s">
        <v>239</v>
      </c>
      <c r="J22" s="103"/>
      <c r="K22" s="242" t="s">
        <v>238</v>
      </c>
      <c r="L22" s="101" t="s">
        <v>499</v>
      </c>
      <c r="M22" s="103" t="s">
        <v>239</v>
      </c>
      <c r="N22" s="101" t="s">
        <v>461</v>
      </c>
      <c r="O22" s="118">
        <v>354454.54545454541</v>
      </c>
      <c r="P22" s="189"/>
      <c r="Q22" s="110"/>
      <c r="R22" s="282">
        <f t="shared" si="2"/>
        <v>0</v>
      </c>
      <c r="S22" s="110"/>
      <c r="T22" s="282">
        <f t="shared" si="2"/>
        <v>0</v>
      </c>
      <c r="U22" s="110"/>
      <c r="V22" s="282">
        <f t="shared" si="2"/>
        <v>0</v>
      </c>
      <c r="W22" s="110"/>
      <c r="X22" s="282">
        <f t="shared" si="3"/>
        <v>0</v>
      </c>
      <c r="Y22" s="110"/>
      <c r="Z22" s="282">
        <f t="shared" si="4"/>
        <v>0</v>
      </c>
      <c r="AA22" s="233">
        <f t="shared" si="0"/>
        <v>0</v>
      </c>
      <c r="AB22" s="234">
        <f t="shared" si="1"/>
        <v>0</v>
      </c>
      <c r="AC22" s="195"/>
    </row>
    <row r="23" spans="1:30" s="95" customFormat="1" ht="18" customHeight="1">
      <c r="A23" s="107">
        <v>2020</v>
      </c>
      <c r="B23" s="108">
        <v>3</v>
      </c>
      <c r="C23" s="108"/>
      <c r="D23" s="102"/>
      <c r="E23" s="102"/>
      <c r="F23" s="102" t="s">
        <v>562</v>
      </c>
      <c r="G23" s="98" t="s">
        <v>23</v>
      </c>
      <c r="H23" s="99" t="s">
        <v>576</v>
      </c>
      <c r="I23" s="100" t="s">
        <v>500</v>
      </c>
      <c r="J23" s="100"/>
      <c r="K23" s="242" t="s">
        <v>250</v>
      </c>
      <c r="L23" s="101" t="s">
        <v>501</v>
      </c>
      <c r="M23" s="100" t="s">
        <v>500</v>
      </c>
      <c r="N23" s="101" t="s">
        <v>469</v>
      </c>
      <c r="O23" s="118">
        <v>276272.72727272724</v>
      </c>
      <c r="P23" s="189"/>
      <c r="Q23" s="110"/>
      <c r="R23" s="282">
        <f t="shared" si="2"/>
        <v>0</v>
      </c>
      <c r="S23" s="110"/>
      <c r="T23" s="282">
        <f t="shared" si="2"/>
        <v>0</v>
      </c>
      <c r="U23" s="110"/>
      <c r="V23" s="282">
        <f t="shared" si="2"/>
        <v>0</v>
      </c>
      <c r="W23" s="110"/>
      <c r="X23" s="282">
        <f t="shared" si="3"/>
        <v>0</v>
      </c>
      <c r="Y23" s="110"/>
      <c r="Z23" s="282">
        <f t="shared" si="4"/>
        <v>0</v>
      </c>
      <c r="AA23" s="233">
        <f t="shared" si="0"/>
        <v>0</v>
      </c>
      <c r="AB23" s="234">
        <f t="shared" si="1"/>
        <v>0</v>
      </c>
      <c r="AC23" s="195"/>
    </row>
    <row r="24" spans="1:30" s="95" customFormat="1" ht="18" customHeight="1">
      <c r="A24" s="107">
        <v>2020</v>
      </c>
      <c r="B24" s="108">
        <v>3</v>
      </c>
      <c r="C24" s="108"/>
      <c r="D24" s="102"/>
      <c r="E24" s="102"/>
      <c r="F24" s="102" t="s">
        <v>562</v>
      </c>
      <c r="G24" s="98" t="s">
        <v>23</v>
      </c>
      <c r="H24" s="99" t="s">
        <v>576</v>
      </c>
      <c r="I24" s="100" t="s">
        <v>500</v>
      </c>
      <c r="J24" s="100"/>
      <c r="K24" s="242" t="s">
        <v>251</v>
      </c>
      <c r="L24" s="101" t="s">
        <v>501</v>
      </c>
      <c r="M24" s="100" t="s">
        <v>500</v>
      </c>
      <c r="N24" s="101" t="s">
        <v>475</v>
      </c>
      <c r="O24" s="118">
        <v>327181.81818181818</v>
      </c>
      <c r="P24" s="189"/>
      <c r="Q24" s="110"/>
      <c r="R24" s="282">
        <f t="shared" si="2"/>
        <v>0</v>
      </c>
      <c r="S24" s="110"/>
      <c r="T24" s="282">
        <f t="shared" si="2"/>
        <v>0</v>
      </c>
      <c r="U24" s="110"/>
      <c r="V24" s="282">
        <f t="shared" si="2"/>
        <v>0</v>
      </c>
      <c r="W24" s="110"/>
      <c r="X24" s="282">
        <f t="shared" si="3"/>
        <v>0</v>
      </c>
      <c r="Y24" s="110"/>
      <c r="Z24" s="282">
        <f t="shared" si="4"/>
        <v>0</v>
      </c>
      <c r="AA24" s="233">
        <f t="shared" si="0"/>
        <v>0</v>
      </c>
      <c r="AB24" s="234">
        <f t="shared" si="1"/>
        <v>0</v>
      </c>
      <c r="AC24" s="195"/>
    </row>
    <row r="25" spans="1:30" s="95" customFormat="1" ht="18" customHeight="1">
      <c r="A25" s="107">
        <v>2020</v>
      </c>
      <c r="B25" s="108">
        <v>3</v>
      </c>
      <c r="C25" s="108"/>
      <c r="D25" s="102"/>
      <c r="E25" s="102"/>
      <c r="F25" s="102" t="s">
        <v>562</v>
      </c>
      <c r="G25" s="98" t="s">
        <v>23</v>
      </c>
      <c r="H25" s="99" t="s">
        <v>576</v>
      </c>
      <c r="I25" s="100" t="s">
        <v>500</v>
      </c>
      <c r="J25" s="100"/>
      <c r="K25" s="242" t="s">
        <v>252</v>
      </c>
      <c r="L25" s="101" t="s">
        <v>501</v>
      </c>
      <c r="M25" s="100" t="s">
        <v>500</v>
      </c>
      <c r="N25" s="101" t="s">
        <v>461</v>
      </c>
      <c r="O25" s="118">
        <v>363545.45454545453</v>
      </c>
      <c r="P25" s="189"/>
      <c r="Q25" s="110"/>
      <c r="R25" s="282">
        <f t="shared" si="2"/>
        <v>0</v>
      </c>
      <c r="S25" s="110"/>
      <c r="T25" s="282">
        <f t="shared" si="2"/>
        <v>0</v>
      </c>
      <c r="U25" s="110"/>
      <c r="V25" s="282">
        <f t="shared" si="2"/>
        <v>0</v>
      </c>
      <c r="W25" s="110"/>
      <c r="X25" s="282">
        <f t="shared" si="3"/>
        <v>0</v>
      </c>
      <c r="Y25" s="110"/>
      <c r="Z25" s="282">
        <f t="shared" si="4"/>
        <v>0</v>
      </c>
      <c r="AA25" s="233">
        <f t="shared" si="0"/>
        <v>0</v>
      </c>
      <c r="AB25" s="234">
        <f t="shared" si="1"/>
        <v>0</v>
      </c>
      <c r="AC25" s="195"/>
    </row>
    <row r="26" spans="1:30" s="95" customFormat="1" ht="18" customHeight="1">
      <c r="A26" s="107">
        <v>2020</v>
      </c>
      <c r="B26" s="108">
        <v>3</v>
      </c>
      <c r="C26" s="108"/>
      <c r="D26" s="102"/>
      <c r="E26" s="102"/>
      <c r="F26" s="102" t="s">
        <v>562</v>
      </c>
      <c r="G26" s="98" t="s">
        <v>23</v>
      </c>
      <c r="H26" s="99" t="s">
        <v>576</v>
      </c>
      <c r="I26" s="100" t="s">
        <v>500</v>
      </c>
      <c r="J26" s="100"/>
      <c r="K26" s="242" t="s">
        <v>254</v>
      </c>
      <c r="L26" s="101" t="s">
        <v>502</v>
      </c>
      <c r="M26" s="100" t="s">
        <v>500</v>
      </c>
      <c r="N26" s="101" t="s">
        <v>469</v>
      </c>
      <c r="O26" s="118">
        <v>272636.36363636359</v>
      </c>
      <c r="P26" s="189"/>
      <c r="Q26" s="110"/>
      <c r="R26" s="282">
        <f t="shared" si="2"/>
        <v>0</v>
      </c>
      <c r="S26" s="110"/>
      <c r="T26" s="282">
        <f t="shared" si="2"/>
        <v>0</v>
      </c>
      <c r="U26" s="110"/>
      <c r="V26" s="282">
        <f t="shared" si="2"/>
        <v>0</v>
      </c>
      <c r="W26" s="110"/>
      <c r="X26" s="282">
        <f t="shared" si="3"/>
        <v>0</v>
      </c>
      <c r="Y26" s="110"/>
      <c r="Z26" s="282">
        <f t="shared" si="4"/>
        <v>0</v>
      </c>
      <c r="AA26" s="233">
        <f t="shared" si="0"/>
        <v>0</v>
      </c>
      <c r="AB26" s="234">
        <f t="shared" si="1"/>
        <v>0</v>
      </c>
      <c r="AC26" s="195"/>
    </row>
    <row r="27" spans="1:30" s="95" customFormat="1" ht="18" customHeight="1">
      <c r="A27" s="107">
        <v>2020</v>
      </c>
      <c r="B27" s="108">
        <v>3</v>
      </c>
      <c r="C27" s="108"/>
      <c r="D27" s="102"/>
      <c r="E27" s="102"/>
      <c r="F27" s="102" t="s">
        <v>562</v>
      </c>
      <c r="G27" s="98" t="s">
        <v>23</v>
      </c>
      <c r="H27" s="99" t="s">
        <v>576</v>
      </c>
      <c r="I27" s="100" t="s">
        <v>500</v>
      </c>
      <c r="J27" s="100"/>
      <c r="K27" s="242" t="s">
        <v>255</v>
      </c>
      <c r="L27" s="101" t="s">
        <v>502</v>
      </c>
      <c r="M27" s="100" t="s">
        <v>500</v>
      </c>
      <c r="N27" s="101" t="s">
        <v>475</v>
      </c>
      <c r="O27" s="118">
        <v>327181.81818181818</v>
      </c>
      <c r="P27" s="189"/>
      <c r="Q27" s="110"/>
      <c r="R27" s="282">
        <f t="shared" si="2"/>
        <v>0</v>
      </c>
      <c r="S27" s="110"/>
      <c r="T27" s="282">
        <f t="shared" si="2"/>
        <v>0</v>
      </c>
      <c r="U27" s="110"/>
      <c r="V27" s="282">
        <f t="shared" si="2"/>
        <v>0</v>
      </c>
      <c r="W27" s="110"/>
      <c r="X27" s="282">
        <f t="shared" si="3"/>
        <v>0</v>
      </c>
      <c r="Y27" s="110"/>
      <c r="Z27" s="282">
        <f t="shared" si="4"/>
        <v>0</v>
      </c>
      <c r="AA27" s="233">
        <f t="shared" si="0"/>
        <v>0</v>
      </c>
      <c r="AB27" s="234">
        <f t="shared" si="1"/>
        <v>0</v>
      </c>
      <c r="AC27" s="195"/>
    </row>
    <row r="28" spans="1:30" s="95" customFormat="1" ht="18" customHeight="1">
      <c r="A28" s="107">
        <v>2020</v>
      </c>
      <c r="B28" s="108">
        <v>3</v>
      </c>
      <c r="C28" s="108"/>
      <c r="D28" s="102"/>
      <c r="E28" s="102"/>
      <c r="F28" s="102" t="s">
        <v>562</v>
      </c>
      <c r="G28" s="98" t="s">
        <v>23</v>
      </c>
      <c r="H28" s="99" t="s">
        <v>576</v>
      </c>
      <c r="I28" s="100" t="s">
        <v>500</v>
      </c>
      <c r="J28" s="100"/>
      <c r="K28" s="242" t="s">
        <v>256</v>
      </c>
      <c r="L28" s="101" t="s">
        <v>502</v>
      </c>
      <c r="M28" s="100" t="s">
        <v>500</v>
      </c>
      <c r="N28" s="101" t="s">
        <v>461</v>
      </c>
      <c r="O28" s="118">
        <v>363545.45454545453</v>
      </c>
      <c r="P28" s="189"/>
      <c r="Q28" s="110"/>
      <c r="R28" s="282">
        <f t="shared" si="2"/>
        <v>0</v>
      </c>
      <c r="S28" s="110"/>
      <c r="T28" s="282">
        <f t="shared" si="2"/>
        <v>0</v>
      </c>
      <c r="U28" s="110"/>
      <c r="V28" s="282">
        <f t="shared" si="2"/>
        <v>0</v>
      </c>
      <c r="W28" s="110"/>
      <c r="X28" s="282">
        <f t="shared" si="3"/>
        <v>0</v>
      </c>
      <c r="Y28" s="110"/>
      <c r="Z28" s="282">
        <f t="shared" si="4"/>
        <v>0</v>
      </c>
      <c r="AA28" s="233">
        <f t="shared" si="0"/>
        <v>0</v>
      </c>
      <c r="AB28" s="234">
        <f t="shared" si="1"/>
        <v>0</v>
      </c>
      <c r="AC28" s="195"/>
    </row>
    <row r="29" spans="1:30" s="95" customFormat="1" ht="18" customHeight="1">
      <c r="A29" s="107">
        <v>2020</v>
      </c>
      <c r="B29" s="108">
        <v>3</v>
      </c>
      <c r="C29" s="108"/>
      <c r="D29" s="102"/>
      <c r="E29" s="102"/>
      <c r="F29" s="102" t="s">
        <v>562</v>
      </c>
      <c r="G29" s="98" t="s">
        <v>23</v>
      </c>
      <c r="H29" s="99" t="s">
        <v>576</v>
      </c>
      <c r="I29" s="100" t="s">
        <v>500</v>
      </c>
      <c r="J29" s="100"/>
      <c r="K29" s="242" t="s">
        <v>268</v>
      </c>
      <c r="L29" s="101" t="s">
        <v>503</v>
      </c>
      <c r="M29" s="100" t="s">
        <v>500</v>
      </c>
      <c r="N29" s="101" t="s">
        <v>469</v>
      </c>
      <c r="O29" s="118">
        <f>299900*0.9</f>
        <v>269910</v>
      </c>
      <c r="P29" s="189"/>
      <c r="Q29" s="110"/>
      <c r="R29" s="282">
        <f t="shared" si="2"/>
        <v>0</v>
      </c>
      <c r="S29" s="110"/>
      <c r="T29" s="282">
        <f t="shared" si="2"/>
        <v>0</v>
      </c>
      <c r="U29" s="110"/>
      <c r="V29" s="282">
        <f t="shared" si="2"/>
        <v>0</v>
      </c>
      <c r="W29" s="110"/>
      <c r="X29" s="282">
        <f t="shared" si="3"/>
        <v>0</v>
      </c>
      <c r="Y29" s="110"/>
      <c r="Z29" s="282">
        <f t="shared" si="4"/>
        <v>0</v>
      </c>
      <c r="AA29" s="233">
        <f t="shared" si="0"/>
        <v>0</v>
      </c>
      <c r="AB29" s="234">
        <f t="shared" si="1"/>
        <v>0</v>
      </c>
      <c r="AC29" s="195"/>
    </row>
    <row r="30" spans="1:30" s="95" customFormat="1" ht="18" customHeight="1">
      <c r="A30" s="107">
        <v>2020</v>
      </c>
      <c r="B30" s="108">
        <v>3</v>
      </c>
      <c r="C30" s="108"/>
      <c r="D30" s="102"/>
      <c r="E30" s="102"/>
      <c r="F30" s="102" t="s">
        <v>562</v>
      </c>
      <c r="G30" s="98" t="s">
        <v>23</v>
      </c>
      <c r="H30" s="99" t="s">
        <v>576</v>
      </c>
      <c r="I30" s="100" t="s">
        <v>500</v>
      </c>
      <c r="J30" s="100"/>
      <c r="K30" s="242" t="s">
        <v>269</v>
      </c>
      <c r="L30" s="101" t="s">
        <v>503</v>
      </c>
      <c r="M30" s="100" t="s">
        <v>500</v>
      </c>
      <c r="N30" s="101" t="s">
        <v>475</v>
      </c>
      <c r="O30" s="118">
        <f>359900*0.9</f>
        <v>323910</v>
      </c>
      <c r="P30" s="189"/>
      <c r="Q30" s="110"/>
      <c r="R30" s="282">
        <f t="shared" si="2"/>
        <v>0</v>
      </c>
      <c r="S30" s="110"/>
      <c r="T30" s="282">
        <f t="shared" si="2"/>
        <v>0</v>
      </c>
      <c r="U30" s="110"/>
      <c r="V30" s="282">
        <f t="shared" si="2"/>
        <v>0</v>
      </c>
      <c r="W30" s="110"/>
      <c r="X30" s="282">
        <f t="shared" si="3"/>
        <v>0</v>
      </c>
      <c r="Y30" s="110"/>
      <c r="Z30" s="282">
        <f t="shared" si="4"/>
        <v>0</v>
      </c>
      <c r="AA30" s="233">
        <f t="shared" si="0"/>
        <v>0</v>
      </c>
      <c r="AB30" s="234">
        <f t="shared" si="1"/>
        <v>0</v>
      </c>
      <c r="AC30" s="195"/>
    </row>
    <row r="31" spans="1:30" s="95" customFormat="1" ht="18" customHeight="1">
      <c r="A31" s="107">
        <v>2020</v>
      </c>
      <c r="B31" s="108">
        <v>3</v>
      </c>
      <c r="C31" s="108"/>
      <c r="D31" s="102"/>
      <c r="E31" s="102"/>
      <c r="F31" s="102" t="s">
        <v>562</v>
      </c>
      <c r="G31" s="98" t="s">
        <v>23</v>
      </c>
      <c r="H31" s="99" t="s">
        <v>576</v>
      </c>
      <c r="I31" s="100" t="s">
        <v>500</v>
      </c>
      <c r="J31" s="100"/>
      <c r="K31" s="242" t="s">
        <v>270</v>
      </c>
      <c r="L31" s="101" t="s">
        <v>503</v>
      </c>
      <c r="M31" s="100" t="s">
        <v>500</v>
      </c>
      <c r="N31" s="101" t="s">
        <v>461</v>
      </c>
      <c r="O31" s="118">
        <f>399900*0.9</f>
        <v>359910</v>
      </c>
      <c r="P31" s="189"/>
      <c r="Q31" s="110"/>
      <c r="R31" s="282">
        <f t="shared" si="2"/>
        <v>0</v>
      </c>
      <c r="S31" s="110"/>
      <c r="T31" s="282">
        <f t="shared" si="2"/>
        <v>0</v>
      </c>
      <c r="U31" s="110"/>
      <c r="V31" s="282">
        <f t="shared" si="2"/>
        <v>0</v>
      </c>
      <c r="W31" s="110"/>
      <c r="X31" s="282">
        <f t="shared" si="3"/>
        <v>0</v>
      </c>
      <c r="Y31" s="110"/>
      <c r="Z31" s="282">
        <f t="shared" si="4"/>
        <v>0</v>
      </c>
      <c r="AA31" s="233">
        <f t="shared" si="0"/>
        <v>0</v>
      </c>
      <c r="AB31" s="234">
        <f t="shared" si="1"/>
        <v>0</v>
      </c>
      <c r="AC31" s="195"/>
    </row>
    <row r="32" spans="1:30" s="95" customFormat="1" ht="18" customHeight="1">
      <c r="A32" s="107">
        <v>2020</v>
      </c>
      <c r="B32" s="108">
        <v>3</v>
      </c>
      <c r="C32" s="108"/>
      <c r="D32" s="102"/>
      <c r="E32" s="102"/>
      <c r="F32" s="102" t="s">
        <v>562</v>
      </c>
      <c r="G32" s="98" t="s">
        <v>23</v>
      </c>
      <c r="H32" s="99" t="s">
        <v>576</v>
      </c>
      <c r="I32" s="100" t="s">
        <v>500</v>
      </c>
      <c r="J32" s="100"/>
      <c r="K32" s="242" t="s">
        <v>279</v>
      </c>
      <c r="L32" s="101" t="s">
        <v>620</v>
      </c>
      <c r="M32" s="100" t="s">
        <v>500</v>
      </c>
      <c r="N32" s="101" t="s">
        <v>469</v>
      </c>
      <c r="O32" s="118">
        <v>255363.63636363635</v>
      </c>
      <c r="P32" s="189"/>
      <c r="Q32" s="110"/>
      <c r="R32" s="282">
        <f t="shared" si="2"/>
        <v>0</v>
      </c>
      <c r="S32" s="110"/>
      <c r="T32" s="282">
        <f t="shared" si="2"/>
        <v>0</v>
      </c>
      <c r="U32" s="110"/>
      <c r="V32" s="282">
        <f t="shared" si="2"/>
        <v>0</v>
      </c>
      <c r="W32" s="110"/>
      <c r="X32" s="282">
        <f t="shared" si="3"/>
        <v>0</v>
      </c>
      <c r="Y32" s="110"/>
      <c r="Z32" s="282">
        <f t="shared" si="4"/>
        <v>0</v>
      </c>
      <c r="AA32" s="233">
        <f t="shared" si="0"/>
        <v>0</v>
      </c>
      <c r="AB32" s="234">
        <f t="shared" si="1"/>
        <v>0</v>
      </c>
      <c r="AC32" s="195"/>
    </row>
    <row r="33" spans="1:30" s="95" customFormat="1" ht="18" customHeight="1">
      <c r="A33" s="107">
        <v>2020</v>
      </c>
      <c r="B33" s="108">
        <v>3</v>
      </c>
      <c r="C33" s="108"/>
      <c r="D33" s="102"/>
      <c r="E33" s="102"/>
      <c r="F33" s="102" t="s">
        <v>562</v>
      </c>
      <c r="G33" s="98" t="s">
        <v>23</v>
      </c>
      <c r="H33" s="99" t="s">
        <v>576</v>
      </c>
      <c r="I33" s="100" t="s">
        <v>500</v>
      </c>
      <c r="J33" s="100"/>
      <c r="K33" s="242" t="s">
        <v>280</v>
      </c>
      <c r="L33" s="101" t="s">
        <v>620</v>
      </c>
      <c r="M33" s="100" t="s">
        <v>500</v>
      </c>
      <c r="N33" s="101" t="s">
        <v>475</v>
      </c>
      <c r="O33" s="118">
        <v>291727.27272727271</v>
      </c>
      <c r="P33" s="189"/>
      <c r="Q33" s="110"/>
      <c r="R33" s="282">
        <f t="shared" si="2"/>
        <v>0</v>
      </c>
      <c r="S33" s="110"/>
      <c r="T33" s="282">
        <f t="shared" si="2"/>
        <v>0</v>
      </c>
      <c r="U33" s="110"/>
      <c r="V33" s="282">
        <f t="shared" si="2"/>
        <v>0</v>
      </c>
      <c r="W33" s="110"/>
      <c r="X33" s="282">
        <f t="shared" si="3"/>
        <v>0</v>
      </c>
      <c r="Y33" s="110"/>
      <c r="Z33" s="282">
        <f t="shared" si="4"/>
        <v>0</v>
      </c>
      <c r="AA33" s="233">
        <f t="shared" si="0"/>
        <v>0</v>
      </c>
      <c r="AB33" s="234">
        <f t="shared" si="1"/>
        <v>0</v>
      </c>
      <c r="AC33" s="195"/>
    </row>
    <row r="34" spans="1:30" s="95" customFormat="1" ht="18" customHeight="1">
      <c r="A34" s="107">
        <v>2020</v>
      </c>
      <c r="B34" s="108">
        <v>3</v>
      </c>
      <c r="C34" s="108"/>
      <c r="D34" s="102"/>
      <c r="E34" s="102"/>
      <c r="F34" s="102" t="s">
        <v>562</v>
      </c>
      <c r="G34" s="98" t="s">
        <v>23</v>
      </c>
      <c r="H34" s="99" t="s">
        <v>576</v>
      </c>
      <c r="I34" s="100" t="s">
        <v>500</v>
      </c>
      <c r="J34" s="100"/>
      <c r="K34" s="242" t="s">
        <v>281</v>
      </c>
      <c r="L34" s="101" t="s">
        <v>620</v>
      </c>
      <c r="M34" s="100" t="s">
        <v>500</v>
      </c>
      <c r="N34" s="101" t="s">
        <v>461</v>
      </c>
      <c r="O34" s="118">
        <v>319000</v>
      </c>
      <c r="P34" s="189"/>
      <c r="Q34" s="110"/>
      <c r="R34" s="282">
        <f t="shared" si="2"/>
        <v>0</v>
      </c>
      <c r="S34" s="110"/>
      <c r="T34" s="282">
        <f t="shared" si="2"/>
        <v>0</v>
      </c>
      <c r="U34" s="110"/>
      <c r="V34" s="282">
        <f t="shared" si="2"/>
        <v>0</v>
      </c>
      <c r="W34" s="110"/>
      <c r="X34" s="282">
        <f t="shared" si="3"/>
        <v>0</v>
      </c>
      <c r="Y34" s="110"/>
      <c r="Z34" s="282">
        <f t="shared" si="4"/>
        <v>0</v>
      </c>
      <c r="AA34" s="233">
        <f t="shared" si="0"/>
        <v>0</v>
      </c>
      <c r="AB34" s="234">
        <f t="shared" si="1"/>
        <v>0</v>
      </c>
      <c r="AC34" s="195"/>
    </row>
    <row r="35" spans="1:30" s="119" customFormat="1" ht="18" customHeight="1">
      <c r="A35" s="107">
        <v>2020</v>
      </c>
      <c r="B35" s="108">
        <v>3</v>
      </c>
      <c r="C35" s="108"/>
      <c r="D35" s="102"/>
      <c r="E35" s="102"/>
      <c r="F35" s="102" t="s">
        <v>562</v>
      </c>
      <c r="G35" s="98" t="s">
        <v>23</v>
      </c>
      <c r="H35" s="99" t="s">
        <v>577</v>
      </c>
      <c r="I35" s="103" t="s">
        <v>4</v>
      </c>
      <c r="J35" s="103"/>
      <c r="K35" s="241" t="s">
        <v>424</v>
      </c>
      <c r="L35" s="101" t="s">
        <v>207</v>
      </c>
      <c r="M35" s="103" t="s">
        <v>4</v>
      </c>
      <c r="N35" s="101"/>
      <c r="O35" s="118">
        <v>227182</v>
      </c>
      <c r="P35" s="189"/>
      <c r="Q35" s="110"/>
      <c r="R35" s="282">
        <f t="shared" si="2"/>
        <v>0</v>
      </c>
      <c r="S35" s="110"/>
      <c r="T35" s="282">
        <f t="shared" si="2"/>
        <v>0</v>
      </c>
      <c r="U35" s="110"/>
      <c r="V35" s="282">
        <f t="shared" si="2"/>
        <v>0</v>
      </c>
      <c r="W35" s="110"/>
      <c r="X35" s="282">
        <f t="shared" si="3"/>
        <v>0</v>
      </c>
      <c r="Y35" s="110"/>
      <c r="Z35" s="282">
        <f t="shared" si="4"/>
        <v>0</v>
      </c>
      <c r="AA35" s="233">
        <f t="shared" si="0"/>
        <v>0</v>
      </c>
      <c r="AB35" s="234">
        <f t="shared" si="1"/>
        <v>0</v>
      </c>
      <c r="AC35" s="195"/>
      <c r="AD35" s="95"/>
    </row>
    <row r="36" spans="1:30" s="95" customFormat="1" ht="18" customHeight="1">
      <c r="A36" s="107">
        <v>2020</v>
      </c>
      <c r="B36" s="108">
        <v>3</v>
      </c>
      <c r="C36" s="108"/>
      <c r="D36" s="102"/>
      <c r="E36" s="102"/>
      <c r="F36" s="102" t="s">
        <v>562</v>
      </c>
      <c r="G36" s="98" t="s">
        <v>23</v>
      </c>
      <c r="H36" s="99" t="s">
        <v>577</v>
      </c>
      <c r="I36" s="103" t="s">
        <v>2</v>
      </c>
      <c r="J36" s="103"/>
      <c r="K36" s="242" t="s">
        <v>506</v>
      </c>
      <c r="L36" s="101" t="s">
        <v>206</v>
      </c>
      <c r="M36" s="103" t="s">
        <v>2</v>
      </c>
      <c r="N36" s="101" t="s">
        <v>507</v>
      </c>
      <c r="O36" s="118">
        <v>619910</v>
      </c>
      <c r="P36" s="189"/>
      <c r="Q36" s="110"/>
      <c r="R36" s="282">
        <f t="shared" si="2"/>
        <v>0</v>
      </c>
      <c r="S36" s="110"/>
      <c r="T36" s="282">
        <f t="shared" si="2"/>
        <v>0</v>
      </c>
      <c r="U36" s="110"/>
      <c r="V36" s="282">
        <f t="shared" si="2"/>
        <v>0</v>
      </c>
      <c r="W36" s="110"/>
      <c r="X36" s="282">
        <f t="shared" si="3"/>
        <v>0</v>
      </c>
      <c r="Y36" s="110"/>
      <c r="Z36" s="282">
        <f t="shared" si="4"/>
        <v>0</v>
      </c>
      <c r="AA36" s="233">
        <f t="shared" si="0"/>
        <v>0</v>
      </c>
      <c r="AB36" s="234">
        <f t="shared" si="1"/>
        <v>0</v>
      </c>
      <c r="AC36" s="195"/>
    </row>
    <row r="37" spans="1:30" s="95" customFormat="1" ht="18" customHeight="1">
      <c r="A37" s="107">
        <v>2020</v>
      </c>
      <c r="B37" s="108">
        <v>3</v>
      </c>
      <c r="C37" s="108"/>
      <c r="D37" s="102"/>
      <c r="E37" s="102"/>
      <c r="F37" s="102" t="s">
        <v>562</v>
      </c>
      <c r="G37" s="98" t="s">
        <v>23</v>
      </c>
      <c r="H37" s="99" t="s">
        <v>578</v>
      </c>
      <c r="I37" s="100" t="s">
        <v>204</v>
      </c>
      <c r="J37" s="100"/>
      <c r="K37" s="242" t="s">
        <v>18</v>
      </c>
      <c r="L37" s="101" t="s">
        <v>206</v>
      </c>
      <c r="M37" s="100" t="s">
        <v>204</v>
      </c>
      <c r="N37" s="101"/>
      <c r="O37" s="118">
        <v>1008182</v>
      </c>
      <c r="P37" s="189"/>
      <c r="Q37" s="110"/>
      <c r="R37" s="282">
        <f t="shared" si="2"/>
        <v>0</v>
      </c>
      <c r="S37" s="110"/>
      <c r="T37" s="282">
        <f t="shared" si="2"/>
        <v>0</v>
      </c>
      <c r="U37" s="110"/>
      <c r="V37" s="282">
        <f t="shared" si="2"/>
        <v>0</v>
      </c>
      <c r="W37" s="110"/>
      <c r="X37" s="282">
        <f t="shared" si="3"/>
        <v>0</v>
      </c>
      <c r="Y37" s="110"/>
      <c r="Z37" s="282">
        <f t="shared" si="4"/>
        <v>0</v>
      </c>
      <c r="AA37" s="233">
        <f t="shared" si="0"/>
        <v>0</v>
      </c>
      <c r="AB37" s="234">
        <f t="shared" si="1"/>
        <v>0</v>
      </c>
      <c r="AC37" s="195"/>
    </row>
    <row r="38" spans="1:30" s="95" customFormat="1" ht="18" customHeight="1">
      <c r="A38" s="107">
        <v>2020</v>
      </c>
      <c r="B38" s="108">
        <v>3</v>
      </c>
      <c r="C38" s="108"/>
      <c r="D38" s="102"/>
      <c r="E38" s="102"/>
      <c r="F38" s="102" t="s">
        <v>562</v>
      </c>
      <c r="G38" s="98" t="s">
        <v>23</v>
      </c>
      <c r="H38" s="99" t="s">
        <v>578</v>
      </c>
      <c r="I38" s="100" t="s">
        <v>204</v>
      </c>
      <c r="J38" s="100"/>
      <c r="K38" s="242" t="s">
        <v>20</v>
      </c>
      <c r="L38" s="101" t="s">
        <v>217</v>
      </c>
      <c r="M38" s="100" t="s">
        <v>204</v>
      </c>
      <c r="N38" s="101"/>
      <c r="O38" s="118">
        <v>1080910</v>
      </c>
      <c r="P38" s="189"/>
      <c r="Q38" s="110"/>
      <c r="R38" s="282">
        <f t="shared" si="2"/>
        <v>0</v>
      </c>
      <c r="S38" s="110"/>
      <c r="T38" s="282">
        <f t="shared" si="2"/>
        <v>0</v>
      </c>
      <c r="U38" s="110"/>
      <c r="V38" s="282">
        <f t="shared" si="2"/>
        <v>0</v>
      </c>
      <c r="W38" s="110"/>
      <c r="X38" s="282">
        <f t="shared" si="3"/>
        <v>0</v>
      </c>
      <c r="Y38" s="110"/>
      <c r="Z38" s="282">
        <f t="shared" si="4"/>
        <v>0</v>
      </c>
      <c r="AA38" s="233">
        <f t="shared" si="0"/>
        <v>0</v>
      </c>
      <c r="AB38" s="234">
        <f t="shared" si="1"/>
        <v>0</v>
      </c>
      <c r="AC38" s="195"/>
    </row>
    <row r="39" spans="1:30" s="95" customFormat="1" ht="18" customHeight="1">
      <c r="A39" s="107">
        <v>2020</v>
      </c>
      <c r="B39" s="108">
        <v>3</v>
      </c>
      <c r="C39" s="108"/>
      <c r="D39" s="102"/>
      <c r="E39" s="102"/>
      <c r="F39" s="102" t="s">
        <v>562</v>
      </c>
      <c r="G39" s="98" t="s">
        <v>23</v>
      </c>
      <c r="H39" s="99" t="s">
        <v>578</v>
      </c>
      <c r="I39" s="100" t="s">
        <v>205</v>
      </c>
      <c r="J39" s="100"/>
      <c r="K39" s="242" t="s">
        <v>21</v>
      </c>
      <c r="L39" s="101" t="s">
        <v>223</v>
      </c>
      <c r="M39" s="100" t="s">
        <v>205</v>
      </c>
      <c r="N39" s="101"/>
      <c r="O39" s="118">
        <v>548182</v>
      </c>
      <c r="P39" s="189"/>
      <c r="Q39" s="110"/>
      <c r="R39" s="282">
        <f t="shared" si="2"/>
        <v>0</v>
      </c>
      <c r="S39" s="110"/>
      <c r="T39" s="282">
        <f t="shared" si="2"/>
        <v>0</v>
      </c>
      <c r="U39" s="110"/>
      <c r="V39" s="282">
        <f t="shared" si="2"/>
        <v>0</v>
      </c>
      <c r="W39" s="110"/>
      <c r="X39" s="282">
        <f t="shared" si="3"/>
        <v>0</v>
      </c>
      <c r="Y39" s="110"/>
      <c r="Z39" s="282">
        <f t="shared" si="4"/>
        <v>0</v>
      </c>
      <c r="AA39" s="233">
        <f t="shared" si="0"/>
        <v>0</v>
      </c>
      <c r="AB39" s="234">
        <f t="shared" si="1"/>
        <v>0</v>
      </c>
      <c r="AC39" s="195"/>
    </row>
    <row r="40" spans="1:30" s="95" customFormat="1" ht="18" customHeight="1">
      <c r="A40" s="107">
        <v>2020</v>
      </c>
      <c r="B40" s="108">
        <v>3</v>
      </c>
      <c r="C40" s="108"/>
      <c r="D40" s="102"/>
      <c r="E40" s="102"/>
      <c r="F40" s="102" t="s">
        <v>562</v>
      </c>
      <c r="G40" s="98" t="s">
        <v>23</v>
      </c>
      <c r="H40" s="99" t="s">
        <v>579</v>
      </c>
      <c r="I40" s="103" t="s">
        <v>32</v>
      </c>
      <c r="J40" s="103"/>
      <c r="K40" s="241" t="s">
        <v>16</v>
      </c>
      <c r="L40" s="101" t="s">
        <v>207</v>
      </c>
      <c r="M40" s="103" t="s">
        <v>32</v>
      </c>
      <c r="N40" s="101"/>
      <c r="O40" s="118">
        <v>75364</v>
      </c>
      <c r="P40" s="189"/>
      <c r="Q40" s="110"/>
      <c r="R40" s="282">
        <f t="shared" si="2"/>
        <v>0</v>
      </c>
      <c r="S40" s="110"/>
      <c r="T40" s="282">
        <f t="shared" si="2"/>
        <v>0</v>
      </c>
      <c r="U40" s="110"/>
      <c r="V40" s="282">
        <f t="shared" si="2"/>
        <v>0</v>
      </c>
      <c r="W40" s="110"/>
      <c r="X40" s="282">
        <f t="shared" si="3"/>
        <v>0</v>
      </c>
      <c r="Y40" s="110"/>
      <c r="Z40" s="282">
        <f t="shared" si="4"/>
        <v>0</v>
      </c>
      <c r="AA40" s="233">
        <f t="shared" si="0"/>
        <v>0</v>
      </c>
      <c r="AB40" s="234">
        <f t="shared" si="1"/>
        <v>0</v>
      </c>
      <c r="AC40" s="195"/>
    </row>
    <row r="41" spans="1:30" s="95" customFormat="1" ht="18" customHeight="1">
      <c r="A41" s="107">
        <v>2020</v>
      </c>
      <c r="B41" s="108">
        <v>3</v>
      </c>
      <c r="C41" s="108"/>
      <c r="D41" s="102"/>
      <c r="E41" s="102"/>
      <c r="F41" s="102" t="s">
        <v>562</v>
      </c>
      <c r="G41" s="98" t="s">
        <v>23</v>
      </c>
      <c r="H41" s="99" t="s">
        <v>579</v>
      </c>
      <c r="I41" s="103" t="s">
        <v>34</v>
      </c>
      <c r="J41" s="103"/>
      <c r="K41" s="242" t="s">
        <v>65</v>
      </c>
      <c r="L41" s="101" t="s">
        <v>207</v>
      </c>
      <c r="M41" s="103" t="s">
        <v>34</v>
      </c>
      <c r="N41" s="101"/>
      <c r="O41" s="118">
        <f>135900*0.9</f>
        <v>122310</v>
      </c>
      <c r="P41" s="189"/>
      <c r="Q41" s="110"/>
      <c r="R41" s="282">
        <f t="shared" si="2"/>
        <v>0</v>
      </c>
      <c r="S41" s="110"/>
      <c r="T41" s="282">
        <f t="shared" si="2"/>
        <v>0</v>
      </c>
      <c r="U41" s="110"/>
      <c r="V41" s="282">
        <f t="shared" si="2"/>
        <v>0</v>
      </c>
      <c r="W41" s="110"/>
      <c r="X41" s="282">
        <f t="shared" si="3"/>
        <v>0</v>
      </c>
      <c r="Y41" s="110"/>
      <c r="Z41" s="282">
        <f t="shared" si="4"/>
        <v>0</v>
      </c>
      <c r="AA41" s="233">
        <f t="shared" si="0"/>
        <v>0</v>
      </c>
      <c r="AB41" s="234">
        <f t="shared" si="1"/>
        <v>0</v>
      </c>
      <c r="AC41" s="195"/>
    </row>
    <row r="42" spans="1:30" s="95" customFormat="1" ht="18" customHeight="1">
      <c r="A42" s="107">
        <v>2020</v>
      </c>
      <c r="B42" s="108">
        <v>3</v>
      </c>
      <c r="C42" s="108"/>
      <c r="D42" s="102"/>
      <c r="E42" s="102"/>
      <c r="F42" s="102" t="s">
        <v>562</v>
      </c>
      <c r="G42" s="98" t="s">
        <v>23</v>
      </c>
      <c r="H42" s="99" t="s">
        <v>579</v>
      </c>
      <c r="I42" s="103" t="s">
        <v>34</v>
      </c>
      <c r="J42" s="103"/>
      <c r="K42" s="242" t="s">
        <v>51</v>
      </c>
      <c r="L42" s="101" t="s">
        <v>207</v>
      </c>
      <c r="M42" s="103" t="s">
        <v>34</v>
      </c>
      <c r="N42" s="101"/>
      <c r="O42" s="118">
        <v>135455</v>
      </c>
      <c r="P42" s="189"/>
      <c r="Q42" s="110"/>
      <c r="R42" s="282">
        <f t="shared" si="2"/>
        <v>0</v>
      </c>
      <c r="S42" s="110"/>
      <c r="T42" s="282">
        <f t="shared" si="2"/>
        <v>0</v>
      </c>
      <c r="U42" s="110"/>
      <c r="V42" s="282">
        <f t="shared" si="2"/>
        <v>0</v>
      </c>
      <c r="W42" s="110"/>
      <c r="X42" s="282">
        <f t="shared" si="3"/>
        <v>0</v>
      </c>
      <c r="Y42" s="110"/>
      <c r="Z42" s="282">
        <f t="shared" si="4"/>
        <v>0</v>
      </c>
      <c r="AA42" s="233">
        <f t="shared" si="0"/>
        <v>0</v>
      </c>
      <c r="AB42" s="234">
        <f t="shared" si="1"/>
        <v>0</v>
      </c>
      <c r="AC42" s="195"/>
    </row>
    <row r="43" spans="1:30" s="95" customFormat="1" ht="18" customHeight="1">
      <c r="A43" s="107">
        <v>2020</v>
      </c>
      <c r="B43" s="108">
        <v>3</v>
      </c>
      <c r="C43" s="108"/>
      <c r="D43" s="102"/>
      <c r="E43" s="102"/>
      <c r="F43" s="102" t="s">
        <v>562</v>
      </c>
      <c r="G43" s="98" t="s">
        <v>23</v>
      </c>
      <c r="H43" s="99" t="s">
        <v>579</v>
      </c>
      <c r="I43" s="103" t="s">
        <v>34</v>
      </c>
      <c r="J43" s="103"/>
      <c r="K43" s="242" t="s">
        <v>52</v>
      </c>
      <c r="L43" s="101" t="s">
        <v>207</v>
      </c>
      <c r="M43" s="103" t="s">
        <v>34</v>
      </c>
      <c r="N43" s="101"/>
      <c r="O43" s="118">
        <v>154455</v>
      </c>
      <c r="P43" s="189"/>
      <c r="Q43" s="110"/>
      <c r="R43" s="282">
        <f t="shared" si="2"/>
        <v>0</v>
      </c>
      <c r="S43" s="110"/>
      <c r="T43" s="282">
        <f t="shared" si="2"/>
        <v>0</v>
      </c>
      <c r="U43" s="110"/>
      <c r="V43" s="282">
        <f t="shared" si="2"/>
        <v>0</v>
      </c>
      <c r="W43" s="110"/>
      <c r="X43" s="282">
        <f t="shared" si="3"/>
        <v>0</v>
      </c>
      <c r="Y43" s="110"/>
      <c r="Z43" s="282">
        <f t="shared" si="4"/>
        <v>0</v>
      </c>
      <c r="AA43" s="233">
        <f t="shared" si="0"/>
        <v>0</v>
      </c>
      <c r="AB43" s="234">
        <f t="shared" si="1"/>
        <v>0</v>
      </c>
      <c r="AC43" s="195"/>
    </row>
    <row r="44" spans="1:30" s="95" customFormat="1" ht="18" customHeight="1">
      <c r="A44" s="107">
        <v>2020</v>
      </c>
      <c r="B44" s="108">
        <v>3</v>
      </c>
      <c r="C44" s="108"/>
      <c r="D44" s="102"/>
      <c r="E44" s="102"/>
      <c r="F44" s="102" t="s">
        <v>562</v>
      </c>
      <c r="G44" s="98" t="s">
        <v>23</v>
      </c>
      <c r="H44" s="99" t="s">
        <v>579</v>
      </c>
      <c r="I44" s="103" t="s">
        <v>34</v>
      </c>
      <c r="J44" s="103"/>
      <c r="K44" s="242" t="s">
        <v>53</v>
      </c>
      <c r="L44" s="101" t="s">
        <v>207</v>
      </c>
      <c r="M44" s="103" t="s">
        <v>34</v>
      </c>
      <c r="N44" s="101"/>
      <c r="O44" s="118">
        <v>175364</v>
      </c>
      <c r="P44" s="189"/>
      <c r="Q44" s="110"/>
      <c r="R44" s="282">
        <f t="shared" si="2"/>
        <v>0</v>
      </c>
      <c r="S44" s="110"/>
      <c r="T44" s="282">
        <f t="shared" si="2"/>
        <v>0</v>
      </c>
      <c r="U44" s="110"/>
      <c r="V44" s="282">
        <f t="shared" si="2"/>
        <v>0</v>
      </c>
      <c r="W44" s="110"/>
      <c r="X44" s="282">
        <f t="shared" si="3"/>
        <v>0</v>
      </c>
      <c r="Y44" s="110"/>
      <c r="Z44" s="282">
        <f t="shared" si="4"/>
        <v>0</v>
      </c>
      <c r="AA44" s="233">
        <f t="shared" si="0"/>
        <v>0</v>
      </c>
      <c r="AB44" s="234">
        <f t="shared" si="1"/>
        <v>0</v>
      </c>
      <c r="AC44" s="195"/>
    </row>
    <row r="45" spans="1:30" s="95" customFormat="1" ht="18" customHeight="1">
      <c r="A45" s="107">
        <v>2020</v>
      </c>
      <c r="B45" s="108">
        <v>3</v>
      </c>
      <c r="C45" s="108"/>
      <c r="D45" s="102"/>
      <c r="E45" s="102"/>
      <c r="F45" s="102" t="s">
        <v>562</v>
      </c>
      <c r="G45" s="98" t="s">
        <v>23</v>
      </c>
      <c r="H45" s="99" t="s">
        <v>579</v>
      </c>
      <c r="I45" s="103" t="s">
        <v>34</v>
      </c>
      <c r="J45" s="103"/>
      <c r="K45" s="242" t="s">
        <v>54</v>
      </c>
      <c r="L45" s="101" t="s">
        <v>207</v>
      </c>
      <c r="M45" s="103" t="s">
        <v>34</v>
      </c>
      <c r="N45" s="101"/>
      <c r="O45" s="118">
        <v>195364</v>
      </c>
      <c r="P45" s="189"/>
      <c r="Q45" s="110"/>
      <c r="R45" s="282">
        <f t="shared" si="2"/>
        <v>0</v>
      </c>
      <c r="S45" s="110"/>
      <c r="T45" s="282">
        <f t="shared" si="2"/>
        <v>0</v>
      </c>
      <c r="U45" s="110"/>
      <c r="V45" s="282">
        <f t="shared" si="2"/>
        <v>0</v>
      </c>
      <c r="W45" s="110"/>
      <c r="X45" s="282">
        <f t="shared" si="3"/>
        <v>0</v>
      </c>
      <c r="Y45" s="110"/>
      <c r="Z45" s="282">
        <f t="shared" si="4"/>
        <v>0</v>
      </c>
      <c r="AA45" s="233">
        <f t="shared" si="0"/>
        <v>0</v>
      </c>
      <c r="AB45" s="234">
        <f t="shared" si="1"/>
        <v>0</v>
      </c>
      <c r="AC45" s="195"/>
    </row>
    <row r="46" spans="1:30" s="95" customFormat="1" ht="18" customHeight="1">
      <c r="A46" s="107">
        <v>2020</v>
      </c>
      <c r="B46" s="108">
        <v>3</v>
      </c>
      <c r="C46" s="108"/>
      <c r="D46" s="102"/>
      <c r="E46" s="102"/>
      <c r="F46" s="102" t="s">
        <v>562</v>
      </c>
      <c r="G46" s="98" t="s">
        <v>23</v>
      </c>
      <c r="H46" s="99" t="s">
        <v>579</v>
      </c>
      <c r="I46" s="103" t="s">
        <v>34</v>
      </c>
      <c r="J46" s="103"/>
      <c r="K46" s="242" t="s">
        <v>55</v>
      </c>
      <c r="L46" s="101" t="s">
        <v>207</v>
      </c>
      <c r="M46" s="103" t="s">
        <v>34</v>
      </c>
      <c r="N46" s="101"/>
      <c r="O46" s="118">
        <v>216273</v>
      </c>
      <c r="P46" s="189"/>
      <c r="Q46" s="110"/>
      <c r="R46" s="282">
        <f t="shared" si="2"/>
        <v>0</v>
      </c>
      <c r="S46" s="110"/>
      <c r="T46" s="282">
        <f t="shared" si="2"/>
        <v>0</v>
      </c>
      <c r="U46" s="110"/>
      <c r="V46" s="282">
        <f t="shared" si="2"/>
        <v>0</v>
      </c>
      <c r="W46" s="110"/>
      <c r="X46" s="282">
        <f t="shared" si="3"/>
        <v>0</v>
      </c>
      <c r="Y46" s="110"/>
      <c r="Z46" s="282">
        <f t="shared" si="4"/>
        <v>0</v>
      </c>
      <c r="AA46" s="233">
        <f t="shared" si="0"/>
        <v>0</v>
      </c>
      <c r="AB46" s="234">
        <f t="shared" si="1"/>
        <v>0</v>
      </c>
      <c r="AC46" s="195"/>
    </row>
    <row r="47" spans="1:30" s="95" customFormat="1" ht="18" customHeight="1">
      <c r="A47" s="107">
        <v>2020</v>
      </c>
      <c r="B47" s="108">
        <v>3</v>
      </c>
      <c r="C47" s="108"/>
      <c r="D47" s="102"/>
      <c r="E47" s="102"/>
      <c r="F47" s="102" t="s">
        <v>562</v>
      </c>
      <c r="G47" s="98" t="s">
        <v>23</v>
      </c>
      <c r="H47" s="99" t="s">
        <v>579</v>
      </c>
      <c r="I47" s="103" t="s">
        <v>31</v>
      </c>
      <c r="J47" s="103"/>
      <c r="K47" s="242" t="s">
        <v>56</v>
      </c>
      <c r="L47" s="101" t="s">
        <v>207</v>
      </c>
      <c r="M47" s="103" t="s">
        <v>31</v>
      </c>
      <c r="N47" s="101"/>
      <c r="O47" s="118">
        <v>131819</v>
      </c>
      <c r="P47" s="189"/>
      <c r="Q47" s="110"/>
      <c r="R47" s="282">
        <f t="shared" si="2"/>
        <v>0</v>
      </c>
      <c r="S47" s="110"/>
      <c r="T47" s="282">
        <f t="shared" si="2"/>
        <v>0</v>
      </c>
      <c r="U47" s="110"/>
      <c r="V47" s="282">
        <f t="shared" si="2"/>
        <v>0</v>
      </c>
      <c r="W47" s="110"/>
      <c r="X47" s="282">
        <f t="shared" si="3"/>
        <v>0</v>
      </c>
      <c r="Y47" s="110"/>
      <c r="Z47" s="282">
        <f t="shared" si="4"/>
        <v>0</v>
      </c>
      <c r="AA47" s="233">
        <f t="shared" si="0"/>
        <v>0</v>
      </c>
      <c r="AB47" s="234">
        <f t="shared" si="1"/>
        <v>0</v>
      </c>
      <c r="AC47" s="195"/>
    </row>
    <row r="48" spans="1:30" s="95" customFormat="1" ht="18" customHeight="1">
      <c r="A48" s="107">
        <v>2020</v>
      </c>
      <c r="B48" s="108">
        <v>3</v>
      </c>
      <c r="C48" s="108"/>
      <c r="D48" s="102"/>
      <c r="E48" s="102"/>
      <c r="F48" s="102" t="s">
        <v>562</v>
      </c>
      <c r="G48" s="98" t="s">
        <v>23</v>
      </c>
      <c r="H48" s="99" t="s">
        <v>579</v>
      </c>
      <c r="I48" s="103" t="s">
        <v>31</v>
      </c>
      <c r="J48" s="103"/>
      <c r="K48" s="242" t="s">
        <v>57</v>
      </c>
      <c r="L48" s="101" t="s">
        <v>207</v>
      </c>
      <c r="M48" s="103" t="s">
        <v>31</v>
      </c>
      <c r="N48" s="101"/>
      <c r="O48" s="118">
        <v>164455</v>
      </c>
      <c r="P48" s="189"/>
      <c r="Q48" s="110"/>
      <c r="R48" s="282">
        <f t="shared" si="2"/>
        <v>0</v>
      </c>
      <c r="S48" s="110"/>
      <c r="T48" s="282">
        <f t="shared" si="2"/>
        <v>0</v>
      </c>
      <c r="U48" s="110"/>
      <c r="V48" s="282">
        <f t="shared" si="2"/>
        <v>0</v>
      </c>
      <c r="W48" s="110"/>
      <c r="X48" s="282">
        <f t="shared" si="3"/>
        <v>0</v>
      </c>
      <c r="Y48" s="110"/>
      <c r="Z48" s="282">
        <f t="shared" si="4"/>
        <v>0</v>
      </c>
      <c r="AA48" s="233">
        <f t="shared" si="0"/>
        <v>0</v>
      </c>
      <c r="AB48" s="234">
        <f t="shared" si="1"/>
        <v>0</v>
      </c>
      <c r="AC48" s="195"/>
    </row>
    <row r="49" spans="1:29" s="95" customFormat="1" ht="18" customHeight="1">
      <c r="A49" s="107">
        <v>2020</v>
      </c>
      <c r="B49" s="108">
        <v>3</v>
      </c>
      <c r="C49" s="108"/>
      <c r="D49" s="102"/>
      <c r="E49" s="102"/>
      <c r="F49" s="102" t="s">
        <v>562</v>
      </c>
      <c r="G49" s="98" t="s">
        <v>23</v>
      </c>
      <c r="H49" s="99" t="s">
        <v>579</v>
      </c>
      <c r="I49" s="103"/>
      <c r="J49" s="103"/>
      <c r="K49" s="242" t="s">
        <v>170</v>
      </c>
      <c r="L49" s="101" t="s">
        <v>225</v>
      </c>
      <c r="M49" s="103"/>
      <c r="N49" s="101"/>
      <c r="O49" s="118">
        <v>253637</v>
      </c>
      <c r="P49" s="189"/>
      <c r="Q49" s="110"/>
      <c r="R49" s="282">
        <f t="shared" si="2"/>
        <v>0</v>
      </c>
      <c r="S49" s="110"/>
      <c r="T49" s="282">
        <f t="shared" si="2"/>
        <v>0</v>
      </c>
      <c r="U49" s="110"/>
      <c r="V49" s="282">
        <f t="shared" si="2"/>
        <v>0</v>
      </c>
      <c r="W49" s="110"/>
      <c r="X49" s="282">
        <f t="shared" si="3"/>
        <v>0</v>
      </c>
      <c r="Y49" s="110"/>
      <c r="Z49" s="282">
        <f t="shared" si="4"/>
        <v>0</v>
      </c>
      <c r="AA49" s="233">
        <f t="shared" si="0"/>
        <v>0</v>
      </c>
      <c r="AB49" s="234">
        <f t="shared" si="1"/>
        <v>0</v>
      </c>
      <c r="AC49" s="195"/>
    </row>
    <row r="50" spans="1:29" s="95" customFormat="1" ht="18" customHeight="1">
      <c r="A50" s="107">
        <v>2020</v>
      </c>
      <c r="B50" s="108">
        <v>3</v>
      </c>
      <c r="C50" s="108"/>
      <c r="D50" s="102"/>
      <c r="E50" s="102"/>
      <c r="F50" s="102" t="s">
        <v>562</v>
      </c>
      <c r="G50" s="98" t="s">
        <v>23</v>
      </c>
      <c r="H50" s="99" t="s">
        <v>579</v>
      </c>
      <c r="I50" s="103"/>
      <c r="J50" s="103"/>
      <c r="K50" s="242" t="s">
        <v>171</v>
      </c>
      <c r="L50" s="101" t="s">
        <v>225</v>
      </c>
      <c r="M50" s="103"/>
      <c r="N50" s="101"/>
      <c r="O50" s="118">
        <v>262728</v>
      </c>
      <c r="P50" s="189"/>
      <c r="Q50" s="110"/>
      <c r="R50" s="282">
        <f t="shared" si="2"/>
        <v>0</v>
      </c>
      <c r="S50" s="110"/>
      <c r="T50" s="282">
        <f t="shared" si="2"/>
        <v>0</v>
      </c>
      <c r="U50" s="110"/>
      <c r="V50" s="282">
        <f t="shared" si="2"/>
        <v>0</v>
      </c>
      <c r="W50" s="110"/>
      <c r="X50" s="282">
        <f t="shared" si="3"/>
        <v>0</v>
      </c>
      <c r="Y50" s="110"/>
      <c r="Z50" s="282">
        <f t="shared" si="4"/>
        <v>0</v>
      </c>
      <c r="AA50" s="233">
        <f t="shared" si="0"/>
        <v>0</v>
      </c>
      <c r="AB50" s="234">
        <f t="shared" si="1"/>
        <v>0</v>
      </c>
      <c r="AC50" s="195"/>
    </row>
    <row r="51" spans="1:29" s="95" customFormat="1" ht="18" customHeight="1">
      <c r="A51" s="107">
        <v>2020</v>
      </c>
      <c r="B51" s="108">
        <v>3</v>
      </c>
      <c r="C51" s="108"/>
      <c r="D51" s="102"/>
      <c r="E51" s="102"/>
      <c r="F51" s="102" t="s">
        <v>562</v>
      </c>
      <c r="G51" s="98" t="s">
        <v>23</v>
      </c>
      <c r="H51" s="99" t="s">
        <v>579</v>
      </c>
      <c r="I51" s="103"/>
      <c r="J51" s="103"/>
      <c r="K51" s="242" t="s">
        <v>172</v>
      </c>
      <c r="L51" s="101" t="s">
        <v>225</v>
      </c>
      <c r="M51" s="103"/>
      <c r="N51" s="101"/>
      <c r="O51" s="118">
        <v>283546</v>
      </c>
      <c r="P51" s="189"/>
      <c r="Q51" s="110"/>
      <c r="R51" s="282">
        <f t="shared" si="2"/>
        <v>0</v>
      </c>
      <c r="S51" s="110"/>
      <c r="T51" s="282">
        <f t="shared" si="2"/>
        <v>0</v>
      </c>
      <c r="U51" s="110"/>
      <c r="V51" s="282">
        <f t="shared" si="2"/>
        <v>0</v>
      </c>
      <c r="W51" s="110"/>
      <c r="X51" s="282">
        <f t="shared" si="3"/>
        <v>0</v>
      </c>
      <c r="Y51" s="110"/>
      <c r="Z51" s="282">
        <f t="shared" si="4"/>
        <v>0</v>
      </c>
      <c r="AA51" s="233">
        <f t="shared" si="0"/>
        <v>0</v>
      </c>
      <c r="AB51" s="234">
        <f t="shared" si="1"/>
        <v>0</v>
      </c>
      <c r="AC51" s="195"/>
    </row>
    <row r="52" spans="1:29" s="95" customFormat="1" ht="18" customHeight="1">
      <c r="A52" s="107">
        <v>2020</v>
      </c>
      <c r="B52" s="108">
        <v>3</v>
      </c>
      <c r="C52" s="108"/>
      <c r="D52" s="102"/>
      <c r="E52" s="102"/>
      <c r="F52" s="102" t="s">
        <v>562</v>
      </c>
      <c r="G52" s="98" t="s">
        <v>23</v>
      </c>
      <c r="H52" s="99" t="s">
        <v>579</v>
      </c>
      <c r="I52" s="103"/>
      <c r="J52" s="103"/>
      <c r="K52" s="242" t="s">
        <v>697</v>
      </c>
      <c r="L52" s="101" t="s">
        <v>226</v>
      </c>
      <c r="M52" s="103"/>
      <c r="N52" s="101"/>
      <c r="O52" s="118">
        <f>299900*0.9</f>
        <v>269910</v>
      </c>
      <c r="P52" s="189"/>
      <c r="Q52" s="110"/>
      <c r="R52" s="282">
        <f t="shared" si="2"/>
        <v>0</v>
      </c>
      <c r="S52" s="110"/>
      <c r="T52" s="282">
        <f t="shared" si="2"/>
        <v>0</v>
      </c>
      <c r="U52" s="110"/>
      <c r="V52" s="282">
        <f t="shared" si="2"/>
        <v>0</v>
      </c>
      <c r="W52" s="110"/>
      <c r="X52" s="282">
        <f t="shared" si="3"/>
        <v>0</v>
      </c>
      <c r="Y52" s="110"/>
      <c r="Z52" s="282">
        <f t="shared" si="4"/>
        <v>0</v>
      </c>
      <c r="AA52" s="233">
        <f t="shared" si="0"/>
        <v>0</v>
      </c>
      <c r="AB52" s="234">
        <f t="shared" si="1"/>
        <v>0</v>
      </c>
      <c r="AC52" s="195"/>
    </row>
    <row r="53" spans="1:29" s="95" customFormat="1" ht="18" customHeight="1">
      <c r="A53" s="107">
        <v>2020</v>
      </c>
      <c r="B53" s="108">
        <v>3</v>
      </c>
      <c r="C53" s="108"/>
      <c r="D53" s="102"/>
      <c r="E53" s="102"/>
      <c r="F53" s="102" t="s">
        <v>562</v>
      </c>
      <c r="G53" s="98" t="s">
        <v>23</v>
      </c>
      <c r="H53" s="99" t="s">
        <v>579</v>
      </c>
      <c r="I53" s="103"/>
      <c r="J53" s="103"/>
      <c r="K53" s="242" t="s">
        <v>698</v>
      </c>
      <c r="L53" s="101" t="s">
        <v>226</v>
      </c>
      <c r="M53" s="103"/>
      <c r="N53" s="101"/>
      <c r="O53" s="118">
        <v>293546</v>
      </c>
      <c r="P53" s="189"/>
      <c r="Q53" s="110"/>
      <c r="R53" s="282">
        <f t="shared" si="2"/>
        <v>0</v>
      </c>
      <c r="S53" s="110"/>
      <c r="T53" s="282">
        <f t="shared" si="2"/>
        <v>0</v>
      </c>
      <c r="U53" s="110"/>
      <c r="V53" s="282">
        <f t="shared" si="2"/>
        <v>0</v>
      </c>
      <c r="W53" s="110"/>
      <c r="X53" s="282">
        <f t="shared" si="3"/>
        <v>0</v>
      </c>
      <c r="Y53" s="110"/>
      <c r="Z53" s="282">
        <f t="shared" si="4"/>
        <v>0</v>
      </c>
      <c r="AA53" s="233">
        <f t="shared" si="0"/>
        <v>0</v>
      </c>
      <c r="AB53" s="234">
        <f t="shared" si="1"/>
        <v>0</v>
      </c>
      <c r="AC53" s="195"/>
    </row>
    <row r="54" spans="1:29" s="95" customFormat="1" ht="18" customHeight="1">
      <c r="A54" s="107">
        <v>2020</v>
      </c>
      <c r="B54" s="108">
        <v>3</v>
      </c>
      <c r="C54" s="108"/>
      <c r="D54" s="102"/>
      <c r="E54" s="102"/>
      <c r="F54" s="102" t="s">
        <v>562</v>
      </c>
      <c r="G54" s="98" t="s">
        <v>23</v>
      </c>
      <c r="H54" s="99" t="s">
        <v>579</v>
      </c>
      <c r="I54" s="103"/>
      <c r="J54" s="103"/>
      <c r="K54" s="242" t="s">
        <v>699</v>
      </c>
      <c r="L54" s="101" t="s">
        <v>226</v>
      </c>
      <c r="M54" s="103"/>
      <c r="N54" s="101"/>
      <c r="O54" s="118">
        <v>323546</v>
      </c>
      <c r="P54" s="189"/>
      <c r="Q54" s="110"/>
      <c r="R54" s="282">
        <f t="shared" si="2"/>
        <v>0</v>
      </c>
      <c r="S54" s="110"/>
      <c r="T54" s="282">
        <f t="shared" si="2"/>
        <v>0</v>
      </c>
      <c r="U54" s="110"/>
      <c r="V54" s="282">
        <f t="shared" si="2"/>
        <v>0</v>
      </c>
      <c r="W54" s="110"/>
      <c r="X54" s="282">
        <f t="shared" si="3"/>
        <v>0</v>
      </c>
      <c r="Y54" s="110"/>
      <c r="Z54" s="282">
        <f t="shared" si="4"/>
        <v>0</v>
      </c>
      <c r="AA54" s="233">
        <f t="shared" si="0"/>
        <v>0</v>
      </c>
      <c r="AB54" s="234">
        <f t="shared" si="1"/>
        <v>0</v>
      </c>
      <c r="AC54" s="195"/>
    </row>
    <row r="55" spans="1:29" s="95" customFormat="1" ht="18" customHeight="1">
      <c r="A55" s="107">
        <v>2020</v>
      </c>
      <c r="B55" s="108">
        <v>3</v>
      </c>
      <c r="C55" s="108"/>
      <c r="D55" s="102"/>
      <c r="E55" s="102"/>
      <c r="F55" s="102" t="s">
        <v>562</v>
      </c>
      <c r="G55" s="98" t="s">
        <v>23</v>
      </c>
      <c r="H55" s="99" t="s">
        <v>579</v>
      </c>
      <c r="I55" s="103" t="s">
        <v>241</v>
      </c>
      <c r="J55" s="103"/>
      <c r="K55" s="242" t="s">
        <v>229</v>
      </c>
      <c r="L55" s="101" t="s">
        <v>242</v>
      </c>
      <c r="M55" s="103" t="s">
        <v>241</v>
      </c>
      <c r="N55" s="101"/>
      <c r="O55" s="118">
        <v>272636.36363636359</v>
      </c>
      <c r="P55" s="189"/>
      <c r="Q55" s="110"/>
      <c r="R55" s="282">
        <f t="shared" si="2"/>
        <v>0</v>
      </c>
      <c r="S55" s="110"/>
      <c r="T55" s="282">
        <f t="shared" si="2"/>
        <v>0</v>
      </c>
      <c r="U55" s="110"/>
      <c r="V55" s="282">
        <f t="shared" si="2"/>
        <v>0</v>
      </c>
      <c r="W55" s="110"/>
      <c r="X55" s="282">
        <f t="shared" si="3"/>
        <v>0</v>
      </c>
      <c r="Y55" s="110"/>
      <c r="Z55" s="282">
        <f t="shared" si="4"/>
        <v>0</v>
      </c>
      <c r="AA55" s="233">
        <f t="shared" si="0"/>
        <v>0</v>
      </c>
      <c r="AB55" s="234">
        <f t="shared" si="1"/>
        <v>0</v>
      </c>
      <c r="AC55" s="195"/>
    </row>
    <row r="56" spans="1:29" s="95" customFormat="1" ht="18" customHeight="1">
      <c r="A56" s="107">
        <v>2020</v>
      </c>
      <c r="B56" s="108">
        <v>3</v>
      </c>
      <c r="C56" s="108"/>
      <c r="D56" s="102"/>
      <c r="E56" s="102"/>
      <c r="F56" s="102" t="s">
        <v>562</v>
      </c>
      <c r="G56" s="98" t="s">
        <v>23</v>
      </c>
      <c r="H56" s="99" t="s">
        <v>579</v>
      </c>
      <c r="I56" s="103" t="s">
        <v>241</v>
      </c>
      <c r="J56" s="103"/>
      <c r="K56" s="242" t="s">
        <v>230</v>
      </c>
      <c r="L56" s="101" t="s">
        <v>242</v>
      </c>
      <c r="M56" s="103" t="s">
        <v>241</v>
      </c>
      <c r="N56" s="101"/>
      <c r="O56" s="118">
        <v>309000</v>
      </c>
      <c r="P56" s="189"/>
      <c r="Q56" s="110"/>
      <c r="R56" s="282">
        <f t="shared" si="2"/>
        <v>0</v>
      </c>
      <c r="S56" s="110"/>
      <c r="T56" s="282">
        <f t="shared" si="2"/>
        <v>0</v>
      </c>
      <c r="U56" s="110"/>
      <c r="V56" s="282">
        <f t="shared" si="2"/>
        <v>0</v>
      </c>
      <c r="W56" s="110"/>
      <c r="X56" s="282">
        <f t="shared" si="3"/>
        <v>0</v>
      </c>
      <c r="Y56" s="110"/>
      <c r="Z56" s="282">
        <f t="shared" si="4"/>
        <v>0</v>
      </c>
      <c r="AA56" s="233">
        <f t="shared" si="0"/>
        <v>0</v>
      </c>
      <c r="AB56" s="234">
        <f t="shared" si="1"/>
        <v>0</v>
      </c>
      <c r="AC56" s="195"/>
    </row>
    <row r="57" spans="1:29" s="95" customFormat="1" ht="18" customHeight="1">
      <c r="A57" s="107">
        <v>2020</v>
      </c>
      <c r="B57" s="108">
        <v>3</v>
      </c>
      <c r="C57" s="108"/>
      <c r="D57" s="102"/>
      <c r="E57" s="102"/>
      <c r="F57" s="102" t="s">
        <v>562</v>
      </c>
      <c r="G57" s="98" t="s">
        <v>23</v>
      </c>
      <c r="H57" s="99" t="s">
        <v>579</v>
      </c>
      <c r="I57" s="103" t="s">
        <v>241</v>
      </c>
      <c r="J57" s="103"/>
      <c r="K57" s="242" t="s">
        <v>231</v>
      </c>
      <c r="L57" s="101" t="s">
        <v>242</v>
      </c>
      <c r="M57" s="103" t="s">
        <v>241</v>
      </c>
      <c r="N57" s="101"/>
      <c r="O57" s="118">
        <v>354454.54545454541</v>
      </c>
      <c r="P57" s="189"/>
      <c r="Q57" s="110"/>
      <c r="R57" s="282">
        <f t="shared" si="2"/>
        <v>0</v>
      </c>
      <c r="S57" s="110"/>
      <c r="T57" s="282">
        <f t="shared" si="2"/>
        <v>0</v>
      </c>
      <c r="U57" s="110"/>
      <c r="V57" s="282">
        <f t="shared" si="2"/>
        <v>0</v>
      </c>
      <c r="W57" s="110"/>
      <c r="X57" s="282">
        <f t="shared" si="3"/>
        <v>0</v>
      </c>
      <c r="Y57" s="110"/>
      <c r="Z57" s="282">
        <f t="shared" si="4"/>
        <v>0</v>
      </c>
      <c r="AA57" s="233">
        <f t="shared" si="0"/>
        <v>0</v>
      </c>
      <c r="AB57" s="234">
        <f t="shared" si="1"/>
        <v>0</v>
      </c>
      <c r="AC57" s="195"/>
    </row>
    <row r="58" spans="1:29" s="95" customFormat="1" ht="18" customHeight="1">
      <c r="A58" s="107">
        <v>2020</v>
      </c>
      <c r="B58" s="108">
        <v>3</v>
      </c>
      <c r="C58" s="108"/>
      <c r="D58" s="102"/>
      <c r="E58" s="102"/>
      <c r="F58" s="102" t="s">
        <v>562</v>
      </c>
      <c r="G58" s="98" t="s">
        <v>23</v>
      </c>
      <c r="H58" s="99" t="s">
        <v>579</v>
      </c>
      <c r="I58" s="103" t="s">
        <v>241</v>
      </c>
      <c r="J58" s="103"/>
      <c r="K58" s="242" t="s">
        <v>232</v>
      </c>
      <c r="L58" s="101" t="s">
        <v>243</v>
      </c>
      <c r="M58" s="103" t="s">
        <v>241</v>
      </c>
      <c r="N58" s="101"/>
      <c r="O58" s="118">
        <v>354454.54545454541</v>
      </c>
      <c r="P58" s="189"/>
      <c r="Q58" s="110"/>
      <c r="R58" s="282">
        <f t="shared" si="2"/>
        <v>0</v>
      </c>
      <c r="S58" s="110"/>
      <c r="T58" s="282">
        <f t="shared" si="2"/>
        <v>0</v>
      </c>
      <c r="U58" s="110"/>
      <c r="V58" s="282">
        <f t="shared" si="2"/>
        <v>0</v>
      </c>
      <c r="W58" s="110"/>
      <c r="X58" s="282">
        <f t="shared" si="3"/>
        <v>0</v>
      </c>
      <c r="Y58" s="110"/>
      <c r="Z58" s="282">
        <f t="shared" si="4"/>
        <v>0</v>
      </c>
      <c r="AA58" s="233">
        <f t="shared" si="0"/>
        <v>0</v>
      </c>
      <c r="AB58" s="234">
        <f t="shared" si="1"/>
        <v>0</v>
      </c>
      <c r="AC58" s="195"/>
    </row>
    <row r="59" spans="1:29" s="95" customFormat="1" ht="18" customHeight="1">
      <c r="A59" s="107">
        <v>2020</v>
      </c>
      <c r="B59" s="108">
        <v>3</v>
      </c>
      <c r="C59" s="108"/>
      <c r="D59" s="102"/>
      <c r="E59" s="102"/>
      <c r="F59" s="102" t="s">
        <v>562</v>
      </c>
      <c r="G59" s="98" t="s">
        <v>23</v>
      </c>
      <c r="H59" s="99" t="s">
        <v>579</v>
      </c>
      <c r="I59" s="103" t="s">
        <v>239</v>
      </c>
      <c r="J59" s="103"/>
      <c r="K59" s="242" t="s">
        <v>233</v>
      </c>
      <c r="L59" s="101" t="s">
        <v>242</v>
      </c>
      <c r="M59" s="103" t="s">
        <v>239</v>
      </c>
      <c r="N59" s="101"/>
      <c r="O59" s="118">
        <f>301900*0.9</f>
        <v>271710</v>
      </c>
      <c r="P59" s="189"/>
      <c r="Q59" s="110"/>
      <c r="R59" s="282">
        <f t="shared" si="2"/>
        <v>0</v>
      </c>
      <c r="S59" s="110"/>
      <c r="T59" s="282">
        <f t="shared" si="2"/>
        <v>0</v>
      </c>
      <c r="U59" s="110"/>
      <c r="V59" s="282">
        <f t="shared" si="2"/>
        <v>0</v>
      </c>
      <c r="W59" s="110"/>
      <c r="X59" s="282">
        <f t="shared" si="3"/>
        <v>0</v>
      </c>
      <c r="Y59" s="110"/>
      <c r="Z59" s="282">
        <f t="shared" si="4"/>
        <v>0</v>
      </c>
      <c r="AA59" s="233">
        <f t="shared" si="0"/>
        <v>0</v>
      </c>
      <c r="AB59" s="234">
        <f t="shared" si="1"/>
        <v>0</v>
      </c>
      <c r="AC59" s="195"/>
    </row>
    <row r="60" spans="1:29" s="95" customFormat="1" ht="18" customHeight="1">
      <c r="A60" s="107">
        <v>2020</v>
      </c>
      <c r="B60" s="108">
        <v>3</v>
      </c>
      <c r="C60" s="108"/>
      <c r="D60" s="102"/>
      <c r="E60" s="102"/>
      <c r="F60" s="102" t="s">
        <v>562</v>
      </c>
      <c r="G60" s="98" t="s">
        <v>23</v>
      </c>
      <c r="H60" s="99" t="s">
        <v>579</v>
      </c>
      <c r="I60" s="103" t="s">
        <v>239</v>
      </c>
      <c r="J60" s="103"/>
      <c r="K60" s="242" t="s">
        <v>234</v>
      </c>
      <c r="L60" s="101" t="s">
        <v>242</v>
      </c>
      <c r="M60" s="103" t="s">
        <v>239</v>
      </c>
      <c r="N60" s="101"/>
      <c r="O60" s="118">
        <f>339900*0.9</f>
        <v>305910</v>
      </c>
      <c r="P60" s="189"/>
      <c r="Q60" s="110"/>
      <c r="R60" s="282">
        <f t="shared" si="2"/>
        <v>0</v>
      </c>
      <c r="S60" s="110"/>
      <c r="T60" s="282">
        <f t="shared" si="2"/>
        <v>0</v>
      </c>
      <c r="U60" s="110"/>
      <c r="V60" s="282">
        <f t="shared" si="2"/>
        <v>0</v>
      </c>
      <c r="W60" s="110"/>
      <c r="X60" s="282">
        <f t="shared" si="3"/>
        <v>0</v>
      </c>
      <c r="Y60" s="110"/>
      <c r="Z60" s="282">
        <f t="shared" si="4"/>
        <v>0</v>
      </c>
      <c r="AA60" s="233">
        <f t="shared" si="0"/>
        <v>0</v>
      </c>
      <c r="AB60" s="234">
        <f t="shared" si="1"/>
        <v>0</v>
      </c>
      <c r="AC60" s="195"/>
    </row>
    <row r="61" spans="1:29" s="95" customFormat="1" ht="18" customHeight="1">
      <c r="A61" s="107">
        <v>2020</v>
      </c>
      <c r="B61" s="108">
        <v>3</v>
      </c>
      <c r="C61" s="108"/>
      <c r="D61" s="102"/>
      <c r="E61" s="102"/>
      <c r="F61" s="102" t="s">
        <v>562</v>
      </c>
      <c r="G61" s="98" t="s">
        <v>23</v>
      </c>
      <c r="H61" s="99" t="s">
        <v>579</v>
      </c>
      <c r="I61" s="103" t="s">
        <v>239</v>
      </c>
      <c r="J61" s="103"/>
      <c r="K61" s="242" t="s">
        <v>235</v>
      </c>
      <c r="L61" s="101" t="s">
        <v>242</v>
      </c>
      <c r="M61" s="103" t="s">
        <v>239</v>
      </c>
      <c r="N61" s="101"/>
      <c r="O61" s="118">
        <f>389900*0.9</f>
        <v>350910</v>
      </c>
      <c r="P61" s="189"/>
      <c r="Q61" s="110"/>
      <c r="R61" s="282">
        <f t="shared" si="2"/>
        <v>0</v>
      </c>
      <c r="S61" s="110"/>
      <c r="T61" s="282">
        <f t="shared" si="2"/>
        <v>0</v>
      </c>
      <c r="U61" s="110"/>
      <c r="V61" s="282">
        <f t="shared" si="2"/>
        <v>0</v>
      </c>
      <c r="W61" s="110"/>
      <c r="X61" s="282">
        <f t="shared" si="3"/>
        <v>0</v>
      </c>
      <c r="Y61" s="110"/>
      <c r="Z61" s="282">
        <f t="shared" si="4"/>
        <v>0</v>
      </c>
      <c r="AA61" s="233">
        <f t="shared" si="0"/>
        <v>0</v>
      </c>
      <c r="AB61" s="234">
        <f t="shared" si="1"/>
        <v>0</v>
      </c>
      <c r="AC61" s="195"/>
    </row>
    <row r="62" spans="1:29" s="95" customFormat="1" ht="18" customHeight="1">
      <c r="A62" s="107">
        <v>2020</v>
      </c>
      <c r="B62" s="108">
        <v>3</v>
      </c>
      <c r="C62" s="108"/>
      <c r="D62" s="102"/>
      <c r="E62" s="102"/>
      <c r="F62" s="102" t="s">
        <v>562</v>
      </c>
      <c r="G62" s="98" t="s">
        <v>23</v>
      </c>
      <c r="H62" s="99" t="s">
        <v>579</v>
      </c>
      <c r="I62" s="100" t="s">
        <v>258</v>
      </c>
      <c r="J62" s="100"/>
      <c r="K62" s="242" t="s">
        <v>244</v>
      </c>
      <c r="L62" s="101" t="s">
        <v>248</v>
      </c>
      <c r="M62" s="100" t="s">
        <v>258</v>
      </c>
      <c r="N62" s="101"/>
      <c r="O62" s="118">
        <v>227181.81818181818</v>
      </c>
      <c r="P62" s="189"/>
      <c r="Q62" s="110"/>
      <c r="R62" s="282">
        <f t="shared" si="2"/>
        <v>0</v>
      </c>
      <c r="S62" s="110"/>
      <c r="T62" s="282">
        <f t="shared" si="2"/>
        <v>0</v>
      </c>
      <c r="U62" s="110"/>
      <c r="V62" s="282">
        <f t="shared" si="2"/>
        <v>0</v>
      </c>
      <c r="W62" s="110"/>
      <c r="X62" s="282">
        <f t="shared" si="3"/>
        <v>0</v>
      </c>
      <c r="Y62" s="110"/>
      <c r="Z62" s="282">
        <f t="shared" si="4"/>
        <v>0</v>
      </c>
      <c r="AA62" s="233">
        <f t="shared" si="0"/>
        <v>0</v>
      </c>
      <c r="AB62" s="234">
        <f t="shared" si="1"/>
        <v>0</v>
      </c>
      <c r="AC62" s="195"/>
    </row>
    <row r="63" spans="1:29" s="95" customFormat="1" ht="18" customHeight="1">
      <c r="A63" s="107">
        <v>2020</v>
      </c>
      <c r="B63" s="108">
        <v>3</v>
      </c>
      <c r="C63" s="108"/>
      <c r="D63" s="102"/>
      <c r="E63" s="102"/>
      <c r="F63" s="102" t="s">
        <v>562</v>
      </c>
      <c r="G63" s="98" t="s">
        <v>23</v>
      </c>
      <c r="H63" s="99" t="s">
        <v>579</v>
      </c>
      <c r="I63" s="100" t="s">
        <v>258</v>
      </c>
      <c r="J63" s="100"/>
      <c r="K63" s="242" t="s">
        <v>245</v>
      </c>
      <c r="L63" s="101" t="s">
        <v>248</v>
      </c>
      <c r="M63" s="100" t="s">
        <v>258</v>
      </c>
      <c r="N63" s="101"/>
      <c r="O63" s="118">
        <v>254454.54545454544</v>
      </c>
      <c r="P63" s="189"/>
      <c r="Q63" s="110"/>
      <c r="R63" s="282">
        <f t="shared" si="2"/>
        <v>0</v>
      </c>
      <c r="S63" s="110"/>
      <c r="T63" s="282">
        <f t="shared" si="2"/>
        <v>0</v>
      </c>
      <c r="U63" s="110"/>
      <c r="V63" s="282">
        <f t="shared" si="2"/>
        <v>0</v>
      </c>
      <c r="W63" s="110"/>
      <c r="X63" s="282">
        <f t="shared" si="3"/>
        <v>0</v>
      </c>
      <c r="Y63" s="110"/>
      <c r="Z63" s="282">
        <f t="shared" si="4"/>
        <v>0</v>
      </c>
      <c r="AA63" s="233">
        <f t="shared" si="0"/>
        <v>0</v>
      </c>
      <c r="AB63" s="234">
        <f t="shared" si="1"/>
        <v>0</v>
      </c>
      <c r="AC63" s="195"/>
    </row>
    <row r="64" spans="1:29" s="95" customFormat="1" ht="18" customHeight="1">
      <c r="A64" s="107">
        <v>2020</v>
      </c>
      <c r="B64" s="108">
        <v>3</v>
      </c>
      <c r="C64" s="108"/>
      <c r="D64" s="102"/>
      <c r="E64" s="102"/>
      <c r="F64" s="102" t="s">
        <v>562</v>
      </c>
      <c r="G64" s="98" t="s">
        <v>23</v>
      </c>
      <c r="H64" s="99" t="s">
        <v>579</v>
      </c>
      <c r="I64" s="100" t="s">
        <v>258</v>
      </c>
      <c r="J64" s="100"/>
      <c r="K64" s="242" t="s">
        <v>246</v>
      </c>
      <c r="L64" s="101" t="s">
        <v>248</v>
      </c>
      <c r="M64" s="100" t="s">
        <v>258</v>
      </c>
      <c r="N64" s="101"/>
      <c r="O64" s="118">
        <v>272636.36363636359</v>
      </c>
      <c r="P64" s="189"/>
      <c r="Q64" s="110"/>
      <c r="R64" s="282">
        <f t="shared" si="2"/>
        <v>0</v>
      </c>
      <c r="S64" s="110"/>
      <c r="T64" s="282">
        <f t="shared" si="2"/>
        <v>0</v>
      </c>
      <c r="U64" s="110"/>
      <c r="V64" s="282">
        <f t="shared" si="2"/>
        <v>0</v>
      </c>
      <c r="W64" s="110"/>
      <c r="X64" s="282">
        <f t="shared" si="3"/>
        <v>0</v>
      </c>
      <c r="Y64" s="110"/>
      <c r="Z64" s="282">
        <f t="shared" si="4"/>
        <v>0</v>
      </c>
      <c r="AA64" s="233">
        <f t="shared" si="0"/>
        <v>0</v>
      </c>
      <c r="AB64" s="234">
        <f t="shared" si="1"/>
        <v>0</v>
      </c>
      <c r="AC64" s="195"/>
    </row>
    <row r="65" spans="1:30" s="95" customFormat="1" ht="18" customHeight="1">
      <c r="A65" s="107">
        <v>2020</v>
      </c>
      <c r="B65" s="108">
        <v>3</v>
      </c>
      <c r="C65" s="108"/>
      <c r="D65" s="102"/>
      <c r="E65" s="102"/>
      <c r="F65" s="102" t="s">
        <v>562</v>
      </c>
      <c r="G65" s="98" t="s">
        <v>23</v>
      </c>
      <c r="H65" s="99" t="s">
        <v>579</v>
      </c>
      <c r="I65" s="100" t="s">
        <v>258</v>
      </c>
      <c r="J65" s="100"/>
      <c r="K65" s="242" t="s">
        <v>247</v>
      </c>
      <c r="L65" s="101" t="s">
        <v>249</v>
      </c>
      <c r="M65" s="100" t="s">
        <v>258</v>
      </c>
      <c r="N65" s="101"/>
      <c r="O65" s="118">
        <v>345363.63636363635</v>
      </c>
      <c r="P65" s="189"/>
      <c r="Q65" s="110"/>
      <c r="R65" s="282">
        <f t="shared" si="2"/>
        <v>0</v>
      </c>
      <c r="S65" s="110"/>
      <c r="T65" s="282">
        <f t="shared" si="2"/>
        <v>0</v>
      </c>
      <c r="U65" s="110"/>
      <c r="V65" s="282">
        <f t="shared" si="2"/>
        <v>0</v>
      </c>
      <c r="W65" s="110"/>
      <c r="X65" s="282">
        <f t="shared" si="3"/>
        <v>0</v>
      </c>
      <c r="Y65" s="110"/>
      <c r="Z65" s="282">
        <f t="shared" si="4"/>
        <v>0</v>
      </c>
      <c r="AA65" s="233">
        <f t="shared" si="0"/>
        <v>0</v>
      </c>
      <c r="AB65" s="234">
        <f t="shared" si="1"/>
        <v>0</v>
      </c>
      <c r="AC65" s="195"/>
    </row>
    <row r="66" spans="1:30" s="95" customFormat="1" ht="18" customHeight="1">
      <c r="A66" s="107">
        <v>2020</v>
      </c>
      <c r="B66" s="108">
        <v>3</v>
      </c>
      <c r="C66" s="108"/>
      <c r="D66" s="102"/>
      <c r="E66" s="102"/>
      <c r="F66" s="102" t="s">
        <v>562</v>
      </c>
      <c r="G66" s="98" t="s">
        <v>23</v>
      </c>
      <c r="H66" s="99" t="s">
        <v>579</v>
      </c>
      <c r="I66" s="100" t="s">
        <v>257</v>
      </c>
      <c r="J66" s="100"/>
      <c r="K66" s="242" t="s">
        <v>259</v>
      </c>
      <c r="L66" s="101" t="s">
        <v>248</v>
      </c>
      <c r="M66" s="100" t="s">
        <v>257</v>
      </c>
      <c r="N66" s="101"/>
      <c r="O66" s="118">
        <v>227181.81818181818</v>
      </c>
      <c r="P66" s="189"/>
      <c r="Q66" s="110"/>
      <c r="R66" s="282">
        <f t="shared" si="2"/>
        <v>0</v>
      </c>
      <c r="S66" s="110"/>
      <c r="T66" s="282">
        <f t="shared" si="2"/>
        <v>0</v>
      </c>
      <c r="U66" s="110"/>
      <c r="V66" s="282">
        <f t="shared" si="2"/>
        <v>0</v>
      </c>
      <c r="W66" s="110"/>
      <c r="X66" s="282">
        <f t="shared" si="3"/>
        <v>0</v>
      </c>
      <c r="Y66" s="110"/>
      <c r="Z66" s="282">
        <f t="shared" si="4"/>
        <v>0</v>
      </c>
      <c r="AA66" s="233">
        <f t="shared" si="0"/>
        <v>0</v>
      </c>
      <c r="AB66" s="234">
        <f t="shared" si="1"/>
        <v>0</v>
      </c>
      <c r="AC66" s="195"/>
    </row>
    <row r="67" spans="1:30" s="95" customFormat="1" ht="18" customHeight="1">
      <c r="A67" s="107">
        <v>2020</v>
      </c>
      <c r="B67" s="108">
        <v>3</v>
      </c>
      <c r="C67" s="108"/>
      <c r="D67" s="102"/>
      <c r="E67" s="102"/>
      <c r="F67" s="102" t="s">
        <v>562</v>
      </c>
      <c r="G67" s="98" t="s">
        <v>23</v>
      </c>
      <c r="H67" s="99" t="s">
        <v>579</v>
      </c>
      <c r="I67" s="100" t="s">
        <v>257</v>
      </c>
      <c r="J67" s="100"/>
      <c r="K67" s="242" t="s">
        <v>260</v>
      </c>
      <c r="L67" s="101" t="s">
        <v>248</v>
      </c>
      <c r="M67" s="100" t="s">
        <v>257</v>
      </c>
      <c r="N67" s="101"/>
      <c r="O67" s="118">
        <v>254454.54545454544</v>
      </c>
      <c r="P67" s="189"/>
      <c r="Q67" s="110"/>
      <c r="R67" s="282">
        <f t="shared" si="2"/>
        <v>0</v>
      </c>
      <c r="S67" s="110"/>
      <c r="T67" s="282">
        <f t="shared" si="2"/>
        <v>0</v>
      </c>
      <c r="U67" s="110"/>
      <c r="V67" s="282">
        <f t="shared" si="2"/>
        <v>0</v>
      </c>
      <c r="W67" s="110"/>
      <c r="X67" s="282">
        <f t="shared" si="3"/>
        <v>0</v>
      </c>
      <c r="Y67" s="110"/>
      <c r="Z67" s="282">
        <f t="shared" si="4"/>
        <v>0</v>
      </c>
      <c r="AA67" s="233">
        <f t="shared" si="0"/>
        <v>0</v>
      </c>
      <c r="AB67" s="234">
        <f t="shared" si="1"/>
        <v>0</v>
      </c>
      <c r="AC67" s="195"/>
    </row>
    <row r="68" spans="1:30" s="95" customFormat="1" ht="18" customHeight="1">
      <c r="A68" s="107">
        <v>2020</v>
      </c>
      <c r="B68" s="108">
        <v>3</v>
      </c>
      <c r="C68" s="108"/>
      <c r="D68" s="102"/>
      <c r="E68" s="102"/>
      <c r="F68" s="102" t="s">
        <v>562</v>
      </c>
      <c r="G68" s="98" t="s">
        <v>23</v>
      </c>
      <c r="H68" s="99" t="s">
        <v>579</v>
      </c>
      <c r="I68" s="100" t="s">
        <v>257</v>
      </c>
      <c r="J68" s="100"/>
      <c r="K68" s="242" t="s">
        <v>261</v>
      </c>
      <c r="L68" s="101" t="s">
        <v>248</v>
      </c>
      <c r="M68" s="100" t="s">
        <v>257</v>
      </c>
      <c r="N68" s="101"/>
      <c r="O68" s="118">
        <v>272636.36363636359</v>
      </c>
      <c r="P68" s="189"/>
      <c r="Q68" s="110"/>
      <c r="R68" s="282">
        <f t="shared" si="2"/>
        <v>0</v>
      </c>
      <c r="S68" s="110"/>
      <c r="T68" s="282">
        <f t="shared" si="2"/>
        <v>0</v>
      </c>
      <c r="U68" s="110"/>
      <c r="V68" s="282">
        <f t="shared" si="2"/>
        <v>0</v>
      </c>
      <c r="W68" s="110"/>
      <c r="X68" s="282">
        <f t="shared" si="3"/>
        <v>0</v>
      </c>
      <c r="Y68" s="110"/>
      <c r="Z68" s="282">
        <f t="shared" si="4"/>
        <v>0</v>
      </c>
      <c r="AA68" s="233">
        <f t="shared" si="0"/>
        <v>0</v>
      </c>
      <c r="AB68" s="234">
        <f t="shared" si="1"/>
        <v>0</v>
      </c>
      <c r="AC68" s="195"/>
    </row>
    <row r="69" spans="1:30" s="95" customFormat="1" ht="18" customHeight="1">
      <c r="A69" s="107">
        <v>2020</v>
      </c>
      <c r="B69" s="108">
        <v>3</v>
      </c>
      <c r="C69" s="108"/>
      <c r="D69" s="102"/>
      <c r="E69" s="102"/>
      <c r="F69" s="102" t="s">
        <v>562</v>
      </c>
      <c r="G69" s="98" t="s">
        <v>23</v>
      </c>
      <c r="H69" s="99" t="s">
        <v>579</v>
      </c>
      <c r="I69" s="100" t="s">
        <v>257</v>
      </c>
      <c r="J69" s="100"/>
      <c r="K69" s="242" t="s">
        <v>262</v>
      </c>
      <c r="L69" s="101" t="s">
        <v>249</v>
      </c>
      <c r="M69" s="100" t="s">
        <v>257</v>
      </c>
      <c r="N69" s="101"/>
      <c r="O69" s="118">
        <v>345363.63636363635</v>
      </c>
      <c r="P69" s="189"/>
      <c r="Q69" s="110"/>
      <c r="R69" s="282">
        <f t="shared" si="2"/>
        <v>0</v>
      </c>
      <c r="S69" s="110"/>
      <c r="T69" s="282">
        <f t="shared" si="2"/>
        <v>0</v>
      </c>
      <c r="U69" s="110"/>
      <c r="V69" s="282">
        <f>U69*$O69</f>
        <v>0</v>
      </c>
      <c r="W69" s="110"/>
      <c r="X69" s="282">
        <f t="shared" si="3"/>
        <v>0</v>
      </c>
      <c r="Y69" s="110"/>
      <c r="Z69" s="282">
        <f t="shared" si="4"/>
        <v>0</v>
      </c>
      <c r="AA69" s="233">
        <f t="shared" si="0"/>
        <v>0</v>
      </c>
      <c r="AB69" s="234">
        <f t="shared" si="1"/>
        <v>0</v>
      </c>
      <c r="AC69" s="195"/>
    </row>
    <row r="70" spans="1:30" s="95" customFormat="1" ht="18" customHeight="1">
      <c r="A70" s="107">
        <v>2020</v>
      </c>
      <c r="B70" s="108">
        <v>3</v>
      </c>
      <c r="C70" s="108"/>
      <c r="D70" s="102"/>
      <c r="E70" s="102"/>
      <c r="F70" s="102" t="s">
        <v>562</v>
      </c>
      <c r="G70" s="98" t="s">
        <v>23</v>
      </c>
      <c r="H70" s="99" t="s">
        <v>579</v>
      </c>
      <c r="I70" s="100" t="s">
        <v>267</v>
      </c>
      <c r="J70" s="100"/>
      <c r="K70" s="242" t="s">
        <v>263</v>
      </c>
      <c r="L70" s="101" t="s">
        <v>248</v>
      </c>
      <c r="M70" s="100" t="s">
        <v>267</v>
      </c>
      <c r="N70" s="101"/>
      <c r="O70" s="118">
        <v>227181.81818181818</v>
      </c>
      <c r="P70" s="189"/>
      <c r="Q70" s="110"/>
      <c r="R70" s="282">
        <f t="shared" ref="R70:V133" si="5">Q70*$O70</f>
        <v>0</v>
      </c>
      <c r="S70" s="110"/>
      <c r="T70" s="282">
        <f t="shared" si="5"/>
        <v>0</v>
      </c>
      <c r="U70" s="110"/>
      <c r="V70" s="282">
        <f t="shared" si="5"/>
        <v>0</v>
      </c>
      <c r="W70" s="110"/>
      <c r="X70" s="282">
        <f t="shared" ref="X70:X133" si="6">W70*$O70</f>
        <v>0</v>
      </c>
      <c r="Y70" s="110"/>
      <c r="Z70" s="282">
        <f t="shared" ref="Z70:Z133" si="7">Y70*$O70</f>
        <v>0</v>
      </c>
      <c r="AA70" s="233">
        <f t="shared" si="0"/>
        <v>0</v>
      </c>
      <c r="AB70" s="234">
        <f t="shared" si="1"/>
        <v>0</v>
      </c>
      <c r="AC70" s="195"/>
    </row>
    <row r="71" spans="1:30" s="95" customFormat="1" ht="18" customHeight="1">
      <c r="A71" s="107">
        <v>2020</v>
      </c>
      <c r="B71" s="108">
        <v>3</v>
      </c>
      <c r="C71" s="108"/>
      <c r="D71" s="102"/>
      <c r="E71" s="102"/>
      <c r="F71" s="102" t="s">
        <v>562</v>
      </c>
      <c r="G71" s="98" t="s">
        <v>23</v>
      </c>
      <c r="H71" s="99" t="s">
        <v>579</v>
      </c>
      <c r="I71" s="100" t="s">
        <v>267</v>
      </c>
      <c r="J71" s="100"/>
      <c r="K71" s="242" t="s">
        <v>264</v>
      </c>
      <c r="L71" s="101" t="s">
        <v>248</v>
      </c>
      <c r="M71" s="100" t="s">
        <v>267</v>
      </c>
      <c r="N71" s="101"/>
      <c r="O71" s="118">
        <v>254454.54545454544</v>
      </c>
      <c r="P71" s="189"/>
      <c r="Q71" s="110"/>
      <c r="R71" s="282">
        <f t="shared" si="5"/>
        <v>0</v>
      </c>
      <c r="S71" s="110"/>
      <c r="T71" s="282">
        <f t="shared" si="5"/>
        <v>0</v>
      </c>
      <c r="U71" s="110"/>
      <c r="V71" s="282">
        <f t="shared" si="5"/>
        <v>0</v>
      </c>
      <c r="W71" s="110"/>
      <c r="X71" s="282">
        <f t="shared" si="6"/>
        <v>0</v>
      </c>
      <c r="Y71" s="110"/>
      <c r="Z71" s="282">
        <f t="shared" si="7"/>
        <v>0</v>
      </c>
      <c r="AA71" s="233">
        <f t="shared" si="0"/>
        <v>0</v>
      </c>
      <c r="AB71" s="234">
        <f t="shared" si="1"/>
        <v>0</v>
      </c>
      <c r="AC71" s="195"/>
    </row>
    <row r="72" spans="1:30" s="95" customFormat="1" ht="18" customHeight="1">
      <c r="A72" s="107">
        <v>2020</v>
      </c>
      <c r="B72" s="108">
        <v>3</v>
      </c>
      <c r="C72" s="108"/>
      <c r="D72" s="102"/>
      <c r="E72" s="102"/>
      <c r="F72" s="102" t="s">
        <v>562</v>
      </c>
      <c r="G72" s="98" t="s">
        <v>23</v>
      </c>
      <c r="H72" s="99" t="s">
        <v>579</v>
      </c>
      <c r="I72" s="100" t="s">
        <v>267</v>
      </c>
      <c r="J72" s="100"/>
      <c r="K72" s="242" t="s">
        <v>265</v>
      </c>
      <c r="L72" s="101" t="s">
        <v>248</v>
      </c>
      <c r="M72" s="100" t="s">
        <v>267</v>
      </c>
      <c r="N72" s="101"/>
      <c r="O72" s="118">
        <v>272636.36363636359</v>
      </c>
      <c r="P72" s="189"/>
      <c r="Q72" s="110"/>
      <c r="R72" s="282">
        <f t="shared" si="5"/>
        <v>0</v>
      </c>
      <c r="S72" s="110"/>
      <c r="T72" s="282">
        <f t="shared" si="5"/>
        <v>0</v>
      </c>
      <c r="U72" s="110"/>
      <c r="V72" s="282">
        <f t="shared" si="5"/>
        <v>0</v>
      </c>
      <c r="W72" s="110"/>
      <c r="X72" s="282">
        <f t="shared" si="6"/>
        <v>0</v>
      </c>
      <c r="Y72" s="110"/>
      <c r="Z72" s="282">
        <f t="shared" si="7"/>
        <v>0</v>
      </c>
      <c r="AA72" s="233">
        <f t="shared" ref="AA72:AA134" si="8">SUMIF($Q$4:$Z$4,"BÁN",$Q72:$Z72)</f>
        <v>0</v>
      </c>
      <c r="AB72" s="234">
        <f t="shared" ref="AB72:AB134" si="9">SUMIF($Q$4:$Z$4,"THÀNH TIỀN
BÁN THỰC TẾ",$Q72:$Z72)</f>
        <v>0</v>
      </c>
      <c r="AC72" s="195"/>
    </row>
    <row r="73" spans="1:30" s="95" customFormat="1" ht="18" customHeight="1">
      <c r="A73" s="107">
        <v>2020</v>
      </c>
      <c r="B73" s="108">
        <v>3</v>
      </c>
      <c r="C73" s="108"/>
      <c r="D73" s="102"/>
      <c r="E73" s="102"/>
      <c r="F73" s="102" t="s">
        <v>562</v>
      </c>
      <c r="G73" s="98" t="s">
        <v>23</v>
      </c>
      <c r="H73" s="99" t="s">
        <v>579</v>
      </c>
      <c r="I73" s="100" t="s">
        <v>267</v>
      </c>
      <c r="J73" s="100"/>
      <c r="K73" s="242" t="s">
        <v>266</v>
      </c>
      <c r="L73" s="101" t="s">
        <v>249</v>
      </c>
      <c r="M73" s="100" t="s">
        <v>267</v>
      </c>
      <c r="N73" s="101"/>
      <c r="O73" s="118">
        <v>345363.63636363635</v>
      </c>
      <c r="P73" s="189"/>
      <c r="Q73" s="110"/>
      <c r="R73" s="282">
        <f t="shared" si="5"/>
        <v>0</v>
      </c>
      <c r="S73" s="110"/>
      <c r="T73" s="282">
        <f t="shared" si="5"/>
        <v>0</v>
      </c>
      <c r="U73" s="110"/>
      <c r="V73" s="282">
        <f t="shared" si="5"/>
        <v>0</v>
      </c>
      <c r="W73" s="110"/>
      <c r="X73" s="282">
        <f t="shared" si="6"/>
        <v>0</v>
      </c>
      <c r="Y73" s="110"/>
      <c r="Z73" s="282">
        <f t="shared" si="7"/>
        <v>0</v>
      </c>
      <c r="AA73" s="233">
        <f t="shared" si="8"/>
        <v>0</v>
      </c>
      <c r="AB73" s="234">
        <f t="shared" si="9"/>
        <v>0</v>
      </c>
      <c r="AC73" s="195"/>
    </row>
    <row r="74" spans="1:30" s="95" customFormat="1" ht="18" customHeight="1">
      <c r="A74" s="107">
        <v>2020</v>
      </c>
      <c r="B74" s="108">
        <v>3</v>
      </c>
      <c r="C74" s="108"/>
      <c r="D74" s="102"/>
      <c r="E74" s="102"/>
      <c r="F74" s="102" t="s">
        <v>562</v>
      </c>
      <c r="G74" s="98" t="s">
        <v>23</v>
      </c>
      <c r="H74" s="99" t="s">
        <v>579</v>
      </c>
      <c r="I74" s="100" t="s">
        <v>274</v>
      </c>
      <c r="J74" s="100"/>
      <c r="K74" s="242" t="s">
        <v>271</v>
      </c>
      <c r="L74" s="101" t="s">
        <v>248</v>
      </c>
      <c r="M74" s="100" t="s">
        <v>274</v>
      </c>
      <c r="N74" s="101"/>
      <c r="O74" s="118">
        <v>238090.90909090906</v>
      </c>
      <c r="P74" s="189"/>
      <c r="Q74" s="110"/>
      <c r="R74" s="282">
        <f t="shared" si="5"/>
        <v>0</v>
      </c>
      <c r="S74" s="110"/>
      <c r="T74" s="282">
        <f t="shared" si="5"/>
        <v>0</v>
      </c>
      <c r="U74" s="110"/>
      <c r="V74" s="282">
        <f t="shared" si="5"/>
        <v>0</v>
      </c>
      <c r="W74" s="110"/>
      <c r="X74" s="282">
        <f t="shared" si="6"/>
        <v>0</v>
      </c>
      <c r="Y74" s="110"/>
      <c r="Z74" s="282">
        <f t="shared" si="7"/>
        <v>0</v>
      </c>
      <c r="AA74" s="233">
        <f t="shared" si="8"/>
        <v>0</v>
      </c>
      <c r="AB74" s="234">
        <f t="shared" si="9"/>
        <v>0</v>
      </c>
      <c r="AC74" s="195"/>
    </row>
    <row r="75" spans="1:30" s="95" customFormat="1" ht="18" customHeight="1">
      <c r="A75" s="107">
        <v>2020</v>
      </c>
      <c r="B75" s="108">
        <v>3</v>
      </c>
      <c r="C75" s="108"/>
      <c r="D75" s="102"/>
      <c r="E75" s="102"/>
      <c r="F75" s="102" t="s">
        <v>562</v>
      </c>
      <c r="G75" s="98" t="s">
        <v>23</v>
      </c>
      <c r="H75" s="99" t="s">
        <v>579</v>
      </c>
      <c r="I75" s="100" t="s">
        <v>274</v>
      </c>
      <c r="J75" s="100"/>
      <c r="K75" s="242" t="s">
        <v>272</v>
      </c>
      <c r="L75" s="101" t="s">
        <v>248</v>
      </c>
      <c r="M75" s="100" t="s">
        <v>274</v>
      </c>
      <c r="N75" s="101"/>
      <c r="O75" s="118">
        <v>260818.18181818179</v>
      </c>
      <c r="P75" s="189"/>
      <c r="Q75" s="110"/>
      <c r="R75" s="282">
        <f t="shared" si="5"/>
        <v>0</v>
      </c>
      <c r="S75" s="110"/>
      <c r="T75" s="282">
        <f t="shared" si="5"/>
        <v>0</v>
      </c>
      <c r="U75" s="110"/>
      <c r="V75" s="282">
        <f t="shared" si="5"/>
        <v>0</v>
      </c>
      <c r="W75" s="110"/>
      <c r="X75" s="282">
        <f t="shared" si="6"/>
        <v>0</v>
      </c>
      <c r="Y75" s="110"/>
      <c r="Z75" s="282">
        <f t="shared" si="7"/>
        <v>0</v>
      </c>
      <c r="AA75" s="233">
        <f t="shared" si="8"/>
        <v>0</v>
      </c>
      <c r="AB75" s="234">
        <f t="shared" si="9"/>
        <v>0</v>
      </c>
      <c r="AC75" s="195"/>
    </row>
    <row r="76" spans="1:30" s="95" customFormat="1" ht="18" customHeight="1">
      <c r="A76" s="107">
        <v>2020</v>
      </c>
      <c r="B76" s="108">
        <v>3</v>
      </c>
      <c r="C76" s="108"/>
      <c r="D76" s="102"/>
      <c r="E76" s="102"/>
      <c r="F76" s="102" t="s">
        <v>562</v>
      </c>
      <c r="G76" s="98" t="s">
        <v>23</v>
      </c>
      <c r="H76" s="99" t="s">
        <v>579</v>
      </c>
      <c r="I76" s="100" t="s">
        <v>274</v>
      </c>
      <c r="J76" s="100"/>
      <c r="K76" s="242" t="s">
        <v>273</v>
      </c>
      <c r="L76" s="101" t="s">
        <v>248</v>
      </c>
      <c r="M76" s="100" t="s">
        <v>274</v>
      </c>
      <c r="N76" s="101"/>
      <c r="O76" s="118">
        <v>285363.63636363635</v>
      </c>
      <c r="P76" s="189"/>
      <c r="Q76" s="110"/>
      <c r="R76" s="282">
        <f t="shared" si="5"/>
        <v>0</v>
      </c>
      <c r="S76" s="110"/>
      <c r="T76" s="282">
        <f t="shared" si="5"/>
        <v>0</v>
      </c>
      <c r="U76" s="110"/>
      <c r="V76" s="282">
        <f t="shared" si="5"/>
        <v>0</v>
      </c>
      <c r="W76" s="110"/>
      <c r="X76" s="282">
        <f t="shared" si="6"/>
        <v>0</v>
      </c>
      <c r="Y76" s="110"/>
      <c r="Z76" s="282">
        <f t="shared" si="7"/>
        <v>0</v>
      </c>
      <c r="AA76" s="233">
        <f t="shared" si="8"/>
        <v>0</v>
      </c>
      <c r="AB76" s="234">
        <f t="shared" si="9"/>
        <v>0</v>
      </c>
      <c r="AC76" s="195"/>
    </row>
    <row r="77" spans="1:30" s="95" customFormat="1" ht="18" customHeight="1">
      <c r="A77" s="107">
        <v>2020</v>
      </c>
      <c r="B77" s="108">
        <v>3</v>
      </c>
      <c r="C77" s="108"/>
      <c r="D77" s="102"/>
      <c r="E77" s="102"/>
      <c r="F77" s="102" t="s">
        <v>562</v>
      </c>
      <c r="G77" s="98" t="s">
        <v>23</v>
      </c>
      <c r="H77" s="99" t="s">
        <v>579</v>
      </c>
      <c r="I77" s="100" t="s">
        <v>278</v>
      </c>
      <c r="J77" s="100"/>
      <c r="K77" s="242" t="s">
        <v>275</v>
      </c>
      <c r="L77" s="101" t="s">
        <v>248</v>
      </c>
      <c r="M77" s="100" t="s">
        <v>278</v>
      </c>
      <c r="N77" s="101"/>
      <c r="O77" s="118">
        <f>219900*0.9</f>
        <v>197910</v>
      </c>
      <c r="P77" s="189"/>
      <c r="Q77" s="110"/>
      <c r="R77" s="282">
        <f t="shared" si="5"/>
        <v>0</v>
      </c>
      <c r="S77" s="110"/>
      <c r="T77" s="282">
        <f t="shared" si="5"/>
        <v>0</v>
      </c>
      <c r="U77" s="110"/>
      <c r="V77" s="282">
        <f t="shared" si="5"/>
        <v>0</v>
      </c>
      <c r="W77" s="110"/>
      <c r="X77" s="282">
        <f t="shared" si="6"/>
        <v>0</v>
      </c>
      <c r="Y77" s="110"/>
      <c r="Z77" s="282">
        <f t="shared" si="7"/>
        <v>0</v>
      </c>
      <c r="AA77" s="233">
        <f t="shared" si="8"/>
        <v>0</v>
      </c>
      <c r="AB77" s="234">
        <f t="shared" si="9"/>
        <v>0</v>
      </c>
      <c r="AC77" s="195"/>
    </row>
    <row r="78" spans="1:30" s="95" customFormat="1" ht="18" customHeight="1">
      <c r="A78" s="107">
        <v>2020</v>
      </c>
      <c r="B78" s="108">
        <v>3</v>
      </c>
      <c r="C78" s="108"/>
      <c r="D78" s="102"/>
      <c r="E78" s="102"/>
      <c r="F78" s="102" t="s">
        <v>562</v>
      </c>
      <c r="G78" s="98" t="s">
        <v>23</v>
      </c>
      <c r="H78" s="99" t="s">
        <v>579</v>
      </c>
      <c r="I78" s="100" t="s">
        <v>278</v>
      </c>
      <c r="J78" s="100"/>
      <c r="K78" s="242" t="s">
        <v>276</v>
      </c>
      <c r="L78" s="101" t="s">
        <v>248</v>
      </c>
      <c r="M78" s="100" t="s">
        <v>278</v>
      </c>
      <c r="N78" s="101"/>
      <c r="O78" s="118">
        <f>239900*0.9</f>
        <v>215910</v>
      </c>
      <c r="P78" s="189"/>
      <c r="Q78" s="110"/>
      <c r="R78" s="282">
        <f t="shared" si="5"/>
        <v>0</v>
      </c>
      <c r="S78" s="110"/>
      <c r="T78" s="282">
        <f t="shared" si="5"/>
        <v>0</v>
      </c>
      <c r="U78" s="110"/>
      <c r="V78" s="282">
        <f t="shared" si="5"/>
        <v>0</v>
      </c>
      <c r="W78" s="110"/>
      <c r="X78" s="282">
        <f t="shared" si="6"/>
        <v>0</v>
      </c>
      <c r="Y78" s="110"/>
      <c r="Z78" s="282">
        <f t="shared" si="7"/>
        <v>0</v>
      </c>
      <c r="AA78" s="233">
        <f t="shared" si="8"/>
        <v>0</v>
      </c>
      <c r="AB78" s="234">
        <f t="shared" si="9"/>
        <v>0</v>
      </c>
      <c r="AC78" s="195"/>
    </row>
    <row r="79" spans="1:30" s="95" customFormat="1" ht="18" customHeight="1">
      <c r="A79" s="107">
        <v>2020</v>
      </c>
      <c r="B79" s="108">
        <v>3</v>
      </c>
      <c r="C79" s="108"/>
      <c r="D79" s="102"/>
      <c r="E79" s="102"/>
      <c r="F79" s="102" t="s">
        <v>562</v>
      </c>
      <c r="G79" s="98" t="s">
        <v>23</v>
      </c>
      <c r="H79" s="99" t="s">
        <v>579</v>
      </c>
      <c r="I79" s="100" t="s">
        <v>278</v>
      </c>
      <c r="J79" s="100"/>
      <c r="K79" s="242" t="s">
        <v>277</v>
      </c>
      <c r="L79" s="101" t="s">
        <v>248</v>
      </c>
      <c r="M79" s="100" t="s">
        <v>278</v>
      </c>
      <c r="N79" s="101"/>
      <c r="O79" s="118">
        <f>259900*0.9</f>
        <v>233910</v>
      </c>
      <c r="P79" s="189"/>
      <c r="Q79" s="110"/>
      <c r="R79" s="282">
        <f t="shared" si="5"/>
        <v>0</v>
      </c>
      <c r="S79" s="110"/>
      <c r="T79" s="282">
        <f t="shared" si="5"/>
        <v>0</v>
      </c>
      <c r="U79" s="110"/>
      <c r="V79" s="282">
        <f t="shared" si="5"/>
        <v>0</v>
      </c>
      <c r="W79" s="110"/>
      <c r="X79" s="282">
        <f t="shared" si="6"/>
        <v>0</v>
      </c>
      <c r="Y79" s="110"/>
      <c r="Z79" s="282">
        <f t="shared" si="7"/>
        <v>0</v>
      </c>
      <c r="AA79" s="233">
        <f t="shared" si="8"/>
        <v>0</v>
      </c>
      <c r="AB79" s="234">
        <f t="shared" si="9"/>
        <v>0</v>
      </c>
      <c r="AC79" s="195"/>
    </row>
    <row r="80" spans="1:30" s="120" customFormat="1" ht="18" customHeight="1">
      <c r="A80" s="107">
        <v>2020</v>
      </c>
      <c r="B80" s="108">
        <v>3</v>
      </c>
      <c r="C80" s="108"/>
      <c r="D80" s="102"/>
      <c r="E80" s="102"/>
      <c r="F80" s="102" t="s">
        <v>562</v>
      </c>
      <c r="G80" s="98" t="s">
        <v>23</v>
      </c>
      <c r="H80" s="99" t="s">
        <v>580</v>
      </c>
      <c r="I80" s="103" t="s">
        <v>35</v>
      </c>
      <c r="J80" s="103"/>
      <c r="K80" s="241" t="s">
        <v>689</v>
      </c>
      <c r="L80" s="101" t="s">
        <v>217</v>
      </c>
      <c r="M80" s="103" t="s">
        <v>35</v>
      </c>
      <c r="N80" s="101" t="s">
        <v>690</v>
      </c>
      <c r="O80" s="118">
        <v>378091</v>
      </c>
      <c r="P80" s="189"/>
      <c r="Q80" s="110"/>
      <c r="R80" s="282">
        <f t="shared" si="5"/>
        <v>0</v>
      </c>
      <c r="S80" s="110"/>
      <c r="T80" s="282">
        <f t="shared" si="5"/>
        <v>0</v>
      </c>
      <c r="U80" s="110"/>
      <c r="V80" s="282">
        <f t="shared" si="5"/>
        <v>0</v>
      </c>
      <c r="W80" s="110"/>
      <c r="X80" s="282">
        <f t="shared" si="6"/>
        <v>0</v>
      </c>
      <c r="Y80" s="110"/>
      <c r="Z80" s="282">
        <f t="shared" si="7"/>
        <v>0</v>
      </c>
      <c r="AA80" s="233">
        <f t="shared" si="8"/>
        <v>0</v>
      </c>
      <c r="AB80" s="234">
        <f t="shared" si="9"/>
        <v>0</v>
      </c>
      <c r="AC80" s="195"/>
      <c r="AD80" s="95"/>
    </row>
    <row r="81" spans="1:30" s="120" customFormat="1" ht="18" customHeight="1">
      <c r="A81" s="107">
        <v>2020</v>
      </c>
      <c r="B81" s="108">
        <v>3</v>
      </c>
      <c r="C81" s="108"/>
      <c r="D81" s="102"/>
      <c r="E81" s="102"/>
      <c r="F81" s="102" t="s">
        <v>562</v>
      </c>
      <c r="G81" s="98" t="s">
        <v>23</v>
      </c>
      <c r="H81" s="99" t="s">
        <v>580</v>
      </c>
      <c r="I81" s="103" t="s">
        <v>35</v>
      </c>
      <c r="J81" s="103"/>
      <c r="K81" s="242" t="s">
        <v>694</v>
      </c>
      <c r="L81" s="101" t="s">
        <v>217</v>
      </c>
      <c r="M81" s="103" t="s">
        <v>35</v>
      </c>
      <c r="N81" s="101" t="s">
        <v>691</v>
      </c>
      <c r="O81" s="118">
        <v>401728</v>
      </c>
      <c r="P81" s="189"/>
      <c r="Q81" s="110"/>
      <c r="R81" s="282">
        <f t="shared" si="5"/>
        <v>0</v>
      </c>
      <c r="S81" s="110"/>
      <c r="T81" s="282">
        <f t="shared" si="5"/>
        <v>0</v>
      </c>
      <c r="U81" s="110"/>
      <c r="V81" s="282">
        <f t="shared" si="5"/>
        <v>0</v>
      </c>
      <c r="W81" s="110"/>
      <c r="X81" s="282">
        <f t="shared" si="6"/>
        <v>0</v>
      </c>
      <c r="Y81" s="110"/>
      <c r="Z81" s="282">
        <f t="shared" si="7"/>
        <v>0</v>
      </c>
      <c r="AA81" s="233">
        <f t="shared" si="8"/>
        <v>0</v>
      </c>
      <c r="AB81" s="234">
        <f t="shared" si="9"/>
        <v>0</v>
      </c>
      <c r="AC81" s="195"/>
      <c r="AD81" s="95"/>
    </row>
    <row r="82" spans="1:30" s="120" customFormat="1" ht="18" customHeight="1">
      <c r="A82" s="107">
        <v>2020</v>
      </c>
      <c r="B82" s="108">
        <v>3</v>
      </c>
      <c r="C82" s="108"/>
      <c r="D82" s="102"/>
      <c r="E82" s="102"/>
      <c r="F82" s="102" t="s">
        <v>562</v>
      </c>
      <c r="G82" s="98" t="s">
        <v>23</v>
      </c>
      <c r="H82" s="99" t="s">
        <v>580</v>
      </c>
      <c r="I82" s="103" t="s">
        <v>35</v>
      </c>
      <c r="J82" s="103"/>
      <c r="K82" s="242" t="s">
        <v>695</v>
      </c>
      <c r="L82" s="101" t="s">
        <v>217</v>
      </c>
      <c r="M82" s="103" t="s">
        <v>35</v>
      </c>
      <c r="N82" s="101" t="s">
        <v>692</v>
      </c>
      <c r="O82" s="118">
        <v>416273</v>
      </c>
      <c r="P82" s="189"/>
      <c r="Q82" s="110"/>
      <c r="R82" s="282">
        <f t="shared" si="5"/>
        <v>0</v>
      </c>
      <c r="S82" s="110"/>
      <c r="T82" s="282">
        <f t="shared" si="5"/>
        <v>0</v>
      </c>
      <c r="U82" s="110"/>
      <c r="V82" s="282">
        <f t="shared" si="5"/>
        <v>0</v>
      </c>
      <c r="W82" s="110"/>
      <c r="X82" s="282">
        <f t="shared" si="6"/>
        <v>0</v>
      </c>
      <c r="Y82" s="110"/>
      <c r="Z82" s="282">
        <f t="shared" si="7"/>
        <v>0</v>
      </c>
      <c r="AA82" s="233">
        <f t="shared" si="8"/>
        <v>0</v>
      </c>
      <c r="AB82" s="234">
        <f t="shared" si="9"/>
        <v>0</v>
      </c>
      <c r="AC82" s="195"/>
      <c r="AD82" s="95"/>
    </row>
    <row r="83" spans="1:30" s="120" customFormat="1" ht="18" customHeight="1">
      <c r="A83" s="107">
        <v>2020</v>
      </c>
      <c r="B83" s="108">
        <v>3</v>
      </c>
      <c r="C83" s="108"/>
      <c r="D83" s="102"/>
      <c r="E83" s="102"/>
      <c r="F83" s="102" t="s">
        <v>562</v>
      </c>
      <c r="G83" s="98" t="s">
        <v>23</v>
      </c>
      <c r="H83" s="99" t="s">
        <v>580</v>
      </c>
      <c r="I83" s="103" t="s">
        <v>35</v>
      </c>
      <c r="J83" s="103"/>
      <c r="K83" s="242" t="s">
        <v>696</v>
      </c>
      <c r="L83" s="101" t="s">
        <v>217</v>
      </c>
      <c r="M83" s="103" t="s">
        <v>35</v>
      </c>
      <c r="N83" s="101" t="s">
        <v>693</v>
      </c>
      <c r="O83" s="118">
        <v>504455</v>
      </c>
      <c r="P83" s="189"/>
      <c r="Q83" s="110"/>
      <c r="R83" s="282">
        <f t="shared" si="5"/>
        <v>0</v>
      </c>
      <c r="S83" s="110"/>
      <c r="T83" s="282">
        <f t="shared" si="5"/>
        <v>0</v>
      </c>
      <c r="U83" s="110"/>
      <c r="V83" s="282">
        <f t="shared" si="5"/>
        <v>0</v>
      </c>
      <c r="W83" s="110"/>
      <c r="X83" s="282">
        <f t="shared" si="6"/>
        <v>0</v>
      </c>
      <c r="Y83" s="110"/>
      <c r="Z83" s="282">
        <f t="shared" si="7"/>
        <v>0</v>
      </c>
      <c r="AA83" s="233">
        <f t="shared" si="8"/>
        <v>0</v>
      </c>
      <c r="AB83" s="234">
        <f t="shared" si="9"/>
        <v>0</v>
      </c>
      <c r="AC83" s="195"/>
      <c r="AD83" s="95"/>
    </row>
    <row r="84" spans="1:30" s="120" customFormat="1" ht="18" customHeight="1">
      <c r="A84" s="107">
        <v>2020</v>
      </c>
      <c r="B84" s="108">
        <v>3</v>
      </c>
      <c r="C84" s="108"/>
      <c r="D84" s="102"/>
      <c r="E84" s="102"/>
      <c r="F84" s="102" t="s">
        <v>562</v>
      </c>
      <c r="G84" s="98" t="s">
        <v>23</v>
      </c>
      <c r="H84" s="99" t="s">
        <v>580</v>
      </c>
      <c r="I84" s="103" t="s">
        <v>34</v>
      </c>
      <c r="J84" s="103"/>
      <c r="K84" s="242" t="s">
        <v>131</v>
      </c>
      <c r="L84" s="101" t="s">
        <v>207</v>
      </c>
      <c r="M84" s="103" t="s">
        <v>34</v>
      </c>
      <c r="N84" s="101"/>
      <c r="O84" s="118">
        <v>333546</v>
      </c>
      <c r="P84" s="189"/>
      <c r="Q84" s="110"/>
      <c r="R84" s="282">
        <f t="shared" si="5"/>
        <v>0</v>
      </c>
      <c r="S84" s="110"/>
      <c r="T84" s="282">
        <f t="shared" si="5"/>
        <v>0</v>
      </c>
      <c r="U84" s="110"/>
      <c r="V84" s="282">
        <f t="shared" si="5"/>
        <v>0</v>
      </c>
      <c r="W84" s="110"/>
      <c r="X84" s="282">
        <f t="shared" si="6"/>
        <v>0</v>
      </c>
      <c r="Y84" s="110"/>
      <c r="Z84" s="282">
        <f t="shared" si="7"/>
        <v>0</v>
      </c>
      <c r="AA84" s="233">
        <f t="shared" si="8"/>
        <v>0</v>
      </c>
      <c r="AB84" s="234">
        <f t="shared" si="9"/>
        <v>0</v>
      </c>
      <c r="AC84" s="195"/>
      <c r="AD84" s="95"/>
    </row>
    <row r="85" spans="1:30" s="120" customFormat="1" ht="18" customHeight="1">
      <c r="A85" s="107">
        <v>2020</v>
      </c>
      <c r="B85" s="108">
        <v>3</v>
      </c>
      <c r="C85" s="108"/>
      <c r="D85" s="102"/>
      <c r="E85" s="102"/>
      <c r="F85" s="102" t="s">
        <v>562</v>
      </c>
      <c r="G85" s="98" t="s">
        <v>23</v>
      </c>
      <c r="H85" s="99" t="s">
        <v>580</v>
      </c>
      <c r="I85" s="103" t="s">
        <v>34</v>
      </c>
      <c r="J85" s="103"/>
      <c r="K85" s="242" t="s">
        <v>132</v>
      </c>
      <c r="L85" s="101" t="s">
        <v>207</v>
      </c>
      <c r="M85" s="103" t="s">
        <v>34</v>
      </c>
      <c r="N85" s="101"/>
      <c r="O85" s="118">
        <v>417182</v>
      </c>
      <c r="P85" s="189"/>
      <c r="Q85" s="110"/>
      <c r="R85" s="282">
        <f t="shared" si="5"/>
        <v>0</v>
      </c>
      <c r="S85" s="110"/>
      <c r="T85" s="282">
        <f t="shared" si="5"/>
        <v>0</v>
      </c>
      <c r="U85" s="110"/>
      <c r="V85" s="282">
        <f t="shared" si="5"/>
        <v>0</v>
      </c>
      <c r="W85" s="110"/>
      <c r="X85" s="282">
        <f t="shared" si="6"/>
        <v>0</v>
      </c>
      <c r="Y85" s="110"/>
      <c r="Z85" s="282">
        <f t="shared" si="7"/>
        <v>0</v>
      </c>
      <c r="AA85" s="233">
        <f t="shared" si="8"/>
        <v>0</v>
      </c>
      <c r="AB85" s="234">
        <f t="shared" si="9"/>
        <v>0</v>
      </c>
      <c r="AC85" s="195"/>
      <c r="AD85" s="95"/>
    </row>
    <row r="86" spans="1:30" s="96" customFormat="1" ht="18" customHeight="1">
      <c r="A86" s="107">
        <v>2020</v>
      </c>
      <c r="B86" s="108">
        <v>3</v>
      </c>
      <c r="C86" s="108"/>
      <c r="D86" s="102"/>
      <c r="E86" s="102"/>
      <c r="F86" s="102" t="s">
        <v>562</v>
      </c>
      <c r="G86" s="98" t="s">
        <v>40</v>
      </c>
      <c r="H86" s="99" t="s">
        <v>581</v>
      </c>
      <c r="I86" s="121"/>
      <c r="J86" s="121"/>
      <c r="K86" s="242" t="s">
        <v>42</v>
      </c>
      <c r="L86" s="100" t="s">
        <v>215</v>
      </c>
      <c r="M86" s="121"/>
      <c r="N86" s="100"/>
      <c r="O86" s="118">
        <v>599091</v>
      </c>
      <c r="P86" s="189"/>
      <c r="Q86" s="110"/>
      <c r="R86" s="282">
        <f t="shared" si="5"/>
        <v>0</v>
      </c>
      <c r="S86" s="110"/>
      <c r="T86" s="282">
        <f t="shared" si="5"/>
        <v>0</v>
      </c>
      <c r="U86" s="110"/>
      <c r="V86" s="282">
        <f t="shared" si="5"/>
        <v>0</v>
      </c>
      <c r="W86" s="110"/>
      <c r="X86" s="282">
        <f t="shared" si="6"/>
        <v>0</v>
      </c>
      <c r="Y86" s="110"/>
      <c r="Z86" s="282">
        <f t="shared" si="7"/>
        <v>0</v>
      </c>
      <c r="AA86" s="233">
        <f t="shared" si="8"/>
        <v>0</v>
      </c>
      <c r="AB86" s="234">
        <f t="shared" si="9"/>
        <v>0</v>
      </c>
      <c r="AC86" s="195"/>
      <c r="AD86" s="95"/>
    </row>
    <row r="87" spans="1:30" s="96" customFormat="1" ht="18" customHeight="1">
      <c r="A87" s="107">
        <v>2020</v>
      </c>
      <c r="B87" s="108">
        <v>3</v>
      </c>
      <c r="C87" s="108"/>
      <c r="D87" s="102"/>
      <c r="E87" s="102"/>
      <c r="F87" s="102" t="s">
        <v>562</v>
      </c>
      <c r="G87" s="98" t="s">
        <v>40</v>
      </c>
      <c r="H87" s="99" t="s">
        <v>581</v>
      </c>
      <c r="I87" s="121"/>
      <c r="J87" s="121"/>
      <c r="K87" s="242" t="s">
        <v>283</v>
      </c>
      <c r="L87" s="100" t="s">
        <v>211</v>
      </c>
      <c r="M87" s="121"/>
      <c r="N87" s="100"/>
      <c r="O87" s="118">
        <v>900000</v>
      </c>
      <c r="P87" s="189"/>
      <c r="Q87" s="110"/>
      <c r="R87" s="282">
        <f t="shared" si="5"/>
        <v>0</v>
      </c>
      <c r="S87" s="110"/>
      <c r="T87" s="282">
        <f t="shared" si="5"/>
        <v>0</v>
      </c>
      <c r="U87" s="110"/>
      <c r="V87" s="282">
        <f t="shared" si="5"/>
        <v>0</v>
      </c>
      <c r="W87" s="110"/>
      <c r="X87" s="282">
        <f t="shared" si="6"/>
        <v>0</v>
      </c>
      <c r="Y87" s="110"/>
      <c r="Z87" s="282">
        <f t="shared" si="7"/>
        <v>0</v>
      </c>
      <c r="AA87" s="233">
        <f t="shared" si="8"/>
        <v>0</v>
      </c>
      <c r="AB87" s="234">
        <f t="shared" si="9"/>
        <v>0</v>
      </c>
      <c r="AC87" s="195"/>
      <c r="AD87" s="95"/>
    </row>
    <row r="88" spans="1:30" s="96" customFormat="1" ht="18" customHeight="1">
      <c r="A88" s="107">
        <v>2020</v>
      </c>
      <c r="B88" s="108">
        <v>3</v>
      </c>
      <c r="C88" s="108"/>
      <c r="D88" s="102"/>
      <c r="E88" s="102"/>
      <c r="F88" s="102" t="s">
        <v>562</v>
      </c>
      <c r="G88" s="98" t="s">
        <v>40</v>
      </c>
      <c r="H88" s="99" t="s">
        <v>581</v>
      </c>
      <c r="I88" s="121"/>
      <c r="J88" s="121"/>
      <c r="K88" s="242" t="s">
        <v>144</v>
      </c>
      <c r="L88" s="100" t="s">
        <v>211</v>
      </c>
      <c r="M88" s="121"/>
      <c r="N88" s="100"/>
      <c r="O88" s="118">
        <v>1117273</v>
      </c>
      <c r="P88" s="189"/>
      <c r="Q88" s="110"/>
      <c r="R88" s="282">
        <f t="shared" si="5"/>
        <v>0</v>
      </c>
      <c r="S88" s="110"/>
      <c r="T88" s="282">
        <f t="shared" si="5"/>
        <v>0</v>
      </c>
      <c r="U88" s="110"/>
      <c r="V88" s="282">
        <f t="shared" si="5"/>
        <v>0</v>
      </c>
      <c r="W88" s="110"/>
      <c r="X88" s="282">
        <f t="shared" si="6"/>
        <v>0</v>
      </c>
      <c r="Y88" s="110"/>
      <c r="Z88" s="282">
        <f t="shared" si="7"/>
        <v>0</v>
      </c>
      <c r="AA88" s="233">
        <f t="shared" si="8"/>
        <v>0</v>
      </c>
      <c r="AB88" s="234">
        <f t="shared" si="9"/>
        <v>0</v>
      </c>
      <c r="AC88" s="195"/>
      <c r="AD88" s="95"/>
    </row>
    <row r="89" spans="1:30" s="96" customFormat="1" ht="18" customHeight="1">
      <c r="A89" s="107">
        <v>2020</v>
      </c>
      <c r="B89" s="108">
        <v>3</v>
      </c>
      <c r="C89" s="108"/>
      <c r="D89" s="102"/>
      <c r="E89" s="102"/>
      <c r="F89" s="102" t="s">
        <v>562</v>
      </c>
      <c r="G89" s="98" t="s">
        <v>40</v>
      </c>
      <c r="H89" s="99" t="s">
        <v>581</v>
      </c>
      <c r="I89" s="121"/>
      <c r="J89" s="121"/>
      <c r="K89" s="242" t="s">
        <v>700</v>
      </c>
      <c r="L89" s="100" t="s">
        <v>211</v>
      </c>
      <c r="M89" s="121"/>
      <c r="N89" s="100"/>
      <c r="O89" s="118">
        <v>999091</v>
      </c>
      <c r="P89" s="184"/>
      <c r="Q89" s="110"/>
      <c r="R89" s="282">
        <f t="shared" si="5"/>
        <v>0</v>
      </c>
      <c r="S89" s="110"/>
      <c r="T89" s="282">
        <f t="shared" si="5"/>
        <v>0</v>
      </c>
      <c r="U89" s="110"/>
      <c r="V89" s="282">
        <f t="shared" si="5"/>
        <v>0</v>
      </c>
      <c r="W89" s="110"/>
      <c r="X89" s="282">
        <f t="shared" si="6"/>
        <v>0</v>
      </c>
      <c r="Y89" s="110"/>
      <c r="Z89" s="282">
        <f t="shared" si="7"/>
        <v>0</v>
      </c>
      <c r="AA89" s="233">
        <f t="shared" si="8"/>
        <v>0</v>
      </c>
      <c r="AB89" s="234">
        <f t="shared" si="9"/>
        <v>0</v>
      </c>
      <c r="AC89" s="195"/>
      <c r="AD89" s="95"/>
    </row>
    <row r="90" spans="1:30" s="96" customFormat="1" ht="18" customHeight="1">
      <c r="A90" s="107">
        <v>2020</v>
      </c>
      <c r="B90" s="108">
        <v>3</v>
      </c>
      <c r="C90" s="108"/>
      <c r="D90" s="102"/>
      <c r="E90" s="102"/>
      <c r="F90" s="102" t="s">
        <v>562</v>
      </c>
      <c r="G90" s="98" t="s">
        <v>40</v>
      </c>
      <c r="H90" s="99" t="s">
        <v>581</v>
      </c>
      <c r="I90" s="121"/>
      <c r="J90" s="121"/>
      <c r="K90" s="242" t="s">
        <v>157</v>
      </c>
      <c r="L90" s="100" t="s">
        <v>215</v>
      </c>
      <c r="M90" s="121"/>
      <c r="N90" s="100"/>
      <c r="O90" s="118">
        <v>1162728</v>
      </c>
      <c r="P90" s="189"/>
      <c r="Q90" s="110"/>
      <c r="R90" s="282">
        <f t="shared" si="5"/>
        <v>0</v>
      </c>
      <c r="S90" s="110"/>
      <c r="T90" s="282">
        <f t="shared" si="5"/>
        <v>0</v>
      </c>
      <c r="U90" s="110"/>
      <c r="V90" s="282">
        <f t="shared" si="5"/>
        <v>0</v>
      </c>
      <c r="W90" s="110"/>
      <c r="X90" s="282">
        <f t="shared" si="6"/>
        <v>0</v>
      </c>
      <c r="Y90" s="110"/>
      <c r="Z90" s="282">
        <f t="shared" si="7"/>
        <v>0</v>
      </c>
      <c r="AA90" s="233">
        <f t="shared" si="8"/>
        <v>0</v>
      </c>
      <c r="AB90" s="234">
        <f t="shared" si="9"/>
        <v>0</v>
      </c>
      <c r="AC90" s="195"/>
      <c r="AD90" s="95"/>
    </row>
    <row r="91" spans="1:30" s="96" customFormat="1" ht="18" customHeight="1">
      <c r="A91" s="107">
        <v>2020</v>
      </c>
      <c r="B91" s="108">
        <v>3</v>
      </c>
      <c r="C91" s="108"/>
      <c r="D91" s="102"/>
      <c r="E91" s="102"/>
      <c r="F91" s="102" t="s">
        <v>562</v>
      </c>
      <c r="G91" s="98" t="s">
        <v>40</v>
      </c>
      <c r="H91" s="99" t="s">
        <v>581</v>
      </c>
      <c r="I91" s="121"/>
      <c r="J91" s="121"/>
      <c r="K91" s="242" t="s">
        <v>164</v>
      </c>
      <c r="L91" s="100" t="s">
        <v>215</v>
      </c>
      <c r="M91" s="121"/>
      <c r="N91" s="100"/>
      <c r="O91" s="118">
        <v>1435455</v>
      </c>
      <c r="P91" s="189"/>
      <c r="Q91" s="110"/>
      <c r="R91" s="282">
        <f t="shared" si="5"/>
        <v>0</v>
      </c>
      <c r="S91" s="110"/>
      <c r="T91" s="282">
        <f t="shared" si="5"/>
        <v>0</v>
      </c>
      <c r="U91" s="110"/>
      <c r="V91" s="282">
        <f t="shared" si="5"/>
        <v>0</v>
      </c>
      <c r="W91" s="110"/>
      <c r="X91" s="282">
        <f t="shared" si="6"/>
        <v>0</v>
      </c>
      <c r="Y91" s="110"/>
      <c r="Z91" s="282">
        <f t="shared" si="7"/>
        <v>0</v>
      </c>
      <c r="AA91" s="233">
        <f t="shared" si="8"/>
        <v>0</v>
      </c>
      <c r="AB91" s="234">
        <f t="shared" si="9"/>
        <v>0</v>
      </c>
      <c r="AC91" s="195"/>
      <c r="AD91" s="95"/>
    </row>
    <row r="92" spans="1:30" s="96" customFormat="1" ht="18" customHeight="1">
      <c r="A92" s="107">
        <v>2020</v>
      </c>
      <c r="B92" s="108">
        <v>3</v>
      </c>
      <c r="C92" s="108"/>
      <c r="D92" s="102"/>
      <c r="E92" s="102"/>
      <c r="F92" s="102" t="s">
        <v>562</v>
      </c>
      <c r="G92" s="98" t="s">
        <v>40</v>
      </c>
      <c r="H92" s="99" t="s">
        <v>581</v>
      </c>
      <c r="I92" s="121"/>
      <c r="J92" s="121"/>
      <c r="K92" s="242" t="s">
        <v>143</v>
      </c>
      <c r="L92" s="100" t="s">
        <v>215</v>
      </c>
      <c r="M92" s="121"/>
      <c r="N92" s="100"/>
      <c r="O92" s="118">
        <v>1626364</v>
      </c>
      <c r="P92" s="189"/>
      <c r="Q92" s="110"/>
      <c r="R92" s="282">
        <f t="shared" si="5"/>
        <v>0</v>
      </c>
      <c r="S92" s="110"/>
      <c r="T92" s="282">
        <f t="shared" si="5"/>
        <v>0</v>
      </c>
      <c r="U92" s="110"/>
      <c r="V92" s="282">
        <f t="shared" si="5"/>
        <v>0</v>
      </c>
      <c r="W92" s="110"/>
      <c r="X92" s="282">
        <f t="shared" si="6"/>
        <v>0</v>
      </c>
      <c r="Y92" s="110"/>
      <c r="Z92" s="282">
        <f t="shared" si="7"/>
        <v>0</v>
      </c>
      <c r="AA92" s="233">
        <f t="shared" si="8"/>
        <v>0</v>
      </c>
      <c r="AB92" s="234">
        <f t="shared" si="9"/>
        <v>0</v>
      </c>
      <c r="AC92" s="195"/>
      <c r="AD92" s="95"/>
    </row>
    <row r="93" spans="1:30" s="96" customFormat="1" ht="18" customHeight="1">
      <c r="A93" s="107">
        <v>2020</v>
      </c>
      <c r="B93" s="108">
        <v>3</v>
      </c>
      <c r="C93" s="108"/>
      <c r="D93" s="102"/>
      <c r="E93" s="102"/>
      <c r="F93" s="102" t="s">
        <v>562</v>
      </c>
      <c r="G93" s="98" t="s">
        <v>40</v>
      </c>
      <c r="H93" s="99" t="s">
        <v>581</v>
      </c>
      <c r="I93" s="121"/>
      <c r="J93" s="121"/>
      <c r="K93" s="242" t="s">
        <v>536</v>
      </c>
      <c r="L93" s="100" t="s">
        <v>215</v>
      </c>
      <c r="M93" s="121"/>
      <c r="N93" s="100"/>
      <c r="O93" s="118">
        <v>1626363.6363636362</v>
      </c>
      <c r="P93" s="184"/>
      <c r="Q93" s="110"/>
      <c r="R93" s="282">
        <f t="shared" si="5"/>
        <v>0</v>
      </c>
      <c r="S93" s="110"/>
      <c r="T93" s="282">
        <f t="shared" si="5"/>
        <v>0</v>
      </c>
      <c r="U93" s="110"/>
      <c r="V93" s="282">
        <f t="shared" si="5"/>
        <v>0</v>
      </c>
      <c r="W93" s="110"/>
      <c r="X93" s="282">
        <f t="shared" si="6"/>
        <v>0</v>
      </c>
      <c r="Y93" s="110"/>
      <c r="Z93" s="282">
        <f t="shared" si="7"/>
        <v>0</v>
      </c>
      <c r="AA93" s="233">
        <f t="shared" si="8"/>
        <v>0</v>
      </c>
      <c r="AB93" s="234">
        <f t="shared" si="9"/>
        <v>0</v>
      </c>
      <c r="AC93" s="195"/>
      <c r="AD93" s="95"/>
    </row>
    <row r="94" spans="1:30" s="96" customFormat="1" ht="18" customHeight="1">
      <c r="A94" s="107">
        <v>2020</v>
      </c>
      <c r="B94" s="108">
        <v>3</v>
      </c>
      <c r="C94" s="108"/>
      <c r="D94" s="102"/>
      <c r="E94" s="102"/>
      <c r="F94" s="102" t="s">
        <v>562</v>
      </c>
      <c r="G94" s="98" t="s">
        <v>40</v>
      </c>
      <c r="H94" s="99" t="s">
        <v>581</v>
      </c>
      <c r="I94" s="121"/>
      <c r="J94" s="121"/>
      <c r="K94" s="242" t="s">
        <v>165</v>
      </c>
      <c r="L94" s="100" t="s">
        <v>215</v>
      </c>
      <c r="M94" s="121"/>
      <c r="N94" s="100"/>
      <c r="O94" s="118">
        <v>2526364</v>
      </c>
      <c r="P94" s="189"/>
      <c r="Q94" s="110"/>
      <c r="R94" s="282">
        <f t="shared" si="5"/>
        <v>0</v>
      </c>
      <c r="S94" s="110"/>
      <c r="T94" s="282">
        <f t="shared" si="5"/>
        <v>0</v>
      </c>
      <c r="U94" s="110"/>
      <c r="V94" s="282">
        <f t="shared" si="5"/>
        <v>0</v>
      </c>
      <c r="W94" s="110"/>
      <c r="X94" s="282">
        <f t="shared" si="6"/>
        <v>0</v>
      </c>
      <c r="Y94" s="110"/>
      <c r="Z94" s="282">
        <f t="shared" si="7"/>
        <v>0</v>
      </c>
      <c r="AA94" s="233">
        <f t="shared" si="8"/>
        <v>0</v>
      </c>
      <c r="AB94" s="234">
        <f t="shared" si="9"/>
        <v>0</v>
      </c>
      <c r="AC94" s="195"/>
      <c r="AD94" s="95"/>
    </row>
    <row r="95" spans="1:30" s="96" customFormat="1" ht="18" customHeight="1">
      <c r="A95" s="107">
        <v>2020</v>
      </c>
      <c r="B95" s="108">
        <v>3</v>
      </c>
      <c r="C95" s="108"/>
      <c r="D95" s="102"/>
      <c r="E95" s="102"/>
      <c r="F95" s="102" t="s">
        <v>562</v>
      </c>
      <c r="G95" s="98" t="s">
        <v>40</v>
      </c>
      <c r="H95" s="99" t="s">
        <v>581</v>
      </c>
      <c r="I95" s="121"/>
      <c r="J95" s="121"/>
      <c r="K95" s="242" t="s">
        <v>539</v>
      </c>
      <c r="L95" s="100" t="s">
        <v>211</v>
      </c>
      <c r="M95" s="121"/>
      <c r="N95" s="100"/>
      <c r="O95" s="118">
        <v>635454.54545454541</v>
      </c>
      <c r="P95" s="184"/>
      <c r="Q95" s="110"/>
      <c r="R95" s="282">
        <f t="shared" si="5"/>
        <v>0</v>
      </c>
      <c r="S95" s="110"/>
      <c r="T95" s="282">
        <f t="shared" si="5"/>
        <v>0</v>
      </c>
      <c r="U95" s="110"/>
      <c r="V95" s="282">
        <f t="shared" si="5"/>
        <v>0</v>
      </c>
      <c r="W95" s="110"/>
      <c r="X95" s="282">
        <f t="shared" si="6"/>
        <v>0</v>
      </c>
      <c r="Y95" s="110"/>
      <c r="Z95" s="282">
        <f t="shared" si="7"/>
        <v>0</v>
      </c>
      <c r="AA95" s="233">
        <f t="shared" si="8"/>
        <v>0</v>
      </c>
      <c r="AB95" s="234">
        <f t="shared" si="9"/>
        <v>0</v>
      </c>
      <c r="AC95" s="195"/>
      <c r="AD95" s="95"/>
    </row>
    <row r="96" spans="1:30" s="96" customFormat="1" ht="18" customHeight="1">
      <c r="A96" s="107">
        <v>2020</v>
      </c>
      <c r="B96" s="108">
        <v>3</v>
      </c>
      <c r="C96" s="108"/>
      <c r="D96" s="102"/>
      <c r="E96" s="102"/>
      <c r="F96" s="102" t="s">
        <v>562</v>
      </c>
      <c r="G96" s="98" t="s">
        <v>40</v>
      </c>
      <c r="H96" s="99" t="s">
        <v>581</v>
      </c>
      <c r="I96" s="121"/>
      <c r="J96" s="121"/>
      <c r="K96" s="242" t="s">
        <v>540</v>
      </c>
      <c r="L96" s="100" t="s">
        <v>211</v>
      </c>
      <c r="M96" s="121"/>
      <c r="N96" s="100"/>
      <c r="O96" s="118">
        <v>635454.54545454541</v>
      </c>
      <c r="P96" s="184"/>
      <c r="Q96" s="110"/>
      <c r="R96" s="282">
        <f t="shared" si="5"/>
        <v>0</v>
      </c>
      <c r="S96" s="110"/>
      <c r="T96" s="282">
        <f t="shared" si="5"/>
        <v>0</v>
      </c>
      <c r="U96" s="110"/>
      <c r="V96" s="282">
        <f t="shared" si="5"/>
        <v>0</v>
      </c>
      <c r="W96" s="110"/>
      <c r="X96" s="282">
        <f t="shared" si="6"/>
        <v>0</v>
      </c>
      <c r="Y96" s="110"/>
      <c r="Z96" s="282">
        <f t="shared" si="7"/>
        <v>0</v>
      </c>
      <c r="AA96" s="233">
        <f t="shared" si="8"/>
        <v>0</v>
      </c>
      <c r="AB96" s="234">
        <f t="shared" si="9"/>
        <v>0</v>
      </c>
      <c r="AC96" s="195"/>
      <c r="AD96" s="95"/>
    </row>
    <row r="97" spans="1:30" s="96" customFormat="1" ht="18" customHeight="1">
      <c r="A97" s="107">
        <v>2020</v>
      </c>
      <c r="B97" s="108">
        <v>3</v>
      </c>
      <c r="C97" s="108"/>
      <c r="D97" s="102"/>
      <c r="E97" s="102"/>
      <c r="F97" s="102" t="s">
        <v>562</v>
      </c>
      <c r="G97" s="98" t="s">
        <v>40</v>
      </c>
      <c r="H97" s="99" t="s">
        <v>581</v>
      </c>
      <c r="I97" s="121"/>
      <c r="J97" s="121"/>
      <c r="K97" s="242" t="s">
        <v>538</v>
      </c>
      <c r="L97" s="100" t="s">
        <v>211</v>
      </c>
      <c r="M97" s="121"/>
      <c r="N97" s="100"/>
      <c r="O97" s="118">
        <f>799000*0.9</f>
        <v>719100</v>
      </c>
      <c r="P97" s="184"/>
      <c r="Q97" s="110"/>
      <c r="R97" s="282">
        <f t="shared" si="5"/>
        <v>0</v>
      </c>
      <c r="S97" s="110"/>
      <c r="T97" s="282">
        <f t="shared" si="5"/>
        <v>0</v>
      </c>
      <c r="U97" s="110"/>
      <c r="V97" s="282">
        <f t="shared" si="5"/>
        <v>0</v>
      </c>
      <c r="W97" s="110"/>
      <c r="X97" s="282">
        <f t="shared" si="6"/>
        <v>0</v>
      </c>
      <c r="Y97" s="110"/>
      <c r="Z97" s="282">
        <f t="shared" si="7"/>
        <v>0</v>
      </c>
      <c r="AA97" s="233">
        <f t="shared" si="8"/>
        <v>0</v>
      </c>
      <c r="AB97" s="234">
        <f t="shared" si="9"/>
        <v>0</v>
      </c>
      <c r="AC97" s="195"/>
      <c r="AD97" s="95"/>
    </row>
    <row r="98" spans="1:30" s="96" customFormat="1" ht="18" customHeight="1">
      <c r="A98" s="107">
        <v>2020</v>
      </c>
      <c r="B98" s="108">
        <v>3</v>
      </c>
      <c r="C98" s="108"/>
      <c r="D98" s="102"/>
      <c r="E98" s="102"/>
      <c r="F98" s="102" t="s">
        <v>562</v>
      </c>
      <c r="G98" s="98" t="s">
        <v>40</v>
      </c>
      <c r="H98" s="99" t="s">
        <v>581</v>
      </c>
      <c r="I98" s="121"/>
      <c r="J98" s="121"/>
      <c r="K98" s="242" t="s">
        <v>453</v>
      </c>
      <c r="L98" s="100" t="s">
        <v>211</v>
      </c>
      <c r="M98" s="121"/>
      <c r="N98" s="100"/>
      <c r="O98" s="118">
        <f>799000*0.9</f>
        <v>719100</v>
      </c>
      <c r="P98" s="184"/>
      <c r="Q98" s="110"/>
      <c r="R98" s="282">
        <f t="shared" si="5"/>
        <v>0</v>
      </c>
      <c r="S98" s="110"/>
      <c r="T98" s="282">
        <f t="shared" si="5"/>
        <v>0</v>
      </c>
      <c r="U98" s="110"/>
      <c r="V98" s="282">
        <f t="shared" si="5"/>
        <v>0</v>
      </c>
      <c r="W98" s="110"/>
      <c r="X98" s="282">
        <f t="shared" si="6"/>
        <v>0</v>
      </c>
      <c r="Y98" s="110"/>
      <c r="Z98" s="282">
        <f t="shared" si="7"/>
        <v>0</v>
      </c>
      <c r="AA98" s="233">
        <f t="shared" si="8"/>
        <v>0</v>
      </c>
      <c r="AB98" s="234">
        <f t="shared" si="9"/>
        <v>0</v>
      </c>
      <c r="AC98" s="195"/>
      <c r="AD98" s="95"/>
    </row>
    <row r="99" spans="1:30" s="96" customFormat="1" ht="18" customHeight="1">
      <c r="A99" s="107">
        <v>2020</v>
      </c>
      <c r="B99" s="108">
        <v>3</v>
      </c>
      <c r="C99" s="108"/>
      <c r="D99" s="102"/>
      <c r="E99" s="102"/>
      <c r="F99" s="102" t="s">
        <v>562</v>
      </c>
      <c r="G99" s="98" t="s">
        <v>40</v>
      </c>
      <c r="H99" s="99" t="s">
        <v>582</v>
      </c>
      <c r="I99" s="103"/>
      <c r="J99" s="103"/>
      <c r="K99" s="241" t="s">
        <v>44</v>
      </c>
      <c r="L99" s="101" t="s">
        <v>210</v>
      </c>
      <c r="M99" s="103"/>
      <c r="N99" s="101"/>
      <c r="O99" s="118">
        <v>1335455</v>
      </c>
      <c r="P99" s="189"/>
      <c r="Q99" s="110"/>
      <c r="R99" s="282">
        <f t="shared" si="5"/>
        <v>0</v>
      </c>
      <c r="S99" s="110"/>
      <c r="T99" s="282">
        <f t="shared" si="5"/>
        <v>0</v>
      </c>
      <c r="U99" s="110"/>
      <c r="V99" s="282">
        <f t="shared" si="5"/>
        <v>0</v>
      </c>
      <c r="W99" s="110"/>
      <c r="X99" s="282">
        <f t="shared" si="6"/>
        <v>0</v>
      </c>
      <c r="Y99" s="110"/>
      <c r="Z99" s="282">
        <f t="shared" si="7"/>
        <v>0</v>
      </c>
      <c r="AA99" s="233">
        <f t="shared" si="8"/>
        <v>0</v>
      </c>
      <c r="AB99" s="234">
        <f t="shared" si="9"/>
        <v>0</v>
      </c>
      <c r="AC99" s="195"/>
      <c r="AD99" s="95"/>
    </row>
    <row r="100" spans="1:30" s="96" customFormat="1" ht="18" customHeight="1">
      <c r="A100" s="107">
        <v>2020</v>
      </c>
      <c r="B100" s="108">
        <v>3</v>
      </c>
      <c r="C100" s="108"/>
      <c r="D100" s="102"/>
      <c r="E100" s="102"/>
      <c r="F100" s="102" t="s">
        <v>562</v>
      </c>
      <c r="G100" s="98" t="s">
        <v>40</v>
      </c>
      <c r="H100" s="99" t="s">
        <v>582</v>
      </c>
      <c r="I100" s="103"/>
      <c r="J100" s="103"/>
      <c r="K100" s="242" t="s">
        <v>124</v>
      </c>
      <c r="L100" s="101" t="s">
        <v>210</v>
      </c>
      <c r="M100" s="103"/>
      <c r="N100" s="101"/>
      <c r="O100" s="118">
        <f>1259000*0.9</f>
        <v>1133100</v>
      </c>
      <c r="P100" s="189"/>
      <c r="Q100" s="110"/>
      <c r="R100" s="282">
        <f t="shared" si="5"/>
        <v>0</v>
      </c>
      <c r="S100" s="110"/>
      <c r="T100" s="282">
        <f t="shared" si="5"/>
        <v>0</v>
      </c>
      <c r="U100" s="110"/>
      <c r="V100" s="282">
        <f t="shared" si="5"/>
        <v>0</v>
      </c>
      <c r="W100" s="110"/>
      <c r="X100" s="282">
        <f t="shared" si="6"/>
        <v>0</v>
      </c>
      <c r="Y100" s="110"/>
      <c r="Z100" s="282">
        <f t="shared" si="7"/>
        <v>0</v>
      </c>
      <c r="AA100" s="233">
        <f t="shared" si="8"/>
        <v>0</v>
      </c>
      <c r="AB100" s="234">
        <f t="shared" si="9"/>
        <v>0</v>
      </c>
      <c r="AC100" s="195"/>
      <c r="AD100" s="95"/>
    </row>
    <row r="101" spans="1:30" s="96" customFormat="1" ht="18" customHeight="1">
      <c r="A101" s="107">
        <v>2020</v>
      </c>
      <c r="B101" s="108">
        <v>3</v>
      </c>
      <c r="C101" s="108"/>
      <c r="D101" s="102"/>
      <c r="E101" s="102"/>
      <c r="F101" s="102" t="s">
        <v>562</v>
      </c>
      <c r="G101" s="98" t="s">
        <v>40</v>
      </c>
      <c r="H101" s="99" t="s">
        <v>582</v>
      </c>
      <c r="I101" s="103"/>
      <c r="J101" s="103"/>
      <c r="K101" s="242" t="s">
        <v>145</v>
      </c>
      <c r="L101" s="101" t="s">
        <v>214</v>
      </c>
      <c r="M101" s="103"/>
      <c r="N101" s="101"/>
      <c r="O101" s="118">
        <v>1580910</v>
      </c>
      <c r="P101" s="189"/>
      <c r="Q101" s="110"/>
      <c r="R101" s="282">
        <f t="shared" si="5"/>
        <v>0</v>
      </c>
      <c r="S101" s="110"/>
      <c r="T101" s="282">
        <f t="shared" si="5"/>
        <v>0</v>
      </c>
      <c r="U101" s="110"/>
      <c r="V101" s="282">
        <f t="shared" si="5"/>
        <v>0</v>
      </c>
      <c r="W101" s="110"/>
      <c r="X101" s="282">
        <f t="shared" si="6"/>
        <v>0</v>
      </c>
      <c r="Y101" s="110"/>
      <c r="Z101" s="282">
        <f t="shared" si="7"/>
        <v>0</v>
      </c>
      <c r="AA101" s="233">
        <f t="shared" si="8"/>
        <v>0</v>
      </c>
      <c r="AB101" s="234">
        <f t="shared" si="9"/>
        <v>0</v>
      </c>
      <c r="AC101" s="195"/>
      <c r="AD101" s="95"/>
    </row>
    <row r="102" spans="1:30" s="96" customFormat="1" ht="18" customHeight="1">
      <c r="A102" s="107">
        <v>2020</v>
      </c>
      <c r="B102" s="108">
        <v>3</v>
      </c>
      <c r="C102" s="108"/>
      <c r="D102" s="102"/>
      <c r="E102" s="102"/>
      <c r="F102" s="102" t="s">
        <v>562</v>
      </c>
      <c r="G102" s="98" t="s">
        <v>40</v>
      </c>
      <c r="H102" s="99" t="s">
        <v>582</v>
      </c>
      <c r="I102" s="103"/>
      <c r="J102" s="103"/>
      <c r="K102" s="242" t="s">
        <v>146</v>
      </c>
      <c r="L102" s="101" t="s">
        <v>214</v>
      </c>
      <c r="M102" s="103"/>
      <c r="N102" s="101"/>
      <c r="O102" s="118">
        <v>1726364</v>
      </c>
      <c r="P102" s="189"/>
      <c r="Q102" s="110"/>
      <c r="R102" s="282">
        <f t="shared" si="5"/>
        <v>0</v>
      </c>
      <c r="S102" s="110"/>
      <c r="T102" s="282">
        <f t="shared" si="5"/>
        <v>0</v>
      </c>
      <c r="U102" s="110"/>
      <c r="V102" s="282">
        <f t="shared" si="5"/>
        <v>0</v>
      </c>
      <c r="W102" s="110"/>
      <c r="X102" s="282">
        <f t="shared" si="6"/>
        <v>0</v>
      </c>
      <c r="Y102" s="110"/>
      <c r="Z102" s="282">
        <f t="shared" si="7"/>
        <v>0</v>
      </c>
      <c r="AA102" s="233">
        <f t="shared" si="8"/>
        <v>0</v>
      </c>
      <c r="AB102" s="234">
        <f t="shared" si="9"/>
        <v>0</v>
      </c>
      <c r="AC102" s="195"/>
      <c r="AD102" s="95"/>
    </row>
    <row r="103" spans="1:30" s="95" customFormat="1" ht="18" customHeight="1">
      <c r="A103" s="107">
        <v>2020</v>
      </c>
      <c r="B103" s="108">
        <v>3</v>
      </c>
      <c r="C103" s="108"/>
      <c r="D103" s="102"/>
      <c r="E103" s="102"/>
      <c r="F103" s="102" t="s">
        <v>562</v>
      </c>
      <c r="G103" s="98" t="s">
        <v>40</v>
      </c>
      <c r="H103" s="99" t="s">
        <v>583</v>
      </c>
      <c r="I103" s="121"/>
      <c r="J103" s="121"/>
      <c r="K103" s="242" t="s">
        <v>159</v>
      </c>
      <c r="L103" s="100"/>
      <c r="M103" s="121"/>
      <c r="N103" s="100"/>
      <c r="O103" s="118">
        <v>899091</v>
      </c>
      <c r="P103" s="189"/>
      <c r="Q103" s="110"/>
      <c r="R103" s="282">
        <f t="shared" si="5"/>
        <v>0</v>
      </c>
      <c r="S103" s="110"/>
      <c r="T103" s="282">
        <f t="shared" si="5"/>
        <v>0</v>
      </c>
      <c r="U103" s="110"/>
      <c r="V103" s="282">
        <f t="shared" si="5"/>
        <v>0</v>
      </c>
      <c r="W103" s="110"/>
      <c r="X103" s="282">
        <f t="shared" si="6"/>
        <v>0</v>
      </c>
      <c r="Y103" s="110"/>
      <c r="Z103" s="282">
        <f t="shared" si="7"/>
        <v>0</v>
      </c>
      <c r="AA103" s="233">
        <f t="shared" si="8"/>
        <v>0</v>
      </c>
      <c r="AB103" s="234">
        <f t="shared" si="9"/>
        <v>0</v>
      </c>
      <c r="AC103" s="195"/>
    </row>
    <row r="104" spans="1:30" s="95" customFormat="1" ht="18" customHeight="1">
      <c r="A104" s="107">
        <v>2020</v>
      </c>
      <c r="B104" s="108">
        <v>3</v>
      </c>
      <c r="C104" s="108"/>
      <c r="D104" s="102"/>
      <c r="E104" s="102"/>
      <c r="F104" s="102" t="s">
        <v>562</v>
      </c>
      <c r="G104" s="98" t="s">
        <v>40</v>
      </c>
      <c r="H104" s="99" t="s">
        <v>583</v>
      </c>
      <c r="I104" s="121"/>
      <c r="J104" s="121"/>
      <c r="K104" s="242" t="s">
        <v>169</v>
      </c>
      <c r="L104" s="100"/>
      <c r="M104" s="121"/>
      <c r="N104" s="100"/>
      <c r="O104" s="118">
        <v>799091</v>
      </c>
      <c r="P104" s="189"/>
      <c r="Q104" s="110"/>
      <c r="R104" s="282">
        <f t="shared" si="5"/>
        <v>0</v>
      </c>
      <c r="S104" s="110"/>
      <c r="T104" s="282">
        <f t="shared" si="5"/>
        <v>0</v>
      </c>
      <c r="U104" s="110"/>
      <c r="V104" s="282">
        <f t="shared" si="5"/>
        <v>0</v>
      </c>
      <c r="W104" s="110"/>
      <c r="X104" s="282">
        <f t="shared" si="6"/>
        <v>0</v>
      </c>
      <c r="Y104" s="110"/>
      <c r="Z104" s="282">
        <f t="shared" si="7"/>
        <v>0</v>
      </c>
      <c r="AA104" s="233">
        <f t="shared" si="8"/>
        <v>0</v>
      </c>
      <c r="AB104" s="234">
        <f t="shared" si="9"/>
        <v>0</v>
      </c>
      <c r="AC104" s="195"/>
    </row>
    <row r="105" spans="1:30" s="95" customFormat="1" ht="18" customHeight="1">
      <c r="A105" s="107">
        <v>2020</v>
      </c>
      <c r="B105" s="108">
        <v>3</v>
      </c>
      <c r="C105" s="108"/>
      <c r="D105" s="102"/>
      <c r="E105" s="102"/>
      <c r="F105" s="102" t="s">
        <v>562</v>
      </c>
      <c r="G105" s="98" t="s">
        <v>40</v>
      </c>
      <c r="H105" s="99" t="s">
        <v>583</v>
      </c>
      <c r="I105" s="121"/>
      <c r="J105" s="121"/>
      <c r="K105" s="242" t="s">
        <v>535</v>
      </c>
      <c r="L105" s="100"/>
      <c r="M105" s="121"/>
      <c r="N105" s="100"/>
      <c r="O105" s="118">
        <v>1090000</v>
      </c>
      <c r="P105" s="184"/>
      <c r="Q105" s="110"/>
      <c r="R105" s="282">
        <f t="shared" si="5"/>
        <v>0</v>
      </c>
      <c r="S105" s="110"/>
      <c r="T105" s="282">
        <f t="shared" si="5"/>
        <v>0</v>
      </c>
      <c r="U105" s="110"/>
      <c r="V105" s="282">
        <f t="shared" si="5"/>
        <v>0</v>
      </c>
      <c r="W105" s="110"/>
      <c r="X105" s="282">
        <f t="shared" si="6"/>
        <v>0</v>
      </c>
      <c r="Y105" s="110"/>
      <c r="Z105" s="282">
        <f t="shared" si="7"/>
        <v>0</v>
      </c>
      <c r="AA105" s="233">
        <f t="shared" si="8"/>
        <v>0</v>
      </c>
      <c r="AB105" s="234">
        <f t="shared" si="9"/>
        <v>0</v>
      </c>
      <c r="AC105" s="195"/>
    </row>
    <row r="106" spans="1:30" s="95" customFormat="1" ht="18" customHeight="1">
      <c r="A106" s="107">
        <v>2020</v>
      </c>
      <c r="B106" s="108">
        <v>3</v>
      </c>
      <c r="C106" s="108"/>
      <c r="D106" s="102"/>
      <c r="E106" s="102"/>
      <c r="F106" s="102" t="s">
        <v>562</v>
      </c>
      <c r="G106" s="98" t="s">
        <v>40</v>
      </c>
      <c r="H106" s="99" t="s">
        <v>584</v>
      </c>
      <c r="I106" s="121"/>
      <c r="J106" s="121"/>
      <c r="K106" s="242" t="s">
        <v>534</v>
      </c>
      <c r="L106" s="100" t="s">
        <v>209</v>
      </c>
      <c r="M106" s="121"/>
      <c r="N106" s="100"/>
      <c r="O106" s="118">
        <v>544546</v>
      </c>
      <c r="P106" s="189"/>
      <c r="Q106" s="110"/>
      <c r="R106" s="282">
        <f t="shared" si="5"/>
        <v>0</v>
      </c>
      <c r="S106" s="110"/>
      <c r="T106" s="282">
        <f t="shared" si="5"/>
        <v>0</v>
      </c>
      <c r="U106" s="110"/>
      <c r="V106" s="282">
        <f t="shared" si="5"/>
        <v>0</v>
      </c>
      <c r="W106" s="110"/>
      <c r="X106" s="282">
        <f t="shared" si="6"/>
        <v>0</v>
      </c>
      <c r="Y106" s="110"/>
      <c r="Z106" s="282">
        <f t="shared" si="7"/>
        <v>0</v>
      </c>
      <c r="AA106" s="233">
        <f t="shared" si="8"/>
        <v>0</v>
      </c>
      <c r="AB106" s="234">
        <f t="shared" si="9"/>
        <v>0</v>
      </c>
      <c r="AC106" s="195"/>
    </row>
    <row r="107" spans="1:30" s="95" customFormat="1" ht="18" customHeight="1">
      <c r="A107" s="107">
        <v>2020</v>
      </c>
      <c r="B107" s="108">
        <v>3</v>
      </c>
      <c r="C107" s="108"/>
      <c r="D107" s="102"/>
      <c r="E107" s="102"/>
      <c r="F107" s="102" t="s">
        <v>562</v>
      </c>
      <c r="G107" s="98" t="s">
        <v>40</v>
      </c>
      <c r="H107" s="99" t="s">
        <v>584</v>
      </c>
      <c r="I107" s="121"/>
      <c r="J107" s="121"/>
      <c r="K107" s="242" t="s">
        <v>532</v>
      </c>
      <c r="L107" s="100" t="s">
        <v>209</v>
      </c>
      <c r="M107" s="121"/>
      <c r="N107" s="100"/>
      <c r="O107" s="118">
        <v>599091</v>
      </c>
      <c r="P107" s="189"/>
      <c r="Q107" s="110"/>
      <c r="R107" s="282">
        <f t="shared" si="5"/>
        <v>0</v>
      </c>
      <c r="S107" s="110"/>
      <c r="T107" s="282">
        <f t="shared" si="5"/>
        <v>0</v>
      </c>
      <c r="U107" s="110"/>
      <c r="V107" s="282">
        <f t="shared" si="5"/>
        <v>0</v>
      </c>
      <c r="W107" s="110"/>
      <c r="X107" s="282">
        <f t="shared" si="6"/>
        <v>0</v>
      </c>
      <c r="Y107" s="110"/>
      <c r="Z107" s="282">
        <f t="shared" si="7"/>
        <v>0</v>
      </c>
      <c r="AA107" s="233">
        <f t="shared" si="8"/>
        <v>0</v>
      </c>
      <c r="AB107" s="234">
        <f t="shared" si="9"/>
        <v>0</v>
      </c>
      <c r="AC107" s="195"/>
    </row>
    <row r="108" spans="1:30" s="95" customFormat="1" ht="18" customHeight="1">
      <c r="A108" s="107">
        <v>2020</v>
      </c>
      <c r="B108" s="108">
        <v>3</v>
      </c>
      <c r="C108" s="108"/>
      <c r="D108" s="102"/>
      <c r="E108" s="102"/>
      <c r="F108" s="102" t="s">
        <v>562</v>
      </c>
      <c r="G108" s="98" t="s">
        <v>40</v>
      </c>
      <c r="H108" s="99" t="s">
        <v>584</v>
      </c>
      <c r="I108" s="121"/>
      <c r="J108" s="121"/>
      <c r="K108" s="242" t="s">
        <v>533</v>
      </c>
      <c r="L108" s="100" t="s">
        <v>209</v>
      </c>
      <c r="M108" s="121"/>
      <c r="N108" s="100"/>
      <c r="O108" s="118">
        <f>659000*0.9</f>
        <v>593100</v>
      </c>
      <c r="P108" s="189"/>
      <c r="Q108" s="110"/>
      <c r="R108" s="282">
        <f t="shared" si="5"/>
        <v>0</v>
      </c>
      <c r="S108" s="110"/>
      <c r="T108" s="282">
        <f t="shared" si="5"/>
        <v>0</v>
      </c>
      <c r="U108" s="110"/>
      <c r="V108" s="282">
        <f t="shared" si="5"/>
        <v>0</v>
      </c>
      <c r="W108" s="110"/>
      <c r="X108" s="282">
        <f t="shared" si="6"/>
        <v>0</v>
      </c>
      <c r="Y108" s="110"/>
      <c r="Z108" s="282">
        <f t="shared" si="7"/>
        <v>0</v>
      </c>
      <c r="AA108" s="233">
        <f t="shared" si="8"/>
        <v>0</v>
      </c>
      <c r="AB108" s="234">
        <f t="shared" si="9"/>
        <v>0</v>
      </c>
      <c r="AC108" s="195"/>
    </row>
    <row r="109" spans="1:30" s="95" customFormat="1" ht="18" customHeight="1">
      <c r="A109" s="107">
        <v>2020</v>
      </c>
      <c r="B109" s="108">
        <v>3</v>
      </c>
      <c r="C109" s="108"/>
      <c r="D109" s="102"/>
      <c r="E109" s="102"/>
      <c r="F109" s="102" t="s">
        <v>562</v>
      </c>
      <c r="G109" s="98" t="s">
        <v>40</v>
      </c>
      <c r="H109" s="99" t="s">
        <v>584</v>
      </c>
      <c r="I109" s="121"/>
      <c r="J109" s="121"/>
      <c r="K109" s="242" t="s">
        <v>530</v>
      </c>
      <c r="L109" s="100" t="s">
        <v>209</v>
      </c>
      <c r="M109" s="121"/>
      <c r="N109" s="100"/>
      <c r="O109" s="118">
        <v>699091</v>
      </c>
      <c r="P109" s="189"/>
      <c r="Q109" s="110"/>
      <c r="R109" s="282">
        <f t="shared" si="5"/>
        <v>0</v>
      </c>
      <c r="S109" s="110"/>
      <c r="T109" s="282">
        <f t="shared" si="5"/>
        <v>0</v>
      </c>
      <c r="U109" s="110"/>
      <c r="V109" s="282">
        <f t="shared" si="5"/>
        <v>0</v>
      </c>
      <c r="W109" s="110"/>
      <c r="X109" s="282">
        <f t="shared" si="6"/>
        <v>0</v>
      </c>
      <c r="Y109" s="110"/>
      <c r="Z109" s="282">
        <f t="shared" si="7"/>
        <v>0</v>
      </c>
      <c r="AA109" s="233">
        <f t="shared" si="8"/>
        <v>0</v>
      </c>
      <c r="AB109" s="234">
        <f t="shared" si="9"/>
        <v>0</v>
      </c>
      <c r="AC109" s="195"/>
    </row>
    <row r="110" spans="1:30" s="95" customFormat="1" ht="18" customHeight="1">
      <c r="A110" s="107">
        <v>2020</v>
      </c>
      <c r="B110" s="108">
        <v>3</v>
      </c>
      <c r="C110" s="108"/>
      <c r="D110" s="102"/>
      <c r="E110" s="102"/>
      <c r="F110" s="102" t="s">
        <v>562</v>
      </c>
      <c r="G110" s="98" t="s">
        <v>40</v>
      </c>
      <c r="H110" s="99" t="s">
        <v>584</v>
      </c>
      <c r="I110" s="121"/>
      <c r="J110" s="121"/>
      <c r="K110" s="242" t="s">
        <v>531</v>
      </c>
      <c r="L110" s="100" t="s">
        <v>209</v>
      </c>
      <c r="M110" s="121"/>
      <c r="N110" s="100"/>
      <c r="O110" s="118">
        <v>626364</v>
      </c>
      <c r="P110" s="189"/>
      <c r="Q110" s="110"/>
      <c r="R110" s="282">
        <f t="shared" si="5"/>
        <v>0</v>
      </c>
      <c r="S110" s="110"/>
      <c r="T110" s="282">
        <f t="shared" si="5"/>
        <v>0</v>
      </c>
      <c r="U110" s="110"/>
      <c r="V110" s="282">
        <f t="shared" si="5"/>
        <v>0</v>
      </c>
      <c r="W110" s="110"/>
      <c r="X110" s="282">
        <f t="shared" si="6"/>
        <v>0</v>
      </c>
      <c r="Y110" s="110"/>
      <c r="Z110" s="282">
        <f t="shared" si="7"/>
        <v>0</v>
      </c>
      <c r="AA110" s="233">
        <f t="shared" si="8"/>
        <v>0</v>
      </c>
      <c r="AB110" s="234">
        <f t="shared" si="9"/>
        <v>0</v>
      </c>
      <c r="AC110" s="195"/>
    </row>
    <row r="111" spans="1:30" s="95" customFormat="1" ht="18" customHeight="1">
      <c r="A111" s="107">
        <v>2020</v>
      </c>
      <c r="B111" s="108">
        <v>3</v>
      </c>
      <c r="C111" s="108"/>
      <c r="D111" s="102"/>
      <c r="E111" s="102"/>
      <c r="F111" s="102" t="s">
        <v>562</v>
      </c>
      <c r="G111" s="98" t="s">
        <v>40</v>
      </c>
      <c r="H111" s="99" t="s">
        <v>584</v>
      </c>
      <c r="I111" s="121"/>
      <c r="J111" s="121"/>
      <c r="K111" s="242" t="s">
        <v>436</v>
      </c>
      <c r="L111" s="100" t="s">
        <v>209</v>
      </c>
      <c r="M111" s="121"/>
      <c r="N111" s="100"/>
      <c r="O111" s="118">
        <v>409090.90909090906</v>
      </c>
      <c r="P111" s="184"/>
      <c r="Q111" s="110"/>
      <c r="R111" s="282">
        <f t="shared" si="5"/>
        <v>0</v>
      </c>
      <c r="S111" s="110"/>
      <c r="T111" s="282">
        <f t="shared" si="5"/>
        <v>0</v>
      </c>
      <c r="U111" s="110"/>
      <c r="V111" s="282">
        <f t="shared" si="5"/>
        <v>0</v>
      </c>
      <c r="W111" s="110"/>
      <c r="X111" s="282">
        <f t="shared" si="6"/>
        <v>0</v>
      </c>
      <c r="Y111" s="110"/>
      <c r="Z111" s="282">
        <f t="shared" si="7"/>
        <v>0</v>
      </c>
      <c r="AA111" s="233">
        <f t="shared" si="8"/>
        <v>0</v>
      </c>
      <c r="AB111" s="234">
        <f t="shared" si="9"/>
        <v>0</v>
      </c>
      <c r="AC111" s="195"/>
    </row>
    <row r="112" spans="1:30" s="95" customFormat="1" ht="18" customHeight="1">
      <c r="A112" s="107">
        <v>2020</v>
      </c>
      <c r="B112" s="108">
        <v>3</v>
      </c>
      <c r="C112" s="108"/>
      <c r="D112" s="102"/>
      <c r="E112" s="102"/>
      <c r="F112" s="102" t="s">
        <v>562</v>
      </c>
      <c r="G112" s="98" t="s">
        <v>40</v>
      </c>
      <c r="H112" s="99" t="s">
        <v>584</v>
      </c>
      <c r="I112" s="121"/>
      <c r="J112" s="121"/>
      <c r="K112" s="242" t="s">
        <v>437</v>
      </c>
      <c r="L112" s="100" t="s">
        <v>209</v>
      </c>
      <c r="M112" s="121"/>
      <c r="N112" s="100"/>
      <c r="O112" s="118">
        <v>363636.36363636359</v>
      </c>
      <c r="P112" s="184"/>
      <c r="Q112" s="110"/>
      <c r="R112" s="282">
        <f t="shared" si="5"/>
        <v>0</v>
      </c>
      <c r="S112" s="110"/>
      <c r="T112" s="282">
        <f t="shared" si="5"/>
        <v>0</v>
      </c>
      <c r="U112" s="110"/>
      <c r="V112" s="282">
        <f t="shared" si="5"/>
        <v>0</v>
      </c>
      <c r="W112" s="110"/>
      <c r="X112" s="282">
        <f t="shared" si="6"/>
        <v>0</v>
      </c>
      <c r="Y112" s="110"/>
      <c r="Z112" s="282">
        <f t="shared" si="7"/>
        <v>0</v>
      </c>
      <c r="AA112" s="233">
        <f t="shared" si="8"/>
        <v>0</v>
      </c>
      <c r="AB112" s="234">
        <f t="shared" si="9"/>
        <v>0</v>
      </c>
      <c r="AC112" s="195"/>
    </row>
    <row r="113" spans="1:30" s="95" customFormat="1" ht="18" customHeight="1">
      <c r="A113" s="107">
        <v>2020</v>
      </c>
      <c r="B113" s="108">
        <v>3</v>
      </c>
      <c r="C113" s="108"/>
      <c r="D113" s="102"/>
      <c r="E113" s="102"/>
      <c r="F113" s="102" t="s">
        <v>562</v>
      </c>
      <c r="G113" s="98" t="s">
        <v>40</v>
      </c>
      <c r="H113" s="99" t="s">
        <v>588</v>
      </c>
      <c r="I113" s="103"/>
      <c r="J113" s="103"/>
      <c r="K113" s="241" t="s">
        <v>434</v>
      </c>
      <c r="L113" s="101"/>
      <c r="M113" s="103"/>
      <c r="N113" s="101"/>
      <c r="O113" s="118">
        <f>639000*0.9</f>
        <v>575100</v>
      </c>
      <c r="P113" s="189"/>
      <c r="Q113" s="110"/>
      <c r="R113" s="282">
        <f t="shared" si="5"/>
        <v>0</v>
      </c>
      <c r="S113" s="110"/>
      <c r="T113" s="282">
        <f t="shared" si="5"/>
        <v>0</v>
      </c>
      <c r="U113" s="110"/>
      <c r="V113" s="282">
        <f t="shared" si="5"/>
        <v>0</v>
      </c>
      <c r="W113" s="110"/>
      <c r="X113" s="282">
        <f t="shared" si="6"/>
        <v>0</v>
      </c>
      <c r="Y113" s="110"/>
      <c r="Z113" s="282">
        <f t="shared" si="7"/>
        <v>0</v>
      </c>
      <c r="AA113" s="233">
        <f t="shared" si="8"/>
        <v>0</v>
      </c>
      <c r="AB113" s="234">
        <f t="shared" si="9"/>
        <v>0</v>
      </c>
      <c r="AC113" s="195"/>
    </row>
    <row r="114" spans="1:30" ht="18" customHeight="1" thickBot="1">
      <c r="A114" s="107">
        <v>2020</v>
      </c>
      <c r="B114" s="108">
        <v>3</v>
      </c>
      <c r="C114" s="108"/>
      <c r="D114" s="105"/>
      <c r="E114" s="105"/>
      <c r="F114" s="105" t="s">
        <v>562</v>
      </c>
      <c r="G114" s="104" t="s">
        <v>40</v>
      </c>
      <c r="H114" s="182" t="s">
        <v>588</v>
      </c>
      <c r="I114" s="106"/>
      <c r="J114" s="324"/>
      <c r="K114" s="242" t="s">
        <v>435</v>
      </c>
      <c r="L114" s="104"/>
      <c r="M114" s="106"/>
      <c r="N114" s="104"/>
      <c r="O114" s="118">
        <v>635455</v>
      </c>
      <c r="P114" s="189"/>
      <c r="Q114" s="110"/>
      <c r="R114" s="282">
        <f t="shared" si="5"/>
        <v>0</v>
      </c>
      <c r="S114" s="110"/>
      <c r="T114" s="282">
        <f t="shared" si="5"/>
        <v>0</v>
      </c>
      <c r="U114" s="110"/>
      <c r="V114" s="282">
        <f t="shared" si="5"/>
        <v>0</v>
      </c>
      <c r="W114" s="110"/>
      <c r="X114" s="282">
        <f t="shared" si="6"/>
        <v>0</v>
      </c>
      <c r="Y114" s="110"/>
      <c r="Z114" s="282">
        <f t="shared" si="7"/>
        <v>0</v>
      </c>
      <c r="AA114" s="233">
        <f t="shared" si="8"/>
        <v>0</v>
      </c>
      <c r="AB114" s="234">
        <f t="shared" si="9"/>
        <v>0</v>
      </c>
      <c r="AC114" s="195"/>
      <c r="AD114" s="95"/>
    </row>
    <row r="115" spans="1:30" s="92" customFormat="1" ht="18" customHeight="1" thickTop="1">
      <c r="A115" s="107">
        <v>2020</v>
      </c>
      <c r="B115" s="108">
        <v>3</v>
      </c>
      <c r="C115" s="108"/>
      <c r="D115" s="102"/>
      <c r="E115" s="102"/>
      <c r="F115" s="219" t="s">
        <v>563</v>
      </c>
      <c r="G115" s="220" t="s">
        <v>23</v>
      </c>
      <c r="H115" s="221" t="s">
        <v>576</v>
      </c>
      <c r="I115" s="114" t="s">
        <v>541</v>
      </c>
      <c r="J115" s="114"/>
      <c r="K115" s="126" t="s">
        <v>472</v>
      </c>
      <c r="L115" s="220" t="s">
        <v>656</v>
      </c>
      <c r="M115" s="114" t="s">
        <v>541</v>
      </c>
      <c r="N115" s="220" t="s">
        <v>469</v>
      </c>
      <c r="O115" s="222">
        <v>353636.36363636359</v>
      </c>
      <c r="P115" s="223"/>
      <c r="Q115" s="224"/>
      <c r="R115" s="282">
        <f t="shared" si="5"/>
        <v>0</v>
      </c>
      <c r="S115" s="224"/>
      <c r="T115" s="282">
        <f t="shared" si="5"/>
        <v>0</v>
      </c>
      <c r="U115" s="224"/>
      <c r="V115" s="282">
        <f t="shared" si="5"/>
        <v>0</v>
      </c>
      <c r="W115" s="224"/>
      <c r="X115" s="282">
        <f t="shared" si="6"/>
        <v>0</v>
      </c>
      <c r="Y115" s="224"/>
      <c r="Z115" s="282">
        <f t="shared" si="7"/>
        <v>0</v>
      </c>
      <c r="AA115" s="233">
        <f t="shared" si="8"/>
        <v>0</v>
      </c>
      <c r="AB115" s="234">
        <f t="shared" si="9"/>
        <v>0</v>
      </c>
      <c r="AC115" s="225"/>
      <c r="AD115" s="226"/>
    </row>
    <row r="116" spans="1:30" s="92" customFormat="1" ht="18" customHeight="1">
      <c r="A116" s="107">
        <v>2020</v>
      </c>
      <c r="B116" s="108">
        <v>3</v>
      </c>
      <c r="C116" s="108"/>
      <c r="D116" s="102"/>
      <c r="E116" s="102"/>
      <c r="F116" s="219" t="s">
        <v>563</v>
      </c>
      <c r="G116" s="220" t="s">
        <v>23</v>
      </c>
      <c r="H116" s="221" t="s">
        <v>576</v>
      </c>
      <c r="I116" s="114" t="s">
        <v>541</v>
      </c>
      <c r="J116" s="114"/>
      <c r="K116" s="126" t="s">
        <v>473</v>
      </c>
      <c r="L116" s="220" t="s">
        <v>656</v>
      </c>
      <c r="M116" s="114" t="s">
        <v>541</v>
      </c>
      <c r="N116" s="220" t="s">
        <v>475</v>
      </c>
      <c r="O116" s="222">
        <v>399090.90909090906</v>
      </c>
      <c r="P116" s="223"/>
      <c r="Q116" s="224"/>
      <c r="R116" s="282">
        <f t="shared" si="5"/>
        <v>0</v>
      </c>
      <c r="S116" s="224"/>
      <c r="T116" s="282">
        <f t="shared" si="5"/>
        <v>0</v>
      </c>
      <c r="U116" s="224"/>
      <c r="V116" s="282">
        <f t="shared" si="5"/>
        <v>0</v>
      </c>
      <c r="W116" s="224"/>
      <c r="X116" s="282">
        <f t="shared" si="6"/>
        <v>0</v>
      </c>
      <c r="Y116" s="224"/>
      <c r="Z116" s="282">
        <f t="shared" si="7"/>
        <v>0</v>
      </c>
      <c r="AA116" s="233">
        <f t="shared" si="8"/>
        <v>0</v>
      </c>
      <c r="AB116" s="234">
        <f t="shared" si="9"/>
        <v>0</v>
      </c>
      <c r="AC116" s="225"/>
      <c r="AD116" s="226"/>
    </row>
    <row r="117" spans="1:30" s="92" customFormat="1" ht="18" customHeight="1">
      <c r="A117" s="107">
        <v>2020</v>
      </c>
      <c r="B117" s="108">
        <v>3</v>
      </c>
      <c r="C117" s="108"/>
      <c r="D117" s="102"/>
      <c r="E117" s="102"/>
      <c r="F117" s="219" t="s">
        <v>563</v>
      </c>
      <c r="G117" s="220" t="s">
        <v>23</v>
      </c>
      <c r="H117" s="221" t="s">
        <v>576</v>
      </c>
      <c r="I117" s="114" t="s">
        <v>541</v>
      </c>
      <c r="J117" s="114"/>
      <c r="K117" s="126" t="s">
        <v>474</v>
      </c>
      <c r="L117" s="220" t="s">
        <v>656</v>
      </c>
      <c r="M117" s="114" t="s">
        <v>541</v>
      </c>
      <c r="N117" s="220" t="s">
        <v>461</v>
      </c>
      <c r="O117" s="222">
        <v>453636.36363636359</v>
      </c>
      <c r="P117" s="223"/>
      <c r="Q117" s="224"/>
      <c r="R117" s="282">
        <f t="shared" si="5"/>
        <v>0</v>
      </c>
      <c r="S117" s="224"/>
      <c r="T117" s="282">
        <f t="shared" si="5"/>
        <v>0</v>
      </c>
      <c r="U117" s="224"/>
      <c r="V117" s="282">
        <f t="shared" si="5"/>
        <v>0</v>
      </c>
      <c r="W117" s="224"/>
      <c r="X117" s="282">
        <f t="shared" si="6"/>
        <v>0</v>
      </c>
      <c r="Y117" s="224"/>
      <c r="Z117" s="282">
        <f t="shared" si="7"/>
        <v>0</v>
      </c>
      <c r="AA117" s="233">
        <f t="shared" si="8"/>
        <v>0</v>
      </c>
      <c r="AB117" s="234">
        <f t="shared" si="9"/>
        <v>0</v>
      </c>
      <c r="AC117" s="225"/>
      <c r="AD117" s="226"/>
    </row>
    <row r="118" spans="1:30" s="92" customFormat="1" ht="18" customHeight="1">
      <c r="A118" s="107">
        <v>2020</v>
      </c>
      <c r="B118" s="108">
        <v>3</v>
      </c>
      <c r="C118" s="108"/>
      <c r="D118" s="102"/>
      <c r="E118" s="102"/>
      <c r="F118" s="219" t="s">
        <v>563</v>
      </c>
      <c r="G118" s="220" t="s">
        <v>23</v>
      </c>
      <c r="H118" s="221" t="s">
        <v>579</v>
      </c>
      <c r="I118" s="114" t="s">
        <v>541</v>
      </c>
      <c r="J118" s="114"/>
      <c r="K118" s="126" t="s">
        <v>457</v>
      </c>
      <c r="L118" s="220" t="s">
        <v>656</v>
      </c>
      <c r="M118" s="114" t="s">
        <v>541</v>
      </c>
      <c r="N118" s="220" t="s">
        <v>461</v>
      </c>
      <c r="O118" s="222">
        <v>353636.36363636359</v>
      </c>
      <c r="P118" s="223"/>
      <c r="Q118" s="224"/>
      <c r="R118" s="282">
        <f t="shared" si="5"/>
        <v>0</v>
      </c>
      <c r="S118" s="224"/>
      <c r="T118" s="282">
        <f t="shared" si="5"/>
        <v>0</v>
      </c>
      <c r="U118" s="224"/>
      <c r="V118" s="282">
        <f t="shared" si="5"/>
        <v>0</v>
      </c>
      <c r="W118" s="224"/>
      <c r="X118" s="282">
        <f t="shared" si="6"/>
        <v>0</v>
      </c>
      <c r="Y118" s="224"/>
      <c r="Z118" s="282">
        <f t="shared" si="7"/>
        <v>0</v>
      </c>
      <c r="AA118" s="233">
        <f t="shared" si="8"/>
        <v>0</v>
      </c>
      <c r="AB118" s="234">
        <f t="shared" si="9"/>
        <v>0</v>
      </c>
      <c r="AC118" s="225"/>
      <c r="AD118" s="226"/>
    </row>
    <row r="119" spans="1:30" s="92" customFormat="1" ht="18" customHeight="1">
      <c r="A119" s="107">
        <v>2020</v>
      </c>
      <c r="B119" s="108">
        <v>3</v>
      </c>
      <c r="C119" s="108"/>
      <c r="D119" s="102"/>
      <c r="E119" s="102"/>
      <c r="F119" s="219" t="s">
        <v>563</v>
      </c>
      <c r="G119" s="220" t="s">
        <v>23</v>
      </c>
      <c r="H119" s="221" t="s">
        <v>579</v>
      </c>
      <c r="I119" s="114" t="s">
        <v>541</v>
      </c>
      <c r="J119" s="114"/>
      <c r="K119" s="126" t="s">
        <v>458</v>
      </c>
      <c r="L119" s="220" t="s">
        <v>656</v>
      </c>
      <c r="M119" s="114" t="s">
        <v>541</v>
      </c>
      <c r="N119" s="220" t="s">
        <v>463</v>
      </c>
      <c r="O119" s="222">
        <v>389999.99999999994</v>
      </c>
      <c r="P119" s="223"/>
      <c r="Q119" s="224"/>
      <c r="R119" s="282">
        <f t="shared" si="5"/>
        <v>0</v>
      </c>
      <c r="S119" s="224"/>
      <c r="T119" s="282">
        <f t="shared" si="5"/>
        <v>0</v>
      </c>
      <c r="U119" s="224"/>
      <c r="V119" s="282">
        <f t="shared" si="5"/>
        <v>0</v>
      </c>
      <c r="W119" s="224"/>
      <c r="X119" s="282">
        <f t="shared" si="6"/>
        <v>0</v>
      </c>
      <c r="Y119" s="224"/>
      <c r="Z119" s="282">
        <f t="shared" si="7"/>
        <v>0</v>
      </c>
      <c r="AA119" s="233">
        <f t="shared" si="8"/>
        <v>0</v>
      </c>
      <c r="AB119" s="234">
        <f t="shared" si="9"/>
        <v>0</v>
      </c>
      <c r="AC119" s="225"/>
      <c r="AD119" s="226"/>
    </row>
    <row r="120" spans="1:30" s="92" customFormat="1" ht="18" customHeight="1">
      <c r="A120" s="107">
        <v>2020</v>
      </c>
      <c r="B120" s="108">
        <v>3</v>
      </c>
      <c r="C120" s="108"/>
      <c r="D120" s="102"/>
      <c r="E120" s="102"/>
      <c r="F120" s="219" t="s">
        <v>563</v>
      </c>
      <c r="G120" s="220" t="s">
        <v>23</v>
      </c>
      <c r="H120" s="221" t="s">
        <v>579</v>
      </c>
      <c r="I120" s="114" t="s">
        <v>541</v>
      </c>
      <c r="J120" s="114"/>
      <c r="K120" s="126" t="s">
        <v>459</v>
      </c>
      <c r="L120" s="220" t="s">
        <v>656</v>
      </c>
      <c r="M120" s="114" t="s">
        <v>541</v>
      </c>
      <c r="N120" s="220" t="s">
        <v>462</v>
      </c>
      <c r="O120" s="222">
        <v>444545.45454545453</v>
      </c>
      <c r="P120" s="223"/>
      <c r="Q120" s="224"/>
      <c r="R120" s="282">
        <f t="shared" si="5"/>
        <v>0</v>
      </c>
      <c r="S120" s="224"/>
      <c r="T120" s="282">
        <f t="shared" si="5"/>
        <v>0</v>
      </c>
      <c r="U120" s="224"/>
      <c r="V120" s="282">
        <f t="shared" si="5"/>
        <v>0</v>
      </c>
      <c r="W120" s="224"/>
      <c r="X120" s="282">
        <f t="shared" si="6"/>
        <v>0</v>
      </c>
      <c r="Y120" s="224"/>
      <c r="Z120" s="282">
        <f t="shared" si="7"/>
        <v>0</v>
      </c>
      <c r="AA120" s="233">
        <f t="shared" si="8"/>
        <v>0</v>
      </c>
      <c r="AB120" s="234">
        <f t="shared" si="9"/>
        <v>0</v>
      </c>
      <c r="AC120" s="225"/>
      <c r="AD120" s="226"/>
    </row>
    <row r="121" spans="1:30" s="92" customFormat="1" ht="18" customHeight="1">
      <c r="A121" s="107">
        <v>2020</v>
      </c>
      <c r="B121" s="108">
        <v>3</v>
      </c>
      <c r="C121" s="108"/>
      <c r="D121" s="102"/>
      <c r="E121" s="102"/>
      <c r="F121" s="219" t="s">
        <v>563</v>
      </c>
      <c r="G121" s="220" t="s">
        <v>23</v>
      </c>
      <c r="H121" s="221" t="s">
        <v>589</v>
      </c>
      <c r="I121" s="114" t="s">
        <v>541</v>
      </c>
      <c r="J121" s="114"/>
      <c r="K121" s="126" t="s">
        <v>467</v>
      </c>
      <c r="L121" s="220" t="s">
        <v>656</v>
      </c>
      <c r="M121" s="114" t="s">
        <v>541</v>
      </c>
      <c r="N121" s="220" t="s">
        <v>462</v>
      </c>
      <c r="O121" s="222">
        <v>508181.81818181812</v>
      </c>
      <c r="P121" s="223"/>
      <c r="Q121" s="224"/>
      <c r="R121" s="282">
        <f t="shared" si="5"/>
        <v>0</v>
      </c>
      <c r="S121" s="224"/>
      <c r="T121" s="282">
        <f t="shared" si="5"/>
        <v>0</v>
      </c>
      <c r="U121" s="224"/>
      <c r="V121" s="282">
        <f t="shared" si="5"/>
        <v>0</v>
      </c>
      <c r="W121" s="224"/>
      <c r="X121" s="282">
        <f t="shared" si="6"/>
        <v>0</v>
      </c>
      <c r="Y121" s="224"/>
      <c r="Z121" s="282">
        <f t="shared" si="7"/>
        <v>0</v>
      </c>
      <c r="AA121" s="233">
        <f t="shared" si="8"/>
        <v>0</v>
      </c>
      <c r="AB121" s="234">
        <f t="shared" si="9"/>
        <v>0</v>
      </c>
      <c r="AC121" s="225"/>
      <c r="AD121" s="226"/>
    </row>
    <row r="122" spans="1:30" s="92" customFormat="1" ht="18" customHeight="1">
      <c r="A122" s="107">
        <v>2020</v>
      </c>
      <c r="B122" s="108">
        <v>3</v>
      </c>
      <c r="C122" s="108"/>
      <c r="D122" s="102"/>
      <c r="E122" s="102"/>
      <c r="F122" s="219" t="s">
        <v>563</v>
      </c>
      <c r="G122" s="220" t="s">
        <v>23</v>
      </c>
      <c r="H122" s="221" t="s">
        <v>579</v>
      </c>
      <c r="I122" s="114" t="s">
        <v>543</v>
      </c>
      <c r="J122" s="114"/>
      <c r="K122" s="126" t="s">
        <v>398</v>
      </c>
      <c r="L122" s="220" t="s">
        <v>546</v>
      </c>
      <c r="M122" s="114" t="s">
        <v>543</v>
      </c>
      <c r="N122" s="220" t="s">
        <v>460</v>
      </c>
      <c r="O122" s="222">
        <f>719000*0.9</f>
        <v>647100</v>
      </c>
      <c r="P122" s="223"/>
      <c r="Q122" s="224"/>
      <c r="R122" s="282">
        <f t="shared" si="5"/>
        <v>0</v>
      </c>
      <c r="S122" s="224"/>
      <c r="T122" s="282">
        <f t="shared" si="5"/>
        <v>0</v>
      </c>
      <c r="U122" s="224"/>
      <c r="V122" s="282">
        <f t="shared" si="5"/>
        <v>0</v>
      </c>
      <c r="W122" s="224"/>
      <c r="X122" s="282">
        <f t="shared" si="6"/>
        <v>0</v>
      </c>
      <c r="Y122" s="224"/>
      <c r="Z122" s="282">
        <f t="shared" si="7"/>
        <v>0</v>
      </c>
      <c r="AA122" s="233">
        <f t="shared" si="8"/>
        <v>0</v>
      </c>
      <c r="AB122" s="234">
        <f t="shared" si="9"/>
        <v>0</v>
      </c>
      <c r="AC122" s="225"/>
      <c r="AD122" s="226"/>
    </row>
    <row r="123" spans="1:30" s="92" customFormat="1" ht="18" customHeight="1">
      <c r="A123" s="107">
        <v>2020</v>
      </c>
      <c r="B123" s="108">
        <v>3</v>
      </c>
      <c r="C123" s="108"/>
      <c r="D123" s="102"/>
      <c r="E123" s="102"/>
      <c r="F123" s="219" t="s">
        <v>563</v>
      </c>
      <c r="G123" s="220" t="s">
        <v>23</v>
      </c>
      <c r="H123" s="221" t="s">
        <v>579</v>
      </c>
      <c r="I123" s="114" t="s">
        <v>543</v>
      </c>
      <c r="J123" s="114"/>
      <c r="K123" s="126" t="s">
        <v>399</v>
      </c>
      <c r="L123" s="220" t="s">
        <v>546</v>
      </c>
      <c r="M123" s="114" t="s">
        <v>543</v>
      </c>
      <c r="N123" s="220" t="s">
        <v>461</v>
      </c>
      <c r="O123" s="222">
        <f>749000*0.9</f>
        <v>674100</v>
      </c>
      <c r="P123" s="223"/>
      <c r="Q123" s="224"/>
      <c r="R123" s="282">
        <f t="shared" si="5"/>
        <v>0</v>
      </c>
      <c r="S123" s="224"/>
      <c r="T123" s="282">
        <f t="shared" si="5"/>
        <v>0</v>
      </c>
      <c r="U123" s="224"/>
      <c r="V123" s="282">
        <f t="shared" si="5"/>
        <v>0</v>
      </c>
      <c r="W123" s="224"/>
      <c r="X123" s="282">
        <f t="shared" si="6"/>
        <v>0</v>
      </c>
      <c r="Y123" s="224"/>
      <c r="Z123" s="282">
        <f t="shared" si="7"/>
        <v>0</v>
      </c>
      <c r="AA123" s="233">
        <f t="shared" si="8"/>
        <v>0</v>
      </c>
      <c r="AB123" s="234">
        <f t="shared" si="9"/>
        <v>0</v>
      </c>
      <c r="AC123" s="225"/>
      <c r="AD123" s="226"/>
    </row>
    <row r="124" spans="1:30" s="92" customFormat="1" ht="18" customHeight="1">
      <c r="A124" s="107">
        <v>2020</v>
      </c>
      <c r="B124" s="108">
        <v>3</v>
      </c>
      <c r="C124" s="108"/>
      <c r="D124" s="102"/>
      <c r="E124" s="102"/>
      <c r="F124" s="219" t="s">
        <v>563</v>
      </c>
      <c r="G124" s="220" t="s">
        <v>23</v>
      </c>
      <c r="H124" s="221" t="s">
        <v>579</v>
      </c>
      <c r="I124" s="114" t="s">
        <v>543</v>
      </c>
      <c r="J124" s="114"/>
      <c r="K124" s="126" t="s">
        <v>400</v>
      </c>
      <c r="L124" s="220" t="s">
        <v>546</v>
      </c>
      <c r="M124" s="114" t="s">
        <v>543</v>
      </c>
      <c r="N124" s="220" t="s">
        <v>462</v>
      </c>
      <c r="O124" s="222">
        <f>779000*0.9</f>
        <v>701100</v>
      </c>
      <c r="P124" s="223"/>
      <c r="Q124" s="224"/>
      <c r="R124" s="282">
        <f t="shared" si="5"/>
        <v>0</v>
      </c>
      <c r="S124" s="224"/>
      <c r="T124" s="282">
        <f t="shared" si="5"/>
        <v>0</v>
      </c>
      <c r="U124" s="224"/>
      <c r="V124" s="282">
        <f t="shared" si="5"/>
        <v>0</v>
      </c>
      <c r="W124" s="224"/>
      <c r="X124" s="282">
        <f t="shared" si="6"/>
        <v>0</v>
      </c>
      <c r="Y124" s="224"/>
      <c r="Z124" s="282">
        <f t="shared" si="7"/>
        <v>0</v>
      </c>
      <c r="AA124" s="233">
        <f t="shared" si="8"/>
        <v>0</v>
      </c>
      <c r="AB124" s="234">
        <f t="shared" si="9"/>
        <v>0</v>
      </c>
      <c r="AC124" s="225"/>
      <c r="AD124" s="226"/>
    </row>
    <row r="125" spans="1:30" s="92" customFormat="1" ht="18" customHeight="1">
      <c r="A125" s="107">
        <v>2020</v>
      </c>
      <c r="B125" s="108">
        <v>3</v>
      </c>
      <c r="C125" s="108"/>
      <c r="D125" s="102"/>
      <c r="E125" s="102"/>
      <c r="F125" s="219" t="s">
        <v>563</v>
      </c>
      <c r="G125" s="220" t="s">
        <v>23</v>
      </c>
      <c r="H125" s="221" t="s">
        <v>579</v>
      </c>
      <c r="I125" s="114" t="s">
        <v>543</v>
      </c>
      <c r="J125" s="114"/>
      <c r="K125" s="126" t="s">
        <v>401</v>
      </c>
      <c r="L125" s="220" t="s">
        <v>546</v>
      </c>
      <c r="M125" s="114" t="s">
        <v>543</v>
      </c>
      <c r="N125" s="220" t="s">
        <v>464</v>
      </c>
      <c r="O125" s="222">
        <f>959000</f>
        <v>959000</v>
      </c>
      <c r="P125" s="223"/>
      <c r="Q125" s="224"/>
      <c r="R125" s="282">
        <f t="shared" si="5"/>
        <v>0</v>
      </c>
      <c r="S125" s="224"/>
      <c r="T125" s="282">
        <f t="shared" si="5"/>
        <v>0</v>
      </c>
      <c r="U125" s="224"/>
      <c r="V125" s="282">
        <f t="shared" si="5"/>
        <v>0</v>
      </c>
      <c r="W125" s="224"/>
      <c r="X125" s="282">
        <f t="shared" si="6"/>
        <v>0</v>
      </c>
      <c r="Y125" s="224"/>
      <c r="Z125" s="282">
        <f t="shared" si="7"/>
        <v>0</v>
      </c>
      <c r="AA125" s="233">
        <f t="shared" si="8"/>
        <v>0</v>
      </c>
      <c r="AB125" s="234">
        <f t="shared" si="9"/>
        <v>0</v>
      </c>
      <c r="AC125" s="225"/>
      <c r="AD125" s="226"/>
    </row>
    <row r="126" spans="1:30" s="92" customFormat="1" ht="18" customHeight="1">
      <c r="A126" s="107">
        <v>2020</v>
      </c>
      <c r="B126" s="108">
        <v>3</v>
      </c>
      <c r="C126" s="108"/>
      <c r="D126" s="102"/>
      <c r="E126" s="102"/>
      <c r="F126" s="219" t="s">
        <v>563</v>
      </c>
      <c r="G126" s="220" t="s">
        <v>23</v>
      </c>
      <c r="H126" s="221" t="s">
        <v>589</v>
      </c>
      <c r="I126" s="114" t="s">
        <v>543</v>
      </c>
      <c r="J126" s="114"/>
      <c r="K126" s="126" t="s">
        <v>402</v>
      </c>
      <c r="L126" s="220" t="s">
        <v>546</v>
      </c>
      <c r="M126" s="114" t="s">
        <v>543</v>
      </c>
      <c r="N126" s="220" t="s">
        <v>462</v>
      </c>
      <c r="O126" s="222">
        <v>989000</v>
      </c>
      <c r="P126" s="223"/>
      <c r="Q126" s="224"/>
      <c r="R126" s="282">
        <f t="shared" si="5"/>
        <v>0</v>
      </c>
      <c r="S126" s="224"/>
      <c r="T126" s="282">
        <f t="shared" si="5"/>
        <v>0</v>
      </c>
      <c r="U126" s="224"/>
      <c r="V126" s="282">
        <f t="shared" si="5"/>
        <v>0</v>
      </c>
      <c r="W126" s="224"/>
      <c r="X126" s="282">
        <f t="shared" si="6"/>
        <v>0</v>
      </c>
      <c r="Y126" s="224"/>
      <c r="Z126" s="282">
        <f t="shared" si="7"/>
        <v>0</v>
      </c>
      <c r="AA126" s="233">
        <f t="shared" si="8"/>
        <v>0</v>
      </c>
      <c r="AB126" s="234">
        <f t="shared" si="9"/>
        <v>0</v>
      </c>
      <c r="AC126" s="225"/>
      <c r="AD126" s="226"/>
    </row>
    <row r="127" spans="1:30" s="92" customFormat="1" ht="18" customHeight="1">
      <c r="A127" s="107">
        <v>2020</v>
      </c>
      <c r="B127" s="108">
        <v>3</v>
      </c>
      <c r="C127" s="108"/>
      <c r="D127" s="102"/>
      <c r="E127" s="102"/>
      <c r="F127" s="219" t="s">
        <v>563</v>
      </c>
      <c r="G127" s="220" t="s">
        <v>23</v>
      </c>
      <c r="H127" s="221" t="s">
        <v>576</v>
      </c>
      <c r="I127" s="114" t="s">
        <v>544</v>
      </c>
      <c r="J127" s="114"/>
      <c r="K127" s="126" t="s">
        <v>414</v>
      </c>
      <c r="L127" s="220" t="s">
        <v>545</v>
      </c>
      <c r="M127" s="114" t="s">
        <v>544</v>
      </c>
      <c r="N127" s="220" t="s">
        <v>476</v>
      </c>
      <c r="O127" s="222">
        <v>917273</v>
      </c>
      <c r="P127" s="223"/>
      <c r="Q127" s="224"/>
      <c r="R127" s="282">
        <f t="shared" si="5"/>
        <v>0</v>
      </c>
      <c r="S127" s="224"/>
      <c r="T127" s="282">
        <f t="shared" si="5"/>
        <v>0</v>
      </c>
      <c r="U127" s="224"/>
      <c r="V127" s="282">
        <f t="shared" si="5"/>
        <v>0</v>
      </c>
      <c r="W127" s="224"/>
      <c r="X127" s="282">
        <f t="shared" si="6"/>
        <v>0</v>
      </c>
      <c r="Y127" s="224"/>
      <c r="Z127" s="282">
        <f t="shared" si="7"/>
        <v>0</v>
      </c>
      <c r="AA127" s="233">
        <f t="shared" si="8"/>
        <v>0</v>
      </c>
      <c r="AB127" s="234">
        <f t="shared" si="9"/>
        <v>0</v>
      </c>
      <c r="AC127" s="225"/>
      <c r="AD127" s="226"/>
    </row>
    <row r="128" spans="1:30" s="92" customFormat="1" ht="18" customHeight="1">
      <c r="A128" s="107">
        <v>2020</v>
      </c>
      <c r="B128" s="108">
        <v>3</v>
      </c>
      <c r="C128" s="108"/>
      <c r="D128" s="102"/>
      <c r="E128" s="102"/>
      <c r="F128" s="219" t="s">
        <v>563</v>
      </c>
      <c r="G128" s="220" t="s">
        <v>23</v>
      </c>
      <c r="H128" s="221" t="s">
        <v>576</v>
      </c>
      <c r="I128" s="114" t="s">
        <v>544</v>
      </c>
      <c r="J128" s="114"/>
      <c r="K128" s="126" t="s">
        <v>415</v>
      </c>
      <c r="L128" s="220" t="s">
        <v>545</v>
      </c>
      <c r="M128" s="114" t="s">
        <v>544</v>
      </c>
      <c r="N128" s="220" t="s">
        <v>461</v>
      </c>
      <c r="O128" s="222">
        <v>1345455</v>
      </c>
      <c r="P128" s="223"/>
      <c r="Q128" s="224"/>
      <c r="R128" s="282">
        <f t="shared" si="5"/>
        <v>0</v>
      </c>
      <c r="S128" s="224"/>
      <c r="T128" s="282">
        <f t="shared" si="5"/>
        <v>0</v>
      </c>
      <c r="U128" s="224"/>
      <c r="V128" s="282">
        <f t="shared" si="5"/>
        <v>0</v>
      </c>
      <c r="W128" s="224"/>
      <c r="X128" s="282">
        <f t="shared" si="6"/>
        <v>0</v>
      </c>
      <c r="Y128" s="224"/>
      <c r="Z128" s="282">
        <f t="shared" si="7"/>
        <v>0</v>
      </c>
      <c r="AA128" s="233">
        <f t="shared" si="8"/>
        <v>0</v>
      </c>
      <c r="AB128" s="234">
        <f t="shared" si="9"/>
        <v>0</v>
      </c>
      <c r="AC128" s="225"/>
      <c r="AD128" s="226"/>
    </row>
    <row r="129" spans="1:30" s="92" customFormat="1" ht="18" customHeight="1">
      <c r="A129" s="107">
        <v>2020</v>
      </c>
      <c r="B129" s="108">
        <v>3</v>
      </c>
      <c r="C129" s="108"/>
      <c r="D129" s="102"/>
      <c r="E129" s="102"/>
      <c r="F129" s="219" t="s">
        <v>563</v>
      </c>
      <c r="G129" s="220" t="s">
        <v>23</v>
      </c>
      <c r="H129" s="221" t="s">
        <v>576</v>
      </c>
      <c r="I129" s="114" t="s">
        <v>544</v>
      </c>
      <c r="J129" s="114"/>
      <c r="K129" s="126" t="s">
        <v>417</v>
      </c>
      <c r="L129" s="220" t="s">
        <v>545</v>
      </c>
      <c r="M129" s="114" t="s">
        <v>544</v>
      </c>
      <c r="N129" s="220" t="s">
        <v>461</v>
      </c>
      <c r="O129" s="222">
        <v>1254546</v>
      </c>
      <c r="P129" s="223"/>
      <c r="Q129" s="224"/>
      <c r="R129" s="282">
        <f t="shared" si="5"/>
        <v>0</v>
      </c>
      <c r="S129" s="224"/>
      <c r="T129" s="282">
        <f t="shared" si="5"/>
        <v>0</v>
      </c>
      <c r="U129" s="224"/>
      <c r="V129" s="282">
        <f t="shared" si="5"/>
        <v>0</v>
      </c>
      <c r="W129" s="224"/>
      <c r="X129" s="282">
        <f t="shared" si="6"/>
        <v>0</v>
      </c>
      <c r="Y129" s="224"/>
      <c r="Z129" s="282">
        <f t="shared" si="7"/>
        <v>0</v>
      </c>
      <c r="AA129" s="233">
        <f t="shared" si="8"/>
        <v>0</v>
      </c>
      <c r="AB129" s="234">
        <f t="shared" si="9"/>
        <v>0</v>
      </c>
      <c r="AC129" s="225"/>
      <c r="AD129" s="226"/>
    </row>
    <row r="130" spans="1:30" s="92" customFormat="1" ht="18" customHeight="1">
      <c r="A130" s="107">
        <v>2020</v>
      </c>
      <c r="B130" s="108">
        <v>3</v>
      </c>
      <c r="C130" s="108"/>
      <c r="D130" s="102"/>
      <c r="E130" s="102"/>
      <c r="F130" s="219" t="s">
        <v>563</v>
      </c>
      <c r="G130" s="220" t="s">
        <v>23</v>
      </c>
      <c r="H130" s="221" t="s">
        <v>576</v>
      </c>
      <c r="I130" s="114" t="s">
        <v>544</v>
      </c>
      <c r="J130" s="114"/>
      <c r="K130" s="126" t="s">
        <v>416</v>
      </c>
      <c r="L130" s="220" t="s">
        <v>545</v>
      </c>
      <c r="M130" s="114" t="s">
        <v>544</v>
      </c>
      <c r="N130" s="220" t="s">
        <v>463</v>
      </c>
      <c r="O130" s="222">
        <v>1136364</v>
      </c>
      <c r="P130" s="223"/>
      <c r="Q130" s="224"/>
      <c r="R130" s="282">
        <f t="shared" si="5"/>
        <v>0</v>
      </c>
      <c r="S130" s="224"/>
      <c r="T130" s="282">
        <f t="shared" si="5"/>
        <v>0</v>
      </c>
      <c r="U130" s="224"/>
      <c r="V130" s="282">
        <f t="shared" si="5"/>
        <v>0</v>
      </c>
      <c r="W130" s="224"/>
      <c r="X130" s="282">
        <f t="shared" si="6"/>
        <v>0</v>
      </c>
      <c r="Y130" s="224"/>
      <c r="Z130" s="282">
        <f t="shared" si="7"/>
        <v>0</v>
      </c>
      <c r="AA130" s="233">
        <f t="shared" si="8"/>
        <v>0</v>
      </c>
      <c r="AB130" s="234">
        <f t="shared" si="9"/>
        <v>0</v>
      </c>
      <c r="AC130" s="225"/>
      <c r="AD130" s="226"/>
    </row>
    <row r="131" spans="1:30" s="92" customFormat="1" ht="18" customHeight="1">
      <c r="A131" s="107">
        <v>2020</v>
      </c>
      <c r="B131" s="108">
        <v>3</v>
      </c>
      <c r="C131" s="108"/>
      <c r="D131" s="102"/>
      <c r="E131" s="102"/>
      <c r="F131" s="219" t="s">
        <v>563</v>
      </c>
      <c r="G131" s="220" t="s">
        <v>23</v>
      </c>
      <c r="H131" s="221" t="s">
        <v>579</v>
      </c>
      <c r="I131" s="114" t="s">
        <v>544</v>
      </c>
      <c r="J131" s="114"/>
      <c r="K131" s="126" t="s">
        <v>405</v>
      </c>
      <c r="L131" s="220" t="s">
        <v>547</v>
      </c>
      <c r="M131" s="114" t="s">
        <v>544</v>
      </c>
      <c r="N131" s="220" t="s">
        <v>460</v>
      </c>
      <c r="O131" s="222">
        <v>690000</v>
      </c>
      <c r="P131" s="223"/>
      <c r="Q131" s="224"/>
      <c r="R131" s="282">
        <f t="shared" si="5"/>
        <v>0</v>
      </c>
      <c r="S131" s="224"/>
      <c r="T131" s="282">
        <f t="shared" si="5"/>
        <v>0</v>
      </c>
      <c r="U131" s="224"/>
      <c r="V131" s="282">
        <f t="shared" si="5"/>
        <v>0</v>
      </c>
      <c r="W131" s="224"/>
      <c r="X131" s="282">
        <f t="shared" si="6"/>
        <v>0</v>
      </c>
      <c r="Y131" s="224"/>
      <c r="Z131" s="282">
        <f t="shared" si="7"/>
        <v>0</v>
      </c>
      <c r="AA131" s="233">
        <f t="shared" si="8"/>
        <v>0</v>
      </c>
      <c r="AB131" s="234">
        <f t="shared" si="9"/>
        <v>0</v>
      </c>
      <c r="AC131" s="225"/>
      <c r="AD131" s="226"/>
    </row>
    <row r="132" spans="1:30" s="92" customFormat="1" ht="18" customHeight="1">
      <c r="A132" s="107">
        <v>2020</v>
      </c>
      <c r="B132" s="108">
        <v>3</v>
      </c>
      <c r="C132" s="108"/>
      <c r="D132" s="102"/>
      <c r="E132" s="102"/>
      <c r="F132" s="219" t="s">
        <v>563</v>
      </c>
      <c r="G132" s="220" t="s">
        <v>23</v>
      </c>
      <c r="H132" s="221" t="s">
        <v>579</v>
      </c>
      <c r="I132" s="114" t="s">
        <v>544</v>
      </c>
      <c r="J132" s="114"/>
      <c r="K132" s="126" t="s">
        <v>407</v>
      </c>
      <c r="L132" s="220" t="s">
        <v>547</v>
      </c>
      <c r="M132" s="114" t="s">
        <v>544</v>
      </c>
      <c r="N132" s="220" t="s">
        <v>461</v>
      </c>
      <c r="O132" s="222">
        <v>717273</v>
      </c>
      <c r="P132" s="223"/>
      <c r="Q132" s="224"/>
      <c r="R132" s="282">
        <f t="shared" si="5"/>
        <v>0</v>
      </c>
      <c r="S132" s="224"/>
      <c r="T132" s="282">
        <f t="shared" si="5"/>
        <v>0</v>
      </c>
      <c r="U132" s="224"/>
      <c r="V132" s="282">
        <f t="shared" si="5"/>
        <v>0</v>
      </c>
      <c r="W132" s="224"/>
      <c r="X132" s="282">
        <f t="shared" si="6"/>
        <v>0</v>
      </c>
      <c r="Y132" s="224"/>
      <c r="Z132" s="282">
        <f t="shared" si="7"/>
        <v>0</v>
      </c>
      <c r="AA132" s="233">
        <f t="shared" si="8"/>
        <v>0</v>
      </c>
      <c r="AB132" s="234">
        <f t="shared" si="9"/>
        <v>0</v>
      </c>
      <c r="AC132" s="225"/>
      <c r="AD132" s="226"/>
    </row>
    <row r="133" spans="1:30" s="92" customFormat="1" ht="18" customHeight="1">
      <c r="A133" s="107">
        <v>2020</v>
      </c>
      <c r="B133" s="108">
        <v>3</v>
      </c>
      <c r="C133" s="108"/>
      <c r="D133" s="102"/>
      <c r="E133" s="102"/>
      <c r="F133" s="219" t="s">
        <v>563</v>
      </c>
      <c r="G133" s="220" t="s">
        <v>23</v>
      </c>
      <c r="H133" s="221" t="s">
        <v>579</v>
      </c>
      <c r="I133" s="114" t="s">
        <v>544</v>
      </c>
      <c r="J133" s="114"/>
      <c r="K133" s="126" t="s">
        <v>408</v>
      </c>
      <c r="L133" s="220" t="s">
        <v>547</v>
      </c>
      <c r="M133" s="114" t="s">
        <v>544</v>
      </c>
      <c r="N133" s="220" t="s">
        <v>462</v>
      </c>
      <c r="O133" s="222">
        <v>744546</v>
      </c>
      <c r="P133" s="223"/>
      <c r="Q133" s="224"/>
      <c r="R133" s="282">
        <f t="shared" si="5"/>
        <v>0</v>
      </c>
      <c r="S133" s="224"/>
      <c r="T133" s="282">
        <f t="shared" si="5"/>
        <v>0</v>
      </c>
      <c r="U133" s="224"/>
      <c r="V133" s="282">
        <f t="shared" ref="V133:V164" si="10">U133*$O133</f>
        <v>0</v>
      </c>
      <c r="W133" s="224"/>
      <c r="X133" s="282">
        <f t="shared" si="6"/>
        <v>0</v>
      </c>
      <c r="Y133" s="224"/>
      <c r="Z133" s="282">
        <f t="shared" si="7"/>
        <v>0</v>
      </c>
      <c r="AA133" s="233">
        <f t="shared" si="8"/>
        <v>0</v>
      </c>
      <c r="AB133" s="234">
        <f t="shared" si="9"/>
        <v>0</v>
      </c>
      <c r="AC133" s="225"/>
      <c r="AD133" s="226"/>
    </row>
    <row r="134" spans="1:30" s="92" customFormat="1" ht="18" customHeight="1">
      <c r="A134" s="107">
        <v>2020</v>
      </c>
      <c r="B134" s="108">
        <v>3</v>
      </c>
      <c r="C134" s="108"/>
      <c r="D134" s="102"/>
      <c r="E134" s="102"/>
      <c r="F134" s="219" t="s">
        <v>563</v>
      </c>
      <c r="G134" s="220" t="s">
        <v>23</v>
      </c>
      <c r="H134" s="221" t="s">
        <v>579</v>
      </c>
      <c r="I134" s="114" t="s">
        <v>544</v>
      </c>
      <c r="J134" s="114"/>
      <c r="K134" s="126" t="s">
        <v>409</v>
      </c>
      <c r="L134" s="220" t="s">
        <v>547</v>
      </c>
      <c r="M134" s="114" t="s">
        <v>544</v>
      </c>
      <c r="N134" s="220" t="s">
        <v>464</v>
      </c>
      <c r="O134" s="222">
        <v>826364</v>
      </c>
      <c r="P134" s="223"/>
      <c r="Q134" s="224"/>
      <c r="R134" s="282">
        <f t="shared" ref="R134:R165" si="11">Q134*$O134</f>
        <v>0</v>
      </c>
      <c r="S134" s="224"/>
      <c r="T134" s="282">
        <f t="shared" ref="T134:T165" si="12">S134*$O134</f>
        <v>0</v>
      </c>
      <c r="U134" s="224"/>
      <c r="V134" s="282">
        <f t="shared" si="10"/>
        <v>0</v>
      </c>
      <c r="W134" s="224"/>
      <c r="X134" s="282">
        <f>W134*$O134</f>
        <v>0</v>
      </c>
      <c r="Y134" s="224"/>
      <c r="Z134" s="282">
        <f t="shared" ref="Z134:Z196" si="13">Y134*$O134</f>
        <v>0</v>
      </c>
      <c r="AA134" s="233">
        <f t="shared" si="8"/>
        <v>0</v>
      </c>
      <c r="AB134" s="234">
        <f t="shared" si="9"/>
        <v>0</v>
      </c>
      <c r="AC134" s="225"/>
      <c r="AD134" s="226"/>
    </row>
    <row r="135" spans="1:30" s="92" customFormat="1" ht="18" customHeight="1">
      <c r="A135" s="107">
        <v>2020</v>
      </c>
      <c r="B135" s="108">
        <v>3</v>
      </c>
      <c r="C135" s="108"/>
      <c r="D135" s="102"/>
      <c r="E135" s="102"/>
      <c r="F135" s="219" t="s">
        <v>563</v>
      </c>
      <c r="G135" s="220" t="s">
        <v>23</v>
      </c>
      <c r="H135" s="221" t="s">
        <v>589</v>
      </c>
      <c r="I135" s="114" t="s">
        <v>544</v>
      </c>
      <c r="J135" s="114"/>
      <c r="K135" s="126" t="s">
        <v>410</v>
      </c>
      <c r="L135" s="220" t="s">
        <v>547</v>
      </c>
      <c r="M135" s="114" t="s">
        <v>544</v>
      </c>
      <c r="N135" s="220" t="s">
        <v>462</v>
      </c>
      <c r="O135" s="222">
        <v>862728</v>
      </c>
      <c r="P135" s="223"/>
      <c r="Q135" s="224"/>
      <c r="R135" s="282">
        <f t="shared" si="11"/>
        <v>0</v>
      </c>
      <c r="S135" s="224"/>
      <c r="T135" s="282">
        <f t="shared" si="12"/>
        <v>0</v>
      </c>
      <c r="U135" s="224"/>
      <c r="V135" s="282">
        <f t="shared" si="10"/>
        <v>0</v>
      </c>
      <c r="W135" s="224"/>
      <c r="X135" s="282">
        <f>W135*$O135</f>
        <v>0</v>
      </c>
      <c r="Y135" s="224"/>
      <c r="Z135" s="282">
        <f t="shared" si="13"/>
        <v>0</v>
      </c>
      <c r="AA135" s="233">
        <f t="shared" ref="AA135:AA195" si="14">SUMIF($Q$4:$Z$4,"BÁN",$Q135:$Z135)</f>
        <v>0</v>
      </c>
      <c r="AB135" s="234">
        <f t="shared" ref="AB135:AB195" si="15">SUMIF($Q$4:$Z$4,"THÀNH TIỀN
BÁN THỰC TẾ",$Q135:$Z135)</f>
        <v>0</v>
      </c>
      <c r="AC135" s="225"/>
      <c r="AD135" s="226"/>
    </row>
    <row r="136" spans="1:30" s="92" customFormat="1" ht="18" customHeight="1">
      <c r="A136" s="107">
        <v>2020</v>
      </c>
      <c r="B136" s="108">
        <v>3</v>
      </c>
      <c r="C136" s="108"/>
      <c r="D136" s="102"/>
      <c r="E136" s="102"/>
      <c r="F136" s="219" t="s">
        <v>563</v>
      </c>
      <c r="G136" s="220" t="s">
        <v>23</v>
      </c>
      <c r="H136" s="221" t="s">
        <v>576</v>
      </c>
      <c r="I136" s="221" t="s">
        <v>624</v>
      </c>
      <c r="J136" s="221"/>
      <c r="K136" s="126" t="s">
        <v>625</v>
      </c>
      <c r="L136" s="227" t="s">
        <v>657</v>
      </c>
      <c r="M136" s="221" t="s">
        <v>624</v>
      </c>
      <c r="N136" s="227" t="s">
        <v>469</v>
      </c>
      <c r="O136" s="222">
        <v>444545</v>
      </c>
      <c r="P136" s="223"/>
      <c r="Q136" s="224"/>
      <c r="R136" s="282">
        <f t="shared" si="11"/>
        <v>0</v>
      </c>
      <c r="S136" s="224"/>
      <c r="T136" s="282">
        <f t="shared" si="12"/>
        <v>0</v>
      </c>
      <c r="U136" s="224"/>
      <c r="V136" s="282">
        <f t="shared" si="10"/>
        <v>0</v>
      </c>
      <c r="W136" s="224"/>
      <c r="X136" s="282">
        <f>W136*$O136</f>
        <v>0</v>
      </c>
      <c r="Y136" s="224"/>
      <c r="Z136" s="282">
        <f t="shared" si="13"/>
        <v>0</v>
      </c>
      <c r="AA136" s="233">
        <f t="shared" si="14"/>
        <v>0</v>
      </c>
      <c r="AB136" s="234">
        <f t="shared" si="15"/>
        <v>0</v>
      </c>
      <c r="AC136" s="225"/>
      <c r="AD136" s="226"/>
    </row>
    <row r="137" spans="1:30" s="92" customFormat="1" ht="18" customHeight="1">
      <c r="A137" s="107">
        <v>2020</v>
      </c>
      <c r="B137" s="108">
        <v>3</v>
      </c>
      <c r="C137" s="108"/>
      <c r="D137" s="102"/>
      <c r="E137" s="102"/>
      <c r="F137" s="219" t="s">
        <v>563</v>
      </c>
      <c r="G137" s="220" t="s">
        <v>23</v>
      </c>
      <c r="H137" s="221" t="s">
        <v>576</v>
      </c>
      <c r="I137" s="221" t="s">
        <v>624</v>
      </c>
      <c r="J137" s="221"/>
      <c r="K137" s="126" t="s">
        <v>626</v>
      </c>
      <c r="L137" s="227" t="s">
        <v>657</v>
      </c>
      <c r="M137" s="221" t="s">
        <v>624</v>
      </c>
      <c r="N137" s="227" t="s">
        <v>475</v>
      </c>
      <c r="O137" s="222">
        <v>453636</v>
      </c>
      <c r="P137" s="223"/>
      <c r="Q137" s="224"/>
      <c r="R137" s="282">
        <f t="shared" si="11"/>
        <v>0</v>
      </c>
      <c r="S137" s="224"/>
      <c r="T137" s="282">
        <f t="shared" si="12"/>
        <v>0</v>
      </c>
      <c r="U137" s="224"/>
      <c r="V137" s="282">
        <f t="shared" si="10"/>
        <v>0</v>
      </c>
      <c r="W137" s="224"/>
      <c r="X137" s="282">
        <f t="shared" ref="X137:X196" si="16">W137*$O137</f>
        <v>0</v>
      </c>
      <c r="Y137" s="224"/>
      <c r="Z137" s="282">
        <f t="shared" si="13"/>
        <v>0</v>
      </c>
      <c r="AA137" s="233">
        <f t="shared" si="14"/>
        <v>0</v>
      </c>
      <c r="AB137" s="234">
        <f t="shared" si="15"/>
        <v>0</v>
      </c>
      <c r="AC137" s="225"/>
      <c r="AD137" s="226"/>
    </row>
    <row r="138" spans="1:30" s="92" customFormat="1" ht="18" customHeight="1">
      <c r="A138" s="107">
        <v>2020</v>
      </c>
      <c r="B138" s="108">
        <v>3</v>
      </c>
      <c r="C138" s="108"/>
      <c r="D138" s="102"/>
      <c r="E138" s="102"/>
      <c r="F138" s="219" t="s">
        <v>563</v>
      </c>
      <c r="G138" s="220" t="s">
        <v>23</v>
      </c>
      <c r="H138" s="221" t="s">
        <v>576</v>
      </c>
      <c r="I138" s="221" t="s">
        <v>624</v>
      </c>
      <c r="J138" s="221"/>
      <c r="K138" s="126" t="s">
        <v>627</v>
      </c>
      <c r="L138" s="227" t="s">
        <v>657</v>
      </c>
      <c r="M138" s="221" t="s">
        <v>624</v>
      </c>
      <c r="N138" s="227" t="s">
        <v>461</v>
      </c>
      <c r="O138" s="222">
        <v>526364</v>
      </c>
      <c r="P138" s="223"/>
      <c r="Q138" s="224"/>
      <c r="R138" s="282">
        <f t="shared" si="11"/>
        <v>0</v>
      </c>
      <c r="S138" s="224"/>
      <c r="T138" s="282">
        <f t="shared" si="12"/>
        <v>0</v>
      </c>
      <c r="U138" s="224"/>
      <c r="V138" s="282">
        <f t="shared" si="10"/>
        <v>0</v>
      </c>
      <c r="W138" s="224"/>
      <c r="X138" s="282">
        <f t="shared" si="16"/>
        <v>0</v>
      </c>
      <c r="Y138" s="224"/>
      <c r="Z138" s="282">
        <f t="shared" si="13"/>
        <v>0</v>
      </c>
      <c r="AA138" s="233">
        <f t="shared" si="14"/>
        <v>0</v>
      </c>
      <c r="AB138" s="234">
        <f t="shared" si="15"/>
        <v>0</v>
      </c>
      <c r="AC138" s="225"/>
      <c r="AD138" s="226"/>
    </row>
    <row r="139" spans="1:30" s="92" customFormat="1" ht="18" customHeight="1">
      <c r="A139" s="107">
        <v>2020</v>
      </c>
      <c r="B139" s="108">
        <v>3</v>
      </c>
      <c r="C139" s="108"/>
      <c r="D139" s="102"/>
      <c r="E139" s="102"/>
      <c r="F139" s="219" t="s">
        <v>563</v>
      </c>
      <c r="G139" s="220" t="s">
        <v>23</v>
      </c>
      <c r="H139" s="221" t="s">
        <v>577</v>
      </c>
      <c r="I139" s="221" t="s">
        <v>624</v>
      </c>
      <c r="J139" s="221"/>
      <c r="K139" s="126" t="s">
        <v>628</v>
      </c>
      <c r="L139" s="227" t="s">
        <v>657</v>
      </c>
      <c r="M139" s="221" t="s">
        <v>624</v>
      </c>
      <c r="N139" s="227" t="s">
        <v>629</v>
      </c>
      <c r="O139" s="222">
        <v>1180909</v>
      </c>
      <c r="P139" s="223"/>
      <c r="Q139" s="224"/>
      <c r="R139" s="282">
        <f t="shared" si="11"/>
        <v>0</v>
      </c>
      <c r="S139" s="224"/>
      <c r="T139" s="282">
        <f t="shared" si="12"/>
        <v>0</v>
      </c>
      <c r="U139" s="224"/>
      <c r="V139" s="282">
        <f t="shared" si="10"/>
        <v>0</v>
      </c>
      <c r="W139" s="224"/>
      <c r="X139" s="282">
        <f t="shared" si="16"/>
        <v>0</v>
      </c>
      <c r="Y139" s="224"/>
      <c r="Z139" s="282">
        <f t="shared" si="13"/>
        <v>0</v>
      </c>
      <c r="AA139" s="233">
        <f t="shared" si="14"/>
        <v>0</v>
      </c>
      <c r="AB139" s="234">
        <f t="shared" si="15"/>
        <v>0</v>
      </c>
      <c r="AC139" s="225"/>
      <c r="AD139" s="226"/>
    </row>
    <row r="140" spans="1:30" ht="18" customHeight="1">
      <c r="A140" s="107">
        <v>2020</v>
      </c>
      <c r="B140" s="108">
        <v>3</v>
      </c>
      <c r="C140" s="108"/>
      <c r="D140" s="102"/>
      <c r="E140" s="102"/>
      <c r="F140" s="102" t="s">
        <v>563</v>
      </c>
      <c r="G140" s="220" t="s">
        <v>23</v>
      </c>
      <c r="H140" s="99" t="s">
        <v>576</v>
      </c>
      <c r="I140" s="203" t="s">
        <v>643</v>
      </c>
      <c r="J140" s="203"/>
      <c r="K140" s="203" t="s">
        <v>636</v>
      </c>
      <c r="L140" s="203" t="s">
        <v>644</v>
      </c>
      <c r="M140" s="203" t="s">
        <v>643</v>
      </c>
      <c r="N140" s="203" t="s">
        <v>469</v>
      </c>
      <c r="O140" s="118">
        <f>385000*0.9</f>
        <v>346500</v>
      </c>
      <c r="P140" s="191" t="s">
        <v>516</v>
      </c>
      <c r="Q140" s="110"/>
      <c r="R140" s="282">
        <f t="shared" si="11"/>
        <v>0</v>
      </c>
      <c r="S140" s="110"/>
      <c r="T140" s="282">
        <f t="shared" si="12"/>
        <v>0</v>
      </c>
      <c r="U140" s="110"/>
      <c r="V140" s="282">
        <f t="shared" si="10"/>
        <v>0</v>
      </c>
      <c r="W140" s="110"/>
      <c r="X140" s="282">
        <f t="shared" si="16"/>
        <v>0</v>
      </c>
      <c r="Y140" s="110"/>
      <c r="Z140" s="282">
        <f t="shared" si="13"/>
        <v>0</v>
      </c>
      <c r="AA140" s="233">
        <f t="shared" si="14"/>
        <v>0</v>
      </c>
      <c r="AB140" s="234">
        <f t="shared" si="15"/>
        <v>0</v>
      </c>
      <c r="AC140" s="195"/>
      <c r="AD140" s="281"/>
    </row>
    <row r="141" spans="1:30" ht="18" customHeight="1">
      <c r="A141" s="107">
        <v>2020</v>
      </c>
      <c r="B141" s="108">
        <v>3</v>
      </c>
      <c r="C141" s="108"/>
      <c r="D141" s="102"/>
      <c r="E141" s="102"/>
      <c r="F141" s="102" t="s">
        <v>563</v>
      </c>
      <c r="G141" s="220" t="s">
        <v>23</v>
      </c>
      <c r="H141" s="99" t="s">
        <v>576</v>
      </c>
      <c r="I141" s="203" t="s">
        <v>643</v>
      </c>
      <c r="J141" s="203"/>
      <c r="K141" s="203" t="s">
        <v>637</v>
      </c>
      <c r="L141" s="203" t="s">
        <v>644</v>
      </c>
      <c r="M141" s="203" t="s">
        <v>643</v>
      </c>
      <c r="N141" s="203" t="s">
        <v>471</v>
      </c>
      <c r="O141" s="118">
        <f>545000*0.9</f>
        <v>490500</v>
      </c>
      <c r="P141" s="191" t="s">
        <v>516</v>
      </c>
      <c r="Q141" s="110"/>
      <c r="R141" s="282">
        <f t="shared" si="11"/>
        <v>0</v>
      </c>
      <c r="S141" s="110"/>
      <c r="T141" s="282">
        <f t="shared" si="12"/>
        <v>0</v>
      </c>
      <c r="U141" s="110"/>
      <c r="V141" s="282">
        <f t="shared" si="10"/>
        <v>0</v>
      </c>
      <c r="W141" s="110"/>
      <c r="X141" s="282">
        <f t="shared" si="16"/>
        <v>0</v>
      </c>
      <c r="Y141" s="110"/>
      <c r="Z141" s="282">
        <f t="shared" si="13"/>
        <v>0</v>
      </c>
      <c r="AA141" s="233">
        <f t="shared" si="14"/>
        <v>0</v>
      </c>
      <c r="AB141" s="234">
        <f t="shared" si="15"/>
        <v>0</v>
      </c>
      <c r="AC141" s="195"/>
      <c r="AD141" s="281"/>
    </row>
    <row r="142" spans="1:30" ht="18" customHeight="1">
      <c r="A142" s="107">
        <v>2020</v>
      </c>
      <c r="B142" s="108">
        <v>3</v>
      </c>
      <c r="C142" s="108"/>
      <c r="D142" s="102"/>
      <c r="E142" s="102"/>
      <c r="F142" s="102" t="s">
        <v>563</v>
      </c>
      <c r="G142" s="220" t="s">
        <v>23</v>
      </c>
      <c r="H142" s="99" t="s">
        <v>589</v>
      </c>
      <c r="I142" s="203" t="s">
        <v>643</v>
      </c>
      <c r="J142" s="203"/>
      <c r="K142" s="203" t="s">
        <v>638</v>
      </c>
      <c r="L142" s="203" t="s">
        <v>644</v>
      </c>
      <c r="M142" s="203" t="s">
        <v>643</v>
      </c>
      <c r="N142" s="203" t="s">
        <v>461</v>
      </c>
      <c r="O142" s="118">
        <f>355000*0.9</f>
        <v>319500</v>
      </c>
      <c r="P142" s="191" t="s">
        <v>516</v>
      </c>
      <c r="Q142" s="110"/>
      <c r="R142" s="282">
        <f t="shared" si="11"/>
        <v>0</v>
      </c>
      <c r="S142" s="110"/>
      <c r="T142" s="282">
        <f t="shared" si="12"/>
        <v>0</v>
      </c>
      <c r="U142" s="110"/>
      <c r="V142" s="282">
        <f t="shared" si="10"/>
        <v>0</v>
      </c>
      <c r="W142" s="110"/>
      <c r="X142" s="282">
        <f t="shared" si="16"/>
        <v>0</v>
      </c>
      <c r="Y142" s="110"/>
      <c r="Z142" s="282">
        <f t="shared" si="13"/>
        <v>0</v>
      </c>
      <c r="AA142" s="233">
        <f t="shared" si="14"/>
        <v>0</v>
      </c>
      <c r="AB142" s="234">
        <f t="shared" si="15"/>
        <v>0</v>
      </c>
      <c r="AC142" s="195"/>
      <c r="AD142" s="281"/>
    </row>
    <row r="143" spans="1:30" ht="18" customHeight="1">
      <c r="A143" s="107">
        <v>2020</v>
      </c>
      <c r="B143" s="108">
        <v>3</v>
      </c>
      <c r="C143" s="108"/>
      <c r="D143" s="102"/>
      <c r="E143" s="102"/>
      <c r="F143" s="102" t="s">
        <v>563</v>
      </c>
      <c r="G143" s="220" t="s">
        <v>23</v>
      </c>
      <c r="H143" s="99" t="s">
        <v>589</v>
      </c>
      <c r="I143" s="203" t="s">
        <v>643</v>
      </c>
      <c r="J143" s="203"/>
      <c r="K143" s="203" t="s">
        <v>639</v>
      </c>
      <c r="L143" s="203" t="s">
        <v>644</v>
      </c>
      <c r="M143" s="203" t="s">
        <v>643</v>
      </c>
      <c r="N143" s="203" t="s">
        <v>462</v>
      </c>
      <c r="O143" s="118">
        <f>485000*0.9</f>
        <v>436500</v>
      </c>
      <c r="P143" s="191" t="s">
        <v>516</v>
      </c>
      <c r="Q143" s="110"/>
      <c r="R143" s="282">
        <f t="shared" si="11"/>
        <v>0</v>
      </c>
      <c r="S143" s="110"/>
      <c r="T143" s="282">
        <f t="shared" si="12"/>
        <v>0</v>
      </c>
      <c r="U143" s="110"/>
      <c r="V143" s="282">
        <f t="shared" si="10"/>
        <v>0</v>
      </c>
      <c r="W143" s="110"/>
      <c r="X143" s="282">
        <f t="shared" si="16"/>
        <v>0</v>
      </c>
      <c r="Y143" s="110"/>
      <c r="Z143" s="282">
        <f t="shared" si="13"/>
        <v>0</v>
      </c>
      <c r="AA143" s="233">
        <f t="shared" si="14"/>
        <v>0</v>
      </c>
      <c r="AB143" s="234">
        <f t="shared" si="15"/>
        <v>0</v>
      </c>
      <c r="AC143" s="195"/>
      <c r="AD143" s="281"/>
    </row>
    <row r="144" spans="1:30" ht="18" customHeight="1">
      <c r="A144" s="107">
        <v>2020</v>
      </c>
      <c r="B144" s="108">
        <v>3</v>
      </c>
      <c r="C144" s="108"/>
      <c r="D144" s="102"/>
      <c r="E144" s="102"/>
      <c r="F144" s="102" t="s">
        <v>563</v>
      </c>
      <c r="G144" s="220" t="s">
        <v>23</v>
      </c>
      <c r="H144" s="99" t="s">
        <v>579</v>
      </c>
      <c r="I144" s="203" t="s">
        <v>643</v>
      </c>
      <c r="J144" s="203"/>
      <c r="K144" s="203" t="s">
        <v>640</v>
      </c>
      <c r="L144" s="203" t="s">
        <v>644</v>
      </c>
      <c r="M144" s="203" t="s">
        <v>643</v>
      </c>
      <c r="N144" s="203" t="s">
        <v>460</v>
      </c>
      <c r="O144" s="118">
        <f>299000*0.9</f>
        <v>269100</v>
      </c>
      <c r="P144" s="191" t="s">
        <v>516</v>
      </c>
      <c r="Q144" s="110"/>
      <c r="R144" s="282">
        <f t="shared" si="11"/>
        <v>0</v>
      </c>
      <c r="S144" s="110"/>
      <c r="T144" s="282">
        <f t="shared" si="12"/>
        <v>0</v>
      </c>
      <c r="U144" s="110"/>
      <c r="V144" s="282">
        <f t="shared" si="10"/>
        <v>0</v>
      </c>
      <c r="W144" s="110"/>
      <c r="X144" s="282">
        <f t="shared" si="16"/>
        <v>0</v>
      </c>
      <c r="Y144" s="110"/>
      <c r="Z144" s="282">
        <f t="shared" si="13"/>
        <v>0</v>
      </c>
      <c r="AA144" s="233">
        <f t="shared" si="14"/>
        <v>0</v>
      </c>
      <c r="AB144" s="234">
        <f t="shared" si="15"/>
        <v>0</v>
      </c>
      <c r="AC144" s="195"/>
      <c r="AD144" s="281"/>
    </row>
    <row r="145" spans="1:30" ht="18" customHeight="1">
      <c r="A145" s="107">
        <v>2020</v>
      </c>
      <c r="B145" s="108">
        <v>3</v>
      </c>
      <c r="C145" s="108"/>
      <c r="D145" s="102"/>
      <c r="E145" s="102"/>
      <c r="F145" s="102" t="s">
        <v>563</v>
      </c>
      <c r="G145" s="220" t="s">
        <v>23</v>
      </c>
      <c r="H145" s="99" t="s">
        <v>579</v>
      </c>
      <c r="I145" s="203" t="s">
        <v>643</v>
      </c>
      <c r="J145" s="203"/>
      <c r="K145" s="203" t="s">
        <v>641</v>
      </c>
      <c r="L145" s="203" t="s">
        <v>644</v>
      </c>
      <c r="M145" s="203" t="s">
        <v>643</v>
      </c>
      <c r="N145" s="203" t="s">
        <v>461</v>
      </c>
      <c r="O145" s="118">
        <f>385000*0.9</f>
        <v>346500</v>
      </c>
      <c r="P145" s="191" t="s">
        <v>516</v>
      </c>
      <c r="Q145" s="110"/>
      <c r="R145" s="282">
        <f t="shared" si="11"/>
        <v>0</v>
      </c>
      <c r="S145" s="110"/>
      <c r="T145" s="282">
        <f t="shared" si="12"/>
        <v>0</v>
      </c>
      <c r="U145" s="110"/>
      <c r="V145" s="282">
        <f t="shared" si="10"/>
        <v>0</v>
      </c>
      <c r="W145" s="110"/>
      <c r="X145" s="282">
        <f t="shared" si="16"/>
        <v>0</v>
      </c>
      <c r="Y145" s="110"/>
      <c r="Z145" s="282">
        <f t="shared" si="13"/>
        <v>0</v>
      </c>
      <c r="AA145" s="233">
        <f t="shared" si="14"/>
        <v>0</v>
      </c>
      <c r="AB145" s="234">
        <f t="shared" si="15"/>
        <v>0</v>
      </c>
      <c r="AC145" s="195"/>
      <c r="AD145" s="281"/>
    </row>
    <row r="146" spans="1:30" ht="18" customHeight="1">
      <c r="A146" s="107">
        <v>2020</v>
      </c>
      <c r="B146" s="108">
        <v>3</v>
      </c>
      <c r="C146" s="108"/>
      <c r="D146" s="102"/>
      <c r="E146" s="102"/>
      <c r="F146" s="102" t="s">
        <v>563</v>
      </c>
      <c r="G146" s="220" t="s">
        <v>23</v>
      </c>
      <c r="H146" s="99" t="s">
        <v>579</v>
      </c>
      <c r="I146" s="203" t="s">
        <v>643</v>
      </c>
      <c r="J146" s="203"/>
      <c r="K146" s="203" t="s">
        <v>642</v>
      </c>
      <c r="L146" s="203" t="s">
        <v>644</v>
      </c>
      <c r="M146" s="203" t="s">
        <v>643</v>
      </c>
      <c r="N146" s="203" t="s">
        <v>462</v>
      </c>
      <c r="O146" s="118">
        <f>465000*0.9</f>
        <v>418500</v>
      </c>
      <c r="P146" s="191" t="s">
        <v>516</v>
      </c>
      <c r="Q146" s="110"/>
      <c r="R146" s="282">
        <f t="shared" si="11"/>
        <v>0</v>
      </c>
      <c r="S146" s="110"/>
      <c r="T146" s="282">
        <f t="shared" si="12"/>
        <v>0</v>
      </c>
      <c r="U146" s="110"/>
      <c r="V146" s="282">
        <f t="shared" si="10"/>
        <v>0</v>
      </c>
      <c r="W146" s="110"/>
      <c r="X146" s="282">
        <f t="shared" si="16"/>
        <v>0</v>
      </c>
      <c r="Y146" s="110"/>
      <c r="Z146" s="282">
        <f t="shared" si="13"/>
        <v>0</v>
      </c>
      <c r="AA146" s="233">
        <f t="shared" si="14"/>
        <v>0</v>
      </c>
      <c r="AB146" s="234">
        <f t="shared" si="15"/>
        <v>0</v>
      </c>
      <c r="AC146" s="195"/>
      <c r="AD146" s="281"/>
    </row>
    <row r="147" spans="1:30" s="92" customFormat="1" ht="18" customHeight="1">
      <c r="A147" s="107">
        <v>2020</v>
      </c>
      <c r="B147" s="108">
        <v>3</v>
      </c>
      <c r="C147" s="108"/>
      <c r="D147" s="102"/>
      <c r="E147" s="102"/>
      <c r="F147" s="219" t="s">
        <v>563</v>
      </c>
      <c r="G147" s="220" t="s">
        <v>40</v>
      </c>
      <c r="H147" s="221" t="s">
        <v>581</v>
      </c>
      <c r="I147" s="114" t="s">
        <v>659</v>
      </c>
      <c r="J147" s="114"/>
      <c r="K147" s="126" t="s">
        <v>443</v>
      </c>
      <c r="L147" s="220"/>
      <c r="M147" s="114" t="s">
        <v>659</v>
      </c>
      <c r="N147" s="220"/>
      <c r="O147" s="222">
        <v>1354545.4545454544</v>
      </c>
      <c r="P147" s="184"/>
      <c r="Q147" s="224"/>
      <c r="R147" s="282">
        <f t="shared" si="11"/>
        <v>0</v>
      </c>
      <c r="S147" s="224"/>
      <c r="T147" s="282">
        <f t="shared" si="12"/>
        <v>0</v>
      </c>
      <c r="U147" s="224"/>
      <c r="V147" s="282">
        <f t="shared" si="10"/>
        <v>0</v>
      </c>
      <c r="W147" s="224"/>
      <c r="X147" s="282">
        <f t="shared" si="16"/>
        <v>0</v>
      </c>
      <c r="Y147" s="224"/>
      <c r="Z147" s="282">
        <f t="shared" si="13"/>
        <v>0</v>
      </c>
      <c r="AA147" s="233">
        <f t="shared" si="14"/>
        <v>0</v>
      </c>
      <c r="AB147" s="234">
        <f t="shared" si="15"/>
        <v>0</v>
      </c>
      <c r="AC147" s="225"/>
      <c r="AD147" s="226"/>
    </row>
    <row r="148" spans="1:30" s="92" customFormat="1" ht="18" customHeight="1">
      <c r="A148" s="107">
        <v>2020</v>
      </c>
      <c r="B148" s="108">
        <v>3</v>
      </c>
      <c r="C148" s="108"/>
      <c r="D148" s="102"/>
      <c r="E148" s="102"/>
      <c r="F148" s="219" t="s">
        <v>563</v>
      </c>
      <c r="G148" s="220" t="s">
        <v>40</v>
      </c>
      <c r="H148" s="221" t="s">
        <v>581</v>
      </c>
      <c r="I148" s="114" t="s">
        <v>658</v>
      </c>
      <c r="J148" s="114"/>
      <c r="K148" s="126" t="s">
        <v>444</v>
      </c>
      <c r="L148" s="220"/>
      <c r="M148" s="114" t="s">
        <v>658</v>
      </c>
      <c r="N148" s="220"/>
      <c r="O148" s="222">
        <v>2263636.3636363633</v>
      </c>
      <c r="P148" s="184"/>
      <c r="Q148" s="224"/>
      <c r="R148" s="282">
        <f t="shared" si="11"/>
        <v>0</v>
      </c>
      <c r="S148" s="224"/>
      <c r="T148" s="282">
        <f t="shared" si="12"/>
        <v>0</v>
      </c>
      <c r="U148" s="224"/>
      <c r="V148" s="282">
        <f t="shared" si="10"/>
        <v>0</v>
      </c>
      <c r="W148" s="224"/>
      <c r="X148" s="282">
        <f t="shared" si="16"/>
        <v>0</v>
      </c>
      <c r="Y148" s="224"/>
      <c r="Z148" s="282">
        <f t="shared" si="13"/>
        <v>0</v>
      </c>
      <c r="AA148" s="233">
        <f t="shared" si="14"/>
        <v>0</v>
      </c>
      <c r="AB148" s="234">
        <f t="shared" si="15"/>
        <v>0</v>
      </c>
      <c r="AC148" s="225"/>
      <c r="AD148" s="226"/>
    </row>
    <row r="149" spans="1:30" s="92" customFormat="1" ht="18" customHeight="1">
      <c r="A149" s="107">
        <v>2020</v>
      </c>
      <c r="B149" s="108">
        <v>3</v>
      </c>
      <c r="C149" s="108"/>
      <c r="D149" s="102"/>
      <c r="E149" s="102"/>
      <c r="F149" s="219" t="s">
        <v>563</v>
      </c>
      <c r="G149" s="220" t="s">
        <v>40</v>
      </c>
      <c r="H149" s="221" t="s">
        <v>581</v>
      </c>
      <c r="I149" s="114" t="s">
        <v>660</v>
      </c>
      <c r="J149" s="114"/>
      <c r="K149" s="126" t="s">
        <v>445</v>
      </c>
      <c r="L149" s="220"/>
      <c r="M149" s="114" t="s">
        <v>660</v>
      </c>
      <c r="N149" s="220"/>
      <c r="O149" s="222">
        <v>2718181.8181818179</v>
      </c>
      <c r="P149" s="184"/>
      <c r="Q149" s="224"/>
      <c r="R149" s="282">
        <f t="shared" si="11"/>
        <v>0</v>
      </c>
      <c r="S149" s="224"/>
      <c r="T149" s="282">
        <f t="shared" si="12"/>
        <v>0</v>
      </c>
      <c r="U149" s="224"/>
      <c r="V149" s="282">
        <f t="shared" si="10"/>
        <v>0</v>
      </c>
      <c r="W149" s="224"/>
      <c r="X149" s="282">
        <f t="shared" si="16"/>
        <v>0</v>
      </c>
      <c r="Y149" s="224"/>
      <c r="Z149" s="282">
        <f t="shared" si="13"/>
        <v>0</v>
      </c>
      <c r="AA149" s="233">
        <f t="shared" si="14"/>
        <v>0</v>
      </c>
      <c r="AB149" s="234">
        <f t="shared" si="15"/>
        <v>0</v>
      </c>
      <c r="AC149" s="225"/>
      <c r="AD149" s="226"/>
    </row>
    <row r="150" spans="1:30" s="92" customFormat="1" ht="18" customHeight="1">
      <c r="A150" s="107">
        <v>2020</v>
      </c>
      <c r="B150" s="108">
        <v>3</v>
      </c>
      <c r="C150" s="108"/>
      <c r="D150" s="102"/>
      <c r="E150" s="102"/>
      <c r="F150" s="219" t="s">
        <v>563</v>
      </c>
      <c r="G150" s="220" t="s">
        <v>40</v>
      </c>
      <c r="H150" s="221" t="s">
        <v>581</v>
      </c>
      <c r="I150" s="114" t="s">
        <v>660</v>
      </c>
      <c r="J150" s="114"/>
      <c r="K150" s="126" t="s">
        <v>446</v>
      </c>
      <c r="L150" s="220"/>
      <c r="M150" s="114" t="s">
        <v>660</v>
      </c>
      <c r="N150" s="220"/>
      <c r="O150" s="222">
        <v>3081818.1818181816</v>
      </c>
      <c r="P150" s="184"/>
      <c r="Q150" s="224"/>
      <c r="R150" s="282">
        <f t="shared" si="11"/>
        <v>0</v>
      </c>
      <c r="S150" s="224"/>
      <c r="T150" s="282">
        <f t="shared" si="12"/>
        <v>0</v>
      </c>
      <c r="U150" s="224"/>
      <c r="V150" s="282">
        <f t="shared" si="10"/>
        <v>0</v>
      </c>
      <c r="W150" s="224"/>
      <c r="X150" s="282">
        <f t="shared" si="16"/>
        <v>0</v>
      </c>
      <c r="Y150" s="224"/>
      <c r="Z150" s="282">
        <f t="shared" si="13"/>
        <v>0</v>
      </c>
      <c r="AA150" s="233">
        <f t="shared" si="14"/>
        <v>0</v>
      </c>
      <c r="AB150" s="234">
        <f t="shared" si="15"/>
        <v>0</v>
      </c>
      <c r="AC150" s="225"/>
      <c r="AD150" s="226"/>
    </row>
    <row r="151" spans="1:30" s="226" customFormat="1" ht="18" customHeight="1">
      <c r="A151" s="107">
        <v>2020</v>
      </c>
      <c r="B151" s="108">
        <v>3</v>
      </c>
      <c r="C151" s="108"/>
      <c r="D151" s="102"/>
      <c r="E151" s="102"/>
      <c r="F151" s="219" t="s">
        <v>563</v>
      </c>
      <c r="G151" s="220" t="s">
        <v>40</v>
      </c>
      <c r="H151" s="221" t="s">
        <v>584</v>
      </c>
      <c r="I151" s="114" t="s">
        <v>661</v>
      </c>
      <c r="J151" s="114"/>
      <c r="K151" s="126" t="s">
        <v>517</v>
      </c>
      <c r="L151" s="229" t="s">
        <v>663</v>
      </c>
      <c r="M151" s="114" t="s">
        <v>661</v>
      </c>
      <c r="N151" s="229"/>
      <c r="O151" s="222">
        <v>1253636.3636363635</v>
      </c>
      <c r="P151" s="223"/>
      <c r="Q151" s="224"/>
      <c r="R151" s="282">
        <f t="shared" si="11"/>
        <v>0</v>
      </c>
      <c r="S151" s="224"/>
      <c r="T151" s="282">
        <f t="shared" si="12"/>
        <v>0</v>
      </c>
      <c r="U151" s="224"/>
      <c r="V151" s="282">
        <f t="shared" si="10"/>
        <v>0</v>
      </c>
      <c r="W151" s="224"/>
      <c r="X151" s="282">
        <f t="shared" si="16"/>
        <v>0</v>
      </c>
      <c r="Y151" s="224"/>
      <c r="Z151" s="282">
        <f t="shared" si="13"/>
        <v>0</v>
      </c>
      <c r="AA151" s="233">
        <f t="shared" si="14"/>
        <v>0</v>
      </c>
      <c r="AB151" s="234">
        <f t="shared" si="15"/>
        <v>0</v>
      </c>
      <c r="AC151" s="225"/>
    </row>
    <row r="152" spans="1:30" s="226" customFormat="1" ht="18" customHeight="1">
      <c r="A152" s="107">
        <v>2020</v>
      </c>
      <c r="B152" s="108">
        <v>3</v>
      </c>
      <c r="C152" s="108"/>
      <c r="D152" s="102"/>
      <c r="E152" s="102"/>
      <c r="F152" s="219" t="s">
        <v>563</v>
      </c>
      <c r="G152" s="220" t="s">
        <v>40</v>
      </c>
      <c r="H152" s="221" t="s">
        <v>584</v>
      </c>
      <c r="I152" s="114" t="s">
        <v>662</v>
      </c>
      <c r="J152" s="114"/>
      <c r="K152" s="126" t="s">
        <v>529</v>
      </c>
      <c r="L152" s="229" t="s">
        <v>664</v>
      </c>
      <c r="M152" s="114" t="s">
        <v>662</v>
      </c>
      <c r="N152" s="229"/>
      <c r="O152" s="222">
        <v>908181.81818181812</v>
      </c>
      <c r="P152" s="223"/>
      <c r="Q152" s="224"/>
      <c r="R152" s="282">
        <f t="shared" si="11"/>
        <v>0</v>
      </c>
      <c r="S152" s="224"/>
      <c r="T152" s="282">
        <f t="shared" si="12"/>
        <v>0</v>
      </c>
      <c r="U152" s="224"/>
      <c r="V152" s="282">
        <f t="shared" si="10"/>
        <v>0</v>
      </c>
      <c r="W152" s="224"/>
      <c r="X152" s="282">
        <f t="shared" si="16"/>
        <v>0</v>
      </c>
      <c r="Y152" s="224"/>
      <c r="Z152" s="282">
        <f t="shared" si="13"/>
        <v>0</v>
      </c>
      <c r="AA152" s="233">
        <f t="shared" si="14"/>
        <v>0</v>
      </c>
      <c r="AB152" s="234">
        <f t="shared" si="15"/>
        <v>0</v>
      </c>
      <c r="AC152" s="225"/>
    </row>
    <row r="153" spans="1:30" s="95" customFormat="1" ht="18" customHeight="1">
      <c r="A153" s="107">
        <v>2020</v>
      </c>
      <c r="B153" s="108">
        <v>3</v>
      </c>
      <c r="C153" s="108"/>
      <c r="D153" s="102"/>
      <c r="E153" s="102"/>
      <c r="F153" s="102" t="s">
        <v>563</v>
      </c>
      <c r="G153" s="98" t="s">
        <v>40</v>
      </c>
      <c r="H153" s="99" t="s">
        <v>585</v>
      </c>
      <c r="I153" s="114" t="s">
        <v>647</v>
      </c>
      <c r="J153" s="114"/>
      <c r="K153" s="126" t="s">
        <v>645</v>
      </c>
      <c r="L153" s="101"/>
      <c r="M153" s="114" t="s">
        <v>647</v>
      </c>
      <c r="N153" s="101"/>
      <c r="O153" s="118">
        <f>1290000*0.9</f>
        <v>1161000</v>
      </c>
      <c r="P153" s="189"/>
      <c r="Q153" s="110"/>
      <c r="R153" s="282">
        <f t="shared" si="11"/>
        <v>0</v>
      </c>
      <c r="S153" s="110"/>
      <c r="T153" s="282">
        <f t="shared" si="12"/>
        <v>0</v>
      </c>
      <c r="U153" s="110"/>
      <c r="V153" s="282">
        <f t="shared" si="10"/>
        <v>0</v>
      </c>
      <c r="W153" s="110"/>
      <c r="X153" s="282">
        <f t="shared" si="16"/>
        <v>0</v>
      </c>
      <c r="Y153" s="110"/>
      <c r="Z153" s="282">
        <f t="shared" si="13"/>
        <v>0</v>
      </c>
      <c r="AA153" s="233">
        <f t="shared" si="14"/>
        <v>0</v>
      </c>
      <c r="AB153" s="234">
        <f t="shared" si="15"/>
        <v>0</v>
      </c>
      <c r="AC153" s="195"/>
    </row>
    <row r="154" spans="1:30" s="95" customFormat="1" ht="18" customHeight="1">
      <c r="A154" s="107">
        <v>2020</v>
      </c>
      <c r="B154" s="108">
        <v>3</v>
      </c>
      <c r="C154" s="108"/>
      <c r="D154" s="102"/>
      <c r="E154" s="102"/>
      <c r="F154" s="102" t="s">
        <v>563</v>
      </c>
      <c r="G154" s="98" t="s">
        <v>40</v>
      </c>
      <c r="H154" s="99" t="s">
        <v>585</v>
      </c>
      <c r="I154" s="114" t="s">
        <v>648</v>
      </c>
      <c r="J154" s="114"/>
      <c r="K154" s="126" t="s">
        <v>447</v>
      </c>
      <c r="L154" s="101"/>
      <c r="M154" s="114" t="s">
        <v>648</v>
      </c>
      <c r="N154" s="101"/>
      <c r="O154" s="118">
        <v>1026363.6363636362</v>
      </c>
      <c r="P154" s="189"/>
      <c r="Q154" s="110"/>
      <c r="R154" s="282">
        <f t="shared" si="11"/>
        <v>0</v>
      </c>
      <c r="S154" s="110"/>
      <c r="T154" s="282">
        <f t="shared" si="12"/>
        <v>0</v>
      </c>
      <c r="U154" s="110"/>
      <c r="V154" s="282">
        <f t="shared" si="10"/>
        <v>0</v>
      </c>
      <c r="W154" s="110"/>
      <c r="X154" s="282">
        <f t="shared" si="16"/>
        <v>0</v>
      </c>
      <c r="Y154" s="110"/>
      <c r="Z154" s="282">
        <f t="shared" si="13"/>
        <v>0</v>
      </c>
      <c r="AA154" s="233">
        <f t="shared" si="14"/>
        <v>0</v>
      </c>
      <c r="AB154" s="234">
        <f t="shared" si="15"/>
        <v>0</v>
      </c>
      <c r="AC154" s="195"/>
    </row>
    <row r="155" spans="1:30" s="95" customFormat="1" ht="18" customHeight="1">
      <c r="A155" s="107">
        <v>2020</v>
      </c>
      <c r="B155" s="108">
        <v>3</v>
      </c>
      <c r="C155" s="108"/>
      <c r="D155" s="102"/>
      <c r="E155" s="102"/>
      <c r="F155" s="102" t="s">
        <v>563</v>
      </c>
      <c r="G155" s="98" t="s">
        <v>40</v>
      </c>
      <c r="H155" s="99" t="s">
        <v>585</v>
      </c>
      <c r="I155" s="114" t="s">
        <v>646</v>
      </c>
      <c r="J155" s="114"/>
      <c r="K155" s="126" t="s">
        <v>528</v>
      </c>
      <c r="L155" s="101"/>
      <c r="M155" s="114" t="s">
        <v>646</v>
      </c>
      <c r="N155" s="101"/>
      <c r="O155" s="118">
        <v>1536363.6363636362</v>
      </c>
      <c r="P155" s="189"/>
      <c r="Q155" s="110"/>
      <c r="R155" s="282">
        <f t="shared" si="11"/>
        <v>0</v>
      </c>
      <c r="S155" s="110"/>
      <c r="T155" s="282">
        <f t="shared" si="12"/>
        <v>0</v>
      </c>
      <c r="U155" s="110"/>
      <c r="V155" s="282">
        <f t="shared" si="10"/>
        <v>0</v>
      </c>
      <c r="W155" s="110"/>
      <c r="X155" s="282">
        <f t="shared" si="16"/>
        <v>0</v>
      </c>
      <c r="Y155" s="110"/>
      <c r="Z155" s="282">
        <f t="shared" si="13"/>
        <v>0</v>
      </c>
      <c r="AA155" s="233">
        <f t="shared" si="14"/>
        <v>0</v>
      </c>
      <c r="AB155" s="234">
        <f t="shared" si="15"/>
        <v>0</v>
      </c>
      <c r="AC155" s="195"/>
    </row>
    <row r="156" spans="1:30" s="95" customFormat="1" ht="18" customHeight="1">
      <c r="A156" s="107">
        <v>2020</v>
      </c>
      <c r="B156" s="108">
        <v>3</v>
      </c>
      <c r="C156" s="108"/>
      <c r="D156" s="102"/>
      <c r="E156" s="102"/>
      <c r="F156" s="102" t="s">
        <v>563</v>
      </c>
      <c r="G156" s="98" t="s">
        <v>40</v>
      </c>
      <c r="H156" s="99" t="s">
        <v>585</v>
      </c>
      <c r="I156" s="114" t="s">
        <v>649</v>
      </c>
      <c r="J156" s="114"/>
      <c r="K156" s="126" t="s">
        <v>450</v>
      </c>
      <c r="L156" s="101"/>
      <c r="M156" s="114" t="s">
        <v>649</v>
      </c>
      <c r="N156" s="101"/>
      <c r="O156" s="118">
        <v>635454.54545454541</v>
      </c>
      <c r="P156" s="189"/>
      <c r="Q156" s="110"/>
      <c r="R156" s="282">
        <f t="shared" si="11"/>
        <v>0</v>
      </c>
      <c r="S156" s="110"/>
      <c r="T156" s="282">
        <f t="shared" si="12"/>
        <v>0</v>
      </c>
      <c r="U156" s="110"/>
      <c r="V156" s="282">
        <f t="shared" si="10"/>
        <v>0</v>
      </c>
      <c r="W156" s="110"/>
      <c r="X156" s="282">
        <f t="shared" si="16"/>
        <v>0</v>
      </c>
      <c r="Y156" s="110"/>
      <c r="Z156" s="282">
        <f t="shared" si="13"/>
        <v>0</v>
      </c>
      <c r="AA156" s="233">
        <f t="shared" si="14"/>
        <v>0</v>
      </c>
      <c r="AB156" s="234">
        <f t="shared" si="15"/>
        <v>0</v>
      </c>
      <c r="AC156" s="195"/>
    </row>
    <row r="157" spans="1:30" s="95" customFormat="1" ht="18" customHeight="1">
      <c r="A157" s="107">
        <v>2020</v>
      </c>
      <c r="B157" s="108">
        <v>3</v>
      </c>
      <c r="C157" s="108"/>
      <c r="D157" s="102"/>
      <c r="E157" s="102"/>
      <c r="F157" s="102" t="s">
        <v>563</v>
      </c>
      <c r="G157" s="98" t="s">
        <v>40</v>
      </c>
      <c r="H157" s="99" t="s">
        <v>590</v>
      </c>
      <c r="I157" s="114" t="s">
        <v>652</v>
      </c>
      <c r="J157" s="114"/>
      <c r="K157" s="126" t="s">
        <v>349</v>
      </c>
      <c r="L157" s="101"/>
      <c r="M157" s="114" t="s">
        <v>652</v>
      </c>
      <c r="N157" s="101"/>
      <c r="O157" s="118">
        <v>772727.27272727271</v>
      </c>
      <c r="P157" s="189"/>
      <c r="Q157" s="110"/>
      <c r="R157" s="282">
        <f t="shared" si="11"/>
        <v>0</v>
      </c>
      <c r="S157" s="110"/>
      <c r="T157" s="282">
        <f t="shared" si="12"/>
        <v>0</v>
      </c>
      <c r="U157" s="110"/>
      <c r="V157" s="282">
        <f t="shared" si="10"/>
        <v>0</v>
      </c>
      <c r="W157" s="110"/>
      <c r="X157" s="282">
        <f t="shared" si="16"/>
        <v>0</v>
      </c>
      <c r="Y157" s="110"/>
      <c r="Z157" s="282">
        <f t="shared" si="13"/>
        <v>0</v>
      </c>
      <c r="AA157" s="233">
        <f t="shared" si="14"/>
        <v>0</v>
      </c>
      <c r="AB157" s="234">
        <f t="shared" si="15"/>
        <v>0</v>
      </c>
      <c r="AC157" s="195"/>
    </row>
    <row r="158" spans="1:30" s="95" customFormat="1" ht="18" customHeight="1">
      <c r="A158" s="107">
        <v>2020</v>
      </c>
      <c r="B158" s="108">
        <v>3</v>
      </c>
      <c r="C158" s="108"/>
      <c r="D158" s="102"/>
      <c r="E158" s="102"/>
      <c r="F158" s="102" t="s">
        <v>563</v>
      </c>
      <c r="G158" s="98" t="s">
        <v>40</v>
      </c>
      <c r="H158" s="99" t="s">
        <v>590</v>
      </c>
      <c r="I158" s="114" t="s">
        <v>655</v>
      </c>
      <c r="J158" s="114"/>
      <c r="K158" s="126" t="s">
        <v>438</v>
      </c>
      <c r="L158" s="101"/>
      <c r="M158" s="114" t="s">
        <v>655</v>
      </c>
      <c r="N158" s="101"/>
      <c r="O158" s="118">
        <v>454545.45454545453</v>
      </c>
      <c r="P158" s="189"/>
      <c r="Q158" s="110"/>
      <c r="R158" s="282">
        <f t="shared" si="11"/>
        <v>0</v>
      </c>
      <c r="S158" s="110"/>
      <c r="T158" s="282">
        <f t="shared" si="12"/>
        <v>0</v>
      </c>
      <c r="U158" s="110"/>
      <c r="V158" s="282">
        <f t="shared" si="10"/>
        <v>0</v>
      </c>
      <c r="W158" s="110"/>
      <c r="X158" s="282">
        <f t="shared" si="16"/>
        <v>0</v>
      </c>
      <c r="Y158" s="110"/>
      <c r="Z158" s="282">
        <f t="shared" si="13"/>
        <v>0</v>
      </c>
      <c r="AA158" s="233">
        <f t="shared" si="14"/>
        <v>0</v>
      </c>
      <c r="AB158" s="234">
        <f t="shared" si="15"/>
        <v>0</v>
      </c>
      <c r="AC158" s="195"/>
    </row>
    <row r="159" spans="1:30" s="95" customFormat="1" ht="18" customHeight="1">
      <c r="A159" s="107">
        <v>2020</v>
      </c>
      <c r="B159" s="108">
        <v>3</v>
      </c>
      <c r="C159" s="108"/>
      <c r="D159" s="102"/>
      <c r="E159" s="102"/>
      <c r="F159" s="102" t="s">
        <v>563</v>
      </c>
      <c r="G159" s="98" t="s">
        <v>40</v>
      </c>
      <c r="H159" s="99" t="s">
        <v>590</v>
      </c>
      <c r="I159" s="114" t="s">
        <v>651</v>
      </c>
      <c r="J159" s="114"/>
      <c r="K159" s="218" t="s">
        <v>439</v>
      </c>
      <c r="L159" s="101"/>
      <c r="M159" s="114" t="s">
        <v>651</v>
      </c>
      <c r="N159" s="101"/>
      <c r="O159" s="118">
        <v>1318181.8181818181</v>
      </c>
      <c r="P159" s="189"/>
      <c r="Q159" s="110"/>
      <c r="R159" s="282">
        <f t="shared" si="11"/>
        <v>0</v>
      </c>
      <c r="S159" s="110"/>
      <c r="T159" s="282">
        <f t="shared" si="12"/>
        <v>0</v>
      </c>
      <c r="U159" s="110"/>
      <c r="V159" s="282">
        <f t="shared" si="10"/>
        <v>0</v>
      </c>
      <c r="W159" s="110"/>
      <c r="X159" s="282">
        <f t="shared" si="16"/>
        <v>0</v>
      </c>
      <c r="Y159" s="110"/>
      <c r="Z159" s="282">
        <f t="shared" si="13"/>
        <v>0</v>
      </c>
      <c r="AA159" s="233">
        <f t="shared" si="14"/>
        <v>0</v>
      </c>
      <c r="AB159" s="234">
        <f t="shared" si="15"/>
        <v>0</v>
      </c>
      <c r="AC159" s="195"/>
    </row>
    <row r="160" spans="1:30" s="95" customFormat="1" ht="18" customHeight="1">
      <c r="A160" s="107">
        <v>2020</v>
      </c>
      <c r="B160" s="108">
        <v>3</v>
      </c>
      <c r="C160" s="108"/>
      <c r="D160" s="102"/>
      <c r="E160" s="102"/>
      <c r="F160" s="102" t="s">
        <v>563</v>
      </c>
      <c r="G160" s="98" t="s">
        <v>40</v>
      </c>
      <c r="H160" s="99" t="s">
        <v>590</v>
      </c>
      <c r="I160" s="114" t="s">
        <v>654</v>
      </c>
      <c r="J160" s="114"/>
      <c r="K160" s="126" t="s">
        <v>565</v>
      </c>
      <c r="L160" s="101"/>
      <c r="M160" s="114" t="s">
        <v>654</v>
      </c>
      <c r="N160" s="101"/>
      <c r="O160" s="118">
        <v>627272.72727272718</v>
      </c>
      <c r="P160" s="189"/>
      <c r="Q160" s="110"/>
      <c r="R160" s="282">
        <f t="shared" si="11"/>
        <v>0</v>
      </c>
      <c r="S160" s="110"/>
      <c r="T160" s="282">
        <f t="shared" si="12"/>
        <v>0</v>
      </c>
      <c r="U160" s="110"/>
      <c r="V160" s="282">
        <f t="shared" si="10"/>
        <v>0</v>
      </c>
      <c r="W160" s="110"/>
      <c r="X160" s="282">
        <f t="shared" si="16"/>
        <v>0</v>
      </c>
      <c r="Y160" s="110"/>
      <c r="Z160" s="282">
        <f t="shared" si="13"/>
        <v>0</v>
      </c>
      <c r="AA160" s="233">
        <f t="shared" si="14"/>
        <v>0</v>
      </c>
      <c r="AB160" s="234">
        <f t="shared" si="15"/>
        <v>0</v>
      </c>
      <c r="AC160" s="195"/>
    </row>
    <row r="161" spans="1:29" s="95" customFormat="1" ht="18" customHeight="1">
      <c r="A161" s="107">
        <v>2020</v>
      </c>
      <c r="B161" s="108">
        <v>3</v>
      </c>
      <c r="C161" s="108"/>
      <c r="D161" s="102"/>
      <c r="E161" s="102"/>
      <c r="F161" s="102" t="s">
        <v>563</v>
      </c>
      <c r="G161" s="98" t="s">
        <v>40</v>
      </c>
      <c r="H161" s="99" t="s">
        <v>590</v>
      </c>
      <c r="I161" s="114" t="s">
        <v>651</v>
      </c>
      <c r="J161" s="114"/>
      <c r="K161" s="126" t="s">
        <v>440</v>
      </c>
      <c r="L161" s="101"/>
      <c r="M161" s="114" t="s">
        <v>651</v>
      </c>
      <c r="N161" s="101"/>
      <c r="O161" s="118">
        <v>1427272.7272727271</v>
      </c>
      <c r="P161" s="189"/>
      <c r="Q161" s="110"/>
      <c r="R161" s="282">
        <f t="shared" si="11"/>
        <v>0</v>
      </c>
      <c r="S161" s="110"/>
      <c r="T161" s="282">
        <f t="shared" si="12"/>
        <v>0</v>
      </c>
      <c r="U161" s="110"/>
      <c r="V161" s="282">
        <f t="shared" si="10"/>
        <v>0</v>
      </c>
      <c r="W161" s="110"/>
      <c r="X161" s="282">
        <f t="shared" si="16"/>
        <v>0</v>
      </c>
      <c r="Y161" s="110"/>
      <c r="Z161" s="282">
        <f t="shared" si="13"/>
        <v>0</v>
      </c>
      <c r="AA161" s="233">
        <f t="shared" si="14"/>
        <v>0</v>
      </c>
      <c r="AB161" s="234">
        <f t="shared" si="15"/>
        <v>0</v>
      </c>
      <c r="AC161" s="195"/>
    </row>
    <row r="162" spans="1:29" s="95" customFormat="1" ht="18" customHeight="1">
      <c r="A162" s="107">
        <v>2020</v>
      </c>
      <c r="B162" s="108">
        <v>3</v>
      </c>
      <c r="C162" s="108"/>
      <c r="D162" s="102"/>
      <c r="E162" s="102"/>
      <c r="F162" s="102" t="s">
        <v>563</v>
      </c>
      <c r="G162" s="98" t="s">
        <v>40</v>
      </c>
      <c r="H162" s="99" t="s">
        <v>590</v>
      </c>
      <c r="I162" s="114" t="s">
        <v>650</v>
      </c>
      <c r="J162" s="114"/>
      <c r="K162" s="126" t="s">
        <v>441</v>
      </c>
      <c r="L162" s="101"/>
      <c r="M162" s="114" t="s">
        <v>650</v>
      </c>
      <c r="N162" s="101"/>
      <c r="O162" s="118">
        <v>1999999.9999999998</v>
      </c>
      <c r="P162" s="189"/>
      <c r="Q162" s="110"/>
      <c r="R162" s="282">
        <f t="shared" si="11"/>
        <v>0</v>
      </c>
      <c r="S162" s="110"/>
      <c r="T162" s="282">
        <f t="shared" si="12"/>
        <v>0</v>
      </c>
      <c r="U162" s="110"/>
      <c r="V162" s="282">
        <f t="shared" si="10"/>
        <v>0</v>
      </c>
      <c r="W162" s="110"/>
      <c r="X162" s="282">
        <f t="shared" si="16"/>
        <v>0</v>
      </c>
      <c r="Y162" s="110"/>
      <c r="Z162" s="282">
        <f t="shared" si="13"/>
        <v>0</v>
      </c>
      <c r="AA162" s="233">
        <f t="shared" si="14"/>
        <v>0</v>
      </c>
      <c r="AB162" s="234">
        <f t="shared" si="15"/>
        <v>0</v>
      </c>
      <c r="AC162" s="195"/>
    </row>
    <row r="163" spans="1:29" s="95" customFormat="1" ht="18" customHeight="1">
      <c r="A163" s="107">
        <v>2020</v>
      </c>
      <c r="B163" s="108">
        <v>3</v>
      </c>
      <c r="C163" s="108"/>
      <c r="D163" s="102"/>
      <c r="E163" s="102"/>
      <c r="F163" s="102" t="s">
        <v>563</v>
      </c>
      <c r="G163" s="98" t="s">
        <v>40</v>
      </c>
      <c r="H163" s="99" t="s">
        <v>703</v>
      </c>
      <c r="I163" s="114"/>
      <c r="J163" s="114"/>
      <c r="K163" s="126" t="s">
        <v>701</v>
      </c>
      <c r="L163" s="101" t="s">
        <v>704</v>
      </c>
      <c r="M163" s="114"/>
      <c r="N163" s="110"/>
      <c r="O163" s="118">
        <f>999000*0.9</f>
        <v>899100</v>
      </c>
      <c r="P163" s="189" t="s">
        <v>516</v>
      </c>
      <c r="Q163" s="110"/>
      <c r="R163" s="282">
        <f t="shared" si="11"/>
        <v>0</v>
      </c>
      <c r="S163" s="110"/>
      <c r="T163" s="282">
        <f t="shared" si="12"/>
        <v>0</v>
      </c>
      <c r="U163" s="110"/>
      <c r="V163" s="282">
        <f t="shared" si="10"/>
        <v>0</v>
      </c>
      <c r="W163" s="110"/>
      <c r="X163" s="282">
        <f t="shared" si="16"/>
        <v>0</v>
      </c>
      <c r="Y163" s="110"/>
      <c r="Z163" s="282">
        <f t="shared" si="13"/>
        <v>0</v>
      </c>
      <c r="AA163" s="233"/>
      <c r="AB163" s="234"/>
      <c r="AC163" s="195"/>
    </row>
    <row r="164" spans="1:29" s="95" customFormat="1" ht="18" customHeight="1">
      <c r="A164" s="107">
        <v>2020</v>
      </c>
      <c r="B164" s="108">
        <v>3</v>
      </c>
      <c r="C164" s="108"/>
      <c r="D164" s="102"/>
      <c r="E164" s="102"/>
      <c r="F164" s="102" t="s">
        <v>563</v>
      </c>
      <c r="G164" s="98" t="s">
        <v>40</v>
      </c>
      <c r="H164" s="99" t="s">
        <v>703</v>
      </c>
      <c r="I164" s="114"/>
      <c r="J164" s="114"/>
      <c r="K164" s="126" t="s">
        <v>702</v>
      </c>
      <c r="L164" s="101" t="s">
        <v>704</v>
      </c>
      <c r="M164" s="114"/>
      <c r="N164" s="110"/>
      <c r="O164" s="118">
        <f>1270000*0.9</f>
        <v>1143000</v>
      </c>
      <c r="P164" s="189" t="s">
        <v>516</v>
      </c>
      <c r="Q164" s="110"/>
      <c r="R164" s="282">
        <f t="shared" si="11"/>
        <v>0</v>
      </c>
      <c r="S164" s="110"/>
      <c r="T164" s="282">
        <f t="shared" si="12"/>
        <v>0</v>
      </c>
      <c r="U164" s="110"/>
      <c r="V164" s="282">
        <f t="shared" si="10"/>
        <v>0</v>
      </c>
      <c r="W164" s="110"/>
      <c r="X164" s="282">
        <f t="shared" si="16"/>
        <v>0</v>
      </c>
      <c r="Y164" s="110"/>
      <c r="Z164" s="282">
        <f t="shared" si="13"/>
        <v>0</v>
      </c>
      <c r="AA164" s="233"/>
      <c r="AB164" s="234"/>
      <c r="AC164" s="195"/>
    </row>
    <row r="165" spans="1:29" s="95" customFormat="1" ht="18" customHeight="1">
      <c r="A165" s="107">
        <v>2020</v>
      </c>
      <c r="B165" s="108">
        <v>3</v>
      </c>
      <c r="C165" s="108"/>
      <c r="D165" s="112"/>
      <c r="E165" s="112"/>
      <c r="F165" s="112" t="s">
        <v>564</v>
      </c>
      <c r="G165" s="98" t="s">
        <v>418</v>
      </c>
      <c r="H165" s="121" t="s">
        <v>592</v>
      </c>
      <c r="I165" s="113"/>
      <c r="J165" s="113"/>
      <c r="K165" s="251" t="s">
        <v>285</v>
      </c>
      <c r="L165" s="101" t="s">
        <v>286</v>
      </c>
      <c r="M165" s="113"/>
      <c r="N165" s="110"/>
      <c r="O165" s="118">
        <f>432000*0.9</f>
        <v>388800</v>
      </c>
      <c r="P165" s="192" t="s">
        <v>683</v>
      </c>
      <c r="Q165" s="110"/>
      <c r="R165" s="282">
        <f t="shared" si="11"/>
        <v>0</v>
      </c>
      <c r="S165" s="110"/>
      <c r="T165" s="282">
        <f t="shared" si="12"/>
        <v>0</v>
      </c>
      <c r="U165" s="110"/>
      <c r="V165" s="282">
        <f t="shared" ref="V165:V196" si="17">U165*$O165</f>
        <v>0</v>
      </c>
      <c r="W165" s="110"/>
      <c r="X165" s="282">
        <f t="shared" si="16"/>
        <v>0</v>
      </c>
      <c r="Y165" s="110"/>
      <c r="Z165" s="282">
        <f t="shared" si="13"/>
        <v>0</v>
      </c>
      <c r="AA165" s="233">
        <f t="shared" si="14"/>
        <v>0</v>
      </c>
      <c r="AB165" s="234">
        <f t="shared" si="15"/>
        <v>0</v>
      </c>
      <c r="AC165" s="195"/>
    </row>
    <row r="166" spans="1:29" s="95" customFormat="1" ht="18" customHeight="1">
      <c r="A166" s="107">
        <v>2020</v>
      </c>
      <c r="B166" s="108">
        <v>3</v>
      </c>
      <c r="C166" s="108"/>
      <c r="D166" s="102"/>
      <c r="E166" s="102"/>
      <c r="F166" s="102" t="s">
        <v>564</v>
      </c>
      <c r="G166" s="98" t="s">
        <v>418</v>
      </c>
      <c r="H166" s="121" t="s">
        <v>592</v>
      </c>
      <c r="I166" s="103" t="s">
        <v>671</v>
      </c>
      <c r="J166" s="103"/>
      <c r="K166" s="129" t="s">
        <v>287</v>
      </c>
      <c r="L166" s="101" t="s">
        <v>286</v>
      </c>
      <c r="M166" s="103" t="s">
        <v>671</v>
      </c>
      <c r="N166" s="110"/>
      <c r="O166" s="118">
        <f>482000*0.9</f>
        <v>433800</v>
      </c>
      <c r="P166" s="193" t="s">
        <v>687</v>
      </c>
      <c r="Q166" s="110"/>
      <c r="R166" s="282">
        <f t="shared" ref="R166:R196" si="18">Q166*$O166</f>
        <v>0</v>
      </c>
      <c r="S166" s="110"/>
      <c r="T166" s="282">
        <f t="shared" ref="T166:T196" si="19">S166*$O166</f>
        <v>0</v>
      </c>
      <c r="U166" s="110"/>
      <c r="V166" s="282">
        <f t="shared" si="17"/>
        <v>0</v>
      </c>
      <c r="W166" s="110"/>
      <c r="X166" s="282">
        <f t="shared" si="16"/>
        <v>0</v>
      </c>
      <c r="Y166" s="110"/>
      <c r="Z166" s="282">
        <f t="shared" si="13"/>
        <v>0</v>
      </c>
      <c r="AA166" s="233">
        <f t="shared" si="14"/>
        <v>0</v>
      </c>
      <c r="AB166" s="234">
        <f t="shared" si="15"/>
        <v>0</v>
      </c>
      <c r="AC166" s="195"/>
    </row>
    <row r="167" spans="1:29" s="95" customFormat="1" ht="18" customHeight="1">
      <c r="A167" s="107">
        <v>2020</v>
      </c>
      <c r="B167" s="108">
        <v>3</v>
      </c>
      <c r="C167" s="108"/>
      <c r="D167" s="102"/>
      <c r="E167" s="102"/>
      <c r="F167" s="102" t="s">
        <v>564</v>
      </c>
      <c r="G167" s="98" t="s">
        <v>418</v>
      </c>
      <c r="H167" s="121" t="s">
        <v>593</v>
      </c>
      <c r="I167" s="103"/>
      <c r="J167" s="103"/>
      <c r="K167" s="258" t="s">
        <v>291</v>
      </c>
      <c r="L167" s="101" t="s">
        <v>292</v>
      </c>
      <c r="M167" s="103"/>
      <c r="N167" s="110"/>
      <c r="O167" s="118">
        <f>484000*0.9</f>
        <v>435600</v>
      </c>
      <c r="P167" s="192" t="s">
        <v>683</v>
      </c>
      <c r="Q167" s="110"/>
      <c r="R167" s="282">
        <f t="shared" si="18"/>
        <v>0</v>
      </c>
      <c r="S167" s="110"/>
      <c r="T167" s="282">
        <f t="shared" si="19"/>
        <v>0</v>
      </c>
      <c r="U167" s="110"/>
      <c r="V167" s="282">
        <f t="shared" si="17"/>
        <v>0</v>
      </c>
      <c r="W167" s="110"/>
      <c r="X167" s="282">
        <f t="shared" si="16"/>
        <v>0</v>
      </c>
      <c r="Y167" s="110"/>
      <c r="Z167" s="282">
        <f t="shared" si="13"/>
        <v>0</v>
      </c>
      <c r="AA167" s="233">
        <f t="shared" si="14"/>
        <v>0</v>
      </c>
      <c r="AB167" s="234">
        <f t="shared" si="15"/>
        <v>0</v>
      </c>
      <c r="AC167" s="195"/>
    </row>
    <row r="168" spans="1:29" s="95" customFormat="1" ht="18" customHeight="1">
      <c r="A168" s="107">
        <v>2020</v>
      </c>
      <c r="B168" s="108">
        <v>3</v>
      </c>
      <c r="C168" s="108"/>
      <c r="D168" s="102"/>
      <c r="E168" s="102"/>
      <c r="F168" s="102" t="s">
        <v>564</v>
      </c>
      <c r="G168" s="98" t="s">
        <v>418</v>
      </c>
      <c r="H168" s="121" t="s">
        <v>593</v>
      </c>
      <c r="I168" s="114" t="s">
        <v>670</v>
      </c>
      <c r="J168" s="114"/>
      <c r="K168" s="126" t="s">
        <v>293</v>
      </c>
      <c r="L168" s="101" t="s">
        <v>669</v>
      </c>
      <c r="M168" s="114" t="s">
        <v>670</v>
      </c>
      <c r="N168" s="110"/>
      <c r="O168" s="118">
        <f>516000*0.9</f>
        <v>464400</v>
      </c>
      <c r="P168" s="193" t="s">
        <v>687</v>
      </c>
      <c r="Q168" s="110"/>
      <c r="R168" s="282">
        <f t="shared" si="18"/>
        <v>0</v>
      </c>
      <c r="S168" s="110"/>
      <c r="T168" s="282">
        <f t="shared" si="19"/>
        <v>0</v>
      </c>
      <c r="U168" s="110"/>
      <c r="V168" s="282">
        <f t="shared" si="17"/>
        <v>0</v>
      </c>
      <c r="W168" s="110"/>
      <c r="X168" s="282">
        <f t="shared" si="16"/>
        <v>0</v>
      </c>
      <c r="Y168" s="110"/>
      <c r="Z168" s="282">
        <f t="shared" si="13"/>
        <v>0</v>
      </c>
      <c r="AA168" s="233">
        <f t="shared" si="14"/>
        <v>0</v>
      </c>
      <c r="AB168" s="234">
        <f t="shared" si="15"/>
        <v>0</v>
      </c>
      <c r="AC168" s="195"/>
    </row>
    <row r="169" spans="1:29" s="95" customFormat="1" ht="18" customHeight="1">
      <c r="A169" s="107">
        <v>2020</v>
      </c>
      <c r="B169" s="108">
        <v>3</v>
      </c>
      <c r="C169" s="108"/>
      <c r="D169" s="102"/>
      <c r="E169" s="102"/>
      <c r="F169" s="102" t="s">
        <v>564</v>
      </c>
      <c r="G169" s="98" t="s">
        <v>418</v>
      </c>
      <c r="H169" s="121" t="s">
        <v>593</v>
      </c>
      <c r="I169" s="114"/>
      <c r="J169" s="114"/>
      <c r="K169" s="258" t="s">
        <v>296</v>
      </c>
      <c r="L169" s="101" t="s">
        <v>297</v>
      </c>
      <c r="M169" s="114"/>
      <c r="N169" s="101"/>
      <c r="O169" s="118">
        <f>538000*0.9</f>
        <v>484200</v>
      </c>
      <c r="P169" s="192" t="s">
        <v>683</v>
      </c>
      <c r="Q169" s="110"/>
      <c r="R169" s="282">
        <f t="shared" si="18"/>
        <v>0</v>
      </c>
      <c r="S169" s="110"/>
      <c r="T169" s="282">
        <f t="shared" si="19"/>
        <v>0</v>
      </c>
      <c r="U169" s="110"/>
      <c r="V169" s="282">
        <f t="shared" si="17"/>
        <v>0</v>
      </c>
      <c r="W169" s="110"/>
      <c r="X169" s="282">
        <f t="shared" si="16"/>
        <v>0</v>
      </c>
      <c r="Y169" s="110"/>
      <c r="Z169" s="282">
        <f t="shared" si="13"/>
        <v>0</v>
      </c>
      <c r="AA169" s="233">
        <f t="shared" si="14"/>
        <v>0</v>
      </c>
      <c r="AB169" s="234">
        <f t="shared" si="15"/>
        <v>0</v>
      </c>
      <c r="AC169" s="195"/>
    </row>
    <row r="170" spans="1:29" s="95" customFormat="1" ht="18" customHeight="1">
      <c r="A170" s="107">
        <v>2020</v>
      </c>
      <c r="B170" s="108">
        <v>3</v>
      </c>
      <c r="C170" s="108"/>
      <c r="D170" s="102"/>
      <c r="E170" s="102"/>
      <c r="F170" s="102" t="s">
        <v>564</v>
      </c>
      <c r="G170" s="98" t="s">
        <v>418</v>
      </c>
      <c r="H170" s="121" t="s">
        <v>593</v>
      </c>
      <c r="I170" s="114" t="s">
        <v>666</v>
      </c>
      <c r="J170" s="114"/>
      <c r="K170" s="126" t="s">
        <v>298</v>
      </c>
      <c r="L170" s="101" t="s">
        <v>665</v>
      </c>
      <c r="M170" s="114" t="s">
        <v>666</v>
      </c>
      <c r="N170" s="101"/>
      <c r="O170" s="118">
        <f>568000*0.9</f>
        <v>511200</v>
      </c>
      <c r="P170" s="193" t="s">
        <v>687</v>
      </c>
      <c r="Q170" s="110"/>
      <c r="R170" s="282">
        <f t="shared" si="18"/>
        <v>0</v>
      </c>
      <c r="S170" s="110"/>
      <c r="T170" s="282">
        <f t="shared" si="19"/>
        <v>0</v>
      </c>
      <c r="U170" s="110"/>
      <c r="V170" s="282">
        <f t="shared" si="17"/>
        <v>0</v>
      </c>
      <c r="W170" s="110"/>
      <c r="X170" s="282">
        <f t="shared" si="16"/>
        <v>0</v>
      </c>
      <c r="Y170" s="110"/>
      <c r="Z170" s="282">
        <f t="shared" si="13"/>
        <v>0</v>
      </c>
      <c r="AA170" s="233">
        <f t="shared" si="14"/>
        <v>0</v>
      </c>
      <c r="AB170" s="234">
        <f t="shared" si="15"/>
        <v>0</v>
      </c>
      <c r="AC170" s="195"/>
    </row>
    <row r="171" spans="1:29" s="95" customFormat="1" ht="18" customHeight="1">
      <c r="A171" s="107">
        <v>2020</v>
      </c>
      <c r="B171" s="108">
        <v>3</v>
      </c>
      <c r="C171" s="108"/>
      <c r="D171" s="102"/>
      <c r="E171" s="102"/>
      <c r="F171" s="102" t="s">
        <v>564</v>
      </c>
      <c r="G171" s="98" t="s">
        <v>418</v>
      </c>
      <c r="H171" s="121" t="s">
        <v>593</v>
      </c>
      <c r="I171" s="114" t="s">
        <v>667</v>
      </c>
      <c r="J171" s="114"/>
      <c r="K171" s="126" t="s">
        <v>486</v>
      </c>
      <c r="L171" s="101" t="s">
        <v>294</v>
      </c>
      <c r="M171" s="114" t="s">
        <v>667</v>
      </c>
      <c r="N171" s="101"/>
      <c r="O171" s="118">
        <f>725000*0.9</f>
        <v>652500</v>
      </c>
      <c r="P171" s="193" t="s">
        <v>687</v>
      </c>
      <c r="Q171" s="110"/>
      <c r="R171" s="282">
        <f t="shared" si="18"/>
        <v>0</v>
      </c>
      <c r="S171" s="110"/>
      <c r="T171" s="282">
        <f t="shared" si="19"/>
        <v>0</v>
      </c>
      <c r="U171" s="110"/>
      <c r="V171" s="282">
        <f t="shared" si="17"/>
        <v>0</v>
      </c>
      <c r="W171" s="110"/>
      <c r="X171" s="282">
        <f t="shared" si="16"/>
        <v>0</v>
      </c>
      <c r="Y171" s="110"/>
      <c r="Z171" s="282">
        <f t="shared" si="13"/>
        <v>0</v>
      </c>
      <c r="AA171" s="233">
        <f t="shared" si="14"/>
        <v>0</v>
      </c>
      <c r="AB171" s="234">
        <f t="shared" si="15"/>
        <v>0</v>
      </c>
      <c r="AC171" s="195"/>
    </row>
    <row r="172" spans="1:29" s="95" customFormat="1" ht="18" customHeight="1">
      <c r="A172" s="107">
        <v>2020</v>
      </c>
      <c r="B172" s="108">
        <v>3</v>
      </c>
      <c r="C172" s="108"/>
      <c r="D172" s="102"/>
      <c r="E172" s="102"/>
      <c r="F172" s="102" t="s">
        <v>564</v>
      </c>
      <c r="G172" s="98" t="s">
        <v>418</v>
      </c>
      <c r="H172" s="121" t="s">
        <v>593</v>
      </c>
      <c r="I172" s="114" t="s">
        <v>668</v>
      </c>
      <c r="J172" s="114"/>
      <c r="K172" s="126" t="s">
        <v>485</v>
      </c>
      <c r="L172" s="101" t="s">
        <v>294</v>
      </c>
      <c r="M172" s="114" t="s">
        <v>668</v>
      </c>
      <c r="N172" s="101"/>
      <c r="O172" s="118">
        <f>850000*0.9</f>
        <v>765000</v>
      </c>
      <c r="P172" s="193" t="s">
        <v>687</v>
      </c>
      <c r="Q172" s="110"/>
      <c r="R172" s="282">
        <f t="shared" si="18"/>
        <v>0</v>
      </c>
      <c r="S172" s="110"/>
      <c r="T172" s="282">
        <f t="shared" si="19"/>
        <v>0</v>
      </c>
      <c r="U172" s="110"/>
      <c r="V172" s="282">
        <f t="shared" si="17"/>
        <v>0</v>
      </c>
      <c r="W172" s="110"/>
      <c r="X172" s="282">
        <f t="shared" si="16"/>
        <v>0</v>
      </c>
      <c r="Y172" s="110"/>
      <c r="Z172" s="282">
        <f t="shared" si="13"/>
        <v>0</v>
      </c>
      <c r="AA172" s="233">
        <f t="shared" si="14"/>
        <v>0</v>
      </c>
      <c r="AB172" s="234">
        <f t="shared" si="15"/>
        <v>0</v>
      </c>
      <c r="AC172" s="195"/>
    </row>
    <row r="173" spans="1:29" s="95" customFormat="1" ht="18" customHeight="1">
      <c r="A173" s="107">
        <v>2020</v>
      </c>
      <c r="B173" s="108">
        <v>3</v>
      </c>
      <c r="C173" s="108"/>
      <c r="D173" s="102"/>
      <c r="E173" s="102"/>
      <c r="F173" s="102" t="s">
        <v>564</v>
      </c>
      <c r="G173" s="98" t="s">
        <v>418</v>
      </c>
      <c r="H173" s="121" t="s">
        <v>594</v>
      </c>
      <c r="I173" s="114" t="s">
        <v>674</v>
      </c>
      <c r="J173" s="114"/>
      <c r="K173" s="126" t="s">
        <v>518</v>
      </c>
      <c r="L173" s="101" t="s">
        <v>675</v>
      </c>
      <c r="M173" s="114" t="s">
        <v>674</v>
      </c>
      <c r="N173" s="101"/>
      <c r="O173" s="118">
        <f>550000*0.9</f>
        <v>495000</v>
      </c>
      <c r="P173" s="184" t="s">
        <v>686</v>
      </c>
      <c r="Q173" s="110"/>
      <c r="R173" s="282">
        <f t="shared" si="18"/>
        <v>0</v>
      </c>
      <c r="S173" s="110"/>
      <c r="T173" s="282">
        <f t="shared" si="19"/>
        <v>0</v>
      </c>
      <c r="U173" s="110"/>
      <c r="V173" s="282">
        <f t="shared" si="17"/>
        <v>0</v>
      </c>
      <c r="W173" s="110"/>
      <c r="X173" s="282">
        <f t="shared" si="16"/>
        <v>0</v>
      </c>
      <c r="Y173" s="110"/>
      <c r="Z173" s="282">
        <f t="shared" si="13"/>
        <v>0</v>
      </c>
      <c r="AA173" s="233">
        <f t="shared" si="14"/>
        <v>0</v>
      </c>
      <c r="AB173" s="234">
        <f t="shared" si="15"/>
        <v>0</v>
      </c>
      <c r="AC173" s="195"/>
    </row>
    <row r="174" spans="1:29" s="95" customFormat="1" ht="18" customHeight="1">
      <c r="A174" s="107">
        <v>2020</v>
      </c>
      <c r="B174" s="108">
        <v>3</v>
      </c>
      <c r="C174" s="108"/>
      <c r="D174" s="102"/>
      <c r="E174" s="102"/>
      <c r="F174" s="102" t="s">
        <v>564</v>
      </c>
      <c r="G174" s="98" t="s">
        <v>418</v>
      </c>
      <c r="H174" s="121" t="s">
        <v>594</v>
      </c>
      <c r="I174" s="103"/>
      <c r="J174" s="103"/>
      <c r="K174" s="258" t="s">
        <v>519</v>
      </c>
      <c r="L174" s="101" t="s">
        <v>292</v>
      </c>
      <c r="M174" s="103"/>
      <c r="N174" s="101"/>
      <c r="O174" s="118">
        <f>700000*0.9</f>
        <v>630000</v>
      </c>
      <c r="P174" s="192" t="s">
        <v>683</v>
      </c>
      <c r="Q174" s="110"/>
      <c r="R174" s="282">
        <f t="shared" si="18"/>
        <v>0</v>
      </c>
      <c r="S174" s="110"/>
      <c r="T174" s="282">
        <f t="shared" si="19"/>
        <v>0</v>
      </c>
      <c r="U174" s="110"/>
      <c r="V174" s="282">
        <f t="shared" si="17"/>
        <v>0</v>
      </c>
      <c r="W174" s="110"/>
      <c r="X174" s="282">
        <f t="shared" si="16"/>
        <v>0</v>
      </c>
      <c r="Y174" s="110"/>
      <c r="Z174" s="282">
        <f t="shared" si="13"/>
        <v>0</v>
      </c>
      <c r="AA174" s="233">
        <f t="shared" si="14"/>
        <v>0</v>
      </c>
      <c r="AB174" s="234">
        <f t="shared" si="15"/>
        <v>0</v>
      </c>
      <c r="AC174" s="195"/>
    </row>
    <row r="175" spans="1:29" s="95" customFormat="1" ht="18" customHeight="1">
      <c r="A175" s="107">
        <v>2020</v>
      </c>
      <c r="B175" s="108">
        <v>3</v>
      </c>
      <c r="C175" s="108"/>
      <c r="D175" s="102"/>
      <c r="E175" s="102"/>
      <c r="F175" s="102" t="s">
        <v>564</v>
      </c>
      <c r="G175" s="98" t="s">
        <v>418</v>
      </c>
      <c r="H175" s="121" t="s">
        <v>594</v>
      </c>
      <c r="I175" s="103" t="s">
        <v>668</v>
      </c>
      <c r="J175" s="103"/>
      <c r="K175" s="126" t="s">
        <v>483</v>
      </c>
      <c r="L175" s="101" t="s">
        <v>294</v>
      </c>
      <c r="M175" s="103" t="s">
        <v>668</v>
      </c>
      <c r="N175" s="101"/>
      <c r="O175" s="118">
        <f>990000*0.9</f>
        <v>891000</v>
      </c>
      <c r="P175" s="184" t="s">
        <v>686</v>
      </c>
      <c r="Q175" s="110"/>
      <c r="R175" s="282">
        <f t="shared" si="18"/>
        <v>0</v>
      </c>
      <c r="S175" s="110"/>
      <c r="T175" s="282">
        <f t="shared" si="19"/>
        <v>0</v>
      </c>
      <c r="U175" s="110"/>
      <c r="V175" s="282">
        <f t="shared" si="17"/>
        <v>0</v>
      </c>
      <c r="W175" s="110"/>
      <c r="X175" s="282">
        <f t="shared" si="16"/>
        <v>0</v>
      </c>
      <c r="Y175" s="110"/>
      <c r="Z175" s="282">
        <f t="shared" si="13"/>
        <v>0</v>
      </c>
      <c r="AA175" s="233">
        <f t="shared" si="14"/>
        <v>0</v>
      </c>
      <c r="AB175" s="234">
        <f t="shared" si="15"/>
        <v>0</v>
      </c>
      <c r="AC175" s="195"/>
    </row>
    <row r="176" spans="1:29" s="95" customFormat="1" ht="18" customHeight="1">
      <c r="A176" s="107">
        <v>2020</v>
      </c>
      <c r="B176" s="108">
        <v>3</v>
      </c>
      <c r="C176" s="108"/>
      <c r="D176" s="102"/>
      <c r="E176" s="102"/>
      <c r="F176" s="102" t="s">
        <v>564</v>
      </c>
      <c r="G176" s="98" t="s">
        <v>418</v>
      </c>
      <c r="H176" s="121" t="s">
        <v>594</v>
      </c>
      <c r="I176" s="103" t="s">
        <v>655</v>
      </c>
      <c r="J176" s="103"/>
      <c r="K176" s="126" t="s">
        <v>673</v>
      </c>
      <c r="L176" s="101" t="s">
        <v>327</v>
      </c>
      <c r="M176" s="103" t="s">
        <v>655</v>
      </c>
      <c r="N176" s="101"/>
      <c r="O176" s="118">
        <f>899000*0.9</f>
        <v>809100</v>
      </c>
      <c r="P176" s="184" t="s">
        <v>685</v>
      </c>
      <c r="Q176" s="110"/>
      <c r="R176" s="282">
        <f t="shared" si="18"/>
        <v>0</v>
      </c>
      <c r="S176" s="110"/>
      <c r="T176" s="282">
        <f t="shared" si="19"/>
        <v>0</v>
      </c>
      <c r="U176" s="110"/>
      <c r="V176" s="282">
        <f t="shared" si="17"/>
        <v>0</v>
      </c>
      <c r="W176" s="110"/>
      <c r="X176" s="282">
        <f t="shared" si="16"/>
        <v>0</v>
      </c>
      <c r="Y176" s="110"/>
      <c r="Z176" s="282">
        <f t="shared" si="13"/>
        <v>0</v>
      </c>
      <c r="AA176" s="233">
        <f t="shared" si="14"/>
        <v>0</v>
      </c>
      <c r="AB176" s="234">
        <f t="shared" si="15"/>
        <v>0</v>
      </c>
      <c r="AC176" s="195"/>
    </row>
    <row r="177" spans="1:29" s="95" customFormat="1" ht="18" customHeight="1">
      <c r="A177" s="107">
        <v>2020</v>
      </c>
      <c r="B177" s="108">
        <v>3</v>
      </c>
      <c r="C177" s="108"/>
      <c r="D177" s="102"/>
      <c r="E177" s="102"/>
      <c r="F177" s="102" t="s">
        <v>564</v>
      </c>
      <c r="G177" s="98" t="s">
        <v>418</v>
      </c>
      <c r="H177" s="121" t="s">
        <v>594</v>
      </c>
      <c r="I177" s="103" t="s">
        <v>655</v>
      </c>
      <c r="J177" s="103"/>
      <c r="K177" s="126" t="s">
        <v>672</v>
      </c>
      <c r="L177" s="101" t="s">
        <v>327</v>
      </c>
      <c r="M177" s="103" t="s">
        <v>655</v>
      </c>
      <c r="N177" s="101"/>
      <c r="O177" s="118">
        <f>1190000*0.9</f>
        <v>1071000</v>
      </c>
      <c r="P177" s="184" t="s">
        <v>685</v>
      </c>
      <c r="Q177" s="110"/>
      <c r="R177" s="282">
        <f t="shared" si="18"/>
        <v>0</v>
      </c>
      <c r="S177" s="110"/>
      <c r="T177" s="282">
        <f t="shared" si="19"/>
        <v>0</v>
      </c>
      <c r="U177" s="110"/>
      <c r="V177" s="282">
        <f t="shared" si="17"/>
        <v>0</v>
      </c>
      <c r="W177" s="110"/>
      <c r="X177" s="282">
        <f t="shared" si="16"/>
        <v>0</v>
      </c>
      <c r="Y177" s="110"/>
      <c r="Z177" s="282">
        <f t="shared" si="13"/>
        <v>0</v>
      </c>
      <c r="AA177" s="233">
        <f t="shared" si="14"/>
        <v>0</v>
      </c>
      <c r="AB177" s="234">
        <f t="shared" si="15"/>
        <v>0</v>
      </c>
      <c r="AC177" s="195"/>
    </row>
    <row r="178" spans="1:29" s="95" customFormat="1" ht="18" customHeight="1">
      <c r="A178" s="107">
        <v>2020</v>
      </c>
      <c r="B178" s="108">
        <v>3</v>
      </c>
      <c r="C178" s="108"/>
      <c r="D178" s="102"/>
      <c r="E178" s="102"/>
      <c r="F178" s="102" t="s">
        <v>564</v>
      </c>
      <c r="G178" s="98" t="s">
        <v>418</v>
      </c>
      <c r="H178" s="121" t="s">
        <v>594</v>
      </c>
      <c r="I178" s="114"/>
      <c r="J178" s="114"/>
      <c r="K178" s="258" t="s">
        <v>306</v>
      </c>
      <c r="L178" s="101" t="s">
        <v>292</v>
      </c>
      <c r="M178" s="114"/>
      <c r="N178" s="101"/>
      <c r="O178" s="118">
        <f>529000*0.9</f>
        <v>476100</v>
      </c>
      <c r="P178" s="192" t="s">
        <v>683</v>
      </c>
      <c r="Q178" s="110"/>
      <c r="R178" s="282">
        <f t="shared" si="18"/>
        <v>0</v>
      </c>
      <c r="S178" s="110"/>
      <c r="T178" s="282">
        <f t="shared" si="19"/>
        <v>0</v>
      </c>
      <c r="U178" s="110"/>
      <c r="V178" s="282">
        <f t="shared" si="17"/>
        <v>0</v>
      </c>
      <c r="W178" s="110"/>
      <c r="X178" s="282">
        <f t="shared" si="16"/>
        <v>0</v>
      </c>
      <c r="Y178" s="110"/>
      <c r="Z178" s="282">
        <f t="shared" si="13"/>
        <v>0</v>
      </c>
      <c r="AA178" s="233">
        <f t="shared" si="14"/>
        <v>0</v>
      </c>
      <c r="AB178" s="234">
        <f t="shared" si="15"/>
        <v>0</v>
      </c>
      <c r="AC178" s="195"/>
    </row>
    <row r="179" spans="1:29" s="95" customFormat="1" ht="18" customHeight="1">
      <c r="A179" s="107">
        <v>2020</v>
      </c>
      <c r="B179" s="108">
        <v>3</v>
      </c>
      <c r="C179" s="108"/>
      <c r="D179" s="102"/>
      <c r="E179" s="102"/>
      <c r="F179" s="102" t="s">
        <v>564</v>
      </c>
      <c r="G179" s="98" t="s">
        <v>418</v>
      </c>
      <c r="H179" s="121" t="s">
        <v>594</v>
      </c>
      <c r="I179" s="103" t="s">
        <v>676</v>
      </c>
      <c r="J179" s="103"/>
      <c r="K179" s="126" t="s">
        <v>307</v>
      </c>
      <c r="L179" s="101" t="s">
        <v>292</v>
      </c>
      <c r="M179" s="103" t="s">
        <v>676</v>
      </c>
      <c r="N179" s="101"/>
      <c r="O179" s="118">
        <f>728000*0.9</f>
        <v>655200</v>
      </c>
      <c r="P179" s="184" t="s">
        <v>685</v>
      </c>
      <c r="Q179" s="110"/>
      <c r="R179" s="282">
        <f t="shared" si="18"/>
        <v>0</v>
      </c>
      <c r="S179" s="110"/>
      <c r="T179" s="282">
        <f t="shared" si="19"/>
        <v>0</v>
      </c>
      <c r="U179" s="110"/>
      <c r="V179" s="282">
        <f t="shared" si="17"/>
        <v>0</v>
      </c>
      <c r="W179" s="110"/>
      <c r="X179" s="282">
        <f t="shared" si="16"/>
        <v>0</v>
      </c>
      <c r="Y179" s="110"/>
      <c r="Z179" s="282">
        <f t="shared" si="13"/>
        <v>0</v>
      </c>
      <c r="AA179" s="233">
        <f t="shared" si="14"/>
        <v>0</v>
      </c>
      <c r="AB179" s="234">
        <f t="shared" si="15"/>
        <v>0</v>
      </c>
      <c r="AC179" s="195"/>
    </row>
    <row r="180" spans="1:29" s="95" customFormat="1" ht="18" customHeight="1">
      <c r="A180" s="107">
        <v>2020</v>
      </c>
      <c r="B180" s="108">
        <v>3</v>
      </c>
      <c r="C180" s="108"/>
      <c r="D180" s="102"/>
      <c r="E180" s="102"/>
      <c r="F180" s="102" t="s">
        <v>564</v>
      </c>
      <c r="G180" s="98" t="s">
        <v>418</v>
      </c>
      <c r="H180" s="121" t="s">
        <v>594</v>
      </c>
      <c r="I180" s="103"/>
      <c r="J180" s="103"/>
      <c r="K180" s="258" t="s">
        <v>308</v>
      </c>
      <c r="L180" s="101" t="s">
        <v>292</v>
      </c>
      <c r="M180" s="103"/>
      <c r="N180" s="101"/>
      <c r="O180" s="118">
        <f>1662000*0.9</f>
        <v>1495800</v>
      </c>
      <c r="P180" s="192" t="s">
        <v>683</v>
      </c>
      <c r="Q180" s="110"/>
      <c r="R180" s="282">
        <f t="shared" si="18"/>
        <v>0</v>
      </c>
      <c r="S180" s="110"/>
      <c r="T180" s="282">
        <f t="shared" si="19"/>
        <v>0</v>
      </c>
      <c r="U180" s="110"/>
      <c r="V180" s="282">
        <f t="shared" si="17"/>
        <v>0</v>
      </c>
      <c r="W180" s="110"/>
      <c r="X180" s="282">
        <f t="shared" si="16"/>
        <v>0</v>
      </c>
      <c r="Y180" s="110"/>
      <c r="Z180" s="282">
        <f t="shared" si="13"/>
        <v>0</v>
      </c>
      <c r="AA180" s="233">
        <f t="shared" si="14"/>
        <v>0</v>
      </c>
      <c r="AB180" s="234">
        <f t="shared" si="15"/>
        <v>0</v>
      </c>
      <c r="AC180" s="195"/>
    </row>
    <row r="181" spans="1:29" s="95" customFormat="1" ht="18" customHeight="1">
      <c r="A181" s="107">
        <v>2020</v>
      </c>
      <c r="B181" s="108">
        <v>3</v>
      </c>
      <c r="C181" s="108"/>
      <c r="D181" s="102"/>
      <c r="E181" s="102"/>
      <c r="F181" s="102" t="s">
        <v>564</v>
      </c>
      <c r="G181" s="98" t="s">
        <v>418</v>
      </c>
      <c r="H181" s="121" t="s">
        <v>595</v>
      </c>
      <c r="I181" s="103"/>
      <c r="J181" s="103"/>
      <c r="K181" s="258" t="s">
        <v>310</v>
      </c>
      <c r="L181" s="101" t="s">
        <v>292</v>
      </c>
      <c r="M181" s="103"/>
      <c r="N181" s="101"/>
      <c r="O181" s="118">
        <f>607000*0.9</f>
        <v>546300</v>
      </c>
      <c r="P181" s="192" t="s">
        <v>683</v>
      </c>
      <c r="Q181" s="110"/>
      <c r="R181" s="282">
        <f t="shared" si="18"/>
        <v>0</v>
      </c>
      <c r="S181" s="110"/>
      <c r="T181" s="282">
        <f t="shared" si="19"/>
        <v>0</v>
      </c>
      <c r="U181" s="110"/>
      <c r="V181" s="282">
        <f t="shared" si="17"/>
        <v>0</v>
      </c>
      <c r="W181" s="110"/>
      <c r="X181" s="282">
        <f t="shared" si="16"/>
        <v>0</v>
      </c>
      <c r="Y181" s="110"/>
      <c r="Z181" s="282">
        <f t="shared" si="13"/>
        <v>0</v>
      </c>
      <c r="AA181" s="233">
        <f t="shared" si="14"/>
        <v>0</v>
      </c>
      <c r="AB181" s="234">
        <f t="shared" si="15"/>
        <v>0</v>
      </c>
      <c r="AC181" s="195"/>
    </row>
    <row r="182" spans="1:29" s="95" customFormat="1" ht="18" customHeight="1">
      <c r="A182" s="107">
        <v>2020</v>
      </c>
      <c r="B182" s="108">
        <v>3</v>
      </c>
      <c r="C182" s="108"/>
      <c r="D182" s="102"/>
      <c r="E182" s="102"/>
      <c r="F182" s="102" t="s">
        <v>564</v>
      </c>
      <c r="G182" s="98" t="s">
        <v>418</v>
      </c>
      <c r="H182" s="121" t="s">
        <v>595</v>
      </c>
      <c r="I182" s="103"/>
      <c r="J182" s="103"/>
      <c r="K182" s="258" t="s">
        <v>312</v>
      </c>
      <c r="L182" s="101" t="s">
        <v>292</v>
      </c>
      <c r="M182" s="103"/>
      <c r="N182" s="101"/>
      <c r="O182" s="118">
        <f>449000*0.9</f>
        <v>404100</v>
      </c>
      <c r="P182" s="192" t="s">
        <v>683</v>
      </c>
      <c r="Q182" s="110"/>
      <c r="R182" s="282">
        <f t="shared" si="18"/>
        <v>0</v>
      </c>
      <c r="S182" s="110"/>
      <c r="T182" s="282">
        <f t="shared" si="19"/>
        <v>0</v>
      </c>
      <c r="U182" s="110"/>
      <c r="V182" s="282">
        <f t="shared" si="17"/>
        <v>0</v>
      </c>
      <c r="W182" s="110"/>
      <c r="X182" s="282">
        <f t="shared" si="16"/>
        <v>0</v>
      </c>
      <c r="Y182" s="110"/>
      <c r="Z182" s="282">
        <f t="shared" si="13"/>
        <v>0</v>
      </c>
      <c r="AA182" s="233">
        <f t="shared" si="14"/>
        <v>0</v>
      </c>
      <c r="AB182" s="234">
        <f t="shared" si="15"/>
        <v>0</v>
      </c>
      <c r="AC182" s="195"/>
    </row>
    <row r="183" spans="1:29" s="95" customFormat="1" ht="18" customHeight="1">
      <c r="A183" s="107">
        <v>2020</v>
      </c>
      <c r="B183" s="108">
        <v>3</v>
      </c>
      <c r="C183" s="108"/>
      <c r="D183" s="102"/>
      <c r="E183" s="102"/>
      <c r="F183" s="102" t="s">
        <v>564</v>
      </c>
      <c r="G183" s="98" t="s">
        <v>418</v>
      </c>
      <c r="H183" s="121" t="s">
        <v>595</v>
      </c>
      <c r="I183" s="114"/>
      <c r="J183" s="114"/>
      <c r="K183" s="126" t="s">
        <v>605</v>
      </c>
      <c r="L183" s="101" t="s">
        <v>294</v>
      </c>
      <c r="M183" s="114"/>
      <c r="N183" s="101"/>
      <c r="O183" s="118">
        <v>603636</v>
      </c>
      <c r="P183" s="193" t="s">
        <v>687</v>
      </c>
      <c r="Q183" s="110"/>
      <c r="R183" s="282">
        <f t="shared" si="18"/>
        <v>0</v>
      </c>
      <c r="S183" s="110"/>
      <c r="T183" s="282">
        <f t="shared" si="19"/>
        <v>0</v>
      </c>
      <c r="U183" s="110"/>
      <c r="V183" s="282">
        <f t="shared" si="17"/>
        <v>0</v>
      </c>
      <c r="W183" s="110"/>
      <c r="X183" s="282">
        <f t="shared" si="16"/>
        <v>0</v>
      </c>
      <c r="Y183" s="110"/>
      <c r="Z183" s="282">
        <f t="shared" si="13"/>
        <v>0</v>
      </c>
      <c r="AA183" s="233">
        <f t="shared" si="14"/>
        <v>0</v>
      </c>
      <c r="AB183" s="234">
        <f t="shared" si="15"/>
        <v>0</v>
      </c>
      <c r="AC183" s="195"/>
    </row>
    <row r="184" spans="1:29" s="95" customFormat="1" ht="18" customHeight="1">
      <c r="A184" s="107">
        <v>2020</v>
      </c>
      <c r="B184" s="108">
        <v>3</v>
      </c>
      <c r="C184" s="108"/>
      <c r="D184" s="102"/>
      <c r="E184" s="102"/>
      <c r="F184" s="102" t="s">
        <v>564</v>
      </c>
      <c r="G184" s="98" t="s">
        <v>418</v>
      </c>
      <c r="H184" s="121" t="s">
        <v>595</v>
      </c>
      <c r="I184" s="114"/>
      <c r="J184" s="114"/>
      <c r="K184" s="258" t="s">
        <v>313</v>
      </c>
      <c r="L184" s="101" t="s">
        <v>292</v>
      </c>
      <c r="M184" s="114"/>
      <c r="N184" s="101"/>
      <c r="O184" s="118">
        <f>445000*0.9</f>
        <v>400500</v>
      </c>
      <c r="P184" s="192" t="s">
        <v>683</v>
      </c>
      <c r="Q184" s="110"/>
      <c r="R184" s="282">
        <f t="shared" si="18"/>
        <v>0</v>
      </c>
      <c r="S184" s="110"/>
      <c r="T184" s="282">
        <f t="shared" si="19"/>
        <v>0</v>
      </c>
      <c r="U184" s="110"/>
      <c r="V184" s="282">
        <f t="shared" si="17"/>
        <v>0</v>
      </c>
      <c r="W184" s="110"/>
      <c r="X184" s="282">
        <f t="shared" si="16"/>
        <v>0</v>
      </c>
      <c r="Y184" s="110"/>
      <c r="Z184" s="282">
        <f t="shared" si="13"/>
        <v>0</v>
      </c>
      <c r="AA184" s="233">
        <f t="shared" si="14"/>
        <v>0</v>
      </c>
      <c r="AB184" s="234">
        <f t="shared" si="15"/>
        <v>0</v>
      </c>
      <c r="AC184" s="195"/>
    </row>
    <row r="185" spans="1:29" s="95" customFormat="1" ht="18" customHeight="1">
      <c r="A185" s="107">
        <v>2020</v>
      </c>
      <c r="B185" s="108">
        <v>3</v>
      </c>
      <c r="C185" s="108"/>
      <c r="D185" s="102"/>
      <c r="E185" s="102"/>
      <c r="F185" s="102" t="s">
        <v>564</v>
      </c>
      <c r="G185" s="98" t="s">
        <v>418</v>
      </c>
      <c r="H185" s="121" t="s">
        <v>595</v>
      </c>
      <c r="I185" s="114" t="s">
        <v>666</v>
      </c>
      <c r="J185" s="114"/>
      <c r="K185" s="126" t="s">
        <v>315</v>
      </c>
      <c r="L185" s="101" t="s">
        <v>688</v>
      </c>
      <c r="M185" s="114" t="s">
        <v>666</v>
      </c>
      <c r="N185" s="101"/>
      <c r="O185" s="118">
        <f>532000*0.9</f>
        <v>478800</v>
      </c>
      <c r="P185" s="193" t="s">
        <v>685</v>
      </c>
      <c r="Q185" s="110"/>
      <c r="R185" s="282">
        <f t="shared" si="18"/>
        <v>0</v>
      </c>
      <c r="S185" s="110"/>
      <c r="T185" s="282">
        <f t="shared" si="19"/>
        <v>0</v>
      </c>
      <c r="U185" s="110"/>
      <c r="V185" s="282">
        <f t="shared" si="17"/>
        <v>0</v>
      </c>
      <c r="W185" s="110"/>
      <c r="X185" s="282">
        <f t="shared" si="16"/>
        <v>0</v>
      </c>
      <c r="Y185" s="110"/>
      <c r="Z185" s="282">
        <f t="shared" si="13"/>
        <v>0</v>
      </c>
      <c r="AA185" s="233">
        <f t="shared" si="14"/>
        <v>0</v>
      </c>
      <c r="AB185" s="234">
        <f t="shared" si="15"/>
        <v>0</v>
      </c>
      <c r="AC185" s="195"/>
    </row>
    <row r="186" spans="1:29" s="95" customFormat="1" ht="18" customHeight="1">
      <c r="A186" s="107">
        <v>2020</v>
      </c>
      <c r="B186" s="108">
        <v>3</v>
      </c>
      <c r="C186" s="108"/>
      <c r="D186" s="102"/>
      <c r="E186" s="102"/>
      <c r="F186" s="102" t="s">
        <v>564</v>
      </c>
      <c r="G186" s="98" t="s">
        <v>418</v>
      </c>
      <c r="H186" s="121" t="s">
        <v>595</v>
      </c>
      <c r="I186" s="103"/>
      <c r="J186" s="103"/>
      <c r="K186" s="258" t="s">
        <v>317</v>
      </c>
      <c r="L186" s="101" t="s">
        <v>316</v>
      </c>
      <c r="M186" s="103"/>
      <c r="N186" s="101"/>
      <c r="O186" s="118">
        <f>758000*0.9</f>
        <v>682200</v>
      </c>
      <c r="P186" s="192" t="s">
        <v>683</v>
      </c>
      <c r="Q186" s="110"/>
      <c r="R186" s="282">
        <f t="shared" si="18"/>
        <v>0</v>
      </c>
      <c r="S186" s="110"/>
      <c r="T186" s="282">
        <f t="shared" si="19"/>
        <v>0</v>
      </c>
      <c r="U186" s="110"/>
      <c r="V186" s="282">
        <f t="shared" si="17"/>
        <v>0</v>
      </c>
      <c r="W186" s="110"/>
      <c r="X186" s="282">
        <f t="shared" si="16"/>
        <v>0</v>
      </c>
      <c r="Y186" s="110"/>
      <c r="Z186" s="282">
        <f t="shared" si="13"/>
        <v>0</v>
      </c>
      <c r="AA186" s="233">
        <f t="shared" si="14"/>
        <v>0</v>
      </c>
      <c r="AB186" s="234">
        <f t="shared" si="15"/>
        <v>0</v>
      </c>
      <c r="AC186" s="195"/>
    </row>
    <row r="187" spans="1:29" s="95" customFormat="1" ht="18" customHeight="1">
      <c r="A187" s="107">
        <v>2020</v>
      </c>
      <c r="B187" s="108">
        <v>3</v>
      </c>
      <c r="C187" s="108"/>
      <c r="D187" s="102"/>
      <c r="E187" s="102"/>
      <c r="F187" s="102" t="s">
        <v>564</v>
      </c>
      <c r="G187" s="98" t="s">
        <v>418</v>
      </c>
      <c r="H187" s="121" t="s">
        <v>595</v>
      </c>
      <c r="I187" s="103" t="s">
        <v>678</v>
      </c>
      <c r="J187" s="103"/>
      <c r="K187" s="126" t="s">
        <v>489</v>
      </c>
      <c r="L187" s="101" t="s">
        <v>294</v>
      </c>
      <c r="M187" s="103" t="s">
        <v>678</v>
      </c>
      <c r="N187" s="101"/>
      <c r="O187" s="118">
        <f>650000*0.9</f>
        <v>585000</v>
      </c>
      <c r="P187" s="193" t="s">
        <v>687</v>
      </c>
      <c r="Q187" s="110"/>
      <c r="R187" s="282">
        <f t="shared" si="18"/>
        <v>0</v>
      </c>
      <c r="S187" s="110"/>
      <c r="T187" s="282">
        <f t="shared" si="19"/>
        <v>0</v>
      </c>
      <c r="U187" s="110"/>
      <c r="V187" s="282">
        <f t="shared" si="17"/>
        <v>0</v>
      </c>
      <c r="W187" s="110"/>
      <c r="X187" s="282">
        <f t="shared" si="16"/>
        <v>0</v>
      </c>
      <c r="Y187" s="110"/>
      <c r="Z187" s="282">
        <f t="shared" si="13"/>
        <v>0</v>
      </c>
      <c r="AA187" s="233">
        <f t="shared" si="14"/>
        <v>0</v>
      </c>
      <c r="AB187" s="234">
        <f t="shared" si="15"/>
        <v>0</v>
      </c>
      <c r="AC187" s="195"/>
    </row>
    <row r="188" spans="1:29" s="95" customFormat="1" ht="18" customHeight="1">
      <c r="A188" s="107">
        <v>2020</v>
      </c>
      <c r="B188" s="108">
        <v>3</v>
      </c>
      <c r="C188" s="108"/>
      <c r="D188" s="102"/>
      <c r="E188" s="102"/>
      <c r="F188" s="102" t="s">
        <v>564</v>
      </c>
      <c r="G188" s="98" t="s">
        <v>418</v>
      </c>
      <c r="H188" s="121" t="s">
        <v>595</v>
      </c>
      <c r="I188" s="103" t="s">
        <v>679</v>
      </c>
      <c r="J188" s="103"/>
      <c r="K188" s="126" t="s">
        <v>487</v>
      </c>
      <c r="L188" s="101" t="s">
        <v>677</v>
      </c>
      <c r="M188" s="103" t="s">
        <v>679</v>
      </c>
      <c r="N188" s="101"/>
      <c r="O188" s="118">
        <f>850000*0.9</f>
        <v>765000</v>
      </c>
      <c r="P188" s="193" t="s">
        <v>687</v>
      </c>
      <c r="Q188" s="110"/>
      <c r="R188" s="282">
        <f t="shared" si="18"/>
        <v>0</v>
      </c>
      <c r="S188" s="110"/>
      <c r="T188" s="282">
        <f t="shared" si="19"/>
        <v>0</v>
      </c>
      <c r="U188" s="110"/>
      <c r="V188" s="282">
        <f t="shared" si="17"/>
        <v>0</v>
      </c>
      <c r="W188" s="110"/>
      <c r="X188" s="282">
        <f t="shared" si="16"/>
        <v>0</v>
      </c>
      <c r="Y188" s="110"/>
      <c r="Z188" s="282">
        <f t="shared" si="13"/>
        <v>0</v>
      </c>
      <c r="AA188" s="233">
        <f t="shared" si="14"/>
        <v>0</v>
      </c>
      <c r="AB188" s="234">
        <f t="shared" si="15"/>
        <v>0</v>
      </c>
      <c r="AC188" s="195"/>
    </row>
    <row r="189" spans="1:29" s="95" customFormat="1" ht="18" customHeight="1">
      <c r="A189" s="107">
        <v>2020</v>
      </c>
      <c r="B189" s="108">
        <v>3</v>
      </c>
      <c r="C189" s="108"/>
      <c r="D189" s="102"/>
      <c r="E189" s="102"/>
      <c r="F189" s="102" t="s">
        <v>564</v>
      </c>
      <c r="G189" s="98" t="s">
        <v>418</v>
      </c>
      <c r="H189" s="121" t="s">
        <v>595</v>
      </c>
      <c r="I189" s="103" t="s">
        <v>670</v>
      </c>
      <c r="J189" s="103"/>
      <c r="K189" s="258" t="s">
        <v>429</v>
      </c>
      <c r="L189" s="101" t="s">
        <v>292</v>
      </c>
      <c r="M189" s="103" t="s">
        <v>670</v>
      </c>
      <c r="N189" s="101"/>
      <c r="O189" s="118">
        <f>1237000*0.9</f>
        <v>1113300</v>
      </c>
      <c r="P189" s="192" t="s">
        <v>683</v>
      </c>
      <c r="Q189" s="110"/>
      <c r="R189" s="282">
        <f t="shared" si="18"/>
        <v>0</v>
      </c>
      <c r="S189" s="110"/>
      <c r="T189" s="282">
        <f t="shared" si="19"/>
        <v>0</v>
      </c>
      <c r="U189" s="110"/>
      <c r="V189" s="282">
        <f t="shared" si="17"/>
        <v>0</v>
      </c>
      <c r="W189" s="110"/>
      <c r="X189" s="282">
        <f t="shared" si="16"/>
        <v>0</v>
      </c>
      <c r="Y189" s="110"/>
      <c r="Z189" s="282">
        <f t="shared" si="13"/>
        <v>0</v>
      </c>
      <c r="AA189" s="233">
        <f t="shared" si="14"/>
        <v>0</v>
      </c>
      <c r="AB189" s="234">
        <f t="shared" si="15"/>
        <v>0</v>
      </c>
      <c r="AC189" s="195"/>
    </row>
    <row r="190" spans="1:29" s="95" customFormat="1" ht="18" customHeight="1">
      <c r="A190" s="107">
        <v>2020</v>
      </c>
      <c r="B190" s="108">
        <v>3</v>
      </c>
      <c r="C190" s="108"/>
      <c r="D190" s="102"/>
      <c r="E190" s="102"/>
      <c r="F190" s="102" t="s">
        <v>564</v>
      </c>
      <c r="G190" s="98" t="s">
        <v>418</v>
      </c>
      <c r="H190" s="121" t="s">
        <v>596</v>
      </c>
      <c r="I190" s="114" t="s">
        <v>680</v>
      </c>
      <c r="J190" s="114"/>
      <c r="K190" s="126" t="s">
        <v>320</v>
      </c>
      <c r="L190" s="101" t="s">
        <v>289</v>
      </c>
      <c r="M190" s="114" t="s">
        <v>680</v>
      </c>
      <c r="N190" s="101"/>
      <c r="O190" s="118">
        <f>539000*0.9</f>
        <v>485100</v>
      </c>
      <c r="P190" s="193" t="s">
        <v>685</v>
      </c>
      <c r="Q190" s="110"/>
      <c r="R190" s="282">
        <f t="shared" si="18"/>
        <v>0</v>
      </c>
      <c r="S190" s="110"/>
      <c r="T190" s="282">
        <f t="shared" si="19"/>
        <v>0</v>
      </c>
      <c r="U190" s="110"/>
      <c r="V190" s="282">
        <f t="shared" si="17"/>
        <v>0</v>
      </c>
      <c r="W190" s="110"/>
      <c r="X190" s="282">
        <f t="shared" si="16"/>
        <v>0</v>
      </c>
      <c r="Y190" s="110"/>
      <c r="Z190" s="282">
        <f t="shared" si="13"/>
        <v>0</v>
      </c>
      <c r="AA190" s="233">
        <f t="shared" si="14"/>
        <v>0</v>
      </c>
      <c r="AB190" s="234">
        <f t="shared" si="15"/>
        <v>0</v>
      </c>
      <c r="AC190" s="195"/>
    </row>
    <row r="191" spans="1:29" s="95" customFormat="1" ht="18" customHeight="1">
      <c r="A191" s="107">
        <v>2020</v>
      </c>
      <c r="B191" s="108">
        <v>3</v>
      </c>
      <c r="C191" s="108"/>
      <c r="D191" s="102"/>
      <c r="E191" s="102"/>
      <c r="F191" s="102" t="s">
        <v>564</v>
      </c>
      <c r="G191" s="98" t="s">
        <v>418</v>
      </c>
      <c r="H191" s="121" t="s">
        <v>596</v>
      </c>
      <c r="I191" s="114" t="s">
        <v>680</v>
      </c>
      <c r="J191" s="114"/>
      <c r="K191" s="126" t="s">
        <v>321</v>
      </c>
      <c r="L191" s="101" t="s">
        <v>681</v>
      </c>
      <c r="M191" s="114" t="s">
        <v>680</v>
      </c>
      <c r="N191" s="101"/>
      <c r="O191" s="118">
        <f>704000*0.9</f>
        <v>633600</v>
      </c>
      <c r="P191" s="193" t="s">
        <v>685</v>
      </c>
      <c r="Q191" s="110"/>
      <c r="R191" s="282">
        <f t="shared" si="18"/>
        <v>0</v>
      </c>
      <c r="S191" s="110"/>
      <c r="T191" s="282">
        <f t="shared" si="19"/>
        <v>0</v>
      </c>
      <c r="U191" s="110"/>
      <c r="V191" s="282">
        <f t="shared" si="17"/>
        <v>0</v>
      </c>
      <c r="W191" s="110"/>
      <c r="X191" s="282">
        <f t="shared" si="16"/>
        <v>0</v>
      </c>
      <c r="Y191" s="110"/>
      <c r="Z191" s="282">
        <f t="shared" si="13"/>
        <v>0</v>
      </c>
      <c r="AA191" s="233">
        <f t="shared" si="14"/>
        <v>0</v>
      </c>
      <c r="AB191" s="234">
        <f t="shared" si="15"/>
        <v>0</v>
      </c>
      <c r="AC191" s="195"/>
    </row>
    <row r="192" spans="1:29" s="95" customFormat="1" ht="18" customHeight="1">
      <c r="A192" s="107">
        <v>2020</v>
      </c>
      <c r="B192" s="108">
        <v>3</v>
      </c>
      <c r="C192" s="108"/>
      <c r="D192" s="102"/>
      <c r="E192" s="102"/>
      <c r="F192" s="102" t="s">
        <v>564</v>
      </c>
      <c r="G192" s="98" t="s">
        <v>418</v>
      </c>
      <c r="H192" s="121" t="s">
        <v>597</v>
      </c>
      <c r="I192" s="103" t="s">
        <v>682</v>
      </c>
      <c r="J192" s="103"/>
      <c r="K192" s="126" t="s">
        <v>323</v>
      </c>
      <c r="L192" s="101" t="s">
        <v>324</v>
      </c>
      <c r="M192" s="103" t="s">
        <v>682</v>
      </c>
      <c r="N192" s="101"/>
      <c r="O192" s="118">
        <f>871000*0.9</f>
        <v>783900</v>
      </c>
      <c r="P192" s="184" t="s">
        <v>685</v>
      </c>
      <c r="Q192" s="110"/>
      <c r="R192" s="282">
        <f t="shared" si="18"/>
        <v>0</v>
      </c>
      <c r="S192" s="110"/>
      <c r="T192" s="282">
        <f t="shared" si="19"/>
        <v>0</v>
      </c>
      <c r="U192" s="110"/>
      <c r="V192" s="282">
        <f t="shared" si="17"/>
        <v>0</v>
      </c>
      <c r="W192" s="110"/>
      <c r="X192" s="282">
        <f t="shared" si="16"/>
        <v>0</v>
      </c>
      <c r="Y192" s="110"/>
      <c r="Z192" s="282">
        <f t="shared" si="13"/>
        <v>0</v>
      </c>
      <c r="AA192" s="233">
        <f t="shared" si="14"/>
        <v>0</v>
      </c>
      <c r="AB192" s="234">
        <f t="shared" si="15"/>
        <v>0</v>
      </c>
      <c r="AC192" s="195"/>
    </row>
    <row r="193" spans="1:30" s="228" customFormat="1" ht="18" customHeight="1">
      <c r="A193" s="252">
        <v>2020</v>
      </c>
      <c r="B193" s="253">
        <v>3</v>
      </c>
      <c r="C193" s="253"/>
      <c r="D193" s="254"/>
      <c r="E193" s="254"/>
      <c r="F193" s="254" t="s">
        <v>564</v>
      </c>
      <c r="G193" s="255" t="s">
        <v>418</v>
      </c>
      <c r="H193" s="256" t="s">
        <v>599</v>
      </c>
      <c r="I193" s="257"/>
      <c r="J193" s="257"/>
      <c r="K193" s="258" t="s">
        <v>329</v>
      </c>
      <c r="L193" s="259" t="s">
        <v>330</v>
      </c>
      <c r="M193" s="257"/>
      <c r="N193" s="259"/>
      <c r="O193" s="260">
        <f>520000*0.9</f>
        <v>468000</v>
      </c>
      <c r="P193" s="192" t="s">
        <v>683</v>
      </c>
      <c r="Q193" s="214"/>
      <c r="R193" s="282">
        <f t="shared" si="18"/>
        <v>0</v>
      </c>
      <c r="S193" s="214"/>
      <c r="T193" s="282">
        <f t="shared" si="19"/>
        <v>0</v>
      </c>
      <c r="U193" s="214"/>
      <c r="V193" s="282">
        <f t="shared" si="17"/>
        <v>0</v>
      </c>
      <c r="W193" s="214"/>
      <c r="X193" s="282">
        <f t="shared" si="16"/>
        <v>0</v>
      </c>
      <c r="Y193" s="214"/>
      <c r="Z193" s="282">
        <f t="shared" si="13"/>
        <v>0</v>
      </c>
      <c r="AA193" s="233">
        <f t="shared" si="14"/>
        <v>0</v>
      </c>
      <c r="AB193" s="234">
        <f t="shared" si="15"/>
        <v>0</v>
      </c>
      <c r="AC193" s="195"/>
      <c r="AD193" s="216"/>
    </row>
    <row r="194" spans="1:30" s="228" customFormat="1" ht="18" customHeight="1">
      <c r="A194" s="252">
        <v>2020</v>
      </c>
      <c r="B194" s="253">
        <v>3</v>
      </c>
      <c r="C194" s="253"/>
      <c r="D194" s="254"/>
      <c r="E194" s="254"/>
      <c r="F194" s="254" t="s">
        <v>564</v>
      </c>
      <c r="G194" s="255" t="s">
        <v>418</v>
      </c>
      <c r="H194" s="256" t="s">
        <v>599</v>
      </c>
      <c r="I194" s="257"/>
      <c r="J194" s="257"/>
      <c r="K194" s="258" t="s">
        <v>331</v>
      </c>
      <c r="L194" s="259" t="s">
        <v>330</v>
      </c>
      <c r="M194" s="257"/>
      <c r="N194" s="259"/>
      <c r="O194" s="260">
        <f>642000*0.9</f>
        <v>577800</v>
      </c>
      <c r="P194" s="192" t="s">
        <v>683</v>
      </c>
      <c r="Q194" s="214"/>
      <c r="R194" s="282">
        <f t="shared" si="18"/>
        <v>0</v>
      </c>
      <c r="S194" s="214"/>
      <c r="T194" s="282">
        <f t="shared" si="19"/>
        <v>0</v>
      </c>
      <c r="U194" s="214"/>
      <c r="V194" s="282">
        <f t="shared" si="17"/>
        <v>0</v>
      </c>
      <c r="W194" s="214"/>
      <c r="X194" s="282">
        <f t="shared" si="16"/>
        <v>0</v>
      </c>
      <c r="Y194" s="214"/>
      <c r="Z194" s="282">
        <f t="shared" si="13"/>
        <v>0</v>
      </c>
      <c r="AA194" s="233">
        <f t="shared" si="14"/>
        <v>0</v>
      </c>
      <c r="AB194" s="234">
        <f t="shared" si="15"/>
        <v>0</v>
      </c>
      <c r="AC194" s="195"/>
      <c r="AD194" s="216"/>
    </row>
    <row r="195" spans="1:30" s="228" customFormat="1" ht="18" customHeight="1">
      <c r="A195" s="252">
        <v>2020</v>
      </c>
      <c r="B195" s="253">
        <v>3</v>
      </c>
      <c r="C195" s="253"/>
      <c r="D195" s="254"/>
      <c r="E195" s="254"/>
      <c r="F195" s="254" t="s">
        <v>564</v>
      </c>
      <c r="G195" s="255" t="s">
        <v>418</v>
      </c>
      <c r="H195" s="256" t="s">
        <v>430</v>
      </c>
      <c r="I195" s="257"/>
      <c r="J195" s="257"/>
      <c r="K195" s="258" t="s">
        <v>431</v>
      </c>
      <c r="L195" s="259" t="s">
        <v>327</v>
      </c>
      <c r="M195" s="257"/>
      <c r="N195" s="259"/>
      <c r="O195" s="260">
        <f>402000*0.9</f>
        <v>361800</v>
      </c>
      <c r="P195" s="192" t="s">
        <v>683</v>
      </c>
      <c r="Q195" s="214"/>
      <c r="R195" s="282">
        <f t="shared" si="18"/>
        <v>0</v>
      </c>
      <c r="S195" s="214"/>
      <c r="T195" s="282">
        <f t="shared" si="19"/>
        <v>0</v>
      </c>
      <c r="U195" s="214"/>
      <c r="V195" s="282">
        <f t="shared" si="17"/>
        <v>0</v>
      </c>
      <c r="W195" s="214"/>
      <c r="X195" s="282">
        <f t="shared" si="16"/>
        <v>0</v>
      </c>
      <c r="Y195" s="214"/>
      <c r="Z195" s="282">
        <f t="shared" si="13"/>
        <v>0</v>
      </c>
      <c r="AA195" s="233">
        <f t="shared" si="14"/>
        <v>0</v>
      </c>
      <c r="AB195" s="234">
        <f t="shared" si="15"/>
        <v>0</v>
      </c>
      <c r="AC195" s="195"/>
      <c r="AD195" s="216"/>
    </row>
    <row r="196" spans="1:30" s="216" customFormat="1" ht="18" customHeight="1">
      <c r="A196" s="252">
        <v>2020</v>
      </c>
      <c r="B196" s="253">
        <v>3</v>
      </c>
      <c r="C196" s="253"/>
      <c r="D196" s="254"/>
      <c r="E196" s="254"/>
      <c r="F196" s="254" t="s">
        <v>564</v>
      </c>
      <c r="G196" s="253" t="s">
        <v>418</v>
      </c>
      <c r="H196" s="261" t="s">
        <v>430</v>
      </c>
      <c r="I196" s="262"/>
      <c r="J196" s="262"/>
      <c r="K196" s="258" t="s">
        <v>432</v>
      </c>
      <c r="L196" s="263" t="s">
        <v>324</v>
      </c>
      <c r="M196" s="262"/>
      <c r="N196" s="263"/>
      <c r="O196" s="260">
        <f>369000*0.9</f>
        <v>332100</v>
      </c>
      <c r="P196" s="192" t="s">
        <v>683</v>
      </c>
      <c r="Q196" s="214"/>
      <c r="R196" s="282">
        <f t="shared" si="18"/>
        <v>0</v>
      </c>
      <c r="S196" s="214"/>
      <c r="T196" s="282">
        <f t="shared" si="19"/>
        <v>0</v>
      </c>
      <c r="U196" s="214"/>
      <c r="V196" s="282">
        <f t="shared" si="17"/>
        <v>0</v>
      </c>
      <c r="W196" s="214"/>
      <c r="X196" s="282">
        <f t="shared" si="16"/>
        <v>0</v>
      </c>
      <c r="Y196" s="214"/>
      <c r="Z196" s="282">
        <f t="shared" si="13"/>
        <v>0</v>
      </c>
      <c r="AA196" s="233">
        <f>SUMIF($Q$4:$Z$4,"BÁN",$Q196:$Z196)</f>
        <v>0</v>
      </c>
      <c r="AB196" s="234">
        <f>SUMIF($Q$4:$Z$4,"THÀNH TIỀN
BÁN THỰC TẾ",$Q196:$Z196)</f>
        <v>0</v>
      </c>
      <c r="AC196" s="195"/>
    </row>
    <row r="197" spans="1:30" s="95" customFormat="1" ht="18" customHeight="1">
      <c r="A197" s="264">
        <v>2020</v>
      </c>
      <c r="B197" s="265">
        <v>3</v>
      </c>
      <c r="C197" s="265"/>
      <c r="D197" s="266"/>
      <c r="E197" s="266"/>
      <c r="F197" s="267" t="s">
        <v>562</v>
      </c>
      <c r="G197" s="267" t="s">
        <v>632</v>
      </c>
      <c r="H197" s="267" t="s">
        <v>623</v>
      </c>
      <c r="I197" s="268"/>
      <c r="J197" s="268"/>
      <c r="K197" s="267" t="s">
        <v>623</v>
      </c>
      <c r="L197" s="269"/>
      <c r="M197" s="268"/>
      <c r="N197" s="269"/>
      <c r="O197" s="270"/>
      <c r="P197" s="271" t="s">
        <v>623</v>
      </c>
      <c r="Q197" s="278">
        <f t="shared" ref="Q197:AB197" si="20">SUMIF($F$213:$F$355,"Supor",Q$213:Q$355)</f>
        <v>0</v>
      </c>
      <c r="R197" s="279">
        <f t="shared" si="20"/>
        <v>0</v>
      </c>
      <c r="S197" s="278">
        <f t="shared" si="20"/>
        <v>0</v>
      </c>
      <c r="T197" s="279">
        <f t="shared" si="20"/>
        <v>0</v>
      </c>
      <c r="U197" s="278">
        <f t="shared" si="20"/>
        <v>0</v>
      </c>
      <c r="V197" s="279">
        <f t="shared" si="20"/>
        <v>0</v>
      </c>
      <c r="W197" s="278">
        <f t="shared" si="20"/>
        <v>0</v>
      </c>
      <c r="X197" s="279">
        <f t="shared" si="20"/>
        <v>0</v>
      </c>
      <c r="Y197" s="278">
        <f t="shared" si="20"/>
        <v>0</v>
      </c>
      <c r="Z197" s="279">
        <f t="shared" si="20"/>
        <v>0</v>
      </c>
      <c r="AA197" s="272">
        <f t="shared" si="20"/>
        <v>0</v>
      </c>
      <c r="AB197" s="280">
        <f t="shared" si="20"/>
        <v>0</v>
      </c>
      <c r="AC197" s="272"/>
    </row>
    <row r="198" spans="1:30" s="95" customFormat="1" ht="18" customHeight="1">
      <c r="A198" s="264">
        <v>2020</v>
      </c>
      <c r="B198" s="265">
        <v>3</v>
      </c>
      <c r="C198" s="265"/>
      <c r="D198" s="266"/>
      <c r="E198" s="266"/>
      <c r="F198" s="267" t="s">
        <v>563</v>
      </c>
      <c r="G198" s="267" t="s">
        <v>632</v>
      </c>
      <c r="H198" s="267" t="s">
        <v>623</v>
      </c>
      <c r="I198" s="268"/>
      <c r="J198" s="268"/>
      <c r="K198" s="267" t="s">
        <v>623</v>
      </c>
      <c r="L198" s="269"/>
      <c r="M198" s="268"/>
      <c r="N198" s="269"/>
      <c r="O198" s="270"/>
      <c r="P198" s="271" t="s">
        <v>623</v>
      </c>
      <c r="Q198" s="278">
        <f t="shared" ref="Q198:AB198" si="21">SUMIF($F$213:$F$355,"Tefal",Q$213:Q$355)</f>
        <v>0</v>
      </c>
      <c r="R198" s="279">
        <f t="shared" si="21"/>
        <v>0</v>
      </c>
      <c r="S198" s="278">
        <f t="shared" si="21"/>
        <v>0</v>
      </c>
      <c r="T198" s="279">
        <f t="shared" si="21"/>
        <v>0</v>
      </c>
      <c r="U198" s="278">
        <f t="shared" si="21"/>
        <v>0</v>
      </c>
      <c r="V198" s="279">
        <f t="shared" si="21"/>
        <v>0</v>
      </c>
      <c r="W198" s="278">
        <f t="shared" si="21"/>
        <v>0</v>
      </c>
      <c r="X198" s="279">
        <f t="shared" si="21"/>
        <v>0</v>
      </c>
      <c r="Y198" s="278">
        <f t="shared" si="21"/>
        <v>0</v>
      </c>
      <c r="Z198" s="279">
        <f t="shared" si="21"/>
        <v>0</v>
      </c>
      <c r="AA198" s="272">
        <f t="shared" si="21"/>
        <v>0</v>
      </c>
      <c r="AB198" s="280">
        <f t="shared" si="21"/>
        <v>0</v>
      </c>
      <c r="AC198" s="272"/>
    </row>
    <row r="199" spans="1:30" ht="18" customHeight="1" thickBot="1">
      <c r="A199" s="264">
        <v>2020</v>
      </c>
      <c r="B199" s="265">
        <v>3</v>
      </c>
      <c r="C199" s="265"/>
      <c r="D199" s="273"/>
      <c r="E199" s="273"/>
      <c r="F199" s="267" t="s">
        <v>564</v>
      </c>
      <c r="G199" s="267" t="s">
        <v>632</v>
      </c>
      <c r="H199" s="267" t="s">
        <v>623</v>
      </c>
      <c r="I199" s="274"/>
      <c r="J199" s="325"/>
      <c r="K199" s="267" t="s">
        <v>623</v>
      </c>
      <c r="L199" s="275"/>
      <c r="M199" s="274"/>
      <c r="N199" s="275"/>
      <c r="O199" s="276"/>
      <c r="P199" s="277" t="s">
        <v>623</v>
      </c>
      <c r="Q199" s="278">
        <f t="shared" ref="Q199:AB199" si="22">SUMIF($F$213:$F$355,"Asia",Q$213:Q$355)</f>
        <v>0</v>
      </c>
      <c r="R199" s="279">
        <f t="shared" si="22"/>
        <v>0</v>
      </c>
      <c r="S199" s="278">
        <f t="shared" si="22"/>
        <v>0</v>
      </c>
      <c r="T199" s="279">
        <f t="shared" si="22"/>
        <v>0</v>
      </c>
      <c r="U199" s="278">
        <f t="shared" si="22"/>
        <v>0</v>
      </c>
      <c r="V199" s="279">
        <f t="shared" si="22"/>
        <v>0</v>
      </c>
      <c r="W199" s="278">
        <f t="shared" si="22"/>
        <v>0</v>
      </c>
      <c r="X199" s="279">
        <f t="shared" si="22"/>
        <v>0</v>
      </c>
      <c r="Y199" s="278">
        <f t="shared" si="22"/>
        <v>0</v>
      </c>
      <c r="Z199" s="279">
        <f t="shared" si="22"/>
        <v>0</v>
      </c>
      <c r="AA199" s="272">
        <f t="shared" si="22"/>
        <v>0</v>
      </c>
      <c r="AB199" s="280">
        <f t="shared" si="22"/>
        <v>0</v>
      </c>
      <c r="AC199" s="272"/>
      <c r="AD199" s="95"/>
    </row>
    <row r="200" spans="1:30" ht="15.4" thickTop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125"/>
      <c r="L200" s="97"/>
      <c r="M200" s="97"/>
      <c r="N200" s="97"/>
      <c r="O200" s="97"/>
      <c r="P200" s="97"/>
      <c r="Q200" s="157"/>
      <c r="R200" s="97"/>
      <c r="S200" s="97"/>
      <c r="T200" s="97"/>
      <c r="U200" s="97"/>
      <c r="V200" s="97"/>
      <c r="W200" s="97"/>
      <c r="X200" s="97"/>
      <c r="Y200" s="97"/>
      <c r="Z200" s="97"/>
      <c r="AA200" s="157"/>
      <c r="AB200" s="97"/>
      <c r="AC200" s="157"/>
    </row>
    <row r="201" spans="1:30" ht="17.25">
      <c r="A201" s="157"/>
      <c r="B201" s="157"/>
      <c r="C201" s="157"/>
      <c r="D201" s="157"/>
      <c r="E201" s="157"/>
      <c r="F201" s="157"/>
      <c r="G201" s="157"/>
      <c r="H201" s="169" t="s">
        <v>562</v>
      </c>
      <c r="I201" s="97"/>
      <c r="J201" s="97"/>
      <c r="K201" s="157" t="s">
        <v>23</v>
      </c>
      <c r="L201" s="157"/>
      <c r="M201" s="97"/>
      <c r="N201" s="157"/>
      <c r="O201" s="157"/>
      <c r="P201" s="157"/>
      <c r="Q201" s="158">
        <f>SUMIFS(Q$5:Q$196,$F$5:$F$196,"Supor",$G$5:$G$196,"CW")</f>
        <v>0</v>
      </c>
      <c r="R201" s="170">
        <f>SUMIFS(R$5:R$196,$F$5:$F$196,"Supor",$G$5:$G$196,"CW")</f>
        <v>0</v>
      </c>
      <c r="S201" s="158">
        <f t="shared" ref="S201:AA201" si="23">SUMIFS(S$5:S$196,$F$5:$F$196,"Supor",$G$5:$G$196,"CW")</f>
        <v>0</v>
      </c>
      <c r="T201" s="170">
        <f t="shared" si="23"/>
        <v>0</v>
      </c>
      <c r="U201" s="158">
        <f t="shared" si="23"/>
        <v>0</v>
      </c>
      <c r="V201" s="170">
        <f t="shared" si="23"/>
        <v>0</v>
      </c>
      <c r="W201" s="158">
        <f t="shared" si="23"/>
        <v>0</v>
      </c>
      <c r="X201" s="170">
        <f t="shared" si="23"/>
        <v>0</v>
      </c>
      <c r="Y201" s="158">
        <f t="shared" si="23"/>
        <v>0</v>
      </c>
      <c r="Z201" s="170">
        <f t="shared" si="23"/>
        <v>0</v>
      </c>
      <c r="AA201" s="158">
        <f t="shared" si="23"/>
        <v>0</v>
      </c>
      <c r="AB201" s="170">
        <f>SUMIFS(AB$5:AB$196,$F$5:$F$196,"Supor",$G$5:$G$196,"CW")</f>
        <v>0</v>
      </c>
      <c r="AC201" s="158"/>
    </row>
    <row r="202" spans="1:30" ht="17.25">
      <c r="A202" s="157"/>
      <c r="B202" s="157"/>
      <c r="C202" s="157"/>
      <c r="D202" s="157"/>
      <c r="E202" s="157"/>
      <c r="F202" s="157"/>
      <c r="G202" s="157"/>
      <c r="H202" s="169" t="s">
        <v>562</v>
      </c>
      <c r="I202" s="97"/>
      <c r="J202" s="97"/>
      <c r="K202" s="157" t="s">
        <v>40</v>
      </c>
      <c r="L202" s="157"/>
      <c r="M202" s="97"/>
      <c r="N202" s="157"/>
      <c r="O202" s="157"/>
      <c r="P202" s="157"/>
      <c r="Q202" s="158">
        <f>SUMIFS(Q$5:Q$196,$F$5:$F$196,"Supor",$G$5:$G$196,"SDA")</f>
        <v>0</v>
      </c>
      <c r="R202" s="170">
        <f>SUMIFS(R$5:R$196,$F$5:$F$196,"Supor",$G$5:$G$196,"SDA")</f>
        <v>0</v>
      </c>
      <c r="S202" s="158">
        <f t="shared" ref="S202:AB202" si="24">SUMIFS(S$5:S$196,$F$5:$F$196,"Supor",$G$5:$G$196,"SDA")</f>
        <v>0</v>
      </c>
      <c r="T202" s="170">
        <f t="shared" si="24"/>
        <v>0</v>
      </c>
      <c r="U202" s="158">
        <f t="shared" si="24"/>
        <v>0</v>
      </c>
      <c r="V202" s="170">
        <f t="shared" si="24"/>
        <v>0</v>
      </c>
      <c r="W202" s="158">
        <f t="shared" si="24"/>
        <v>0</v>
      </c>
      <c r="X202" s="170">
        <f t="shared" si="24"/>
        <v>0</v>
      </c>
      <c r="Y202" s="158">
        <f t="shared" si="24"/>
        <v>0</v>
      </c>
      <c r="Z202" s="170">
        <f t="shared" si="24"/>
        <v>0</v>
      </c>
      <c r="AA202" s="158">
        <f t="shared" si="24"/>
        <v>0</v>
      </c>
      <c r="AB202" s="170">
        <f t="shared" si="24"/>
        <v>0</v>
      </c>
      <c r="AC202" s="158"/>
    </row>
    <row r="203" spans="1:30" s="175" customFormat="1" ht="17.25">
      <c r="A203" s="171"/>
      <c r="B203" s="171"/>
      <c r="C203" s="171"/>
      <c r="D203" s="171"/>
      <c r="E203" s="171"/>
      <c r="F203" s="171"/>
      <c r="G203" s="171"/>
      <c r="H203" s="172" t="s">
        <v>563</v>
      </c>
      <c r="I203" s="97"/>
      <c r="J203" s="97"/>
      <c r="K203" s="172" t="s">
        <v>23</v>
      </c>
      <c r="L203" s="171"/>
      <c r="M203" s="97"/>
      <c r="N203" s="171"/>
      <c r="O203" s="172"/>
      <c r="P203" s="171"/>
      <c r="Q203" s="173">
        <f>SUMIFS(Q$5:Q$196,$F$5:$F$196,"Tefal",$G$5:$G$196,"CW")</f>
        <v>0</v>
      </c>
      <c r="R203" s="174">
        <f>SUMIFS(R$5:R$196,$F$5:$F$196,"Tefal",$G$5:$G$196,"CW")</f>
        <v>0</v>
      </c>
      <c r="S203" s="173">
        <f t="shared" ref="S203:AB203" si="25">SUMIFS(S$5:S$196,$F$5:$F$196,"Tefal",$G$5:$G$196,"CW")</f>
        <v>0</v>
      </c>
      <c r="T203" s="174">
        <f t="shared" si="25"/>
        <v>0</v>
      </c>
      <c r="U203" s="173">
        <f t="shared" si="25"/>
        <v>0</v>
      </c>
      <c r="V203" s="174">
        <f t="shared" si="25"/>
        <v>0</v>
      </c>
      <c r="W203" s="173">
        <f t="shared" si="25"/>
        <v>0</v>
      </c>
      <c r="X203" s="174">
        <f t="shared" si="25"/>
        <v>0</v>
      </c>
      <c r="Y203" s="173">
        <f t="shared" si="25"/>
        <v>0</v>
      </c>
      <c r="Z203" s="174">
        <f t="shared" si="25"/>
        <v>0</v>
      </c>
      <c r="AA203" s="173">
        <f t="shared" si="25"/>
        <v>0</v>
      </c>
      <c r="AB203" s="174">
        <f t="shared" si="25"/>
        <v>0</v>
      </c>
      <c r="AC203" s="173"/>
    </row>
    <row r="204" spans="1:30" s="175" customFormat="1" ht="17.25">
      <c r="A204" s="171"/>
      <c r="B204" s="171"/>
      <c r="C204" s="171"/>
      <c r="D204" s="171"/>
      <c r="E204" s="171"/>
      <c r="F204" s="171"/>
      <c r="G204" s="171"/>
      <c r="H204" s="172" t="s">
        <v>563</v>
      </c>
      <c r="I204" s="97"/>
      <c r="J204" s="97"/>
      <c r="K204" s="172" t="s">
        <v>40</v>
      </c>
      <c r="L204" s="171"/>
      <c r="M204" s="97"/>
      <c r="N204" s="171"/>
      <c r="O204" s="172"/>
      <c r="P204" s="171"/>
      <c r="Q204" s="173">
        <f>SUMIFS(Q$5:Q$196,$F$5:$F$196,"Tefal",$G$5:$G$196,"SDA")</f>
        <v>0</v>
      </c>
      <c r="R204" s="174">
        <f>SUMIFS(R$5:R$196,$F$5:$F$196,"Tefal",$G$5:$G$196,"SDA")</f>
        <v>0</v>
      </c>
      <c r="S204" s="173">
        <f t="shared" ref="S204:AB204" si="26">SUMIFS(S$5:S$196,$F$5:$F$196,"Tefal",$G$5:$G$196,"SDA")</f>
        <v>0</v>
      </c>
      <c r="T204" s="174">
        <f t="shared" si="26"/>
        <v>0</v>
      </c>
      <c r="U204" s="173">
        <f t="shared" si="26"/>
        <v>0</v>
      </c>
      <c r="V204" s="174">
        <f t="shared" si="26"/>
        <v>0</v>
      </c>
      <c r="W204" s="173">
        <f t="shared" si="26"/>
        <v>0</v>
      </c>
      <c r="X204" s="174">
        <f t="shared" si="26"/>
        <v>0</v>
      </c>
      <c r="Y204" s="173">
        <f t="shared" si="26"/>
        <v>0</v>
      </c>
      <c r="Z204" s="174">
        <f t="shared" si="26"/>
        <v>0</v>
      </c>
      <c r="AA204" s="173">
        <f t="shared" si="26"/>
        <v>0</v>
      </c>
      <c r="AB204" s="174">
        <f t="shared" si="26"/>
        <v>0</v>
      </c>
      <c r="AC204" s="173"/>
    </row>
    <row r="205" spans="1:30" s="175" customFormat="1" ht="17.25">
      <c r="A205" s="171"/>
      <c r="B205" s="171"/>
      <c r="C205" s="171"/>
      <c r="D205" s="171"/>
      <c r="E205" s="171"/>
      <c r="F205" s="171"/>
      <c r="G205" s="171"/>
      <c r="H205" s="172" t="s">
        <v>563</v>
      </c>
      <c r="I205" s="97"/>
      <c r="J205" s="97"/>
      <c r="K205" s="172" t="s">
        <v>418</v>
      </c>
      <c r="L205" s="171"/>
      <c r="M205" s="97"/>
      <c r="N205" s="171"/>
      <c r="O205" s="172"/>
      <c r="P205" s="171"/>
      <c r="Q205" s="173">
        <f>SUMIFS(Q$5:Q$196,$F$5:$F$196,"Tefal",$G$5:$G$196,"Fan")</f>
        <v>0</v>
      </c>
      <c r="R205" s="174">
        <f>SUMIFS(R$5:R$196,$F$5:$F$196,"Tefal",$G$5:$G$196,"Fan")</f>
        <v>0</v>
      </c>
      <c r="S205" s="173">
        <f t="shared" ref="S205:AB205" si="27">SUMIFS(S$5:S$196,$F$5:$F$196,"Tefal",$G$5:$G$196,"Fan")</f>
        <v>0</v>
      </c>
      <c r="T205" s="174">
        <f t="shared" si="27"/>
        <v>0</v>
      </c>
      <c r="U205" s="173">
        <f t="shared" si="27"/>
        <v>0</v>
      </c>
      <c r="V205" s="174">
        <f t="shared" si="27"/>
        <v>0</v>
      </c>
      <c r="W205" s="173">
        <f t="shared" si="27"/>
        <v>0</v>
      </c>
      <c r="X205" s="174">
        <f t="shared" si="27"/>
        <v>0</v>
      </c>
      <c r="Y205" s="173">
        <f t="shared" si="27"/>
        <v>0</v>
      </c>
      <c r="Z205" s="174">
        <f t="shared" si="27"/>
        <v>0</v>
      </c>
      <c r="AA205" s="173">
        <f t="shared" si="27"/>
        <v>0</v>
      </c>
      <c r="AB205" s="174">
        <f t="shared" si="27"/>
        <v>0</v>
      </c>
      <c r="AC205" s="173"/>
    </row>
    <row r="206" spans="1:30" s="93" customFormat="1" ht="17.25">
      <c r="A206" s="164"/>
      <c r="B206" s="164"/>
      <c r="C206" s="164"/>
      <c r="D206" s="164"/>
      <c r="E206" s="164"/>
      <c r="F206" s="164"/>
      <c r="G206" s="164"/>
      <c r="H206" s="165" t="s">
        <v>564</v>
      </c>
      <c r="I206" s="97"/>
      <c r="J206" s="97"/>
      <c r="K206" s="165" t="s">
        <v>418</v>
      </c>
      <c r="L206" s="164"/>
      <c r="M206" s="97"/>
      <c r="N206" s="164"/>
      <c r="O206" s="166"/>
      <c r="P206" s="164"/>
      <c r="Q206" s="167">
        <f>SUMIFS(Q$5:Q$196,$F$5:$F$196,"Asia",$G$5:$G$196,"Fan")</f>
        <v>0</v>
      </c>
      <c r="R206" s="168">
        <f>SUMIFS(R$5:R$196,$F$5:$F$196,"Asia",$G$5:$G$196,"Fan")</f>
        <v>0</v>
      </c>
      <c r="S206" s="167">
        <f t="shared" ref="S206:AB206" si="28">SUMIFS(S$5:S$196,$F$5:$F$196,"Asia",$G$5:$G$196,"Fan")</f>
        <v>0</v>
      </c>
      <c r="T206" s="168">
        <f t="shared" si="28"/>
        <v>0</v>
      </c>
      <c r="U206" s="167">
        <f t="shared" si="28"/>
        <v>0</v>
      </c>
      <c r="V206" s="168">
        <f t="shared" si="28"/>
        <v>0</v>
      </c>
      <c r="W206" s="167">
        <f t="shared" si="28"/>
        <v>0</v>
      </c>
      <c r="X206" s="168">
        <f t="shared" si="28"/>
        <v>0</v>
      </c>
      <c r="Y206" s="167">
        <f t="shared" si="28"/>
        <v>0</v>
      </c>
      <c r="Z206" s="168">
        <f t="shared" si="28"/>
        <v>0</v>
      </c>
      <c r="AA206" s="167">
        <f t="shared" si="28"/>
        <v>0</v>
      </c>
      <c r="AB206" s="168">
        <f t="shared" si="28"/>
        <v>0</v>
      </c>
      <c r="AC206" s="167"/>
    </row>
    <row r="207" spans="1:30" s="93" customFormat="1" ht="15.4" thickBot="1">
      <c r="A207" s="164"/>
      <c r="B207" s="164"/>
      <c r="C207" s="164"/>
      <c r="D207" s="164"/>
      <c r="E207" s="164"/>
      <c r="F207" s="164"/>
      <c r="G207" s="164"/>
      <c r="H207" s="197" t="s">
        <v>623</v>
      </c>
      <c r="I207" s="97"/>
      <c r="J207" s="97"/>
      <c r="K207" s="197" t="s">
        <v>623</v>
      </c>
      <c r="L207" s="164"/>
      <c r="M207" s="97"/>
      <c r="N207" s="164"/>
      <c r="O207" s="166"/>
      <c r="P207" s="164"/>
      <c r="Q207" s="201">
        <f ca="1">SUMIF($H$197:$I$199,"Discontinued",Q$197:Q$199)</f>
        <v>0</v>
      </c>
      <c r="R207" s="202">
        <f ca="1">SUMIF($H$197:$I$199,"Discontinued",R$197:R$199)</f>
        <v>0</v>
      </c>
      <c r="S207" s="201">
        <f t="shared" ref="S207:AB207" ca="1" si="29">SUMIF($H$197:$I$199,"Discontinued",S$197:S$199)</f>
        <v>0</v>
      </c>
      <c r="T207" s="202">
        <f t="shared" ca="1" si="29"/>
        <v>0</v>
      </c>
      <c r="U207" s="201">
        <f t="shared" ca="1" si="29"/>
        <v>0</v>
      </c>
      <c r="V207" s="202">
        <f t="shared" ca="1" si="29"/>
        <v>0</v>
      </c>
      <c r="W207" s="201">
        <f t="shared" ca="1" si="29"/>
        <v>0</v>
      </c>
      <c r="X207" s="202">
        <f t="shared" ca="1" si="29"/>
        <v>0</v>
      </c>
      <c r="Y207" s="201">
        <f t="shared" ca="1" si="29"/>
        <v>0</v>
      </c>
      <c r="Z207" s="202">
        <f t="shared" ca="1" si="29"/>
        <v>0</v>
      </c>
      <c r="AA207" s="201">
        <f t="shared" ca="1" si="29"/>
        <v>0</v>
      </c>
      <c r="AB207" s="202">
        <f t="shared" ca="1" si="29"/>
        <v>0</v>
      </c>
      <c r="AC207" s="167"/>
    </row>
    <row r="208" spans="1:30" ht="17.649999999999999" thickTop="1">
      <c r="H208" s="176" t="s">
        <v>571</v>
      </c>
      <c r="I208" s="97"/>
      <c r="J208" s="97"/>
      <c r="K208" s="176"/>
      <c r="M208" s="97"/>
      <c r="Q208" s="177">
        <f t="shared" ref="Q208:AA208" ca="1" si="30">SUM(Q201:Q207)</f>
        <v>0</v>
      </c>
      <c r="R208" s="178">
        <f t="shared" ca="1" si="30"/>
        <v>0</v>
      </c>
      <c r="S208" s="177">
        <f t="shared" ca="1" si="30"/>
        <v>0</v>
      </c>
      <c r="T208" s="178">
        <f t="shared" ca="1" si="30"/>
        <v>0</v>
      </c>
      <c r="U208" s="177">
        <f t="shared" ca="1" si="30"/>
        <v>0</v>
      </c>
      <c r="V208" s="178">
        <f t="shared" ca="1" si="30"/>
        <v>0</v>
      </c>
      <c r="W208" s="177">
        <f t="shared" ca="1" si="30"/>
        <v>0</v>
      </c>
      <c r="X208" s="178">
        <f t="shared" ca="1" si="30"/>
        <v>0</v>
      </c>
      <c r="Y208" s="177">
        <f t="shared" ca="1" si="30"/>
        <v>0</v>
      </c>
      <c r="Z208" s="178">
        <f t="shared" ca="1" si="30"/>
        <v>0</v>
      </c>
      <c r="AA208" s="151">
        <f t="shared" ca="1" si="30"/>
        <v>0</v>
      </c>
      <c r="AB208" s="152">
        <f ca="1">SUM(AB201:AB207)</f>
        <v>0</v>
      </c>
      <c r="AC208" s="151"/>
    </row>
    <row r="209" spans="1:29" ht="17.25">
      <c r="H209" s="149" t="s">
        <v>574</v>
      </c>
      <c r="K209" s="149"/>
      <c r="Q209" s="151">
        <f ca="1">Q208</f>
        <v>0</v>
      </c>
      <c r="R209" s="152">
        <f ca="1">R208</f>
        <v>0</v>
      </c>
      <c r="S209" s="151">
        <f t="shared" ref="S209:Z209" ca="1" si="31">Q209+S208</f>
        <v>0</v>
      </c>
      <c r="T209" s="152">
        <f t="shared" ca="1" si="31"/>
        <v>0</v>
      </c>
      <c r="U209" s="151">
        <f t="shared" ca="1" si="31"/>
        <v>0</v>
      </c>
      <c r="V209" s="152">
        <f t="shared" ca="1" si="31"/>
        <v>0</v>
      </c>
      <c r="W209" s="151">
        <f t="shared" ca="1" si="31"/>
        <v>0</v>
      </c>
      <c r="X209" s="152">
        <f t="shared" ca="1" si="31"/>
        <v>0</v>
      </c>
      <c r="Y209" s="151">
        <f ca="1">W209+Y208</f>
        <v>0</v>
      </c>
      <c r="Z209" s="152">
        <f t="shared" ca="1" si="31"/>
        <v>0</v>
      </c>
      <c r="AA209" s="151"/>
      <c r="AB209" s="152">
        <f ca="1">Z209</f>
        <v>0</v>
      </c>
      <c r="AC209" s="151"/>
    </row>
    <row r="210" spans="1:29" ht="18.75" customHeight="1">
      <c r="H210" s="150" t="s">
        <v>572</v>
      </c>
      <c r="K210" s="150"/>
      <c r="R210" s="179"/>
      <c r="T210" s="153">
        <f>R210</f>
        <v>0</v>
      </c>
      <c r="V210" s="153">
        <f>T210</f>
        <v>0</v>
      </c>
      <c r="X210" s="153">
        <f>V210</f>
        <v>0</v>
      </c>
      <c r="Z210" s="153">
        <f>X210</f>
        <v>0</v>
      </c>
      <c r="AB210" s="153">
        <f>Z210</f>
        <v>0</v>
      </c>
    </row>
    <row r="211" spans="1:29" s="94" customFormat="1">
      <c r="A211" s="91"/>
      <c r="B211" s="91"/>
      <c r="C211" s="91"/>
      <c r="D211" s="91"/>
      <c r="E211" s="91"/>
      <c r="F211" s="91"/>
      <c r="G211" s="91"/>
      <c r="H211" s="155" t="s">
        <v>573</v>
      </c>
      <c r="I211" s="91"/>
      <c r="J211" s="91"/>
      <c r="K211" s="155"/>
      <c r="L211" s="154"/>
      <c r="M211" s="91"/>
      <c r="N211" s="154"/>
      <c r="O211" s="154"/>
      <c r="P211" s="154"/>
      <c r="Q211" s="159"/>
      <c r="R211" s="156" t="str">
        <f ca="1">IFERROR(R209/R210,"")</f>
        <v/>
      </c>
      <c r="S211" s="154"/>
      <c r="T211" s="156" t="str">
        <f ca="1">IFERROR(T209/T210,"")</f>
        <v/>
      </c>
      <c r="U211" s="154"/>
      <c r="V211" s="156" t="str">
        <f ca="1">IFERROR(V209/V210,"")</f>
        <v/>
      </c>
      <c r="W211" s="154"/>
      <c r="X211" s="156" t="str">
        <f ca="1">IFERROR(X209/X210,"")</f>
        <v/>
      </c>
      <c r="Y211" s="154"/>
      <c r="Z211" s="156" t="str">
        <f ca="1">IFERROR(Z209/Z210,"")</f>
        <v/>
      </c>
      <c r="AA211" s="159"/>
      <c r="AB211" s="156" t="str">
        <f ca="1">IFERROR(AB209/AB210,"")</f>
        <v/>
      </c>
      <c r="AC211" s="159"/>
    </row>
    <row r="212" spans="1:29" s="94" customFormat="1" ht="21" customHeight="1">
      <c r="A212" s="198"/>
      <c r="B212" s="198"/>
      <c r="C212" s="198"/>
      <c r="D212" s="198"/>
      <c r="E212" s="198"/>
      <c r="F212" s="198"/>
      <c r="G212" s="198"/>
      <c r="H212" s="198"/>
      <c r="I212" s="196"/>
      <c r="J212" s="196"/>
      <c r="K212" s="198"/>
      <c r="L212" s="196"/>
      <c r="M212" s="196"/>
      <c r="N212" s="196"/>
      <c r="O212" s="198"/>
      <c r="P212" s="198" t="s">
        <v>630</v>
      </c>
      <c r="Q212" s="91"/>
      <c r="R212" s="93"/>
      <c r="S212" s="91"/>
      <c r="T212" s="93"/>
      <c r="U212" s="91"/>
      <c r="V212" s="93"/>
      <c r="W212" s="91"/>
      <c r="X212" s="93"/>
      <c r="Y212" s="91"/>
      <c r="Z212" s="93"/>
      <c r="AA212" s="91"/>
      <c r="AB212" s="93"/>
      <c r="AC212" s="91"/>
    </row>
    <row r="213" spans="1:29" s="216" customFormat="1" ht="18" customHeight="1">
      <c r="A213" s="243">
        <v>2019</v>
      </c>
      <c r="B213" s="210">
        <v>10</v>
      </c>
      <c r="C213" s="210"/>
      <c r="D213" s="211"/>
      <c r="E213" s="211"/>
      <c r="F213" s="211" t="s">
        <v>562</v>
      </c>
      <c r="G213" s="206" t="s">
        <v>23</v>
      </c>
      <c r="H213" s="204" t="s">
        <v>576</v>
      </c>
      <c r="I213" s="111" t="s">
        <v>76</v>
      </c>
      <c r="J213" s="111"/>
      <c r="K213" s="123" t="s">
        <v>70</v>
      </c>
      <c r="L213" s="212" t="s">
        <v>221</v>
      </c>
      <c r="M213" s="111" t="s">
        <v>76</v>
      </c>
      <c r="N213" s="212"/>
      <c r="O213" s="244">
        <v>198810</v>
      </c>
      <c r="P213" s="190" t="s">
        <v>623</v>
      </c>
      <c r="Q213" s="214"/>
      <c r="R213" s="215">
        <f>Q213*$O213</f>
        <v>0</v>
      </c>
      <c r="S213" s="214"/>
      <c r="T213" s="215">
        <f>S213*$O213</f>
        <v>0</v>
      </c>
      <c r="U213" s="214"/>
      <c r="V213" s="215">
        <f>U213*$O213</f>
        <v>0</v>
      </c>
      <c r="W213" s="214"/>
      <c r="X213" s="215">
        <f>W213*$O213</f>
        <v>0</v>
      </c>
      <c r="Y213" s="214"/>
      <c r="Z213" s="215">
        <f>Y213*$O213</f>
        <v>0</v>
      </c>
      <c r="AA213" s="199">
        <f t="shared" ref="AA213:AA241" si="32">SUMIF($Q$4:$Z$4,"BÁN",$Q213:$Z213)</f>
        <v>0</v>
      </c>
      <c r="AB213" s="200">
        <f t="shared" ref="AB213:AB241" si="33">SUMIF($Q$4:$Z$4,"THÀNH TIỀN
BÁN THỰC TẾ",$Q213:$Z213)</f>
        <v>0</v>
      </c>
      <c r="AC213" s="199"/>
    </row>
    <row r="214" spans="1:29" s="216" customFormat="1" ht="18" customHeight="1">
      <c r="A214" s="243">
        <v>2019</v>
      </c>
      <c r="B214" s="210">
        <v>10</v>
      </c>
      <c r="C214" s="210"/>
      <c r="D214" s="211"/>
      <c r="E214" s="211"/>
      <c r="F214" s="211" t="s">
        <v>562</v>
      </c>
      <c r="G214" s="206" t="s">
        <v>23</v>
      </c>
      <c r="H214" s="204" t="s">
        <v>576</v>
      </c>
      <c r="I214" s="111" t="s">
        <v>76</v>
      </c>
      <c r="J214" s="111"/>
      <c r="K214" s="123" t="s">
        <v>71</v>
      </c>
      <c r="L214" s="212" t="s">
        <v>221</v>
      </c>
      <c r="M214" s="111" t="s">
        <v>76</v>
      </c>
      <c r="N214" s="212"/>
      <c r="O214" s="244">
        <v>249210</v>
      </c>
      <c r="P214" s="190" t="s">
        <v>623</v>
      </c>
      <c r="Q214" s="214"/>
      <c r="R214" s="215">
        <f t="shared" ref="R214:R275" si="34">Q214*$O214</f>
        <v>0</v>
      </c>
      <c r="S214" s="214"/>
      <c r="T214" s="215">
        <f t="shared" ref="T214:T266" si="35">S214*$O214</f>
        <v>0</v>
      </c>
      <c r="U214" s="214"/>
      <c r="V214" s="215">
        <f t="shared" ref="V214:V266" si="36">U214*$O214</f>
        <v>0</v>
      </c>
      <c r="W214" s="214"/>
      <c r="X214" s="215">
        <f t="shared" ref="X214:X266" si="37">W214*$O214</f>
        <v>0</v>
      </c>
      <c r="Y214" s="214"/>
      <c r="Z214" s="215">
        <f t="shared" ref="Z214:Z266" si="38">Y214*$O214</f>
        <v>0</v>
      </c>
      <c r="AA214" s="199">
        <f t="shared" si="32"/>
        <v>0</v>
      </c>
      <c r="AB214" s="200">
        <f t="shared" si="33"/>
        <v>0</v>
      </c>
      <c r="AC214" s="199"/>
    </row>
    <row r="215" spans="1:29" s="216" customFormat="1" ht="18" customHeight="1">
      <c r="A215" s="243">
        <v>2019</v>
      </c>
      <c r="B215" s="210">
        <v>10</v>
      </c>
      <c r="C215" s="210"/>
      <c r="D215" s="211"/>
      <c r="E215" s="211"/>
      <c r="F215" s="211" t="s">
        <v>562</v>
      </c>
      <c r="G215" s="206" t="s">
        <v>23</v>
      </c>
      <c r="H215" s="204" t="s">
        <v>576</v>
      </c>
      <c r="I215" s="111" t="s">
        <v>76</v>
      </c>
      <c r="J215" s="111"/>
      <c r="K215" s="123" t="s">
        <v>72</v>
      </c>
      <c r="L215" s="212" t="s">
        <v>221</v>
      </c>
      <c r="M215" s="111" t="s">
        <v>76</v>
      </c>
      <c r="N215" s="212"/>
      <c r="O215" s="244">
        <v>300510</v>
      </c>
      <c r="P215" s="190" t="s">
        <v>623</v>
      </c>
      <c r="Q215" s="214"/>
      <c r="R215" s="215">
        <f t="shared" si="34"/>
        <v>0</v>
      </c>
      <c r="S215" s="214"/>
      <c r="T215" s="215">
        <f t="shared" si="35"/>
        <v>0</v>
      </c>
      <c r="U215" s="214"/>
      <c r="V215" s="215">
        <f t="shared" si="36"/>
        <v>0</v>
      </c>
      <c r="W215" s="214"/>
      <c r="X215" s="215">
        <f t="shared" si="37"/>
        <v>0</v>
      </c>
      <c r="Y215" s="214"/>
      <c r="Z215" s="215">
        <f t="shared" si="38"/>
        <v>0</v>
      </c>
      <c r="AA215" s="199">
        <f t="shared" si="32"/>
        <v>0</v>
      </c>
      <c r="AB215" s="200">
        <f t="shared" si="33"/>
        <v>0</v>
      </c>
      <c r="AC215" s="199"/>
    </row>
    <row r="216" spans="1:29" s="216" customFormat="1" ht="18" customHeight="1">
      <c r="A216" s="243">
        <v>2019</v>
      </c>
      <c r="B216" s="210">
        <v>10</v>
      </c>
      <c r="C216" s="210"/>
      <c r="D216" s="211"/>
      <c r="E216" s="211"/>
      <c r="F216" s="211" t="s">
        <v>562</v>
      </c>
      <c r="G216" s="206" t="s">
        <v>23</v>
      </c>
      <c r="H216" s="204" t="s">
        <v>576</v>
      </c>
      <c r="I216" s="111" t="s">
        <v>76</v>
      </c>
      <c r="J216" s="111"/>
      <c r="K216" s="123" t="s">
        <v>73</v>
      </c>
      <c r="L216" s="212" t="s">
        <v>221</v>
      </c>
      <c r="M216" s="111" t="s">
        <v>76</v>
      </c>
      <c r="N216" s="212"/>
      <c r="O216" s="244">
        <v>304200</v>
      </c>
      <c r="P216" s="190" t="s">
        <v>623</v>
      </c>
      <c r="Q216" s="214"/>
      <c r="R216" s="215">
        <f t="shared" si="34"/>
        <v>0</v>
      </c>
      <c r="S216" s="214"/>
      <c r="T216" s="215">
        <f t="shared" si="35"/>
        <v>0</v>
      </c>
      <c r="U216" s="214"/>
      <c r="V216" s="215">
        <f t="shared" si="36"/>
        <v>0</v>
      </c>
      <c r="W216" s="214"/>
      <c r="X216" s="215">
        <f t="shared" si="37"/>
        <v>0</v>
      </c>
      <c r="Y216" s="214"/>
      <c r="Z216" s="215">
        <f t="shared" si="38"/>
        <v>0</v>
      </c>
      <c r="AA216" s="199">
        <f t="shared" si="32"/>
        <v>0</v>
      </c>
      <c r="AB216" s="200">
        <f t="shared" si="33"/>
        <v>0</v>
      </c>
      <c r="AC216" s="199"/>
    </row>
    <row r="217" spans="1:29" s="216" customFormat="1" ht="18" customHeight="1">
      <c r="A217" s="243">
        <v>2019</v>
      </c>
      <c r="B217" s="210">
        <v>10</v>
      </c>
      <c r="C217" s="210"/>
      <c r="D217" s="211"/>
      <c r="E217" s="211"/>
      <c r="F217" s="211" t="s">
        <v>562</v>
      </c>
      <c r="G217" s="206" t="s">
        <v>23</v>
      </c>
      <c r="H217" s="204" t="s">
        <v>576</v>
      </c>
      <c r="I217" s="111" t="s">
        <v>77</v>
      </c>
      <c r="J217" s="111"/>
      <c r="K217" s="123" t="s">
        <v>69</v>
      </c>
      <c r="L217" s="212" t="s">
        <v>221</v>
      </c>
      <c r="M217" s="111" t="s">
        <v>77</v>
      </c>
      <c r="N217" s="212"/>
      <c r="O217" s="244">
        <v>329310</v>
      </c>
      <c r="P217" s="190" t="s">
        <v>623</v>
      </c>
      <c r="Q217" s="214"/>
      <c r="R217" s="215">
        <f t="shared" si="34"/>
        <v>0</v>
      </c>
      <c r="S217" s="214"/>
      <c r="T217" s="215">
        <f t="shared" si="35"/>
        <v>0</v>
      </c>
      <c r="U217" s="214"/>
      <c r="V217" s="215">
        <f t="shared" si="36"/>
        <v>0</v>
      </c>
      <c r="W217" s="214"/>
      <c r="X217" s="215">
        <f t="shared" si="37"/>
        <v>0</v>
      </c>
      <c r="Y217" s="214"/>
      <c r="Z217" s="215">
        <f t="shared" si="38"/>
        <v>0</v>
      </c>
      <c r="AA217" s="199">
        <f t="shared" si="32"/>
        <v>0</v>
      </c>
      <c r="AB217" s="200">
        <f t="shared" si="33"/>
        <v>0</v>
      </c>
      <c r="AC217" s="199"/>
    </row>
    <row r="218" spans="1:29" s="216" customFormat="1" ht="18" customHeight="1">
      <c r="A218" s="243">
        <v>2019</v>
      </c>
      <c r="B218" s="210">
        <v>10</v>
      </c>
      <c r="C218" s="210"/>
      <c r="D218" s="211"/>
      <c r="E218" s="211"/>
      <c r="F218" s="211" t="s">
        <v>562</v>
      </c>
      <c r="G218" s="206" t="s">
        <v>23</v>
      </c>
      <c r="H218" s="204" t="s">
        <v>576</v>
      </c>
      <c r="I218" s="111" t="s">
        <v>77</v>
      </c>
      <c r="J218" s="111"/>
      <c r="K218" s="123" t="s">
        <v>74</v>
      </c>
      <c r="L218" s="212" t="s">
        <v>221</v>
      </c>
      <c r="M218" s="111" t="s">
        <v>77</v>
      </c>
      <c r="N218" s="212"/>
      <c r="O218" s="244">
        <v>399510</v>
      </c>
      <c r="P218" s="190" t="s">
        <v>623</v>
      </c>
      <c r="Q218" s="214"/>
      <c r="R218" s="215">
        <f t="shared" si="34"/>
        <v>0</v>
      </c>
      <c r="S218" s="214"/>
      <c r="T218" s="215">
        <f t="shared" si="35"/>
        <v>0</v>
      </c>
      <c r="U218" s="214"/>
      <c r="V218" s="215">
        <f t="shared" si="36"/>
        <v>0</v>
      </c>
      <c r="W218" s="214"/>
      <c r="X218" s="215">
        <f t="shared" si="37"/>
        <v>0</v>
      </c>
      <c r="Y218" s="214"/>
      <c r="Z218" s="215">
        <f t="shared" si="38"/>
        <v>0</v>
      </c>
      <c r="AA218" s="199">
        <f t="shared" si="32"/>
        <v>0</v>
      </c>
      <c r="AB218" s="200">
        <f t="shared" si="33"/>
        <v>0</v>
      </c>
      <c r="AC218" s="199"/>
    </row>
    <row r="219" spans="1:29" s="216" customFormat="1" ht="18" customHeight="1">
      <c r="A219" s="243">
        <v>2019</v>
      </c>
      <c r="B219" s="210">
        <v>10</v>
      </c>
      <c r="C219" s="210"/>
      <c r="D219" s="211"/>
      <c r="E219" s="211"/>
      <c r="F219" s="211" t="s">
        <v>562</v>
      </c>
      <c r="G219" s="206" t="s">
        <v>23</v>
      </c>
      <c r="H219" s="204" t="s">
        <v>576</v>
      </c>
      <c r="I219" s="111" t="s">
        <v>77</v>
      </c>
      <c r="J219" s="111"/>
      <c r="K219" s="123" t="s">
        <v>75</v>
      </c>
      <c r="L219" s="212" t="s">
        <v>221</v>
      </c>
      <c r="M219" s="111" t="s">
        <v>77</v>
      </c>
      <c r="N219" s="212"/>
      <c r="O219" s="244">
        <v>444510</v>
      </c>
      <c r="P219" s="190" t="s">
        <v>623</v>
      </c>
      <c r="Q219" s="214"/>
      <c r="R219" s="215">
        <f t="shared" si="34"/>
        <v>0</v>
      </c>
      <c r="S219" s="214"/>
      <c r="T219" s="215">
        <f t="shared" si="35"/>
        <v>0</v>
      </c>
      <c r="U219" s="214"/>
      <c r="V219" s="215">
        <f t="shared" si="36"/>
        <v>0</v>
      </c>
      <c r="W219" s="214"/>
      <c r="X219" s="215">
        <f t="shared" si="37"/>
        <v>0</v>
      </c>
      <c r="Y219" s="214"/>
      <c r="Z219" s="215">
        <f t="shared" si="38"/>
        <v>0</v>
      </c>
      <c r="AA219" s="199">
        <f t="shared" si="32"/>
        <v>0</v>
      </c>
      <c r="AB219" s="200">
        <f t="shared" si="33"/>
        <v>0</v>
      </c>
      <c r="AC219" s="199"/>
    </row>
    <row r="220" spans="1:29" s="216" customFormat="1" ht="18" customHeight="1">
      <c r="A220" s="243">
        <v>2019</v>
      </c>
      <c r="B220" s="210">
        <v>10</v>
      </c>
      <c r="C220" s="210"/>
      <c r="D220" s="211"/>
      <c r="E220" s="211"/>
      <c r="F220" s="211" t="s">
        <v>562</v>
      </c>
      <c r="G220" s="206" t="s">
        <v>23</v>
      </c>
      <c r="H220" s="204" t="s">
        <v>577</v>
      </c>
      <c r="I220" s="111" t="s">
        <v>0</v>
      </c>
      <c r="J220" s="111"/>
      <c r="K220" s="123" t="s">
        <v>504</v>
      </c>
      <c r="L220" s="212" t="s">
        <v>206</v>
      </c>
      <c r="M220" s="111" t="s">
        <v>0</v>
      </c>
      <c r="N220" s="212" t="s">
        <v>505</v>
      </c>
      <c r="O220" s="245">
        <v>594000</v>
      </c>
      <c r="P220" s="190" t="s">
        <v>623</v>
      </c>
      <c r="Q220" s="214"/>
      <c r="R220" s="215">
        <f t="shared" si="34"/>
        <v>0</v>
      </c>
      <c r="S220" s="214"/>
      <c r="T220" s="215">
        <f t="shared" si="35"/>
        <v>0</v>
      </c>
      <c r="U220" s="214"/>
      <c r="V220" s="215">
        <f t="shared" si="36"/>
        <v>0</v>
      </c>
      <c r="W220" s="214"/>
      <c r="X220" s="215">
        <f t="shared" si="37"/>
        <v>0</v>
      </c>
      <c r="Y220" s="214"/>
      <c r="Z220" s="215">
        <f t="shared" si="38"/>
        <v>0</v>
      </c>
      <c r="AA220" s="199">
        <f t="shared" si="32"/>
        <v>0</v>
      </c>
      <c r="AB220" s="200">
        <f t="shared" si="33"/>
        <v>0</v>
      </c>
      <c r="AC220" s="199"/>
    </row>
    <row r="221" spans="1:29" s="216" customFormat="1" ht="18" customHeight="1">
      <c r="A221" s="243">
        <v>2019</v>
      </c>
      <c r="B221" s="210">
        <v>10</v>
      </c>
      <c r="C221" s="210"/>
      <c r="D221" s="211"/>
      <c r="E221" s="211"/>
      <c r="F221" s="211" t="s">
        <v>562</v>
      </c>
      <c r="G221" s="206" t="s">
        <v>23</v>
      </c>
      <c r="H221" s="204" t="s">
        <v>577</v>
      </c>
      <c r="I221" s="111" t="s">
        <v>3</v>
      </c>
      <c r="J221" s="111"/>
      <c r="K221" s="123" t="s">
        <v>508</v>
      </c>
      <c r="L221" s="212" t="s">
        <v>206</v>
      </c>
      <c r="M221" s="111" t="s">
        <v>3</v>
      </c>
      <c r="N221" s="212" t="s">
        <v>505</v>
      </c>
      <c r="O221" s="245">
        <v>808200</v>
      </c>
      <c r="P221" s="190" t="s">
        <v>623</v>
      </c>
      <c r="Q221" s="214"/>
      <c r="R221" s="215">
        <f t="shared" si="34"/>
        <v>0</v>
      </c>
      <c r="S221" s="214"/>
      <c r="T221" s="215">
        <f t="shared" si="35"/>
        <v>0</v>
      </c>
      <c r="U221" s="214"/>
      <c r="V221" s="215">
        <f t="shared" si="36"/>
        <v>0</v>
      </c>
      <c r="W221" s="214"/>
      <c r="X221" s="215">
        <f t="shared" si="37"/>
        <v>0</v>
      </c>
      <c r="Y221" s="214"/>
      <c r="Z221" s="215">
        <f t="shared" si="38"/>
        <v>0</v>
      </c>
      <c r="AA221" s="199">
        <f t="shared" si="32"/>
        <v>0</v>
      </c>
      <c r="AB221" s="200">
        <f t="shared" si="33"/>
        <v>0</v>
      </c>
      <c r="AC221" s="199"/>
    </row>
    <row r="222" spans="1:29" s="216" customFormat="1" ht="18" customHeight="1">
      <c r="A222" s="243">
        <v>2019</v>
      </c>
      <c r="B222" s="210">
        <v>10</v>
      </c>
      <c r="C222" s="210"/>
      <c r="D222" s="211"/>
      <c r="E222" s="211"/>
      <c r="F222" s="211" t="s">
        <v>562</v>
      </c>
      <c r="G222" s="206" t="s">
        <v>23</v>
      </c>
      <c r="H222" s="204" t="s">
        <v>577</v>
      </c>
      <c r="I222" s="111" t="s">
        <v>76</v>
      </c>
      <c r="J222" s="111"/>
      <c r="K222" s="123" t="s">
        <v>509</v>
      </c>
      <c r="L222" s="212" t="s">
        <v>221</v>
      </c>
      <c r="M222" s="111" t="s">
        <v>76</v>
      </c>
      <c r="N222" s="212" t="s">
        <v>510</v>
      </c>
      <c r="O222" s="246">
        <v>1033200</v>
      </c>
      <c r="P222" s="190" t="s">
        <v>623</v>
      </c>
      <c r="Q222" s="214"/>
      <c r="R222" s="215">
        <f t="shared" si="34"/>
        <v>0</v>
      </c>
      <c r="S222" s="214"/>
      <c r="T222" s="215">
        <f t="shared" si="35"/>
        <v>0</v>
      </c>
      <c r="U222" s="214"/>
      <c r="V222" s="215">
        <f t="shared" si="36"/>
        <v>0</v>
      </c>
      <c r="W222" s="214"/>
      <c r="X222" s="215">
        <f t="shared" si="37"/>
        <v>0</v>
      </c>
      <c r="Y222" s="214"/>
      <c r="Z222" s="215">
        <f t="shared" si="38"/>
        <v>0</v>
      </c>
      <c r="AA222" s="199">
        <f t="shared" si="32"/>
        <v>0</v>
      </c>
      <c r="AB222" s="200">
        <f t="shared" si="33"/>
        <v>0</v>
      </c>
      <c r="AC222" s="199"/>
    </row>
    <row r="223" spans="1:29" s="216" customFormat="1" ht="18" customHeight="1">
      <c r="A223" s="243">
        <v>2019</v>
      </c>
      <c r="B223" s="210">
        <v>10</v>
      </c>
      <c r="C223" s="210"/>
      <c r="D223" s="211"/>
      <c r="E223" s="211"/>
      <c r="F223" s="211" t="s">
        <v>562</v>
      </c>
      <c r="G223" s="206" t="s">
        <v>23</v>
      </c>
      <c r="H223" s="204" t="s">
        <v>577</v>
      </c>
      <c r="I223" s="111" t="s">
        <v>76</v>
      </c>
      <c r="J223" s="111"/>
      <c r="K223" s="123" t="s">
        <v>97</v>
      </c>
      <c r="L223" s="212" t="s">
        <v>221</v>
      </c>
      <c r="M223" s="111" t="s">
        <v>76</v>
      </c>
      <c r="N223" s="212"/>
      <c r="O223" s="245">
        <v>719100</v>
      </c>
      <c r="P223" s="190" t="s">
        <v>623</v>
      </c>
      <c r="Q223" s="214"/>
      <c r="R223" s="215">
        <f t="shared" si="34"/>
        <v>0</v>
      </c>
      <c r="S223" s="214"/>
      <c r="T223" s="215">
        <f t="shared" si="35"/>
        <v>0</v>
      </c>
      <c r="U223" s="214"/>
      <c r="V223" s="215">
        <f t="shared" si="36"/>
        <v>0</v>
      </c>
      <c r="W223" s="214"/>
      <c r="X223" s="215">
        <f t="shared" si="37"/>
        <v>0</v>
      </c>
      <c r="Y223" s="214"/>
      <c r="Z223" s="215">
        <f t="shared" si="38"/>
        <v>0</v>
      </c>
      <c r="AA223" s="199">
        <f t="shared" si="32"/>
        <v>0</v>
      </c>
      <c r="AB223" s="200">
        <f t="shared" si="33"/>
        <v>0</v>
      </c>
      <c r="AC223" s="199"/>
    </row>
    <row r="224" spans="1:29" s="216" customFormat="1" ht="18" customHeight="1">
      <c r="A224" s="243">
        <v>2019</v>
      </c>
      <c r="B224" s="210">
        <v>10</v>
      </c>
      <c r="C224" s="210"/>
      <c r="D224" s="211"/>
      <c r="E224" s="211"/>
      <c r="F224" s="211" t="s">
        <v>562</v>
      </c>
      <c r="G224" s="206" t="s">
        <v>23</v>
      </c>
      <c r="H224" s="204" t="s">
        <v>577</v>
      </c>
      <c r="I224" s="111" t="s">
        <v>76</v>
      </c>
      <c r="J224" s="111"/>
      <c r="K224" s="123" t="s">
        <v>99</v>
      </c>
      <c r="L224" s="212" t="s">
        <v>221</v>
      </c>
      <c r="M224" s="111" t="s">
        <v>76</v>
      </c>
      <c r="N224" s="212"/>
      <c r="O224" s="244">
        <v>952200</v>
      </c>
      <c r="P224" s="190" t="s">
        <v>623</v>
      </c>
      <c r="Q224" s="214"/>
      <c r="R224" s="215">
        <f t="shared" si="34"/>
        <v>0</v>
      </c>
      <c r="S224" s="214"/>
      <c r="T224" s="215">
        <f t="shared" si="35"/>
        <v>0</v>
      </c>
      <c r="U224" s="214"/>
      <c r="V224" s="215">
        <f t="shared" si="36"/>
        <v>0</v>
      </c>
      <c r="W224" s="214"/>
      <c r="X224" s="215">
        <f t="shared" si="37"/>
        <v>0</v>
      </c>
      <c r="Y224" s="214"/>
      <c r="Z224" s="215">
        <f t="shared" si="38"/>
        <v>0</v>
      </c>
      <c r="AA224" s="199">
        <f t="shared" si="32"/>
        <v>0</v>
      </c>
      <c r="AB224" s="200">
        <f t="shared" si="33"/>
        <v>0</v>
      </c>
      <c r="AC224" s="199"/>
    </row>
    <row r="225" spans="1:29" s="216" customFormat="1" ht="18" customHeight="1">
      <c r="A225" s="243">
        <v>2019</v>
      </c>
      <c r="B225" s="210">
        <v>10</v>
      </c>
      <c r="C225" s="210"/>
      <c r="D225" s="211"/>
      <c r="E225" s="211"/>
      <c r="F225" s="211" t="s">
        <v>562</v>
      </c>
      <c r="G225" s="206" t="s">
        <v>23</v>
      </c>
      <c r="H225" s="204" t="s">
        <v>577</v>
      </c>
      <c r="I225" s="111"/>
      <c r="J225" s="111"/>
      <c r="K225" s="123" t="s">
        <v>126</v>
      </c>
      <c r="L225" s="212" t="s">
        <v>206</v>
      </c>
      <c r="M225" s="111"/>
      <c r="N225" s="212"/>
      <c r="O225" s="246">
        <v>359100</v>
      </c>
      <c r="P225" s="190" t="s">
        <v>623</v>
      </c>
      <c r="Q225" s="214"/>
      <c r="R225" s="215">
        <f t="shared" si="34"/>
        <v>0</v>
      </c>
      <c r="S225" s="214"/>
      <c r="T225" s="215">
        <f t="shared" si="35"/>
        <v>0</v>
      </c>
      <c r="U225" s="214"/>
      <c r="V225" s="215">
        <f t="shared" si="36"/>
        <v>0</v>
      </c>
      <c r="W225" s="214"/>
      <c r="X225" s="215">
        <f t="shared" si="37"/>
        <v>0</v>
      </c>
      <c r="Y225" s="214"/>
      <c r="Z225" s="215">
        <f t="shared" si="38"/>
        <v>0</v>
      </c>
      <c r="AA225" s="199">
        <f t="shared" si="32"/>
        <v>0</v>
      </c>
      <c r="AB225" s="200">
        <f t="shared" si="33"/>
        <v>0</v>
      </c>
      <c r="AC225" s="199"/>
    </row>
    <row r="226" spans="1:29" s="216" customFormat="1" ht="18" customHeight="1">
      <c r="A226" s="243">
        <v>2019</v>
      </c>
      <c r="B226" s="210">
        <v>10</v>
      </c>
      <c r="C226" s="210"/>
      <c r="D226" s="211"/>
      <c r="E226" s="211"/>
      <c r="F226" s="211" t="s">
        <v>562</v>
      </c>
      <c r="G226" s="206" t="s">
        <v>23</v>
      </c>
      <c r="H226" s="204" t="s">
        <v>577</v>
      </c>
      <c r="I226" s="111" t="s">
        <v>162</v>
      </c>
      <c r="J226" s="111"/>
      <c r="K226" s="123" t="s">
        <v>152</v>
      </c>
      <c r="L226" s="212" t="s">
        <v>208</v>
      </c>
      <c r="M226" s="111" t="s">
        <v>162</v>
      </c>
      <c r="N226" s="212"/>
      <c r="O226" s="247">
        <v>611100</v>
      </c>
      <c r="P226" s="190" t="s">
        <v>623</v>
      </c>
      <c r="Q226" s="214"/>
      <c r="R226" s="215">
        <f t="shared" si="34"/>
        <v>0</v>
      </c>
      <c r="S226" s="214"/>
      <c r="T226" s="215">
        <f t="shared" si="35"/>
        <v>0</v>
      </c>
      <c r="U226" s="214"/>
      <c r="V226" s="215">
        <f t="shared" si="36"/>
        <v>0</v>
      </c>
      <c r="W226" s="214"/>
      <c r="X226" s="215">
        <f t="shared" si="37"/>
        <v>0</v>
      </c>
      <c r="Y226" s="214"/>
      <c r="Z226" s="215">
        <f t="shared" si="38"/>
        <v>0</v>
      </c>
      <c r="AA226" s="199">
        <f t="shared" si="32"/>
        <v>0</v>
      </c>
      <c r="AB226" s="200">
        <f t="shared" si="33"/>
        <v>0</v>
      </c>
      <c r="AC226" s="199"/>
    </row>
    <row r="227" spans="1:29" s="216" customFormat="1" ht="18" customHeight="1">
      <c r="A227" s="243">
        <v>2019</v>
      </c>
      <c r="B227" s="210">
        <v>10</v>
      </c>
      <c r="C227" s="210"/>
      <c r="D227" s="211"/>
      <c r="E227" s="211"/>
      <c r="F227" s="211" t="s">
        <v>562</v>
      </c>
      <c r="G227" s="206" t="s">
        <v>23</v>
      </c>
      <c r="H227" s="204" t="s">
        <v>577</v>
      </c>
      <c r="I227" s="111"/>
      <c r="J227" s="111"/>
      <c r="K227" s="123" t="s">
        <v>163</v>
      </c>
      <c r="L227" s="212" t="s">
        <v>206</v>
      </c>
      <c r="M227" s="111"/>
      <c r="N227" s="212"/>
      <c r="O227" s="247">
        <v>629100</v>
      </c>
      <c r="P227" s="190" t="s">
        <v>623</v>
      </c>
      <c r="Q227" s="214"/>
      <c r="R227" s="215">
        <f t="shared" si="34"/>
        <v>0</v>
      </c>
      <c r="S227" s="214"/>
      <c r="T227" s="215">
        <f t="shared" si="35"/>
        <v>0</v>
      </c>
      <c r="U227" s="214"/>
      <c r="V227" s="215">
        <f t="shared" si="36"/>
        <v>0</v>
      </c>
      <c r="W227" s="214"/>
      <c r="X227" s="215">
        <f t="shared" si="37"/>
        <v>0</v>
      </c>
      <c r="Y227" s="214"/>
      <c r="Z227" s="215">
        <f t="shared" si="38"/>
        <v>0</v>
      </c>
      <c r="AA227" s="199">
        <f t="shared" si="32"/>
        <v>0</v>
      </c>
      <c r="AB227" s="200">
        <f t="shared" si="33"/>
        <v>0</v>
      </c>
      <c r="AC227" s="199"/>
    </row>
    <row r="228" spans="1:29" s="216" customFormat="1" ht="18" customHeight="1">
      <c r="A228" s="243">
        <v>2019</v>
      </c>
      <c r="B228" s="210">
        <v>10</v>
      </c>
      <c r="C228" s="210"/>
      <c r="D228" s="211"/>
      <c r="E228" s="211"/>
      <c r="F228" s="211" t="s">
        <v>562</v>
      </c>
      <c r="G228" s="206" t="s">
        <v>23</v>
      </c>
      <c r="H228" s="204" t="s">
        <v>578</v>
      </c>
      <c r="I228" s="230" t="s">
        <v>204</v>
      </c>
      <c r="J228" s="230"/>
      <c r="K228" s="124" t="s">
        <v>17</v>
      </c>
      <c r="L228" s="212" t="s">
        <v>206</v>
      </c>
      <c r="M228" s="230" t="s">
        <v>204</v>
      </c>
      <c r="N228" s="212"/>
      <c r="O228" s="246">
        <v>662400</v>
      </c>
      <c r="P228" s="190" t="s">
        <v>623</v>
      </c>
      <c r="Q228" s="214"/>
      <c r="R228" s="215">
        <f t="shared" si="34"/>
        <v>0</v>
      </c>
      <c r="S228" s="214"/>
      <c r="T228" s="215">
        <f t="shared" si="35"/>
        <v>0</v>
      </c>
      <c r="U228" s="214"/>
      <c r="V228" s="215">
        <f t="shared" si="36"/>
        <v>0</v>
      </c>
      <c r="W228" s="214"/>
      <c r="X228" s="215">
        <f t="shared" si="37"/>
        <v>0</v>
      </c>
      <c r="Y228" s="214"/>
      <c r="Z228" s="215">
        <f t="shared" si="38"/>
        <v>0</v>
      </c>
      <c r="AA228" s="199">
        <f t="shared" si="32"/>
        <v>0</v>
      </c>
      <c r="AB228" s="200">
        <f t="shared" si="33"/>
        <v>0</v>
      </c>
      <c r="AC228" s="199"/>
    </row>
    <row r="229" spans="1:29" s="216" customFormat="1" ht="18" customHeight="1">
      <c r="A229" s="243">
        <v>2019</v>
      </c>
      <c r="B229" s="210">
        <v>10</v>
      </c>
      <c r="C229" s="210"/>
      <c r="D229" s="211"/>
      <c r="E229" s="211"/>
      <c r="F229" s="211" t="s">
        <v>562</v>
      </c>
      <c r="G229" s="206" t="s">
        <v>23</v>
      </c>
      <c r="H229" s="204" t="s">
        <v>578</v>
      </c>
      <c r="I229" s="230" t="s">
        <v>204</v>
      </c>
      <c r="J229" s="230"/>
      <c r="K229" s="123" t="s">
        <v>19</v>
      </c>
      <c r="L229" s="212" t="s">
        <v>206</v>
      </c>
      <c r="M229" s="230" t="s">
        <v>204</v>
      </c>
      <c r="N229" s="212"/>
      <c r="O229" s="245">
        <v>926100</v>
      </c>
      <c r="P229" s="190" t="s">
        <v>623</v>
      </c>
      <c r="Q229" s="214"/>
      <c r="R229" s="215">
        <f t="shared" si="34"/>
        <v>0</v>
      </c>
      <c r="S229" s="214"/>
      <c r="T229" s="215">
        <f t="shared" si="35"/>
        <v>0</v>
      </c>
      <c r="U229" s="214"/>
      <c r="V229" s="215">
        <f t="shared" si="36"/>
        <v>0</v>
      </c>
      <c r="W229" s="214"/>
      <c r="X229" s="215">
        <f t="shared" si="37"/>
        <v>0</v>
      </c>
      <c r="Y229" s="214"/>
      <c r="Z229" s="215">
        <f t="shared" si="38"/>
        <v>0</v>
      </c>
      <c r="AA229" s="199">
        <f t="shared" si="32"/>
        <v>0</v>
      </c>
      <c r="AB229" s="200">
        <f t="shared" si="33"/>
        <v>0</v>
      </c>
      <c r="AC229" s="199"/>
    </row>
    <row r="230" spans="1:29" s="216" customFormat="1" ht="18" customHeight="1">
      <c r="A230" s="243">
        <v>2019</v>
      </c>
      <c r="B230" s="210">
        <v>10</v>
      </c>
      <c r="C230" s="210"/>
      <c r="D230" s="211"/>
      <c r="E230" s="211"/>
      <c r="F230" s="211" t="s">
        <v>562</v>
      </c>
      <c r="G230" s="206" t="s">
        <v>23</v>
      </c>
      <c r="H230" s="204" t="s">
        <v>579</v>
      </c>
      <c r="I230" s="111" t="s">
        <v>31</v>
      </c>
      <c r="J230" s="111"/>
      <c r="K230" s="123" t="s">
        <v>58</v>
      </c>
      <c r="L230" s="212" t="s">
        <v>207</v>
      </c>
      <c r="M230" s="111" t="s">
        <v>31</v>
      </c>
      <c r="N230" s="212"/>
      <c r="O230" s="244">
        <v>322200</v>
      </c>
      <c r="P230" s="190" t="s">
        <v>623</v>
      </c>
      <c r="Q230" s="214"/>
      <c r="R230" s="215">
        <f t="shared" si="34"/>
        <v>0</v>
      </c>
      <c r="S230" s="214"/>
      <c r="T230" s="215">
        <f t="shared" si="35"/>
        <v>0</v>
      </c>
      <c r="U230" s="214"/>
      <c r="V230" s="215">
        <f t="shared" si="36"/>
        <v>0</v>
      </c>
      <c r="W230" s="214"/>
      <c r="X230" s="215">
        <f t="shared" si="37"/>
        <v>0</v>
      </c>
      <c r="Y230" s="214"/>
      <c r="Z230" s="215">
        <f t="shared" si="38"/>
        <v>0</v>
      </c>
      <c r="AA230" s="199">
        <f t="shared" si="32"/>
        <v>0</v>
      </c>
      <c r="AB230" s="200">
        <f t="shared" si="33"/>
        <v>0</v>
      </c>
      <c r="AC230" s="199"/>
    </row>
    <row r="231" spans="1:29" s="216" customFormat="1" ht="18" customHeight="1">
      <c r="A231" s="243">
        <v>2019</v>
      </c>
      <c r="B231" s="210">
        <v>10</v>
      </c>
      <c r="C231" s="210"/>
      <c r="D231" s="211"/>
      <c r="E231" s="211"/>
      <c r="F231" s="211" t="s">
        <v>562</v>
      </c>
      <c r="G231" s="206" t="s">
        <v>23</v>
      </c>
      <c r="H231" s="204" t="s">
        <v>579</v>
      </c>
      <c r="I231" s="111" t="s">
        <v>31</v>
      </c>
      <c r="J231" s="111"/>
      <c r="K231" s="123" t="s">
        <v>59</v>
      </c>
      <c r="L231" s="212" t="s">
        <v>207</v>
      </c>
      <c r="M231" s="111" t="s">
        <v>31</v>
      </c>
      <c r="N231" s="212"/>
      <c r="O231" s="244">
        <v>376200</v>
      </c>
      <c r="P231" s="190" t="s">
        <v>623</v>
      </c>
      <c r="Q231" s="214"/>
      <c r="R231" s="215">
        <f t="shared" si="34"/>
        <v>0</v>
      </c>
      <c r="S231" s="214"/>
      <c r="T231" s="215">
        <f t="shared" si="35"/>
        <v>0</v>
      </c>
      <c r="U231" s="214"/>
      <c r="V231" s="215">
        <f t="shared" si="36"/>
        <v>0</v>
      </c>
      <c r="W231" s="214"/>
      <c r="X231" s="215">
        <f t="shared" si="37"/>
        <v>0</v>
      </c>
      <c r="Y231" s="214"/>
      <c r="Z231" s="215">
        <f t="shared" si="38"/>
        <v>0</v>
      </c>
      <c r="AA231" s="199">
        <f t="shared" si="32"/>
        <v>0</v>
      </c>
      <c r="AB231" s="200">
        <f t="shared" si="33"/>
        <v>0</v>
      </c>
      <c r="AC231" s="199"/>
    </row>
    <row r="232" spans="1:29" s="216" customFormat="1" ht="18" customHeight="1">
      <c r="A232" s="243">
        <v>2019</v>
      </c>
      <c r="B232" s="210">
        <v>10</v>
      </c>
      <c r="C232" s="210"/>
      <c r="D232" s="211"/>
      <c r="E232" s="211"/>
      <c r="F232" s="211" t="s">
        <v>562</v>
      </c>
      <c r="G232" s="206" t="s">
        <v>23</v>
      </c>
      <c r="H232" s="204" t="s">
        <v>579</v>
      </c>
      <c r="I232" s="111" t="s">
        <v>66</v>
      </c>
      <c r="J232" s="111"/>
      <c r="K232" s="123" t="s">
        <v>60</v>
      </c>
      <c r="L232" s="212" t="s">
        <v>219</v>
      </c>
      <c r="M232" s="111" t="s">
        <v>66</v>
      </c>
      <c r="N232" s="212"/>
      <c r="O232" s="244">
        <v>203310</v>
      </c>
      <c r="P232" s="190" t="s">
        <v>623</v>
      </c>
      <c r="Q232" s="214"/>
      <c r="R232" s="215">
        <f t="shared" si="34"/>
        <v>0</v>
      </c>
      <c r="S232" s="214"/>
      <c r="T232" s="215">
        <f t="shared" si="35"/>
        <v>0</v>
      </c>
      <c r="U232" s="214"/>
      <c r="V232" s="215">
        <f t="shared" si="36"/>
        <v>0</v>
      </c>
      <c r="W232" s="214"/>
      <c r="X232" s="215">
        <f t="shared" si="37"/>
        <v>0</v>
      </c>
      <c r="Y232" s="214"/>
      <c r="Z232" s="215">
        <f t="shared" si="38"/>
        <v>0</v>
      </c>
      <c r="AA232" s="199">
        <f t="shared" si="32"/>
        <v>0</v>
      </c>
      <c r="AB232" s="200">
        <f t="shared" si="33"/>
        <v>0</v>
      </c>
      <c r="AC232" s="199"/>
    </row>
    <row r="233" spans="1:29" s="216" customFormat="1" ht="18" customHeight="1">
      <c r="A233" s="243">
        <v>2019</v>
      </c>
      <c r="B233" s="210">
        <v>10</v>
      </c>
      <c r="C233" s="210"/>
      <c r="D233" s="211"/>
      <c r="E233" s="211"/>
      <c r="F233" s="211" t="s">
        <v>562</v>
      </c>
      <c r="G233" s="206" t="s">
        <v>23</v>
      </c>
      <c r="H233" s="204" t="s">
        <v>579</v>
      </c>
      <c r="I233" s="111" t="s">
        <v>66</v>
      </c>
      <c r="J233" s="111"/>
      <c r="K233" s="123" t="s">
        <v>61</v>
      </c>
      <c r="L233" s="212" t="s">
        <v>219</v>
      </c>
      <c r="M233" s="111" t="s">
        <v>66</v>
      </c>
      <c r="N233" s="212"/>
      <c r="O233" s="244">
        <v>223110</v>
      </c>
      <c r="P233" s="190" t="s">
        <v>623</v>
      </c>
      <c r="Q233" s="214"/>
      <c r="R233" s="215">
        <f t="shared" si="34"/>
        <v>0</v>
      </c>
      <c r="S233" s="214"/>
      <c r="T233" s="215">
        <f t="shared" si="35"/>
        <v>0</v>
      </c>
      <c r="U233" s="214"/>
      <c r="V233" s="215">
        <f t="shared" si="36"/>
        <v>0</v>
      </c>
      <c r="W233" s="214"/>
      <c r="X233" s="215">
        <f t="shared" si="37"/>
        <v>0</v>
      </c>
      <c r="Y233" s="214"/>
      <c r="Z233" s="215">
        <f t="shared" si="38"/>
        <v>0</v>
      </c>
      <c r="AA233" s="199">
        <f t="shared" si="32"/>
        <v>0</v>
      </c>
      <c r="AB233" s="200">
        <f t="shared" si="33"/>
        <v>0</v>
      </c>
      <c r="AC233" s="199"/>
    </row>
    <row r="234" spans="1:29" s="216" customFormat="1" ht="18" customHeight="1">
      <c r="A234" s="243">
        <v>2019</v>
      </c>
      <c r="B234" s="210">
        <v>10</v>
      </c>
      <c r="C234" s="210"/>
      <c r="D234" s="211"/>
      <c r="E234" s="211"/>
      <c r="F234" s="211" t="s">
        <v>562</v>
      </c>
      <c r="G234" s="206" t="s">
        <v>23</v>
      </c>
      <c r="H234" s="204" t="s">
        <v>579</v>
      </c>
      <c r="I234" s="111" t="s">
        <v>66</v>
      </c>
      <c r="J234" s="111"/>
      <c r="K234" s="123" t="s">
        <v>62</v>
      </c>
      <c r="L234" s="212" t="s">
        <v>219</v>
      </c>
      <c r="M234" s="111" t="s">
        <v>66</v>
      </c>
      <c r="N234" s="212"/>
      <c r="O234" s="244">
        <v>256410</v>
      </c>
      <c r="P234" s="190" t="s">
        <v>623</v>
      </c>
      <c r="Q234" s="214"/>
      <c r="R234" s="215">
        <f t="shared" si="34"/>
        <v>0</v>
      </c>
      <c r="S234" s="214"/>
      <c r="T234" s="215">
        <f t="shared" si="35"/>
        <v>0</v>
      </c>
      <c r="U234" s="214"/>
      <c r="V234" s="215">
        <f t="shared" si="36"/>
        <v>0</v>
      </c>
      <c r="W234" s="214"/>
      <c r="X234" s="215">
        <f t="shared" si="37"/>
        <v>0</v>
      </c>
      <c r="Y234" s="214"/>
      <c r="Z234" s="215">
        <f t="shared" si="38"/>
        <v>0</v>
      </c>
      <c r="AA234" s="199">
        <f t="shared" si="32"/>
        <v>0</v>
      </c>
      <c r="AB234" s="200">
        <f t="shared" si="33"/>
        <v>0</v>
      </c>
      <c r="AC234" s="199"/>
    </row>
    <row r="235" spans="1:29" s="216" customFormat="1" ht="18" customHeight="1">
      <c r="A235" s="243">
        <v>2019</v>
      </c>
      <c r="B235" s="210">
        <v>10</v>
      </c>
      <c r="C235" s="210"/>
      <c r="D235" s="211"/>
      <c r="E235" s="211"/>
      <c r="F235" s="211" t="s">
        <v>562</v>
      </c>
      <c r="G235" s="206" t="s">
        <v>23</v>
      </c>
      <c r="H235" s="204" t="s">
        <v>579</v>
      </c>
      <c r="I235" s="111" t="s">
        <v>33</v>
      </c>
      <c r="J235" s="111"/>
      <c r="K235" s="123" t="s">
        <v>113</v>
      </c>
      <c r="L235" s="212" t="s">
        <v>220</v>
      </c>
      <c r="M235" s="111" t="s">
        <v>33</v>
      </c>
      <c r="N235" s="212"/>
      <c r="O235" s="244">
        <v>143100</v>
      </c>
      <c r="P235" s="190" t="s">
        <v>623</v>
      </c>
      <c r="Q235" s="214"/>
      <c r="R235" s="215">
        <f t="shared" si="34"/>
        <v>0</v>
      </c>
      <c r="S235" s="214"/>
      <c r="T235" s="215">
        <f t="shared" si="35"/>
        <v>0</v>
      </c>
      <c r="U235" s="214"/>
      <c r="V235" s="215">
        <f t="shared" si="36"/>
        <v>0</v>
      </c>
      <c r="W235" s="214"/>
      <c r="X235" s="215">
        <f t="shared" si="37"/>
        <v>0</v>
      </c>
      <c r="Y235" s="214"/>
      <c r="Z235" s="215">
        <f t="shared" si="38"/>
        <v>0</v>
      </c>
      <c r="AA235" s="199">
        <f t="shared" si="32"/>
        <v>0</v>
      </c>
      <c r="AB235" s="200">
        <f t="shared" si="33"/>
        <v>0</v>
      </c>
      <c r="AC235" s="199"/>
    </row>
    <row r="236" spans="1:29" s="216" customFormat="1" ht="18" customHeight="1">
      <c r="A236" s="243">
        <v>2019</v>
      </c>
      <c r="B236" s="210">
        <v>10</v>
      </c>
      <c r="C236" s="210"/>
      <c r="D236" s="211"/>
      <c r="E236" s="211"/>
      <c r="F236" s="211" t="s">
        <v>562</v>
      </c>
      <c r="G236" s="206" t="s">
        <v>23</v>
      </c>
      <c r="H236" s="204" t="s">
        <v>579</v>
      </c>
      <c r="I236" s="111" t="s">
        <v>33</v>
      </c>
      <c r="J236" s="111"/>
      <c r="K236" s="123" t="s">
        <v>108</v>
      </c>
      <c r="L236" s="212" t="s">
        <v>220</v>
      </c>
      <c r="M236" s="111" t="s">
        <v>33</v>
      </c>
      <c r="N236" s="212"/>
      <c r="O236" s="244">
        <v>161100</v>
      </c>
      <c r="P236" s="190" t="s">
        <v>623</v>
      </c>
      <c r="Q236" s="214"/>
      <c r="R236" s="215">
        <f t="shared" si="34"/>
        <v>0</v>
      </c>
      <c r="S236" s="214"/>
      <c r="T236" s="215">
        <f t="shared" si="35"/>
        <v>0</v>
      </c>
      <c r="U236" s="214"/>
      <c r="V236" s="215">
        <f t="shared" si="36"/>
        <v>0</v>
      </c>
      <c r="W236" s="214"/>
      <c r="X236" s="215">
        <f t="shared" si="37"/>
        <v>0</v>
      </c>
      <c r="Y236" s="214"/>
      <c r="Z236" s="215">
        <f t="shared" si="38"/>
        <v>0</v>
      </c>
      <c r="AA236" s="199">
        <f t="shared" si="32"/>
        <v>0</v>
      </c>
      <c r="AB236" s="200">
        <f t="shared" si="33"/>
        <v>0</v>
      </c>
      <c r="AC236" s="199"/>
    </row>
    <row r="237" spans="1:29" s="216" customFormat="1" ht="18" customHeight="1">
      <c r="A237" s="243">
        <v>2019</v>
      </c>
      <c r="B237" s="210">
        <v>10</v>
      </c>
      <c r="C237" s="210"/>
      <c r="D237" s="211"/>
      <c r="E237" s="211"/>
      <c r="F237" s="211" t="s">
        <v>562</v>
      </c>
      <c r="G237" s="206" t="s">
        <v>23</v>
      </c>
      <c r="H237" s="204" t="s">
        <v>579</v>
      </c>
      <c r="I237" s="111" t="s">
        <v>33</v>
      </c>
      <c r="J237" s="111"/>
      <c r="K237" s="123" t="s">
        <v>109</v>
      </c>
      <c r="L237" s="212" t="s">
        <v>220</v>
      </c>
      <c r="M237" s="111" t="s">
        <v>33</v>
      </c>
      <c r="N237" s="212"/>
      <c r="O237" s="244">
        <v>179100</v>
      </c>
      <c r="P237" s="190" t="s">
        <v>623</v>
      </c>
      <c r="Q237" s="214"/>
      <c r="R237" s="215">
        <f t="shared" si="34"/>
        <v>0</v>
      </c>
      <c r="S237" s="214"/>
      <c r="T237" s="215">
        <f t="shared" si="35"/>
        <v>0</v>
      </c>
      <c r="U237" s="214"/>
      <c r="V237" s="215">
        <f t="shared" si="36"/>
        <v>0</v>
      </c>
      <c r="W237" s="214"/>
      <c r="X237" s="215">
        <f t="shared" si="37"/>
        <v>0</v>
      </c>
      <c r="Y237" s="214"/>
      <c r="Z237" s="215">
        <f t="shared" si="38"/>
        <v>0</v>
      </c>
      <c r="AA237" s="199">
        <f t="shared" si="32"/>
        <v>0</v>
      </c>
      <c r="AB237" s="200">
        <f t="shared" si="33"/>
        <v>0</v>
      </c>
      <c r="AC237" s="199"/>
    </row>
    <row r="238" spans="1:29" s="216" customFormat="1" ht="18" customHeight="1">
      <c r="A238" s="243">
        <v>2019</v>
      </c>
      <c r="B238" s="210">
        <v>10</v>
      </c>
      <c r="C238" s="210"/>
      <c r="D238" s="211"/>
      <c r="E238" s="211"/>
      <c r="F238" s="211" t="s">
        <v>562</v>
      </c>
      <c r="G238" s="206" t="s">
        <v>23</v>
      </c>
      <c r="H238" s="204" t="s">
        <v>579</v>
      </c>
      <c r="I238" s="111" t="s">
        <v>33</v>
      </c>
      <c r="J238" s="111"/>
      <c r="K238" s="123" t="s">
        <v>110</v>
      </c>
      <c r="L238" s="212" t="s">
        <v>220</v>
      </c>
      <c r="M238" s="111" t="s">
        <v>33</v>
      </c>
      <c r="N238" s="212"/>
      <c r="O238" s="244">
        <v>197100</v>
      </c>
      <c r="P238" s="190" t="s">
        <v>623</v>
      </c>
      <c r="Q238" s="214"/>
      <c r="R238" s="215">
        <f t="shared" si="34"/>
        <v>0</v>
      </c>
      <c r="S238" s="214"/>
      <c r="T238" s="215">
        <f t="shared" si="35"/>
        <v>0</v>
      </c>
      <c r="U238" s="214"/>
      <c r="V238" s="215">
        <f t="shared" si="36"/>
        <v>0</v>
      </c>
      <c r="W238" s="214"/>
      <c r="X238" s="215">
        <f t="shared" si="37"/>
        <v>0</v>
      </c>
      <c r="Y238" s="214"/>
      <c r="Z238" s="215">
        <f t="shared" si="38"/>
        <v>0</v>
      </c>
      <c r="AA238" s="199">
        <f t="shared" si="32"/>
        <v>0</v>
      </c>
      <c r="AB238" s="200">
        <f t="shared" si="33"/>
        <v>0</v>
      </c>
      <c r="AC238" s="199"/>
    </row>
    <row r="239" spans="1:29" s="216" customFormat="1" ht="18" customHeight="1">
      <c r="A239" s="243">
        <v>2019</v>
      </c>
      <c r="B239" s="210">
        <v>10</v>
      </c>
      <c r="C239" s="210"/>
      <c r="D239" s="211"/>
      <c r="E239" s="211"/>
      <c r="F239" s="211" t="s">
        <v>562</v>
      </c>
      <c r="G239" s="206" t="s">
        <v>23</v>
      </c>
      <c r="H239" s="204" t="s">
        <v>579</v>
      </c>
      <c r="I239" s="111" t="s">
        <v>33</v>
      </c>
      <c r="J239" s="111"/>
      <c r="K239" s="123" t="s">
        <v>114</v>
      </c>
      <c r="L239" s="212" t="s">
        <v>220</v>
      </c>
      <c r="M239" s="111" t="s">
        <v>33</v>
      </c>
      <c r="N239" s="212"/>
      <c r="O239" s="244">
        <v>202500</v>
      </c>
      <c r="P239" s="190" t="s">
        <v>623</v>
      </c>
      <c r="Q239" s="214"/>
      <c r="R239" s="215">
        <f t="shared" si="34"/>
        <v>0</v>
      </c>
      <c r="S239" s="214"/>
      <c r="T239" s="215">
        <f t="shared" si="35"/>
        <v>0</v>
      </c>
      <c r="U239" s="214"/>
      <c r="V239" s="215">
        <f t="shared" si="36"/>
        <v>0</v>
      </c>
      <c r="W239" s="214"/>
      <c r="X239" s="215">
        <f t="shared" si="37"/>
        <v>0</v>
      </c>
      <c r="Y239" s="214"/>
      <c r="Z239" s="215">
        <f t="shared" si="38"/>
        <v>0</v>
      </c>
      <c r="AA239" s="199">
        <f t="shared" si="32"/>
        <v>0</v>
      </c>
      <c r="AB239" s="200">
        <f t="shared" si="33"/>
        <v>0</v>
      </c>
      <c r="AC239" s="199"/>
    </row>
    <row r="240" spans="1:29" s="216" customFormat="1" ht="18" customHeight="1">
      <c r="A240" s="243">
        <v>2019</v>
      </c>
      <c r="B240" s="210">
        <v>10</v>
      </c>
      <c r="C240" s="210"/>
      <c r="D240" s="211"/>
      <c r="E240" s="211"/>
      <c r="F240" s="211" t="s">
        <v>562</v>
      </c>
      <c r="G240" s="206" t="s">
        <v>23</v>
      </c>
      <c r="H240" s="204" t="s">
        <v>579</v>
      </c>
      <c r="I240" s="111" t="s">
        <v>33</v>
      </c>
      <c r="J240" s="111"/>
      <c r="K240" s="123" t="s">
        <v>115</v>
      </c>
      <c r="L240" s="212" t="s">
        <v>220</v>
      </c>
      <c r="M240" s="111" t="s">
        <v>33</v>
      </c>
      <c r="N240" s="212"/>
      <c r="O240" s="244">
        <v>220500</v>
      </c>
      <c r="P240" s="190" t="s">
        <v>623</v>
      </c>
      <c r="Q240" s="214"/>
      <c r="R240" s="215">
        <f t="shared" si="34"/>
        <v>0</v>
      </c>
      <c r="S240" s="214"/>
      <c r="T240" s="215">
        <f t="shared" si="35"/>
        <v>0</v>
      </c>
      <c r="U240" s="214"/>
      <c r="V240" s="215">
        <f t="shared" si="36"/>
        <v>0</v>
      </c>
      <c r="W240" s="214"/>
      <c r="X240" s="215">
        <f t="shared" si="37"/>
        <v>0</v>
      </c>
      <c r="Y240" s="214"/>
      <c r="Z240" s="215">
        <f t="shared" si="38"/>
        <v>0</v>
      </c>
      <c r="AA240" s="199">
        <f t="shared" si="32"/>
        <v>0</v>
      </c>
      <c r="AB240" s="200">
        <f t="shared" si="33"/>
        <v>0</v>
      </c>
      <c r="AC240" s="199"/>
    </row>
    <row r="241" spans="1:30" s="216" customFormat="1" ht="18" customHeight="1">
      <c r="A241" s="243">
        <v>2019</v>
      </c>
      <c r="B241" s="210">
        <v>10</v>
      </c>
      <c r="C241" s="210"/>
      <c r="D241" s="211"/>
      <c r="E241" s="211"/>
      <c r="F241" s="211" t="s">
        <v>562</v>
      </c>
      <c r="G241" s="206" t="s">
        <v>23</v>
      </c>
      <c r="H241" s="204" t="s">
        <v>579</v>
      </c>
      <c r="I241" s="111" t="s">
        <v>33</v>
      </c>
      <c r="J241" s="111"/>
      <c r="K241" s="123" t="s">
        <v>116</v>
      </c>
      <c r="L241" s="212" t="s">
        <v>220</v>
      </c>
      <c r="M241" s="111" t="s">
        <v>33</v>
      </c>
      <c r="N241" s="212"/>
      <c r="O241" s="244">
        <v>247500</v>
      </c>
      <c r="P241" s="190" t="s">
        <v>623</v>
      </c>
      <c r="Q241" s="214"/>
      <c r="R241" s="215">
        <f t="shared" si="34"/>
        <v>0</v>
      </c>
      <c r="S241" s="214"/>
      <c r="T241" s="215">
        <f t="shared" si="35"/>
        <v>0</v>
      </c>
      <c r="U241" s="214"/>
      <c r="V241" s="215">
        <f t="shared" si="36"/>
        <v>0</v>
      </c>
      <c r="W241" s="214"/>
      <c r="X241" s="215">
        <f t="shared" si="37"/>
        <v>0</v>
      </c>
      <c r="Y241" s="214"/>
      <c r="Z241" s="215">
        <f t="shared" si="38"/>
        <v>0</v>
      </c>
      <c r="AA241" s="199">
        <f t="shared" si="32"/>
        <v>0</v>
      </c>
      <c r="AB241" s="200">
        <f t="shared" si="33"/>
        <v>0</v>
      </c>
      <c r="AC241" s="199"/>
    </row>
    <row r="242" spans="1:30" s="216" customFormat="1" ht="18" customHeight="1">
      <c r="A242" s="243">
        <v>2019</v>
      </c>
      <c r="B242" s="210">
        <v>10</v>
      </c>
      <c r="C242" s="210"/>
      <c r="D242" s="211"/>
      <c r="E242" s="211"/>
      <c r="F242" s="211" t="s">
        <v>562</v>
      </c>
      <c r="G242" s="206" t="s">
        <v>23</v>
      </c>
      <c r="H242" s="204" t="s">
        <v>579</v>
      </c>
      <c r="I242" s="111" t="s">
        <v>133</v>
      </c>
      <c r="J242" s="111"/>
      <c r="K242" s="123" t="s">
        <v>134</v>
      </c>
      <c r="L242" s="212" t="s">
        <v>220</v>
      </c>
      <c r="M242" s="111" t="s">
        <v>133</v>
      </c>
      <c r="N242" s="212"/>
      <c r="O242" s="247">
        <v>269100</v>
      </c>
      <c r="P242" s="190" t="s">
        <v>623</v>
      </c>
      <c r="Q242" s="214"/>
      <c r="R242" s="215">
        <f t="shared" si="34"/>
        <v>0</v>
      </c>
      <c r="S242" s="214"/>
      <c r="T242" s="215">
        <f t="shared" si="35"/>
        <v>0</v>
      </c>
      <c r="U242" s="214"/>
      <c r="V242" s="215">
        <f t="shared" si="36"/>
        <v>0</v>
      </c>
      <c r="W242" s="214"/>
      <c r="X242" s="215">
        <f t="shared" si="37"/>
        <v>0</v>
      </c>
      <c r="Y242" s="214"/>
      <c r="Z242" s="215">
        <f t="shared" si="38"/>
        <v>0</v>
      </c>
      <c r="AA242" s="199">
        <f t="shared" ref="AA242:AA266" si="39">SUMIF($Q$4:$Z$4,"BÁN",$Q242:$Z242)</f>
        <v>0</v>
      </c>
      <c r="AB242" s="200">
        <f t="shared" ref="AB242:AB266" si="40">SUMIF($Q$4:$Z$4,"THÀNH TIỀN
BÁN THỰC TẾ",$Q242:$Z242)</f>
        <v>0</v>
      </c>
      <c r="AC242" s="199"/>
    </row>
    <row r="243" spans="1:30" s="248" customFormat="1" ht="18" customHeight="1">
      <c r="A243" s="243">
        <v>2019</v>
      </c>
      <c r="B243" s="210">
        <v>10</v>
      </c>
      <c r="C243" s="210"/>
      <c r="D243" s="211"/>
      <c r="E243" s="211"/>
      <c r="F243" s="211" t="s">
        <v>562</v>
      </c>
      <c r="G243" s="206" t="s">
        <v>23</v>
      </c>
      <c r="H243" s="204" t="s">
        <v>580</v>
      </c>
      <c r="I243" s="111" t="s">
        <v>34</v>
      </c>
      <c r="J243" s="111"/>
      <c r="K243" s="240" t="s">
        <v>607</v>
      </c>
      <c r="L243" s="212" t="s">
        <v>207</v>
      </c>
      <c r="M243" s="111" t="s">
        <v>34</v>
      </c>
      <c r="N243" s="212" t="s">
        <v>462</v>
      </c>
      <c r="O243" s="244">
        <v>179100</v>
      </c>
      <c r="P243" s="190" t="s">
        <v>623</v>
      </c>
      <c r="Q243" s="214"/>
      <c r="R243" s="215">
        <f t="shared" si="34"/>
        <v>0</v>
      </c>
      <c r="S243" s="214"/>
      <c r="T243" s="215">
        <f t="shared" si="35"/>
        <v>0</v>
      </c>
      <c r="U243" s="214"/>
      <c r="V243" s="215">
        <f t="shared" si="36"/>
        <v>0</v>
      </c>
      <c r="W243" s="214"/>
      <c r="X243" s="215">
        <f t="shared" si="37"/>
        <v>0</v>
      </c>
      <c r="Y243" s="214"/>
      <c r="Z243" s="215">
        <f t="shared" si="38"/>
        <v>0</v>
      </c>
      <c r="AA243" s="199">
        <f t="shared" si="39"/>
        <v>0</v>
      </c>
      <c r="AB243" s="200">
        <f t="shared" si="40"/>
        <v>0</v>
      </c>
      <c r="AC243" s="199"/>
      <c r="AD243" s="216"/>
    </row>
    <row r="244" spans="1:30" s="248" customFormat="1" ht="18" customHeight="1">
      <c r="A244" s="243">
        <v>2019</v>
      </c>
      <c r="B244" s="210">
        <v>10</v>
      </c>
      <c r="C244" s="210"/>
      <c r="D244" s="211"/>
      <c r="E244" s="211"/>
      <c r="F244" s="211" t="s">
        <v>562</v>
      </c>
      <c r="G244" s="206" t="s">
        <v>23</v>
      </c>
      <c r="H244" s="204" t="s">
        <v>580</v>
      </c>
      <c r="I244" s="111" t="s">
        <v>34</v>
      </c>
      <c r="J244" s="111"/>
      <c r="K244" s="240" t="s">
        <v>608</v>
      </c>
      <c r="L244" s="212" t="s">
        <v>207</v>
      </c>
      <c r="M244" s="111" t="s">
        <v>34</v>
      </c>
      <c r="N244" s="212" t="s">
        <v>464</v>
      </c>
      <c r="O244" s="244">
        <v>197100</v>
      </c>
      <c r="P244" s="190" t="s">
        <v>623</v>
      </c>
      <c r="Q244" s="214"/>
      <c r="R244" s="215">
        <f t="shared" si="34"/>
        <v>0</v>
      </c>
      <c r="S244" s="214"/>
      <c r="T244" s="215">
        <f t="shared" si="35"/>
        <v>0</v>
      </c>
      <c r="U244" s="214"/>
      <c r="V244" s="215">
        <f t="shared" si="36"/>
        <v>0</v>
      </c>
      <c r="W244" s="214"/>
      <c r="X244" s="215">
        <f t="shared" si="37"/>
        <v>0</v>
      </c>
      <c r="Y244" s="214"/>
      <c r="Z244" s="215">
        <f t="shared" si="38"/>
        <v>0</v>
      </c>
      <c r="AA244" s="199">
        <f t="shared" si="39"/>
        <v>0</v>
      </c>
      <c r="AB244" s="200">
        <f t="shared" si="40"/>
        <v>0</v>
      </c>
      <c r="AC244" s="199"/>
      <c r="AD244" s="216"/>
    </row>
    <row r="245" spans="1:30" s="248" customFormat="1" ht="18" customHeight="1">
      <c r="A245" s="243">
        <v>2019</v>
      </c>
      <c r="B245" s="210">
        <v>10</v>
      </c>
      <c r="C245" s="210"/>
      <c r="D245" s="211"/>
      <c r="E245" s="211"/>
      <c r="F245" s="211" t="s">
        <v>562</v>
      </c>
      <c r="G245" s="206" t="s">
        <v>23</v>
      </c>
      <c r="H245" s="204" t="s">
        <v>580</v>
      </c>
      <c r="I245" s="111" t="s">
        <v>34</v>
      </c>
      <c r="J245" s="111"/>
      <c r="K245" s="240" t="s">
        <v>609</v>
      </c>
      <c r="L245" s="212" t="s">
        <v>207</v>
      </c>
      <c r="M245" s="111" t="s">
        <v>34</v>
      </c>
      <c r="N245" s="212" t="s">
        <v>617</v>
      </c>
      <c r="O245" s="244">
        <v>206100</v>
      </c>
      <c r="P245" s="190" t="s">
        <v>623</v>
      </c>
      <c r="Q245" s="214"/>
      <c r="R245" s="215">
        <f t="shared" si="34"/>
        <v>0</v>
      </c>
      <c r="S245" s="214"/>
      <c r="T245" s="215">
        <f t="shared" si="35"/>
        <v>0</v>
      </c>
      <c r="U245" s="214"/>
      <c r="V245" s="215">
        <f t="shared" si="36"/>
        <v>0</v>
      </c>
      <c r="W245" s="214"/>
      <c r="X245" s="215">
        <f t="shared" si="37"/>
        <v>0</v>
      </c>
      <c r="Y245" s="214"/>
      <c r="Z245" s="215">
        <f t="shared" si="38"/>
        <v>0</v>
      </c>
      <c r="AA245" s="199">
        <f t="shared" si="39"/>
        <v>0</v>
      </c>
      <c r="AB245" s="200">
        <f t="shared" si="40"/>
        <v>0</v>
      </c>
      <c r="AC245" s="199"/>
      <c r="AD245" s="216"/>
    </row>
    <row r="246" spans="1:30" s="248" customFormat="1" ht="18" customHeight="1">
      <c r="A246" s="243">
        <v>2019</v>
      </c>
      <c r="B246" s="210">
        <v>10</v>
      </c>
      <c r="C246" s="210"/>
      <c r="D246" s="211"/>
      <c r="E246" s="211"/>
      <c r="F246" s="211" t="s">
        <v>562</v>
      </c>
      <c r="G246" s="206" t="s">
        <v>23</v>
      </c>
      <c r="H246" s="204" t="s">
        <v>580</v>
      </c>
      <c r="I246" s="111" t="s">
        <v>34</v>
      </c>
      <c r="J246" s="111"/>
      <c r="K246" s="240" t="s">
        <v>610</v>
      </c>
      <c r="L246" s="212" t="s">
        <v>207</v>
      </c>
      <c r="M246" s="111" t="s">
        <v>34</v>
      </c>
      <c r="N246" s="212" t="s">
        <v>618</v>
      </c>
      <c r="O246" s="244">
        <v>242100</v>
      </c>
      <c r="P246" s="190" t="s">
        <v>623</v>
      </c>
      <c r="Q246" s="214"/>
      <c r="R246" s="215">
        <f t="shared" si="34"/>
        <v>0</v>
      </c>
      <c r="S246" s="214"/>
      <c r="T246" s="215">
        <f t="shared" si="35"/>
        <v>0</v>
      </c>
      <c r="U246" s="214"/>
      <c r="V246" s="215">
        <f t="shared" si="36"/>
        <v>0</v>
      </c>
      <c r="W246" s="214"/>
      <c r="X246" s="215">
        <f t="shared" si="37"/>
        <v>0</v>
      </c>
      <c r="Y246" s="214"/>
      <c r="Z246" s="215">
        <f t="shared" si="38"/>
        <v>0</v>
      </c>
      <c r="AA246" s="199">
        <f t="shared" si="39"/>
        <v>0</v>
      </c>
      <c r="AB246" s="200">
        <f t="shared" si="40"/>
        <v>0</v>
      </c>
      <c r="AC246" s="199"/>
      <c r="AD246" s="216"/>
    </row>
    <row r="247" spans="1:30" s="248" customFormat="1" ht="18" customHeight="1">
      <c r="A247" s="243">
        <v>2019</v>
      </c>
      <c r="B247" s="210">
        <v>10</v>
      </c>
      <c r="C247" s="210"/>
      <c r="D247" s="211"/>
      <c r="E247" s="211"/>
      <c r="F247" s="211" t="s">
        <v>562</v>
      </c>
      <c r="G247" s="206" t="s">
        <v>23</v>
      </c>
      <c r="H247" s="204" t="s">
        <v>580</v>
      </c>
      <c r="I247" s="111" t="s">
        <v>34</v>
      </c>
      <c r="J247" s="111"/>
      <c r="K247" s="240" t="s">
        <v>611</v>
      </c>
      <c r="L247" s="212" t="s">
        <v>207</v>
      </c>
      <c r="M247" s="111" t="s">
        <v>34</v>
      </c>
      <c r="N247" s="212" t="s">
        <v>619</v>
      </c>
      <c r="O247" s="244">
        <v>260100</v>
      </c>
      <c r="P247" s="190" t="s">
        <v>623</v>
      </c>
      <c r="Q247" s="214"/>
      <c r="R247" s="215">
        <f t="shared" si="34"/>
        <v>0</v>
      </c>
      <c r="S247" s="214"/>
      <c r="T247" s="215">
        <f t="shared" si="35"/>
        <v>0</v>
      </c>
      <c r="U247" s="214"/>
      <c r="V247" s="215">
        <f t="shared" si="36"/>
        <v>0</v>
      </c>
      <c r="W247" s="214"/>
      <c r="X247" s="215">
        <f t="shared" si="37"/>
        <v>0</v>
      </c>
      <c r="Y247" s="214"/>
      <c r="Z247" s="215">
        <f t="shared" si="38"/>
        <v>0</v>
      </c>
      <c r="AA247" s="199">
        <f t="shared" si="39"/>
        <v>0</v>
      </c>
      <c r="AB247" s="200">
        <f t="shared" si="40"/>
        <v>0</v>
      </c>
      <c r="AC247" s="199"/>
      <c r="AD247" s="216"/>
    </row>
    <row r="248" spans="1:30" s="248" customFormat="1" ht="18" customHeight="1">
      <c r="A248" s="243">
        <v>2019</v>
      </c>
      <c r="B248" s="210">
        <v>10</v>
      </c>
      <c r="C248" s="210"/>
      <c r="D248" s="211"/>
      <c r="E248" s="211"/>
      <c r="F248" s="211" t="s">
        <v>562</v>
      </c>
      <c r="G248" s="206" t="s">
        <v>23</v>
      </c>
      <c r="H248" s="204" t="s">
        <v>580</v>
      </c>
      <c r="I248" s="111" t="s">
        <v>34</v>
      </c>
      <c r="J248" s="111"/>
      <c r="K248" s="240" t="s">
        <v>612</v>
      </c>
      <c r="L248" s="212" t="s">
        <v>207</v>
      </c>
      <c r="M248" s="111" t="s">
        <v>34</v>
      </c>
      <c r="N248" s="212" t="s">
        <v>462</v>
      </c>
      <c r="O248" s="244">
        <v>179100</v>
      </c>
      <c r="P248" s="190" t="s">
        <v>623</v>
      </c>
      <c r="Q248" s="214"/>
      <c r="R248" s="215">
        <f t="shared" si="34"/>
        <v>0</v>
      </c>
      <c r="S248" s="214"/>
      <c r="T248" s="215">
        <f t="shared" si="35"/>
        <v>0</v>
      </c>
      <c r="U248" s="214"/>
      <c r="V248" s="215">
        <f t="shared" si="36"/>
        <v>0</v>
      </c>
      <c r="W248" s="214"/>
      <c r="X248" s="215">
        <f t="shared" si="37"/>
        <v>0</v>
      </c>
      <c r="Y248" s="214"/>
      <c r="Z248" s="215">
        <f t="shared" si="38"/>
        <v>0</v>
      </c>
      <c r="AA248" s="199">
        <f t="shared" si="39"/>
        <v>0</v>
      </c>
      <c r="AB248" s="200">
        <f t="shared" si="40"/>
        <v>0</v>
      </c>
      <c r="AC248" s="199"/>
      <c r="AD248" s="216"/>
    </row>
    <row r="249" spans="1:30" s="248" customFormat="1" ht="18" customHeight="1">
      <c r="A249" s="243">
        <v>2019</v>
      </c>
      <c r="B249" s="210">
        <v>10</v>
      </c>
      <c r="C249" s="210"/>
      <c r="D249" s="211"/>
      <c r="E249" s="211"/>
      <c r="F249" s="211" t="s">
        <v>562</v>
      </c>
      <c r="G249" s="206" t="s">
        <v>23</v>
      </c>
      <c r="H249" s="204" t="s">
        <v>580</v>
      </c>
      <c r="I249" s="111" t="s">
        <v>34</v>
      </c>
      <c r="J249" s="111"/>
      <c r="K249" s="240" t="s">
        <v>613</v>
      </c>
      <c r="L249" s="212" t="s">
        <v>207</v>
      </c>
      <c r="M249" s="111" t="s">
        <v>34</v>
      </c>
      <c r="N249" s="212" t="s">
        <v>464</v>
      </c>
      <c r="O249" s="244">
        <v>197100</v>
      </c>
      <c r="P249" s="190" t="s">
        <v>623</v>
      </c>
      <c r="Q249" s="214"/>
      <c r="R249" s="215">
        <f t="shared" si="34"/>
        <v>0</v>
      </c>
      <c r="S249" s="214"/>
      <c r="T249" s="215">
        <f t="shared" si="35"/>
        <v>0</v>
      </c>
      <c r="U249" s="214"/>
      <c r="V249" s="215">
        <f t="shared" si="36"/>
        <v>0</v>
      </c>
      <c r="W249" s="214"/>
      <c r="X249" s="215">
        <f t="shared" si="37"/>
        <v>0</v>
      </c>
      <c r="Y249" s="214"/>
      <c r="Z249" s="215">
        <f t="shared" si="38"/>
        <v>0</v>
      </c>
      <c r="AA249" s="199">
        <f t="shared" si="39"/>
        <v>0</v>
      </c>
      <c r="AB249" s="200">
        <f t="shared" si="40"/>
        <v>0</v>
      </c>
      <c r="AC249" s="199"/>
      <c r="AD249" s="216"/>
    </row>
    <row r="250" spans="1:30" s="248" customFormat="1" ht="18" customHeight="1">
      <c r="A250" s="243">
        <v>2019</v>
      </c>
      <c r="B250" s="210">
        <v>10</v>
      </c>
      <c r="C250" s="210"/>
      <c r="D250" s="211"/>
      <c r="E250" s="211"/>
      <c r="F250" s="211" t="s">
        <v>562</v>
      </c>
      <c r="G250" s="206" t="s">
        <v>23</v>
      </c>
      <c r="H250" s="204" t="s">
        <v>580</v>
      </c>
      <c r="I250" s="111" t="s">
        <v>34</v>
      </c>
      <c r="J250" s="111"/>
      <c r="K250" s="240" t="s">
        <v>614</v>
      </c>
      <c r="L250" s="212" t="s">
        <v>207</v>
      </c>
      <c r="M250" s="111" t="s">
        <v>34</v>
      </c>
      <c r="N250" s="212" t="s">
        <v>617</v>
      </c>
      <c r="O250" s="244">
        <v>206100</v>
      </c>
      <c r="P250" s="190" t="s">
        <v>623</v>
      </c>
      <c r="Q250" s="214"/>
      <c r="R250" s="215">
        <f t="shared" si="34"/>
        <v>0</v>
      </c>
      <c r="S250" s="214"/>
      <c r="T250" s="215">
        <f t="shared" si="35"/>
        <v>0</v>
      </c>
      <c r="U250" s="214"/>
      <c r="V250" s="215">
        <f t="shared" si="36"/>
        <v>0</v>
      </c>
      <c r="W250" s="214"/>
      <c r="X250" s="215">
        <f t="shared" si="37"/>
        <v>0</v>
      </c>
      <c r="Y250" s="214"/>
      <c r="Z250" s="215">
        <f t="shared" si="38"/>
        <v>0</v>
      </c>
      <c r="AA250" s="199">
        <f t="shared" si="39"/>
        <v>0</v>
      </c>
      <c r="AB250" s="200">
        <f t="shared" si="40"/>
        <v>0</v>
      </c>
      <c r="AC250" s="199"/>
      <c r="AD250" s="216"/>
    </row>
    <row r="251" spans="1:30" s="248" customFormat="1" ht="18" customHeight="1">
      <c r="A251" s="243">
        <v>2019</v>
      </c>
      <c r="B251" s="210">
        <v>10</v>
      </c>
      <c r="C251" s="210"/>
      <c r="D251" s="211"/>
      <c r="E251" s="211"/>
      <c r="F251" s="211" t="s">
        <v>562</v>
      </c>
      <c r="G251" s="206" t="s">
        <v>23</v>
      </c>
      <c r="H251" s="204" t="s">
        <v>580</v>
      </c>
      <c r="I251" s="111" t="s">
        <v>34</v>
      </c>
      <c r="J251" s="111"/>
      <c r="K251" s="240" t="s">
        <v>615</v>
      </c>
      <c r="L251" s="212" t="s">
        <v>207</v>
      </c>
      <c r="M251" s="111" t="s">
        <v>34</v>
      </c>
      <c r="N251" s="212" t="s">
        <v>618</v>
      </c>
      <c r="O251" s="244">
        <v>242100</v>
      </c>
      <c r="P251" s="190" t="s">
        <v>623</v>
      </c>
      <c r="Q251" s="214"/>
      <c r="R251" s="215">
        <f t="shared" si="34"/>
        <v>0</v>
      </c>
      <c r="S251" s="214"/>
      <c r="T251" s="215">
        <f t="shared" si="35"/>
        <v>0</v>
      </c>
      <c r="U251" s="214"/>
      <c r="V251" s="215">
        <f t="shared" si="36"/>
        <v>0</v>
      </c>
      <c r="W251" s="214"/>
      <c r="X251" s="215">
        <f t="shared" si="37"/>
        <v>0</v>
      </c>
      <c r="Y251" s="214"/>
      <c r="Z251" s="215">
        <f t="shared" si="38"/>
        <v>0</v>
      </c>
      <c r="AA251" s="199">
        <f t="shared" si="39"/>
        <v>0</v>
      </c>
      <c r="AB251" s="200">
        <f t="shared" si="40"/>
        <v>0</v>
      </c>
      <c r="AC251" s="199"/>
      <c r="AD251" s="216"/>
    </row>
    <row r="252" spans="1:30" s="248" customFormat="1" ht="18" customHeight="1">
      <c r="A252" s="243">
        <v>2019</v>
      </c>
      <c r="B252" s="210">
        <v>10</v>
      </c>
      <c r="C252" s="210"/>
      <c r="D252" s="211"/>
      <c r="E252" s="211"/>
      <c r="F252" s="211" t="s">
        <v>562</v>
      </c>
      <c r="G252" s="206" t="s">
        <v>23</v>
      </c>
      <c r="H252" s="204" t="s">
        <v>580</v>
      </c>
      <c r="I252" s="111" t="s">
        <v>34</v>
      </c>
      <c r="J252" s="111"/>
      <c r="K252" s="240" t="s">
        <v>616</v>
      </c>
      <c r="L252" s="212" t="s">
        <v>207</v>
      </c>
      <c r="M252" s="111" t="s">
        <v>34</v>
      </c>
      <c r="N252" s="212" t="s">
        <v>619</v>
      </c>
      <c r="O252" s="244">
        <v>260100</v>
      </c>
      <c r="P252" s="190" t="s">
        <v>623</v>
      </c>
      <c r="Q252" s="214"/>
      <c r="R252" s="215">
        <f t="shared" si="34"/>
        <v>0</v>
      </c>
      <c r="S252" s="214"/>
      <c r="T252" s="215">
        <f t="shared" si="35"/>
        <v>0</v>
      </c>
      <c r="U252" s="214"/>
      <c r="V252" s="215">
        <f t="shared" si="36"/>
        <v>0</v>
      </c>
      <c r="W252" s="214"/>
      <c r="X252" s="215">
        <f t="shared" si="37"/>
        <v>0</v>
      </c>
      <c r="Y252" s="214"/>
      <c r="Z252" s="215">
        <f t="shared" si="38"/>
        <v>0</v>
      </c>
      <c r="AA252" s="199">
        <f t="shared" si="39"/>
        <v>0</v>
      </c>
      <c r="AB252" s="200">
        <f t="shared" si="40"/>
        <v>0</v>
      </c>
      <c r="AC252" s="199"/>
      <c r="AD252" s="216"/>
    </row>
    <row r="253" spans="1:30" s="96" customFormat="1" ht="18.75" customHeight="1">
      <c r="A253" s="107">
        <v>2020</v>
      </c>
      <c r="B253" s="108">
        <v>3</v>
      </c>
      <c r="C253" s="108"/>
      <c r="D253" s="102"/>
      <c r="E253" s="102"/>
      <c r="F253" s="102" t="s">
        <v>562</v>
      </c>
      <c r="G253" s="98" t="s">
        <v>40</v>
      </c>
      <c r="H253" s="99" t="s">
        <v>581</v>
      </c>
      <c r="I253" s="121"/>
      <c r="J253" s="121"/>
      <c r="K253" s="240" t="s">
        <v>537</v>
      </c>
      <c r="L253" s="100" t="s">
        <v>215</v>
      </c>
      <c r="M253" s="121"/>
      <c r="N253" s="100"/>
      <c r="O253" s="118"/>
      <c r="P253" s="184" t="s">
        <v>623</v>
      </c>
      <c r="Q253" s="110"/>
      <c r="R253" s="160">
        <f>Q253*$O253</f>
        <v>0</v>
      </c>
      <c r="S253" s="110"/>
      <c r="T253" s="160">
        <f>S253*$O253</f>
        <v>0</v>
      </c>
      <c r="U253" s="110"/>
      <c r="V253" s="160">
        <f>U253*$O253</f>
        <v>0</v>
      </c>
      <c r="W253" s="110"/>
      <c r="X253" s="160">
        <f>W253*$O253</f>
        <v>0</v>
      </c>
      <c r="Y253" s="110"/>
      <c r="Z253" s="160">
        <f>Y253*$O253</f>
        <v>0</v>
      </c>
      <c r="AA253" s="233">
        <f>SUMIF($Q$4:$Z$4,"BÁN",$Q253:$Z253)</f>
        <v>0</v>
      </c>
      <c r="AB253" s="234">
        <f>SUMIF($Q$4:$Z$4,"THÀNH TIỀN
BÁN THỰC TẾ",$Q253:$Z253)</f>
        <v>0</v>
      </c>
      <c r="AC253" s="195"/>
      <c r="AD253" s="95"/>
    </row>
    <row r="254" spans="1:30" s="216" customFormat="1" ht="18" customHeight="1">
      <c r="A254" s="243">
        <v>2019</v>
      </c>
      <c r="B254" s="210">
        <v>10</v>
      </c>
      <c r="C254" s="210"/>
      <c r="D254" s="211"/>
      <c r="E254" s="211"/>
      <c r="F254" s="211" t="s">
        <v>562</v>
      </c>
      <c r="G254" s="206" t="s">
        <v>40</v>
      </c>
      <c r="H254" s="204" t="s">
        <v>583</v>
      </c>
      <c r="I254" s="249"/>
      <c r="J254" s="249"/>
      <c r="K254" s="124" t="s">
        <v>160</v>
      </c>
      <c r="L254" s="230"/>
      <c r="M254" s="249"/>
      <c r="N254" s="230"/>
      <c r="O254" s="246">
        <v>989100</v>
      </c>
      <c r="P254" s="190" t="s">
        <v>623</v>
      </c>
      <c r="Q254" s="214"/>
      <c r="R254" s="215">
        <f t="shared" si="34"/>
        <v>0</v>
      </c>
      <c r="S254" s="214"/>
      <c r="T254" s="215">
        <f t="shared" si="35"/>
        <v>0</v>
      </c>
      <c r="U254" s="214"/>
      <c r="V254" s="215">
        <f t="shared" si="36"/>
        <v>0</v>
      </c>
      <c r="W254" s="214"/>
      <c r="X254" s="215">
        <f t="shared" si="37"/>
        <v>0</v>
      </c>
      <c r="Y254" s="214"/>
      <c r="Z254" s="215">
        <f t="shared" si="38"/>
        <v>0</v>
      </c>
      <c r="AA254" s="199">
        <f t="shared" si="39"/>
        <v>0</v>
      </c>
      <c r="AB254" s="200">
        <f t="shared" si="40"/>
        <v>0</v>
      </c>
      <c r="AC254" s="199"/>
    </row>
    <row r="255" spans="1:30" s="216" customFormat="1" ht="18" customHeight="1">
      <c r="A255" s="243">
        <v>2019</v>
      </c>
      <c r="B255" s="210">
        <v>10</v>
      </c>
      <c r="C255" s="210"/>
      <c r="D255" s="211"/>
      <c r="E255" s="211"/>
      <c r="F255" s="211" t="s">
        <v>562</v>
      </c>
      <c r="G255" s="206" t="s">
        <v>40</v>
      </c>
      <c r="H255" s="204" t="s">
        <v>583</v>
      </c>
      <c r="I255" s="249"/>
      <c r="J255" s="249"/>
      <c r="K255" s="123" t="s">
        <v>161</v>
      </c>
      <c r="L255" s="230"/>
      <c r="M255" s="249"/>
      <c r="N255" s="230"/>
      <c r="O255" s="245">
        <v>1079100</v>
      </c>
      <c r="P255" s="190" t="s">
        <v>623</v>
      </c>
      <c r="Q255" s="214"/>
      <c r="R255" s="215">
        <f t="shared" si="34"/>
        <v>0</v>
      </c>
      <c r="S255" s="214"/>
      <c r="T255" s="215">
        <f t="shared" si="35"/>
        <v>0</v>
      </c>
      <c r="U255" s="214"/>
      <c r="V255" s="215">
        <f t="shared" si="36"/>
        <v>0</v>
      </c>
      <c r="W255" s="214"/>
      <c r="X255" s="215">
        <f t="shared" si="37"/>
        <v>0</v>
      </c>
      <c r="Y255" s="214"/>
      <c r="Z255" s="215">
        <f t="shared" si="38"/>
        <v>0</v>
      </c>
      <c r="AA255" s="199">
        <f t="shared" si="39"/>
        <v>0</v>
      </c>
      <c r="AB255" s="200">
        <f t="shared" si="40"/>
        <v>0</v>
      </c>
      <c r="AC255" s="199"/>
    </row>
    <row r="256" spans="1:30" s="216" customFormat="1" ht="18" customHeight="1">
      <c r="A256" s="243">
        <v>2019</v>
      </c>
      <c r="B256" s="210">
        <v>10</v>
      </c>
      <c r="C256" s="210"/>
      <c r="D256" s="211"/>
      <c r="E256" s="211"/>
      <c r="F256" s="211" t="s">
        <v>562</v>
      </c>
      <c r="G256" s="206" t="s">
        <v>40</v>
      </c>
      <c r="H256" s="204" t="s">
        <v>584</v>
      </c>
      <c r="I256" s="249"/>
      <c r="J256" s="249"/>
      <c r="K256" s="124" t="s">
        <v>50</v>
      </c>
      <c r="L256" s="212" t="s">
        <v>208</v>
      </c>
      <c r="M256" s="249"/>
      <c r="N256" s="212"/>
      <c r="O256" s="245">
        <v>538200</v>
      </c>
      <c r="P256" s="190" t="s">
        <v>623</v>
      </c>
      <c r="Q256" s="214"/>
      <c r="R256" s="215">
        <f t="shared" si="34"/>
        <v>0</v>
      </c>
      <c r="S256" s="214"/>
      <c r="T256" s="215">
        <f t="shared" si="35"/>
        <v>0</v>
      </c>
      <c r="U256" s="214"/>
      <c r="V256" s="215">
        <f t="shared" si="36"/>
        <v>0</v>
      </c>
      <c r="W256" s="214"/>
      <c r="X256" s="215">
        <f t="shared" si="37"/>
        <v>0</v>
      </c>
      <c r="Y256" s="214"/>
      <c r="Z256" s="215">
        <f t="shared" si="38"/>
        <v>0</v>
      </c>
      <c r="AA256" s="199">
        <f t="shared" si="39"/>
        <v>0</v>
      </c>
      <c r="AB256" s="200">
        <f t="shared" si="40"/>
        <v>0</v>
      </c>
      <c r="AC256" s="199"/>
    </row>
    <row r="257" spans="1:30" s="216" customFormat="1" ht="18" customHeight="1">
      <c r="A257" s="243">
        <v>2019</v>
      </c>
      <c r="B257" s="210">
        <v>10</v>
      </c>
      <c r="C257" s="210"/>
      <c r="D257" s="211"/>
      <c r="E257" s="211"/>
      <c r="F257" s="211" t="s">
        <v>562</v>
      </c>
      <c r="G257" s="206" t="s">
        <v>40</v>
      </c>
      <c r="H257" s="204" t="s">
        <v>584</v>
      </c>
      <c r="I257" s="249"/>
      <c r="J257" s="249"/>
      <c r="K257" s="123" t="s">
        <v>112</v>
      </c>
      <c r="L257" s="212" t="s">
        <v>208</v>
      </c>
      <c r="M257" s="249"/>
      <c r="N257" s="212"/>
      <c r="O257" s="245">
        <v>359100</v>
      </c>
      <c r="P257" s="190" t="s">
        <v>623</v>
      </c>
      <c r="Q257" s="214"/>
      <c r="R257" s="215">
        <f t="shared" si="34"/>
        <v>0</v>
      </c>
      <c r="S257" s="214"/>
      <c r="T257" s="215">
        <f t="shared" si="35"/>
        <v>0</v>
      </c>
      <c r="U257" s="214"/>
      <c r="V257" s="215">
        <f t="shared" si="36"/>
        <v>0</v>
      </c>
      <c r="W257" s="214"/>
      <c r="X257" s="215">
        <f t="shared" si="37"/>
        <v>0</v>
      </c>
      <c r="Y257" s="214"/>
      <c r="Z257" s="215">
        <f t="shared" si="38"/>
        <v>0</v>
      </c>
      <c r="AA257" s="199">
        <f t="shared" si="39"/>
        <v>0</v>
      </c>
      <c r="AB257" s="200">
        <f t="shared" si="40"/>
        <v>0</v>
      </c>
      <c r="AC257" s="199"/>
    </row>
    <row r="258" spans="1:30" s="216" customFormat="1" ht="18" customHeight="1">
      <c r="A258" s="243">
        <v>2019</v>
      </c>
      <c r="B258" s="210">
        <v>10</v>
      </c>
      <c r="C258" s="210"/>
      <c r="D258" s="211"/>
      <c r="E258" s="211"/>
      <c r="F258" s="211" t="s">
        <v>562</v>
      </c>
      <c r="G258" s="206" t="s">
        <v>40</v>
      </c>
      <c r="H258" s="204" t="s">
        <v>584</v>
      </c>
      <c r="I258" s="249"/>
      <c r="J258" s="249"/>
      <c r="K258" s="123" t="s">
        <v>149</v>
      </c>
      <c r="L258" s="212" t="s">
        <v>208</v>
      </c>
      <c r="M258" s="249"/>
      <c r="N258" s="212"/>
      <c r="O258" s="245">
        <v>359100</v>
      </c>
      <c r="P258" s="190" t="s">
        <v>623</v>
      </c>
      <c r="Q258" s="214"/>
      <c r="R258" s="215">
        <f t="shared" si="34"/>
        <v>0</v>
      </c>
      <c r="S258" s="214"/>
      <c r="T258" s="215">
        <f t="shared" si="35"/>
        <v>0</v>
      </c>
      <c r="U258" s="214"/>
      <c r="V258" s="215">
        <f t="shared" si="36"/>
        <v>0</v>
      </c>
      <c r="W258" s="214"/>
      <c r="X258" s="215">
        <f t="shared" si="37"/>
        <v>0</v>
      </c>
      <c r="Y258" s="214"/>
      <c r="Z258" s="215">
        <f t="shared" si="38"/>
        <v>0</v>
      </c>
      <c r="AA258" s="199">
        <f t="shared" si="39"/>
        <v>0</v>
      </c>
      <c r="AB258" s="200">
        <f t="shared" si="40"/>
        <v>0</v>
      </c>
      <c r="AC258" s="199"/>
    </row>
    <row r="259" spans="1:30" s="216" customFormat="1" ht="18" customHeight="1">
      <c r="A259" s="243">
        <v>2019</v>
      </c>
      <c r="B259" s="210">
        <v>10</v>
      </c>
      <c r="C259" s="210"/>
      <c r="D259" s="211"/>
      <c r="E259" s="211"/>
      <c r="F259" s="211" t="s">
        <v>562</v>
      </c>
      <c r="G259" s="206" t="s">
        <v>40</v>
      </c>
      <c r="H259" s="204" t="s">
        <v>584</v>
      </c>
      <c r="I259" s="249"/>
      <c r="J259" s="249"/>
      <c r="K259" s="123" t="s">
        <v>141</v>
      </c>
      <c r="L259" s="212" t="s">
        <v>208</v>
      </c>
      <c r="M259" s="249"/>
      <c r="N259" s="212"/>
      <c r="O259" s="245">
        <v>404100</v>
      </c>
      <c r="P259" s="190" t="s">
        <v>623</v>
      </c>
      <c r="Q259" s="214"/>
      <c r="R259" s="215">
        <f t="shared" si="34"/>
        <v>0</v>
      </c>
      <c r="S259" s="214"/>
      <c r="T259" s="215">
        <f t="shared" si="35"/>
        <v>0</v>
      </c>
      <c r="U259" s="214"/>
      <c r="V259" s="215">
        <f t="shared" si="36"/>
        <v>0</v>
      </c>
      <c r="W259" s="214"/>
      <c r="X259" s="215">
        <f t="shared" si="37"/>
        <v>0</v>
      </c>
      <c r="Y259" s="214"/>
      <c r="Z259" s="215">
        <f t="shared" si="38"/>
        <v>0</v>
      </c>
      <c r="AA259" s="199">
        <f t="shared" si="39"/>
        <v>0</v>
      </c>
      <c r="AB259" s="200">
        <f t="shared" si="40"/>
        <v>0</v>
      </c>
      <c r="AC259" s="199"/>
    </row>
    <row r="260" spans="1:30" s="216" customFormat="1" ht="18" customHeight="1">
      <c r="A260" s="243">
        <v>2019</v>
      </c>
      <c r="B260" s="210">
        <v>10</v>
      </c>
      <c r="C260" s="210"/>
      <c r="D260" s="211"/>
      <c r="E260" s="211"/>
      <c r="F260" s="211" t="s">
        <v>562</v>
      </c>
      <c r="G260" s="206" t="s">
        <v>40</v>
      </c>
      <c r="H260" s="204" t="s">
        <v>586</v>
      </c>
      <c r="I260" s="111"/>
      <c r="J260" s="111"/>
      <c r="K260" s="123" t="s">
        <v>47</v>
      </c>
      <c r="L260" s="230" t="s">
        <v>212</v>
      </c>
      <c r="M260" s="111"/>
      <c r="N260" s="230"/>
      <c r="O260" s="245">
        <v>1160100</v>
      </c>
      <c r="P260" s="190" t="s">
        <v>623</v>
      </c>
      <c r="Q260" s="214"/>
      <c r="R260" s="215">
        <f t="shared" si="34"/>
        <v>0</v>
      </c>
      <c r="S260" s="214"/>
      <c r="T260" s="215">
        <f t="shared" si="35"/>
        <v>0</v>
      </c>
      <c r="U260" s="214"/>
      <c r="V260" s="215">
        <f t="shared" si="36"/>
        <v>0</v>
      </c>
      <c r="W260" s="214"/>
      <c r="X260" s="215">
        <f t="shared" si="37"/>
        <v>0</v>
      </c>
      <c r="Y260" s="214"/>
      <c r="Z260" s="215">
        <f t="shared" si="38"/>
        <v>0</v>
      </c>
      <c r="AA260" s="199">
        <f t="shared" si="39"/>
        <v>0</v>
      </c>
      <c r="AB260" s="200">
        <f t="shared" si="40"/>
        <v>0</v>
      </c>
      <c r="AC260" s="199"/>
    </row>
    <row r="261" spans="1:30" s="216" customFormat="1" ht="18" customHeight="1">
      <c r="A261" s="243">
        <v>2019</v>
      </c>
      <c r="B261" s="210">
        <v>10</v>
      </c>
      <c r="C261" s="210"/>
      <c r="D261" s="211"/>
      <c r="E261" s="211"/>
      <c r="F261" s="211" t="s">
        <v>562</v>
      </c>
      <c r="G261" s="206" t="s">
        <v>40</v>
      </c>
      <c r="H261" s="204" t="s">
        <v>587</v>
      </c>
      <c r="I261" s="111"/>
      <c r="J261" s="111"/>
      <c r="K261" s="123" t="s">
        <v>48</v>
      </c>
      <c r="L261" s="230" t="s">
        <v>216</v>
      </c>
      <c r="M261" s="111"/>
      <c r="N261" s="230"/>
      <c r="O261" s="245">
        <v>629100</v>
      </c>
      <c r="P261" s="190" t="s">
        <v>623</v>
      </c>
      <c r="Q261" s="214"/>
      <c r="R261" s="215">
        <f t="shared" si="34"/>
        <v>0</v>
      </c>
      <c r="S261" s="214"/>
      <c r="T261" s="215">
        <f t="shared" si="35"/>
        <v>0</v>
      </c>
      <c r="U261" s="214"/>
      <c r="V261" s="215">
        <f t="shared" si="36"/>
        <v>0</v>
      </c>
      <c r="W261" s="214"/>
      <c r="X261" s="215">
        <f t="shared" si="37"/>
        <v>0</v>
      </c>
      <c r="Y261" s="214"/>
      <c r="Z261" s="215">
        <f t="shared" si="38"/>
        <v>0</v>
      </c>
      <c r="AA261" s="199">
        <f t="shared" si="39"/>
        <v>0</v>
      </c>
      <c r="AB261" s="200">
        <f t="shared" si="40"/>
        <v>0</v>
      </c>
      <c r="AC261" s="199"/>
    </row>
    <row r="262" spans="1:30" s="216" customFormat="1" ht="18" customHeight="1">
      <c r="A262" s="243">
        <v>2019</v>
      </c>
      <c r="B262" s="210">
        <v>10</v>
      </c>
      <c r="C262" s="210"/>
      <c r="D262" s="211"/>
      <c r="E262" s="211"/>
      <c r="F262" s="211" t="s">
        <v>562</v>
      </c>
      <c r="G262" s="206" t="s">
        <v>40</v>
      </c>
      <c r="H262" s="204" t="s">
        <v>585</v>
      </c>
      <c r="I262" s="111"/>
      <c r="J262" s="111"/>
      <c r="K262" s="123" t="s">
        <v>135</v>
      </c>
      <c r="L262" s="212" t="s">
        <v>213</v>
      </c>
      <c r="M262" s="111"/>
      <c r="N262" s="212"/>
      <c r="O262" s="245">
        <v>782100</v>
      </c>
      <c r="P262" s="190" t="s">
        <v>623</v>
      </c>
      <c r="Q262" s="214"/>
      <c r="R262" s="215">
        <f t="shared" si="34"/>
        <v>0</v>
      </c>
      <c r="S262" s="214"/>
      <c r="T262" s="215">
        <f t="shared" si="35"/>
        <v>0</v>
      </c>
      <c r="U262" s="214"/>
      <c r="V262" s="215">
        <f t="shared" si="36"/>
        <v>0</v>
      </c>
      <c r="W262" s="214"/>
      <c r="X262" s="215">
        <f t="shared" si="37"/>
        <v>0</v>
      </c>
      <c r="Y262" s="214"/>
      <c r="Z262" s="215">
        <f t="shared" si="38"/>
        <v>0</v>
      </c>
      <c r="AA262" s="199">
        <f t="shared" si="39"/>
        <v>0</v>
      </c>
      <c r="AB262" s="200">
        <f t="shared" si="40"/>
        <v>0</v>
      </c>
      <c r="AC262" s="199"/>
    </row>
    <row r="263" spans="1:30" s="216" customFormat="1" ht="18" customHeight="1">
      <c r="A263" s="243">
        <v>2019</v>
      </c>
      <c r="B263" s="210">
        <v>10</v>
      </c>
      <c r="C263" s="210"/>
      <c r="D263" s="211"/>
      <c r="E263" s="211"/>
      <c r="F263" s="211" t="s">
        <v>562</v>
      </c>
      <c r="G263" s="206" t="s">
        <v>40</v>
      </c>
      <c r="H263" s="204" t="s">
        <v>585</v>
      </c>
      <c r="I263" s="111"/>
      <c r="J263" s="111"/>
      <c r="K263" s="123" t="s">
        <v>136</v>
      </c>
      <c r="L263" s="212" t="s">
        <v>213</v>
      </c>
      <c r="M263" s="111"/>
      <c r="N263" s="212"/>
      <c r="O263" s="246">
        <v>583200</v>
      </c>
      <c r="P263" s="190" t="s">
        <v>623</v>
      </c>
      <c r="Q263" s="214"/>
      <c r="R263" s="215">
        <f t="shared" si="34"/>
        <v>0</v>
      </c>
      <c r="S263" s="214"/>
      <c r="T263" s="215">
        <f t="shared" si="35"/>
        <v>0</v>
      </c>
      <c r="U263" s="214"/>
      <c r="V263" s="215">
        <f t="shared" si="36"/>
        <v>0</v>
      </c>
      <c r="W263" s="214"/>
      <c r="X263" s="215">
        <f t="shared" si="37"/>
        <v>0</v>
      </c>
      <c r="Y263" s="214"/>
      <c r="Z263" s="215">
        <f t="shared" si="38"/>
        <v>0</v>
      </c>
      <c r="AA263" s="199">
        <f t="shared" si="39"/>
        <v>0</v>
      </c>
      <c r="AB263" s="200">
        <f t="shared" si="40"/>
        <v>0</v>
      </c>
      <c r="AC263" s="199"/>
    </row>
    <row r="264" spans="1:30" s="216" customFormat="1" ht="18" customHeight="1">
      <c r="A264" s="243">
        <v>2019</v>
      </c>
      <c r="B264" s="210">
        <v>10</v>
      </c>
      <c r="C264" s="210"/>
      <c r="D264" s="211"/>
      <c r="E264" s="211"/>
      <c r="F264" s="211" t="s">
        <v>562</v>
      </c>
      <c r="G264" s="206" t="s">
        <v>40</v>
      </c>
      <c r="H264" s="204" t="s">
        <v>587</v>
      </c>
      <c r="I264" s="111"/>
      <c r="J264" s="111"/>
      <c r="K264" s="123" t="s">
        <v>137</v>
      </c>
      <c r="L264" s="230" t="s">
        <v>216</v>
      </c>
      <c r="M264" s="111"/>
      <c r="N264" s="230"/>
      <c r="O264" s="245">
        <v>989100</v>
      </c>
      <c r="P264" s="190" t="s">
        <v>623</v>
      </c>
      <c r="Q264" s="214"/>
      <c r="R264" s="215">
        <f t="shared" si="34"/>
        <v>0</v>
      </c>
      <c r="S264" s="214"/>
      <c r="T264" s="215">
        <f t="shared" si="35"/>
        <v>0</v>
      </c>
      <c r="U264" s="214"/>
      <c r="V264" s="215">
        <f t="shared" si="36"/>
        <v>0</v>
      </c>
      <c r="W264" s="214"/>
      <c r="X264" s="215">
        <f t="shared" si="37"/>
        <v>0</v>
      </c>
      <c r="Y264" s="214"/>
      <c r="Z264" s="215">
        <f t="shared" si="38"/>
        <v>0</v>
      </c>
      <c r="AA264" s="199">
        <f t="shared" si="39"/>
        <v>0</v>
      </c>
      <c r="AB264" s="200">
        <f t="shared" si="40"/>
        <v>0</v>
      </c>
      <c r="AC264" s="199"/>
    </row>
    <row r="265" spans="1:30" s="216" customFormat="1" ht="18" customHeight="1">
      <c r="A265" s="243">
        <v>2019</v>
      </c>
      <c r="B265" s="210">
        <v>10</v>
      </c>
      <c r="C265" s="210"/>
      <c r="D265" s="211"/>
      <c r="E265" s="211"/>
      <c r="F265" s="211" t="s">
        <v>562</v>
      </c>
      <c r="G265" s="206" t="s">
        <v>40</v>
      </c>
      <c r="H265" s="204" t="s">
        <v>585</v>
      </c>
      <c r="I265" s="111"/>
      <c r="J265" s="111"/>
      <c r="K265" s="123" t="s">
        <v>151</v>
      </c>
      <c r="L265" s="212" t="s">
        <v>213</v>
      </c>
      <c r="M265" s="111"/>
      <c r="N265" s="212"/>
      <c r="O265" s="245">
        <v>898200</v>
      </c>
      <c r="P265" s="190" t="s">
        <v>623</v>
      </c>
      <c r="Q265" s="214"/>
      <c r="R265" s="215">
        <f t="shared" si="34"/>
        <v>0</v>
      </c>
      <c r="S265" s="214"/>
      <c r="T265" s="215">
        <f t="shared" si="35"/>
        <v>0</v>
      </c>
      <c r="U265" s="214"/>
      <c r="V265" s="215">
        <f t="shared" si="36"/>
        <v>0</v>
      </c>
      <c r="W265" s="214"/>
      <c r="X265" s="215">
        <f t="shared" si="37"/>
        <v>0</v>
      </c>
      <c r="Y265" s="214"/>
      <c r="Z265" s="215">
        <f t="shared" si="38"/>
        <v>0</v>
      </c>
      <c r="AA265" s="199">
        <f t="shared" si="39"/>
        <v>0</v>
      </c>
      <c r="AB265" s="200">
        <f t="shared" si="40"/>
        <v>0</v>
      </c>
      <c r="AC265" s="199"/>
    </row>
    <row r="266" spans="1:30" s="228" customFormat="1" ht="18" customHeight="1">
      <c r="A266" s="209">
        <v>2019</v>
      </c>
      <c r="B266" s="210">
        <v>10</v>
      </c>
      <c r="C266" s="210"/>
      <c r="D266" s="211"/>
      <c r="E266" s="211"/>
      <c r="F266" s="211" t="s">
        <v>563</v>
      </c>
      <c r="G266" s="206" t="s">
        <v>23</v>
      </c>
      <c r="H266" s="204" t="s">
        <v>577</v>
      </c>
      <c r="I266" s="111" t="s">
        <v>550</v>
      </c>
      <c r="J266" s="111"/>
      <c r="K266" s="127" t="s">
        <v>427</v>
      </c>
      <c r="L266" s="206" t="s">
        <v>428</v>
      </c>
      <c r="M266" s="111" t="s">
        <v>550</v>
      </c>
      <c r="N266" s="206"/>
      <c r="O266" s="245">
        <v>1242000</v>
      </c>
      <c r="P266" s="190" t="s">
        <v>623</v>
      </c>
      <c r="Q266" s="214"/>
      <c r="R266" s="215">
        <f t="shared" si="34"/>
        <v>0</v>
      </c>
      <c r="S266" s="214"/>
      <c r="T266" s="215">
        <f t="shared" si="35"/>
        <v>0</v>
      </c>
      <c r="U266" s="214"/>
      <c r="V266" s="215">
        <f t="shared" si="36"/>
        <v>0</v>
      </c>
      <c r="W266" s="214"/>
      <c r="X266" s="215">
        <f t="shared" si="37"/>
        <v>0</v>
      </c>
      <c r="Y266" s="214"/>
      <c r="Z266" s="215">
        <f t="shared" si="38"/>
        <v>0</v>
      </c>
      <c r="AA266" s="199">
        <f t="shared" si="39"/>
        <v>0</v>
      </c>
      <c r="AB266" s="200">
        <f t="shared" si="40"/>
        <v>0</v>
      </c>
      <c r="AC266" s="199"/>
      <c r="AD266" s="216"/>
    </row>
    <row r="267" spans="1:30" s="228" customFormat="1" ht="18" customHeight="1">
      <c r="A267" s="243">
        <v>2020</v>
      </c>
      <c r="B267" s="210">
        <v>3</v>
      </c>
      <c r="C267" s="210"/>
      <c r="D267" s="211"/>
      <c r="E267" s="211"/>
      <c r="F267" s="250" t="s">
        <v>563</v>
      </c>
      <c r="G267" s="206" t="s">
        <v>23</v>
      </c>
      <c r="H267" s="204" t="s">
        <v>576</v>
      </c>
      <c r="I267" s="111" t="s">
        <v>549</v>
      </c>
      <c r="J267" s="111"/>
      <c r="K267" s="205" t="s">
        <v>468</v>
      </c>
      <c r="L267" s="206" t="s">
        <v>542</v>
      </c>
      <c r="M267" s="111" t="s">
        <v>549</v>
      </c>
      <c r="N267" s="206" t="s">
        <v>469</v>
      </c>
      <c r="O267" s="207">
        <v>350000</v>
      </c>
      <c r="P267" s="190" t="s">
        <v>623</v>
      </c>
      <c r="Q267" s="214"/>
      <c r="R267" s="215">
        <f t="shared" si="34"/>
        <v>0</v>
      </c>
      <c r="S267" s="214"/>
      <c r="T267" s="215">
        <f t="shared" ref="T267:T296" si="41">S267*$O267</f>
        <v>0</v>
      </c>
      <c r="U267" s="214"/>
      <c r="V267" s="215">
        <f t="shared" ref="V267:V296" si="42">U267*$O267</f>
        <v>0</v>
      </c>
      <c r="W267" s="214"/>
      <c r="X267" s="215">
        <f t="shared" ref="X267:X296" si="43">W267*$O267</f>
        <v>0</v>
      </c>
      <c r="Y267" s="214"/>
      <c r="Z267" s="215">
        <f t="shared" ref="Z267:Z296" si="44">Y267*$O267</f>
        <v>0</v>
      </c>
      <c r="AA267" s="199">
        <f t="shared" ref="AA267:AA296" si="45">SUMIF($Q$4:$Z$4,"BÁN",$Q267:$Z267)</f>
        <v>0</v>
      </c>
      <c r="AB267" s="200">
        <f t="shared" ref="AB267:AB296" si="46">SUMIF($Q$4:$Z$4,"THÀNH TIỀN
BÁN THỰC TẾ",$Q267:$Z267)</f>
        <v>0</v>
      </c>
      <c r="AC267" s="195"/>
      <c r="AD267" s="216"/>
    </row>
    <row r="268" spans="1:30" s="228" customFormat="1" ht="18" customHeight="1">
      <c r="A268" s="243">
        <v>2020</v>
      </c>
      <c r="B268" s="210">
        <v>3</v>
      </c>
      <c r="C268" s="210"/>
      <c r="D268" s="211"/>
      <c r="E268" s="211"/>
      <c r="F268" s="211" t="s">
        <v>563</v>
      </c>
      <c r="G268" s="206" t="s">
        <v>23</v>
      </c>
      <c r="H268" s="204" t="s">
        <v>576</v>
      </c>
      <c r="I268" s="111" t="s">
        <v>549</v>
      </c>
      <c r="J268" s="111"/>
      <c r="K268" s="208" t="s">
        <v>470</v>
      </c>
      <c r="L268" s="206" t="s">
        <v>542</v>
      </c>
      <c r="M268" s="111" t="s">
        <v>549</v>
      </c>
      <c r="N268" s="206" t="s">
        <v>471</v>
      </c>
      <c r="O268" s="207">
        <v>495454.54545454541</v>
      </c>
      <c r="P268" s="190" t="s">
        <v>623</v>
      </c>
      <c r="Q268" s="214"/>
      <c r="R268" s="215">
        <f t="shared" si="34"/>
        <v>0</v>
      </c>
      <c r="S268" s="214"/>
      <c r="T268" s="215">
        <f t="shared" si="41"/>
        <v>0</v>
      </c>
      <c r="U268" s="214"/>
      <c r="V268" s="215">
        <f t="shared" si="42"/>
        <v>0</v>
      </c>
      <c r="W268" s="214"/>
      <c r="X268" s="215">
        <f t="shared" si="43"/>
        <v>0</v>
      </c>
      <c r="Y268" s="214"/>
      <c r="Z268" s="215">
        <f t="shared" si="44"/>
        <v>0</v>
      </c>
      <c r="AA268" s="199">
        <f t="shared" si="45"/>
        <v>0</v>
      </c>
      <c r="AB268" s="200">
        <f t="shared" si="46"/>
        <v>0</v>
      </c>
      <c r="AC268" s="195"/>
      <c r="AD268" s="216"/>
    </row>
    <row r="269" spans="1:30" s="228" customFormat="1" ht="18" customHeight="1">
      <c r="A269" s="243">
        <v>2020</v>
      </c>
      <c r="B269" s="210">
        <v>3</v>
      </c>
      <c r="C269" s="210"/>
      <c r="D269" s="211"/>
      <c r="E269" s="211"/>
      <c r="F269" s="211" t="s">
        <v>563</v>
      </c>
      <c r="G269" s="206" t="s">
        <v>23</v>
      </c>
      <c r="H269" s="204" t="s">
        <v>579</v>
      </c>
      <c r="I269" s="111" t="s">
        <v>549</v>
      </c>
      <c r="J269" s="111"/>
      <c r="K269" s="205" t="s">
        <v>454</v>
      </c>
      <c r="L269" s="206" t="s">
        <v>548</v>
      </c>
      <c r="M269" s="111" t="s">
        <v>549</v>
      </c>
      <c r="N269" s="206" t="s">
        <v>460</v>
      </c>
      <c r="O269" s="207">
        <v>271818.18181818182</v>
      </c>
      <c r="P269" s="190" t="s">
        <v>623</v>
      </c>
      <c r="Q269" s="214"/>
      <c r="R269" s="215">
        <f t="shared" si="34"/>
        <v>0</v>
      </c>
      <c r="S269" s="214"/>
      <c r="T269" s="215">
        <f t="shared" si="41"/>
        <v>0</v>
      </c>
      <c r="U269" s="214"/>
      <c r="V269" s="215">
        <f t="shared" si="42"/>
        <v>0</v>
      </c>
      <c r="W269" s="214"/>
      <c r="X269" s="215">
        <f t="shared" si="43"/>
        <v>0</v>
      </c>
      <c r="Y269" s="214"/>
      <c r="Z269" s="215">
        <f t="shared" si="44"/>
        <v>0</v>
      </c>
      <c r="AA269" s="199">
        <f t="shared" si="45"/>
        <v>0</v>
      </c>
      <c r="AB269" s="200">
        <f t="shared" si="46"/>
        <v>0</v>
      </c>
      <c r="AC269" s="195"/>
      <c r="AD269" s="216"/>
    </row>
    <row r="270" spans="1:30" s="228" customFormat="1" ht="18" customHeight="1">
      <c r="A270" s="243">
        <v>2020</v>
      </c>
      <c r="B270" s="210">
        <v>3</v>
      </c>
      <c r="C270" s="210"/>
      <c r="D270" s="211"/>
      <c r="E270" s="211"/>
      <c r="F270" s="211" t="s">
        <v>563</v>
      </c>
      <c r="G270" s="206" t="s">
        <v>23</v>
      </c>
      <c r="H270" s="204" t="s">
        <v>579</v>
      </c>
      <c r="I270" s="111" t="s">
        <v>549</v>
      </c>
      <c r="J270" s="111"/>
      <c r="K270" s="208" t="s">
        <v>455</v>
      </c>
      <c r="L270" s="206" t="s">
        <v>548</v>
      </c>
      <c r="M270" s="111" t="s">
        <v>549</v>
      </c>
      <c r="N270" s="206" t="s">
        <v>461</v>
      </c>
      <c r="O270" s="207">
        <v>350000</v>
      </c>
      <c r="P270" s="190" t="s">
        <v>623</v>
      </c>
      <c r="Q270" s="214"/>
      <c r="R270" s="215">
        <f t="shared" si="34"/>
        <v>0</v>
      </c>
      <c r="S270" s="214"/>
      <c r="T270" s="215">
        <f t="shared" si="41"/>
        <v>0</v>
      </c>
      <c r="U270" s="214"/>
      <c r="V270" s="215">
        <f t="shared" si="42"/>
        <v>0</v>
      </c>
      <c r="W270" s="214"/>
      <c r="X270" s="215">
        <f t="shared" si="43"/>
        <v>0</v>
      </c>
      <c r="Y270" s="214"/>
      <c r="Z270" s="215">
        <f t="shared" si="44"/>
        <v>0</v>
      </c>
      <c r="AA270" s="199">
        <f t="shared" si="45"/>
        <v>0</v>
      </c>
      <c r="AB270" s="200">
        <f t="shared" si="46"/>
        <v>0</v>
      </c>
      <c r="AC270" s="195"/>
      <c r="AD270" s="216"/>
    </row>
    <row r="271" spans="1:30" s="228" customFormat="1" ht="18" customHeight="1">
      <c r="A271" s="243">
        <v>2020</v>
      </c>
      <c r="B271" s="210">
        <v>3</v>
      </c>
      <c r="C271" s="210"/>
      <c r="D271" s="211"/>
      <c r="E271" s="211"/>
      <c r="F271" s="211" t="s">
        <v>563</v>
      </c>
      <c r="G271" s="206" t="s">
        <v>23</v>
      </c>
      <c r="H271" s="204" t="s">
        <v>579</v>
      </c>
      <c r="I271" s="111" t="s">
        <v>549</v>
      </c>
      <c r="J271" s="111"/>
      <c r="K271" s="208" t="s">
        <v>456</v>
      </c>
      <c r="L271" s="206" t="s">
        <v>548</v>
      </c>
      <c r="M271" s="111" t="s">
        <v>549</v>
      </c>
      <c r="N271" s="206" t="s">
        <v>462</v>
      </c>
      <c r="O271" s="207">
        <v>422727.27272727271</v>
      </c>
      <c r="P271" s="190" t="s">
        <v>623</v>
      </c>
      <c r="Q271" s="214"/>
      <c r="R271" s="215">
        <f t="shared" si="34"/>
        <v>0</v>
      </c>
      <c r="S271" s="214"/>
      <c r="T271" s="215">
        <f t="shared" si="41"/>
        <v>0</v>
      </c>
      <c r="U271" s="214"/>
      <c r="V271" s="215">
        <f t="shared" si="42"/>
        <v>0</v>
      </c>
      <c r="W271" s="214"/>
      <c r="X271" s="215">
        <f t="shared" si="43"/>
        <v>0</v>
      </c>
      <c r="Y271" s="214"/>
      <c r="Z271" s="215">
        <f t="shared" si="44"/>
        <v>0</v>
      </c>
      <c r="AA271" s="199">
        <f t="shared" si="45"/>
        <v>0</v>
      </c>
      <c r="AB271" s="200">
        <f t="shared" si="46"/>
        <v>0</v>
      </c>
      <c r="AC271" s="195"/>
      <c r="AD271" s="216"/>
    </row>
    <row r="272" spans="1:30" s="228" customFormat="1" ht="18" customHeight="1">
      <c r="A272" s="243">
        <v>2020</v>
      </c>
      <c r="B272" s="210">
        <v>3</v>
      </c>
      <c r="C272" s="210"/>
      <c r="D272" s="211"/>
      <c r="E272" s="211"/>
      <c r="F272" s="211" t="s">
        <v>563</v>
      </c>
      <c r="G272" s="206" t="s">
        <v>23</v>
      </c>
      <c r="H272" s="204" t="s">
        <v>589</v>
      </c>
      <c r="I272" s="111" t="s">
        <v>549</v>
      </c>
      <c r="J272" s="111"/>
      <c r="K272" s="208" t="s">
        <v>465</v>
      </c>
      <c r="L272" s="206" t="s">
        <v>548</v>
      </c>
      <c r="M272" s="111" t="s">
        <v>549</v>
      </c>
      <c r="N272" s="206" t="s">
        <v>461</v>
      </c>
      <c r="O272" s="207">
        <v>322727.27272727271</v>
      </c>
      <c r="P272" s="190" t="s">
        <v>623</v>
      </c>
      <c r="Q272" s="214"/>
      <c r="R272" s="215">
        <f t="shared" si="34"/>
        <v>0</v>
      </c>
      <c r="S272" s="214"/>
      <c r="T272" s="215">
        <f t="shared" si="41"/>
        <v>0</v>
      </c>
      <c r="U272" s="214"/>
      <c r="V272" s="215">
        <f t="shared" si="42"/>
        <v>0</v>
      </c>
      <c r="W272" s="214"/>
      <c r="X272" s="215">
        <f t="shared" si="43"/>
        <v>0</v>
      </c>
      <c r="Y272" s="214"/>
      <c r="Z272" s="215">
        <f t="shared" si="44"/>
        <v>0</v>
      </c>
      <c r="AA272" s="199">
        <f t="shared" si="45"/>
        <v>0</v>
      </c>
      <c r="AB272" s="200">
        <f t="shared" si="46"/>
        <v>0</v>
      </c>
      <c r="AC272" s="195"/>
      <c r="AD272" s="216"/>
    </row>
    <row r="273" spans="1:30" s="228" customFormat="1" ht="18" customHeight="1">
      <c r="A273" s="243">
        <v>2020</v>
      </c>
      <c r="B273" s="210">
        <v>3</v>
      </c>
      <c r="C273" s="210"/>
      <c r="D273" s="211"/>
      <c r="E273" s="211"/>
      <c r="F273" s="211" t="s">
        <v>563</v>
      </c>
      <c r="G273" s="206" t="s">
        <v>23</v>
      </c>
      <c r="H273" s="204" t="s">
        <v>589</v>
      </c>
      <c r="I273" s="111" t="s">
        <v>549</v>
      </c>
      <c r="J273" s="111"/>
      <c r="K273" s="208" t="s">
        <v>466</v>
      </c>
      <c r="L273" s="206" t="s">
        <v>548</v>
      </c>
      <c r="M273" s="111" t="s">
        <v>549</v>
      </c>
      <c r="N273" s="206" t="s">
        <v>462</v>
      </c>
      <c r="O273" s="207">
        <v>440909.09090909088</v>
      </c>
      <c r="P273" s="190" t="s">
        <v>623</v>
      </c>
      <c r="Q273" s="214"/>
      <c r="R273" s="215">
        <f t="shared" si="34"/>
        <v>0</v>
      </c>
      <c r="S273" s="214"/>
      <c r="T273" s="215">
        <f t="shared" si="41"/>
        <v>0</v>
      </c>
      <c r="U273" s="214"/>
      <c r="V273" s="215">
        <f t="shared" si="42"/>
        <v>0</v>
      </c>
      <c r="W273" s="214"/>
      <c r="X273" s="215">
        <f t="shared" si="43"/>
        <v>0</v>
      </c>
      <c r="Y273" s="214"/>
      <c r="Z273" s="215">
        <f t="shared" si="44"/>
        <v>0</v>
      </c>
      <c r="AA273" s="199">
        <f t="shared" si="45"/>
        <v>0</v>
      </c>
      <c r="AB273" s="200">
        <f t="shared" si="46"/>
        <v>0</v>
      </c>
      <c r="AC273" s="195"/>
      <c r="AD273" s="216"/>
    </row>
    <row r="274" spans="1:30" s="228" customFormat="1" ht="18" customHeight="1">
      <c r="A274" s="243">
        <v>2020</v>
      </c>
      <c r="B274" s="210">
        <v>3</v>
      </c>
      <c r="C274" s="210"/>
      <c r="D274" s="211"/>
      <c r="E274" s="211"/>
      <c r="F274" s="211" t="s">
        <v>563</v>
      </c>
      <c r="G274" s="206" t="s">
        <v>23</v>
      </c>
      <c r="H274" s="204" t="s">
        <v>576</v>
      </c>
      <c r="I274" s="111" t="s">
        <v>543</v>
      </c>
      <c r="J274" s="111"/>
      <c r="K274" s="123" t="s">
        <v>412</v>
      </c>
      <c r="L274" s="206" t="s">
        <v>542</v>
      </c>
      <c r="M274" s="111" t="s">
        <v>543</v>
      </c>
      <c r="N274" s="206" t="s">
        <v>475</v>
      </c>
      <c r="O274" s="207">
        <f>1069000*0.9</f>
        <v>962100</v>
      </c>
      <c r="P274" s="190" t="s">
        <v>623</v>
      </c>
      <c r="Q274" s="214"/>
      <c r="R274" s="215">
        <f t="shared" si="34"/>
        <v>0</v>
      </c>
      <c r="S274" s="214"/>
      <c r="T274" s="215">
        <f t="shared" si="41"/>
        <v>0</v>
      </c>
      <c r="U274" s="214"/>
      <c r="V274" s="215">
        <f t="shared" si="42"/>
        <v>0</v>
      </c>
      <c r="W274" s="214"/>
      <c r="X274" s="215">
        <f t="shared" si="43"/>
        <v>0</v>
      </c>
      <c r="Y274" s="214"/>
      <c r="Z274" s="215">
        <f t="shared" si="44"/>
        <v>0</v>
      </c>
      <c r="AA274" s="199">
        <f t="shared" si="45"/>
        <v>0</v>
      </c>
      <c r="AB274" s="200">
        <f t="shared" si="46"/>
        <v>0</v>
      </c>
      <c r="AC274" s="195"/>
      <c r="AD274" s="216"/>
    </row>
    <row r="275" spans="1:30" s="228" customFormat="1" ht="18" customHeight="1">
      <c r="A275" s="243">
        <v>2020</v>
      </c>
      <c r="B275" s="210">
        <v>3</v>
      </c>
      <c r="C275" s="210"/>
      <c r="D275" s="211"/>
      <c r="E275" s="211"/>
      <c r="F275" s="211" t="s">
        <v>563</v>
      </c>
      <c r="G275" s="206" t="s">
        <v>23</v>
      </c>
      <c r="H275" s="204" t="s">
        <v>576</v>
      </c>
      <c r="I275" s="111" t="s">
        <v>543</v>
      </c>
      <c r="J275" s="111"/>
      <c r="K275" s="123" t="s">
        <v>413</v>
      </c>
      <c r="L275" s="206" t="s">
        <v>542</v>
      </c>
      <c r="M275" s="111" t="s">
        <v>543</v>
      </c>
      <c r="N275" s="206" t="s">
        <v>461</v>
      </c>
      <c r="O275" s="207">
        <f>1240000*0.9</f>
        <v>1116000</v>
      </c>
      <c r="P275" s="190" t="s">
        <v>623</v>
      </c>
      <c r="Q275" s="214"/>
      <c r="R275" s="215">
        <f t="shared" si="34"/>
        <v>0</v>
      </c>
      <c r="S275" s="214"/>
      <c r="T275" s="215">
        <f t="shared" si="41"/>
        <v>0</v>
      </c>
      <c r="U275" s="214"/>
      <c r="V275" s="215">
        <f t="shared" si="42"/>
        <v>0</v>
      </c>
      <c r="W275" s="214"/>
      <c r="X275" s="215">
        <f t="shared" si="43"/>
        <v>0</v>
      </c>
      <c r="Y275" s="214"/>
      <c r="Z275" s="215">
        <f t="shared" si="44"/>
        <v>0</v>
      </c>
      <c r="AA275" s="199">
        <f t="shared" si="45"/>
        <v>0</v>
      </c>
      <c r="AB275" s="200">
        <f t="shared" si="46"/>
        <v>0</v>
      </c>
      <c r="AC275" s="195"/>
      <c r="AD275" s="216"/>
    </row>
    <row r="276" spans="1:30" s="228" customFormat="1" ht="18" customHeight="1">
      <c r="A276" s="243">
        <v>2020</v>
      </c>
      <c r="B276" s="210">
        <v>3</v>
      </c>
      <c r="C276" s="210"/>
      <c r="D276" s="211"/>
      <c r="E276" s="211"/>
      <c r="F276" s="211" t="s">
        <v>563</v>
      </c>
      <c r="G276" s="206" t="s">
        <v>23</v>
      </c>
      <c r="H276" s="204" t="s">
        <v>589</v>
      </c>
      <c r="I276" s="111" t="s">
        <v>552</v>
      </c>
      <c r="J276" s="111"/>
      <c r="K276" s="208" t="s">
        <v>551</v>
      </c>
      <c r="L276" s="206" t="s">
        <v>547</v>
      </c>
      <c r="M276" s="111" t="s">
        <v>552</v>
      </c>
      <c r="N276" s="206" t="s">
        <v>462</v>
      </c>
      <c r="O276" s="207">
        <v>489999.99999999994</v>
      </c>
      <c r="P276" s="190" t="s">
        <v>623</v>
      </c>
      <c r="Q276" s="214"/>
      <c r="R276" s="215">
        <f t="shared" ref="R276:R336" si="47">Q276*$O276</f>
        <v>0</v>
      </c>
      <c r="S276" s="214"/>
      <c r="T276" s="215">
        <f t="shared" si="41"/>
        <v>0</v>
      </c>
      <c r="U276" s="214"/>
      <c r="V276" s="215">
        <f t="shared" si="42"/>
        <v>0</v>
      </c>
      <c r="W276" s="214"/>
      <c r="X276" s="215">
        <f t="shared" si="43"/>
        <v>0</v>
      </c>
      <c r="Y276" s="214"/>
      <c r="Z276" s="215">
        <f t="shared" si="44"/>
        <v>0</v>
      </c>
      <c r="AA276" s="199">
        <f t="shared" si="45"/>
        <v>0</v>
      </c>
      <c r="AB276" s="200">
        <f t="shared" si="46"/>
        <v>0</v>
      </c>
      <c r="AC276" s="195"/>
      <c r="AD276" s="216"/>
    </row>
    <row r="277" spans="1:30" s="216" customFormat="1" ht="18" customHeight="1">
      <c r="A277" s="243">
        <v>2020</v>
      </c>
      <c r="B277" s="210">
        <v>3</v>
      </c>
      <c r="C277" s="210"/>
      <c r="D277" s="211"/>
      <c r="E277" s="211"/>
      <c r="F277" s="211" t="s">
        <v>563</v>
      </c>
      <c r="G277" s="206" t="s">
        <v>40</v>
      </c>
      <c r="H277" s="204" t="s">
        <v>584</v>
      </c>
      <c r="I277" s="204"/>
      <c r="J277" s="204"/>
      <c r="K277" s="124" t="s">
        <v>355</v>
      </c>
      <c r="L277" s="212"/>
      <c r="M277" s="204"/>
      <c r="N277" s="212"/>
      <c r="O277" s="207">
        <f>1670900*0.9</f>
        <v>1503810</v>
      </c>
      <c r="P277" s="213" t="s">
        <v>623</v>
      </c>
      <c r="Q277" s="214"/>
      <c r="R277" s="215">
        <f t="shared" si="47"/>
        <v>0</v>
      </c>
      <c r="S277" s="214"/>
      <c r="T277" s="215">
        <f t="shared" si="41"/>
        <v>0</v>
      </c>
      <c r="U277" s="214"/>
      <c r="V277" s="215">
        <f t="shared" si="42"/>
        <v>0</v>
      </c>
      <c r="W277" s="214"/>
      <c r="X277" s="215">
        <f t="shared" si="43"/>
        <v>0</v>
      </c>
      <c r="Y277" s="214"/>
      <c r="Z277" s="215">
        <f t="shared" si="44"/>
        <v>0</v>
      </c>
      <c r="AA277" s="199">
        <f t="shared" si="45"/>
        <v>0</v>
      </c>
      <c r="AB277" s="200">
        <f t="shared" si="46"/>
        <v>0</v>
      </c>
      <c r="AC277" s="217"/>
    </row>
    <row r="278" spans="1:30" s="216" customFormat="1" ht="18" customHeight="1">
      <c r="A278" s="243">
        <v>2020</v>
      </c>
      <c r="B278" s="210">
        <v>3</v>
      </c>
      <c r="C278" s="210"/>
      <c r="D278" s="211"/>
      <c r="E278" s="211"/>
      <c r="F278" s="211" t="s">
        <v>563</v>
      </c>
      <c r="G278" s="206" t="s">
        <v>40</v>
      </c>
      <c r="H278" s="204" t="s">
        <v>584</v>
      </c>
      <c r="I278" s="111"/>
      <c r="J278" s="111"/>
      <c r="K278" s="127" t="s">
        <v>357</v>
      </c>
      <c r="L278" s="212"/>
      <c r="M278" s="111"/>
      <c r="N278" s="212"/>
      <c r="O278" s="207">
        <f>1355900*0.9</f>
        <v>1220310</v>
      </c>
      <c r="P278" s="213" t="s">
        <v>623</v>
      </c>
      <c r="Q278" s="214"/>
      <c r="R278" s="215">
        <f t="shared" si="47"/>
        <v>0</v>
      </c>
      <c r="S278" s="214"/>
      <c r="T278" s="215">
        <f t="shared" si="41"/>
        <v>0</v>
      </c>
      <c r="U278" s="214"/>
      <c r="V278" s="215">
        <f t="shared" si="42"/>
        <v>0</v>
      </c>
      <c r="W278" s="214"/>
      <c r="X278" s="215">
        <f t="shared" si="43"/>
        <v>0</v>
      </c>
      <c r="Y278" s="214"/>
      <c r="Z278" s="215">
        <f t="shared" si="44"/>
        <v>0</v>
      </c>
      <c r="AA278" s="199">
        <f t="shared" si="45"/>
        <v>0</v>
      </c>
      <c r="AB278" s="200">
        <f t="shared" si="46"/>
        <v>0</v>
      </c>
      <c r="AC278" s="217"/>
    </row>
    <row r="279" spans="1:30" s="216" customFormat="1" ht="18" customHeight="1">
      <c r="A279" s="243">
        <v>2020</v>
      </c>
      <c r="B279" s="210">
        <v>3</v>
      </c>
      <c r="C279" s="210"/>
      <c r="D279" s="211"/>
      <c r="E279" s="211"/>
      <c r="F279" s="211" t="s">
        <v>563</v>
      </c>
      <c r="G279" s="206" t="s">
        <v>40</v>
      </c>
      <c r="H279" s="204" t="s">
        <v>584</v>
      </c>
      <c r="I279" s="111"/>
      <c r="J279" s="111"/>
      <c r="K279" s="127" t="s">
        <v>359</v>
      </c>
      <c r="L279" s="212"/>
      <c r="M279" s="111"/>
      <c r="N279" s="212"/>
      <c r="O279" s="207">
        <f>1250900*0.9</f>
        <v>1125810</v>
      </c>
      <c r="P279" s="213" t="s">
        <v>623</v>
      </c>
      <c r="Q279" s="214"/>
      <c r="R279" s="215">
        <f t="shared" si="47"/>
        <v>0</v>
      </c>
      <c r="S279" s="214"/>
      <c r="T279" s="215">
        <f t="shared" si="41"/>
        <v>0</v>
      </c>
      <c r="U279" s="214"/>
      <c r="V279" s="215">
        <f t="shared" si="42"/>
        <v>0</v>
      </c>
      <c r="W279" s="214"/>
      <c r="X279" s="215">
        <f t="shared" si="43"/>
        <v>0</v>
      </c>
      <c r="Y279" s="214"/>
      <c r="Z279" s="215">
        <f t="shared" si="44"/>
        <v>0</v>
      </c>
      <c r="AA279" s="199">
        <f t="shared" si="45"/>
        <v>0</v>
      </c>
      <c r="AB279" s="200">
        <f t="shared" si="46"/>
        <v>0</v>
      </c>
      <c r="AC279" s="217"/>
    </row>
    <row r="280" spans="1:30" s="216" customFormat="1" ht="18" customHeight="1">
      <c r="A280" s="243">
        <v>2020</v>
      </c>
      <c r="B280" s="210">
        <v>3</v>
      </c>
      <c r="C280" s="210"/>
      <c r="D280" s="211"/>
      <c r="E280" s="211"/>
      <c r="F280" s="211" t="s">
        <v>563</v>
      </c>
      <c r="G280" s="206" t="s">
        <v>40</v>
      </c>
      <c r="H280" s="204" t="s">
        <v>585</v>
      </c>
      <c r="I280" s="111"/>
      <c r="J280" s="111"/>
      <c r="K280" s="127" t="s">
        <v>448</v>
      </c>
      <c r="L280" s="212"/>
      <c r="M280" s="111"/>
      <c r="N280" s="212"/>
      <c r="O280" s="207">
        <v>1026363.6363636362</v>
      </c>
      <c r="P280" s="213" t="s">
        <v>623</v>
      </c>
      <c r="Q280" s="214"/>
      <c r="R280" s="215">
        <f t="shared" si="47"/>
        <v>0</v>
      </c>
      <c r="S280" s="214"/>
      <c r="T280" s="215">
        <f t="shared" si="41"/>
        <v>0</v>
      </c>
      <c r="U280" s="214"/>
      <c r="V280" s="215">
        <f t="shared" si="42"/>
        <v>0</v>
      </c>
      <c r="W280" s="214"/>
      <c r="X280" s="215">
        <f t="shared" si="43"/>
        <v>0</v>
      </c>
      <c r="Y280" s="214"/>
      <c r="Z280" s="215">
        <f t="shared" si="44"/>
        <v>0</v>
      </c>
      <c r="AA280" s="199">
        <f t="shared" si="45"/>
        <v>0</v>
      </c>
      <c r="AB280" s="200">
        <f t="shared" si="46"/>
        <v>0</v>
      </c>
      <c r="AC280" s="217"/>
    </row>
    <row r="281" spans="1:30" s="216" customFormat="1" ht="18" customHeight="1">
      <c r="A281" s="243">
        <v>2020</v>
      </c>
      <c r="B281" s="210">
        <v>3</v>
      </c>
      <c r="C281" s="210"/>
      <c r="D281" s="211"/>
      <c r="E281" s="211"/>
      <c r="F281" s="211" t="s">
        <v>563</v>
      </c>
      <c r="G281" s="206" t="s">
        <v>40</v>
      </c>
      <c r="H281" s="204" t="s">
        <v>584</v>
      </c>
      <c r="I281" s="204"/>
      <c r="J281" s="204"/>
      <c r="K281" s="124" t="s">
        <v>355</v>
      </c>
      <c r="L281" s="212"/>
      <c r="M281" s="204"/>
      <c r="N281" s="212"/>
      <c r="O281" s="207">
        <f>1670900*0.9</f>
        <v>1503810</v>
      </c>
      <c r="P281" s="213" t="s">
        <v>623</v>
      </c>
      <c r="Q281" s="214"/>
      <c r="R281" s="215">
        <f t="shared" si="47"/>
        <v>0</v>
      </c>
      <c r="S281" s="214"/>
      <c r="T281" s="215">
        <f t="shared" si="41"/>
        <v>0</v>
      </c>
      <c r="U281" s="214"/>
      <c r="V281" s="215">
        <f t="shared" si="42"/>
        <v>0</v>
      </c>
      <c r="W281" s="214"/>
      <c r="X281" s="215">
        <f t="shared" si="43"/>
        <v>0</v>
      </c>
      <c r="Y281" s="214"/>
      <c r="Z281" s="215">
        <f t="shared" si="44"/>
        <v>0</v>
      </c>
      <c r="AA281" s="199">
        <f t="shared" si="45"/>
        <v>0</v>
      </c>
      <c r="AB281" s="200">
        <f t="shared" si="46"/>
        <v>0</v>
      </c>
      <c r="AC281" s="217"/>
    </row>
    <row r="282" spans="1:30" s="216" customFormat="1" ht="18" customHeight="1">
      <c r="A282" s="243">
        <v>2020</v>
      </c>
      <c r="B282" s="210">
        <v>3</v>
      </c>
      <c r="C282" s="210"/>
      <c r="D282" s="211"/>
      <c r="E282" s="211"/>
      <c r="F282" s="211" t="s">
        <v>563</v>
      </c>
      <c r="G282" s="206" t="s">
        <v>40</v>
      </c>
      <c r="H282" s="204" t="s">
        <v>584</v>
      </c>
      <c r="I282" s="111"/>
      <c r="J282" s="111"/>
      <c r="K282" s="127" t="s">
        <v>357</v>
      </c>
      <c r="L282" s="212"/>
      <c r="M282" s="111"/>
      <c r="N282" s="212"/>
      <c r="O282" s="207">
        <f>1355900*0.9</f>
        <v>1220310</v>
      </c>
      <c r="P282" s="213" t="s">
        <v>623</v>
      </c>
      <c r="Q282" s="214"/>
      <c r="R282" s="215">
        <f t="shared" si="47"/>
        <v>0</v>
      </c>
      <c r="S282" s="214"/>
      <c r="T282" s="215">
        <f t="shared" si="41"/>
        <v>0</v>
      </c>
      <c r="U282" s="214"/>
      <c r="V282" s="215">
        <f t="shared" si="42"/>
        <v>0</v>
      </c>
      <c r="W282" s="214"/>
      <c r="X282" s="215">
        <f t="shared" si="43"/>
        <v>0</v>
      </c>
      <c r="Y282" s="214"/>
      <c r="Z282" s="215">
        <f t="shared" si="44"/>
        <v>0</v>
      </c>
      <c r="AA282" s="199">
        <f t="shared" si="45"/>
        <v>0</v>
      </c>
      <c r="AB282" s="200">
        <f t="shared" si="46"/>
        <v>0</v>
      </c>
      <c r="AC282" s="217"/>
    </row>
    <row r="283" spans="1:30" s="216" customFormat="1" ht="18" customHeight="1">
      <c r="A283" s="243">
        <v>2020</v>
      </c>
      <c r="B283" s="210">
        <v>3</v>
      </c>
      <c r="C283" s="210"/>
      <c r="D283" s="211"/>
      <c r="E283" s="211"/>
      <c r="F283" s="211" t="s">
        <v>563</v>
      </c>
      <c r="G283" s="206" t="s">
        <v>40</v>
      </c>
      <c r="H283" s="204" t="s">
        <v>584</v>
      </c>
      <c r="I283" s="111"/>
      <c r="J283" s="111"/>
      <c r="K283" s="127" t="s">
        <v>359</v>
      </c>
      <c r="L283" s="212"/>
      <c r="M283" s="111"/>
      <c r="N283" s="212"/>
      <c r="O283" s="207">
        <f>1250900*0.9</f>
        <v>1125810</v>
      </c>
      <c r="P283" s="213" t="s">
        <v>623</v>
      </c>
      <c r="Q283" s="214"/>
      <c r="R283" s="215">
        <f t="shared" si="47"/>
        <v>0</v>
      </c>
      <c r="S283" s="214"/>
      <c r="T283" s="215">
        <f t="shared" si="41"/>
        <v>0</v>
      </c>
      <c r="U283" s="214"/>
      <c r="V283" s="215">
        <f t="shared" si="42"/>
        <v>0</v>
      </c>
      <c r="W283" s="214"/>
      <c r="X283" s="215">
        <f t="shared" si="43"/>
        <v>0</v>
      </c>
      <c r="Y283" s="214"/>
      <c r="Z283" s="215">
        <f t="shared" si="44"/>
        <v>0</v>
      </c>
      <c r="AA283" s="199">
        <f t="shared" si="45"/>
        <v>0</v>
      </c>
      <c r="AB283" s="200">
        <f t="shared" si="46"/>
        <v>0</v>
      </c>
      <c r="AC283" s="217"/>
    </row>
    <row r="284" spans="1:30" s="216" customFormat="1" ht="18" customHeight="1">
      <c r="A284" s="243">
        <v>2020</v>
      </c>
      <c r="B284" s="210">
        <v>3</v>
      </c>
      <c r="C284" s="210"/>
      <c r="D284" s="211"/>
      <c r="E284" s="211"/>
      <c r="F284" s="211" t="s">
        <v>563</v>
      </c>
      <c r="G284" s="206" t="s">
        <v>40</v>
      </c>
      <c r="H284" s="204" t="s">
        <v>584</v>
      </c>
      <c r="I284" s="111"/>
      <c r="J284" s="111"/>
      <c r="K284" s="127" t="s">
        <v>358</v>
      </c>
      <c r="L284" s="212"/>
      <c r="M284" s="111"/>
      <c r="N284" s="212"/>
      <c r="O284" s="207">
        <f>1355900*0.9</f>
        <v>1220310</v>
      </c>
      <c r="P284" s="213" t="s">
        <v>623</v>
      </c>
      <c r="Q284" s="214"/>
      <c r="R284" s="215">
        <f t="shared" si="47"/>
        <v>0</v>
      </c>
      <c r="S284" s="214"/>
      <c r="T284" s="215">
        <f t="shared" si="41"/>
        <v>0</v>
      </c>
      <c r="U284" s="214"/>
      <c r="V284" s="215">
        <f t="shared" si="42"/>
        <v>0</v>
      </c>
      <c r="W284" s="214"/>
      <c r="X284" s="215">
        <f t="shared" si="43"/>
        <v>0</v>
      </c>
      <c r="Y284" s="214"/>
      <c r="Z284" s="215">
        <f t="shared" si="44"/>
        <v>0</v>
      </c>
      <c r="AA284" s="199">
        <f t="shared" si="45"/>
        <v>0</v>
      </c>
      <c r="AB284" s="200">
        <f t="shared" si="46"/>
        <v>0</v>
      </c>
      <c r="AC284" s="217"/>
    </row>
    <row r="285" spans="1:30" s="216" customFormat="1" ht="18" customHeight="1">
      <c r="A285" s="243">
        <v>2020</v>
      </c>
      <c r="B285" s="210">
        <v>3</v>
      </c>
      <c r="C285" s="210"/>
      <c r="D285" s="211"/>
      <c r="E285" s="211"/>
      <c r="F285" s="211" t="s">
        <v>563</v>
      </c>
      <c r="G285" s="206" t="s">
        <v>40</v>
      </c>
      <c r="H285" s="204" t="s">
        <v>584</v>
      </c>
      <c r="I285" s="111"/>
      <c r="J285" s="111"/>
      <c r="K285" s="127" t="s">
        <v>360</v>
      </c>
      <c r="L285" s="212"/>
      <c r="M285" s="111"/>
      <c r="N285" s="212"/>
      <c r="O285" s="207">
        <f>1144900*0.9</f>
        <v>1030410</v>
      </c>
      <c r="P285" s="213" t="s">
        <v>623</v>
      </c>
      <c r="Q285" s="214"/>
      <c r="R285" s="215">
        <f t="shared" si="47"/>
        <v>0</v>
      </c>
      <c r="S285" s="214"/>
      <c r="T285" s="215">
        <f t="shared" si="41"/>
        <v>0</v>
      </c>
      <c r="U285" s="214"/>
      <c r="V285" s="215">
        <f t="shared" si="42"/>
        <v>0</v>
      </c>
      <c r="W285" s="214"/>
      <c r="X285" s="215">
        <f t="shared" si="43"/>
        <v>0</v>
      </c>
      <c r="Y285" s="214"/>
      <c r="Z285" s="215">
        <f t="shared" si="44"/>
        <v>0</v>
      </c>
      <c r="AA285" s="199">
        <f t="shared" si="45"/>
        <v>0</v>
      </c>
      <c r="AB285" s="200">
        <f t="shared" si="46"/>
        <v>0</v>
      </c>
      <c r="AC285" s="217"/>
    </row>
    <row r="286" spans="1:30" s="216" customFormat="1" ht="18" customHeight="1">
      <c r="A286" s="243">
        <v>2020</v>
      </c>
      <c r="B286" s="210">
        <v>3</v>
      </c>
      <c r="C286" s="210"/>
      <c r="D286" s="211"/>
      <c r="E286" s="211"/>
      <c r="F286" s="211" t="s">
        <v>563</v>
      </c>
      <c r="G286" s="206" t="s">
        <v>40</v>
      </c>
      <c r="H286" s="204" t="s">
        <v>584</v>
      </c>
      <c r="I286" s="111"/>
      <c r="J286" s="111"/>
      <c r="K286" s="127" t="s">
        <v>361</v>
      </c>
      <c r="L286" s="212"/>
      <c r="M286" s="111"/>
      <c r="N286" s="212"/>
      <c r="O286" s="207">
        <f>829900*0.9</f>
        <v>746910</v>
      </c>
      <c r="P286" s="213" t="s">
        <v>623</v>
      </c>
      <c r="Q286" s="214"/>
      <c r="R286" s="215">
        <f t="shared" si="47"/>
        <v>0</v>
      </c>
      <c r="S286" s="214"/>
      <c r="T286" s="215">
        <f t="shared" si="41"/>
        <v>0</v>
      </c>
      <c r="U286" s="214"/>
      <c r="V286" s="215">
        <f t="shared" si="42"/>
        <v>0</v>
      </c>
      <c r="W286" s="214"/>
      <c r="X286" s="215">
        <f t="shared" si="43"/>
        <v>0</v>
      </c>
      <c r="Y286" s="214"/>
      <c r="Z286" s="215">
        <f t="shared" si="44"/>
        <v>0</v>
      </c>
      <c r="AA286" s="199">
        <f t="shared" si="45"/>
        <v>0</v>
      </c>
      <c r="AB286" s="200">
        <f t="shared" si="46"/>
        <v>0</v>
      </c>
      <c r="AC286" s="217"/>
    </row>
    <row r="287" spans="1:30" s="216" customFormat="1" ht="18" customHeight="1">
      <c r="A287" s="243">
        <v>2020</v>
      </c>
      <c r="B287" s="210">
        <v>3</v>
      </c>
      <c r="C287" s="210"/>
      <c r="D287" s="211"/>
      <c r="E287" s="211"/>
      <c r="F287" s="211" t="s">
        <v>563</v>
      </c>
      <c r="G287" s="206" t="s">
        <v>40</v>
      </c>
      <c r="H287" s="204" t="s">
        <v>585</v>
      </c>
      <c r="I287" s="111"/>
      <c r="J287" s="111"/>
      <c r="K287" s="137" t="s">
        <v>363</v>
      </c>
      <c r="L287" s="212"/>
      <c r="M287" s="111"/>
      <c r="N287" s="212"/>
      <c r="O287" s="207">
        <f>3151900*0.9</f>
        <v>2836710</v>
      </c>
      <c r="P287" s="213" t="s">
        <v>623</v>
      </c>
      <c r="Q287" s="214"/>
      <c r="R287" s="215">
        <f t="shared" si="47"/>
        <v>0</v>
      </c>
      <c r="S287" s="214"/>
      <c r="T287" s="215">
        <f t="shared" si="41"/>
        <v>0</v>
      </c>
      <c r="U287" s="214"/>
      <c r="V287" s="215">
        <f t="shared" si="42"/>
        <v>0</v>
      </c>
      <c r="W287" s="214"/>
      <c r="X287" s="215">
        <f t="shared" si="43"/>
        <v>0</v>
      </c>
      <c r="Y287" s="214"/>
      <c r="Z287" s="215">
        <f t="shared" si="44"/>
        <v>0</v>
      </c>
      <c r="AA287" s="199">
        <f t="shared" si="45"/>
        <v>0</v>
      </c>
      <c r="AB287" s="200">
        <f t="shared" si="46"/>
        <v>0</v>
      </c>
      <c r="AC287" s="195"/>
    </row>
    <row r="288" spans="1:30" s="216" customFormat="1" ht="18" customHeight="1">
      <c r="A288" s="243">
        <v>2020</v>
      </c>
      <c r="B288" s="210">
        <v>3</v>
      </c>
      <c r="C288" s="210"/>
      <c r="D288" s="211"/>
      <c r="E288" s="211"/>
      <c r="F288" s="211" t="s">
        <v>563</v>
      </c>
      <c r="G288" s="206" t="s">
        <v>40</v>
      </c>
      <c r="H288" s="204" t="s">
        <v>585</v>
      </c>
      <c r="I288" s="111"/>
      <c r="J288" s="111"/>
      <c r="K288" s="127" t="s">
        <v>527</v>
      </c>
      <c r="L288" s="212"/>
      <c r="M288" s="111"/>
      <c r="N288" s="212"/>
      <c r="O288" s="207">
        <f>1990000*0.9</f>
        <v>1791000</v>
      </c>
      <c r="P288" s="213" t="s">
        <v>623</v>
      </c>
      <c r="Q288" s="214"/>
      <c r="R288" s="215">
        <f t="shared" si="47"/>
        <v>0</v>
      </c>
      <c r="S288" s="214"/>
      <c r="T288" s="215">
        <f t="shared" si="41"/>
        <v>0</v>
      </c>
      <c r="U288" s="214"/>
      <c r="V288" s="215">
        <f t="shared" si="42"/>
        <v>0</v>
      </c>
      <c r="W288" s="214"/>
      <c r="X288" s="215">
        <f t="shared" si="43"/>
        <v>0</v>
      </c>
      <c r="Y288" s="214"/>
      <c r="Z288" s="215">
        <f t="shared" si="44"/>
        <v>0</v>
      </c>
      <c r="AA288" s="199">
        <f t="shared" si="45"/>
        <v>0</v>
      </c>
      <c r="AB288" s="200">
        <f t="shared" si="46"/>
        <v>0</v>
      </c>
      <c r="AC288" s="217"/>
    </row>
    <row r="289" spans="1:30" s="216" customFormat="1" ht="18" customHeight="1">
      <c r="A289" s="243">
        <v>2020</v>
      </c>
      <c r="B289" s="210">
        <v>3</v>
      </c>
      <c r="C289" s="210"/>
      <c r="D289" s="211"/>
      <c r="E289" s="211"/>
      <c r="F289" s="211" t="s">
        <v>563</v>
      </c>
      <c r="G289" s="206" t="s">
        <v>40</v>
      </c>
      <c r="H289" s="204" t="s">
        <v>585</v>
      </c>
      <c r="I289" s="111"/>
      <c r="J289" s="111"/>
      <c r="K289" s="127" t="s">
        <v>442</v>
      </c>
      <c r="L289" s="212"/>
      <c r="M289" s="111"/>
      <c r="N289" s="212"/>
      <c r="O289" s="207">
        <v>1354546</v>
      </c>
      <c r="P289" s="213" t="s">
        <v>623</v>
      </c>
      <c r="Q289" s="214"/>
      <c r="R289" s="215">
        <f t="shared" si="47"/>
        <v>0</v>
      </c>
      <c r="S289" s="214"/>
      <c r="T289" s="215">
        <f t="shared" si="41"/>
        <v>0</v>
      </c>
      <c r="U289" s="214"/>
      <c r="V289" s="215">
        <f t="shared" si="42"/>
        <v>0</v>
      </c>
      <c r="W289" s="214"/>
      <c r="X289" s="215">
        <f t="shared" si="43"/>
        <v>0</v>
      </c>
      <c r="Y289" s="214"/>
      <c r="Z289" s="215">
        <f t="shared" si="44"/>
        <v>0</v>
      </c>
      <c r="AA289" s="199">
        <f t="shared" si="45"/>
        <v>0</v>
      </c>
      <c r="AB289" s="200">
        <f t="shared" si="46"/>
        <v>0</v>
      </c>
      <c r="AC289" s="217"/>
    </row>
    <row r="290" spans="1:30" s="216" customFormat="1" ht="18" customHeight="1">
      <c r="A290" s="243">
        <v>2020</v>
      </c>
      <c r="B290" s="210">
        <v>3</v>
      </c>
      <c r="C290" s="210"/>
      <c r="D290" s="211"/>
      <c r="E290" s="211"/>
      <c r="F290" s="211" t="s">
        <v>563</v>
      </c>
      <c r="G290" s="206" t="s">
        <v>40</v>
      </c>
      <c r="H290" s="204" t="s">
        <v>585</v>
      </c>
      <c r="I290" s="111"/>
      <c r="J290" s="111"/>
      <c r="K290" s="127" t="s">
        <v>366</v>
      </c>
      <c r="L290" s="212"/>
      <c r="M290" s="111"/>
      <c r="N290" s="212"/>
      <c r="O290" s="207">
        <v>1041728</v>
      </c>
      <c r="P290" s="213" t="s">
        <v>623</v>
      </c>
      <c r="Q290" s="214"/>
      <c r="R290" s="215">
        <f t="shared" si="47"/>
        <v>0</v>
      </c>
      <c r="S290" s="214"/>
      <c r="T290" s="215">
        <f t="shared" si="41"/>
        <v>0</v>
      </c>
      <c r="U290" s="214"/>
      <c r="V290" s="215">
        <f t="shared" si="42"/>
        <v>0</v>
      </c>
      <c r="W290" s="214"/>
      <c r="X290" s="215">
        <f t="shared" si="43"/>
        <v>0</v>
      </c>
      <c r="Y290" s="214"/>
      <c r="Z290" s="215">
        <f t="shared" si="44"/>
        <v>0</v>
      </c>
      <c r="AA290" s="199">
        <f t="shared" si="45"/>
        <v>0</v>
      </c>
      <c r="AB290" s="200">
        <f t="shared" si="46"/>
        <v>0</v>
      </c>
      <c r="AC290" s="217"/>
    </row>
    <row r="291" spans="1:30" s="216" customFormat="1" ht="18" customHeight="1">
      <c r="A291" s="243">
        <v>2020</v>
      </c>
      <c r="B291" s="210">
        <v>3</v>
      </c>
      <c r="C291" s="210"/>
      <c r="D291" s="211"/>
      <c r="E291" s="211"/>
      <c r="F291" s="211" t="s">
        <v>563</v>
      </c>
      <c r="G291" s="206" t="s">
        <v>40</v>
      </c>
      <c r="H291" s="204" t="s">
        <v>585</v>
      </c>
      <c r="I291" s="111"/>
      <c r="J291" s="111"/>
      <c r="K291" s="127" t="s">
        <v>433</v>
      </c>
      <c r="L291" s="212"/>
      <c r="M291" s="111"/>
      <c r="N291" s="212"/>
      <c r="O291" s="207">
        <f>1144900*0.9</f>
        <v>1030410</v>
      </c>
      <c r="P291" s="213" t="s">
        <v>623</v>
      </c>
      <c r="Q291" s="214"/>
      <c r="R291" s="215">
        <f t="shared" si="47"/>
        <v>0</v>
      </c>
      <c r="S291" s="214"/>
      <c r="T291" s="215">
        <f t="shared" si="41"/>
        <v>0</v>
      </c>
      <c r="U291" s="214"/>
      <c r="V291" s="215">
        <f t="shared" si="42"/>
        <v>0</v>
      </c>
      <c r="W291" s="214"/>
      <c r="X291" s="215">
        <f t="shared" si="43"/>
        <v>0</v>
      </c>
      <c r="Y291" s="214"/>
      <c r="Z291" s="215">
        <f t="shared" si="44"/>
        <v>0</v>
      </c>
      <c r="AA291" s="199">
        <f t="shared" si="45"/>
        <v>0</v>
      </c>
      <c r="AB291" s="200">
        <f t="shared" si="46"/>
        <v>0</v>
      </c>
      <c r="AC291" s="217"/>
    </row>
    <row r="292" spans="1:30" s="216" customFormat="1" ht="18" customHeight="1">
      <c r="A292" s="243">
        <v>2020</v>
      </c>
      <c r="B292" s="210">
        <v>3</v>
      </c>
      <c r="C292" s="210"/>
      <c r="D292" s="211"/>
      <c r="E292" s="211"/>
      <c r="F292" s="211" t="s">
        <v>563</v>
      </c>
      <c r="G292" s="206" t="s">
        <v>40</v>
      </c>
      <c r="H292" s="204" t="s">
        <v>585</v>
      </c>
      <c r="I292" s="111"/>
      <c r="J292" s="111"/>
      <c r="K292" s="127" t="s">
        <v>368</v>
      </c>
      <c r="L292" s="212"/>
      <c r="M292" s="111"/>
      <c r="N292" s="212"/>
      <c r="O292" s="207">
        <f>1009900*0.9</f>
        <v>908910</v>
      </c>
      <c r="P292" s="213" t="s">
        <v>623</v>
      </c>
      <c r="Q292" s="214"/>
      <c r="R292" s="215">
        <f t="shared" si="47"/>
        <v>0</v>
      </c>
      <c r="S292" s="214"/>
      <c r="T292" s="215">
        <f t="shared" si="41"/>
        <v>0</v>
      </c>
      <c r="U292" s="214"/>
      <c r="V292" s="215">
        <f t="shared" si="42"/>
        <v>0</v>
      </c>
      <c r="W292" s="214"/>
      <c r="X292" s="215">
        <f t="shared" si="43"/>
        <v>0</v>
      </c>
      <c r="Y292" s="214"/>
      <c r="Z292" s="215">
        <f t="shared" si="44"/>
        <v>0</v>
      </c>
      <c r="AA292" s="199">
        <f t="shared" si="45"/>
        <v>0</v>
      </c>
      <c r="AB292" s="200">
        <f t="shared" si="46"/>
        <v>0</v>
      </c>
      <c r="AC292" s="217"/>
    </row>
    <row r="293" spans="1:30" s="216" customFormat="1" ht="18" customHeight="1">
      <c r="A293" s="243">
        <v>2020</v>
      </c>
      <c r="B293" s="210">
        <v>3</v>
      </c>
      <c r="C293" s="210"/>
      <c r="D293" s="211"/>
      <c r="E293" s="211"/>
      <c r="F293" s="211" t="s">
        <v>563</v>
      </c>
      <c r="G293" s="206" t="s">
        <v>40</v>
      </c>
      <c r="H293" s="204" t="s">
        <v>585</v>
      </c>
      <c r="I293" s="111"/>
      <c r="J293" s="111"/>
      <c r="K293" s="127" t="s">
        <v>449</v>
      </c>
      <c r="L293" s="212"/>
      <c r="M293" s="111"/>
      <c r="N293" s="212"/>
      <c r="O293" s="207">
        <f>804900*0.9</f>
        <v>724410</v>
      </c>
      <c r="P293" s="213" t="s">
        <v>623</v>
      </c>
      <c r="Q293" s="214"/>
      <c r="R293" s="215">
        <f t="shared" si="47"/>
        <v>0</v>
      </c>
      <c r="S293" s="214"/>
      <c r="T293" s="215">
        <f t="shared" si="41"/>
        <v>0</v>
      </c>
      <c r="U293" s="214"/>
      <c r="V293" s="215">
        <f t="shared" si="42"/>
        <v>0</v>
      </c>
      <c r="W293" s="214"/>
      <c r="X293" s="215">
        <f t="shared" si="43"/>
        <v>0</v>
      </c>
      <c r="Y293" s="214"/>
      <c r="Z293" s="215">
        <f t="shared" si="44"/>
        <v>0</v>
      </c>
      <c r="AA293" s="199">
        <f t="shared" si="45"/>
        <v>0</v>
      </c>
      <c r="AB293" s="200">
        <f t="shared" si="46"/>
        <v>0</v>
      </c>
      <c r="AC293" s="217"/>
    </row>
    <row r="294" spans="1:30" s="216" customFormat="1" ht="18" customHeight="1">
      <c r="A294" s="243">
        <v>2020</v>
      </c>
      <c r="B294" s="210">
        <v>3</v>
      </c>
      <c r="C294" s="210"/>
      <c r="D294" s="211"/>
      <c r="E294" s="211"/>
      <c r="F294" s="211" t="s">
        <v>563</v>
      </c>
      <c r="G294" s="206" t="s">
        <v>40</v>
      </c>
      <c r="H294" s="204" t="s">
        <v>585</v>
      </c>
      <c r="I294" s="111"/>
      <c r="J294" s="111"/>
      <c r="K294" s="127" t="s">
        <v>373</v>
      </c>
      <c r="L294" s="212"/>
      <c r="M294" s="111"/>
      <c r="N294" s="212"/>
      <c r="O294" s="207">
        <f>1050900*0.9</f>
        <v>945810</v>
      </c>
      <c r="P294" s="213" t="s">
        <v>623</v>
      </c>
      <c r="Q294" s="214"/>
      <c r="R294" s="215">
        <f t="shared" si="47"/>
        <v>0</v>
      </c>
      <c r="S294" s="214"/>
      <c r="T294" s="215">
        <f t="shared" si="41"/>
        <v>0</v>
      </c>
      <c r="U294" s="214"/>
      <c r="V294" s="215">
        <f t="shared" si="42"/>
        <v>0</v>
      </c>
      <c r="W294" s="214"/>
      <c r="X294" s="215">
        <f t="shared" si="43"/>
        <v>0</v>
      </c>
      <c r="Y294" s="214"/>
      <c r="Z294" s="215">
        <f t="shared" si="44"/>
        <v>0</v>
      </c>
      <c r="AA294" s="199">
        <f t="shared" si="45"/>
        <v>0</v>
      </c>
      <c r="AB294" s="200">
        <f t="shared" si="46"/>
        <v>0</v>
      </c>
      <c r="AC294" s="217"/>
    </row>
    <row r="295" spans="1:30" s="216" customFormat="1" ht="18" customHeight="1">
      <c r="A295" s="243">
        <v>2020</v>
      </c>
      <c r="B295" s="210">
        <v>3</v>
      </c>
      <c r="C295" s="210"/>
      <c r="D295" s="211"/>
      <c r="E295" s="211"/>
      <c r="F295" s="211" t="s">
        <v>563</v>
      </c>
      <c r="G295" s="206" t="s">
        <v>40</v>
      </c>
      <c r="H295" s="204" t="s">
        <v>587</v>
      </c>
      <c r="I295" s="111"/>
      <c r="J295" s="111"/>
      <c r="K295" s="127" t="s">
        <v>377</v>
      </c>
      <c r="L295" s="212"/>
      <c r="M295" s="111"/>
      <c r="N295" s="212"/>
      <c r="O295" s="207">
        <f>2300900*0.9</f>
        <v>2070810</v>
      </c>
      <c r="P295" s="213" t="s">
        <v>623</v>
      </c>
      <c r="Q295" s="214"/>
      <c r="R295" s="215">
        <f t="shared" si="47"/>
        <v>0</v>
      </c>
      <c r="S295" s="214"/>
      <c r="T295" s="215">
        <f t="shared" si="41"/>
        <v>0</v>
      </c>
      <c r="U295" s="214"/>
      <c r="V295" s="215">
        <f t="shared" si="42"/>
        <v>0</v>
      </c>
      <c r="W295" s="214"/>
      <c r="X295" s="215">
        <f t="shared" si="43"/>
        <v>0</v>
      </c>
      <c r="Y295" s="214"/>
      <c r="Z295" s="215">
        <f t="shared" si="44"/>
        <v>0</v>
      </c>
      <c r="AA295" s="199">
        <f t="shared" si="45"/>
        <v>0</v>
      </c>
      <c r="AB295" s="200">
        <f t="shared" si="46"/>
        <v>0</v>
      </c>
      <c r="AC295" s="217"/>
    </row>
    <row r="296" spans="1:30" s="216" customFormat="1" ht="18" customHeight="1">
      <c r="A296" s="243">
        <v>2020</v>
      </c>
      <c r="B296" s="210">
        <v>3</v>
      </c>
      <c r="C296" s="210"/>
      <c r="D296" s="211"/>
      <c r="E296" s="211"/>
      <c r="F296" s="211" t="s">
        <v>563</v>
      </c>
      <c r="G296" s="206" t="s">
        <v>40</v>
      </c>
      <c r="H296" s="204" t="s">
        <v>587</v>
      </c>
      <c r="I296" s="111"/>
      <c r="J296" s="111"/>
      <c r="K296" s="127" t="s">
        <v>378</v>
      </c>
      <c r="L296" s="212"/>
      <c r="M296" s="111"/>
      <c r="N296" s="212"/>
      <c r="O296" s="207">
        <f>2090900*0.9</f>
        <v>1881810</v>
      </c>
      <c r="P296" s="213" t="s">
        <v>623</v>
      </c>
      <c r="Q296" s="214"/>
      <c r="R296" s="215">
        <f t="shared" si="47"/>
        <v>0</v>
      </c>
      <c r="S296" s="214"/>
      <c r="T296" s="215">
        <f t="shared" si="41"/>
        <v>0</v>
      </c>
      <c r="U296" s="214"/>
      <c r="V296" s="215">
        <f t="shared" si="42"/>
        <v>0</v>
      </c>
      <c r="W296" s="214"/>
      <c r="X296" s="215">
        <f t="shared" si="43"/>
        <v>0</v>
      </c>
      <c r="Y296" s="214"/>
      <c r="Z296" s="215">
        <f t="shared" si="44"/>
        <v>0</v>
      </c>
      <c r="AA296" s="199">
        <f t="shared" si="45"/>
        <v>0</v>
      </c>
      <c r="AB296" s="200">
        <f t="shared" si="46"/>
        <v>0</v>
      </c>
      <c r="AC296" s="217"/>
    </row>
    <row r="297" spans="1:30" s="228" customFormat="1" ht="18" customHeight="1">
      <c r="A297" s="243">
        <v>2020</v>
      </c>
      <c r="B297" s="210">
        <v>3</v>
      </c>
      <c r="C297" s="210"/>
      <c r="D297" s="211"/>
      <c r="E297" s="211"/>
      <c r="F297" s="211" t="s">
        <v>563</v>
      </c>
      <c r="G297" s="206" t="s">
        <v>40</v>
      </c>
      <c r="H297" s="204" t="s">
        <v>383</v>
      </c>
      <c r="I297" s="111"/>
      <c r="J297" s="111"/>
      <c r="K297" s="137" t="s">
        <v>622</v>
      </c>
      <c r="L297" s="212"/>
      <c r="M297" s="111"/>
      <c r="N297" s="212"/>
      <c r="O297" s="207">
        <f>1460900*0.9</f>
        <v>1314810</v>
      </c>
      <c r="P297" s="213" t="s">
        <v>623</v>
      </c>
      <c r="Q297" s="214"/>
      <c r="R297" s="215">
        <f t="shared" si="47"/>
        <v>0</v>
      </c>
      <c r="S297" s="214"/>
      <c r="T297" s="215">
        <f t="shared" ref="T297:T327" si="48">S297*$O297</f>
        <v>0</v>
      </c>
      <c r="U297" s="214"/>
      <c r="V297" s="215">
        <f t="shared" ref="V297:V327" si="49">U297*$O297</f>
        <v>0</v>
      </c>
      <c r="W297" s="214"/>
      <c r="X297" s="215">
        <f t="shared" ref="X297:X327" si="50">W297*$O297</f>
        <v>0</v>
      </c>
      <c r="Y297" s="214"/>
      <c r="Z297" s="215">
        <f t="shared" ref="Z297:Z327" si="51">Y297*$O297</f>
        <v>0</v>
      </c>
      <c r="AA297" s="199">
        <f t="shared" ref="AA297:AA327" si="52">SUMIF($Q$4:$Z$4,"BÁN",$Q297:$Z297)</f>
        <v>0</v>
      </c>
      <c r="AB297" s="200">
        <f t="shared" ref="AB297:AB327" si="53">SUMIF($Q$4:$Z$4,"THÀNH TIỀN
BÁN THỰC TẾ",$Q297:$Z297)</f>
        <v>0</v>
      </c>
      <c r="AC297" s="195"/>
      <c r="AD297" s="216"/>
    </row>
    <row r="298" spans="1:30" s="228" customFormat="1" ht="18" customHeight="1">
      <c r="A298" s="243">
        <v>2020</v>
      </c>
      <c r="B298" s="210">
        <v>3</v>
      </c>
      <c r="C298" s="210"/>
      <c r="D298" s="211"/>
      <c r="E298" s="211"/>
      <c r="F298" s="211" t="s">
        <v>563</v>
      </c>
      <c r="G298" s="206" t="s">
        <v>40</v>
      </c>
      <c r="H298" s="204" t="s">
        <v>385</v>
      </c>
      <c r="I298" s="111"/>
      <c r="J298" s="111"/>
      <c r="K298" s="137" t="s">
        <v>386</v>
      </c>
      <c r="L298" s="212"/>
      <c r="M298" s="111"/>
      <c r="N298" s="212"/>
      <c r="O298" s="207">
        <f>2930900*0.9</f>
        <v>2637810</v>
      </c>
      <c r="P298" s="213" t="s">
        <v>623</v>
      </c>
      <c r="Q298" s="214"/>
      <c r="R298" s="215">
        <f t="shared" si="47"/>
        <v>0</v>
      </c>
      <c r="S298" s="214"/>
      <c r="T298" s="215">
        <f t="shared" si="48"/>
        <v>0</v>
      </c>
      <c r="U298" s="214"/>
      <c r="V298" s="215">
        <f t="shared" si="49"/>
        <v>0</v>
      </c>
      <c r="W298" s="214"/>
      <c r="X298" s="215">
        <f t="shared" si="50"/>
        <v>0</v>
      </c>
      <c r="Y298" s="214"/>
      <c r="Z298" s="215">
        <f t="shared" si="51"/>
        <v>0</v>
      </c>
      <c r="AA298" s="199">
        <f t="shared" si="52"/>
        <v>0</v>
      </c>
      <c r="AB298" s="200">
        <f t="shared" si="53"/>
        <v>0</v>
      </c>
      <c r="AC298" s="195"/>
      <c r="AD298" s="216"/>
    </row>
    <row r="299" spans="1:30" s="228" customFormat="1" ht="18" customHeight="1">
      <c r="A299" s="243">
        <v>2020</v>
      </c>
      <c r="B299" s="210">
        <v>3</v>
      </c>
      <c r="C299" s="210"/>
      <c r="D299" s="211"/>
      <c r="E299" s="211"/>
      <c r="F299" s="211" t="s">
        <v>563</v>
      </c>
      <c r="G299" s="206" t="s">
        <v>40</v>
      </c>
      <c r="H299" s="204" t="s">
        <v>385</v>
      </c>
      <c r="I299" s="111"/>
      <c r="J299" s="111"/>
      <c r="K299" s="127" t="s">
        <v>387</v>
      </c>
      <c r="L299" s="206"/>
      <c r="M299" s="111"/>
      <c r="N299" s="206"/>
      <c r="O299" s="207">
        <f>3876900*0.9</f>
        <v>3489210</v>
      </c>
      <c r="P299" s="213" t="s">
        <v>623</v>
      </c>
      <c r="Q299" s="214"/>
      <c r="R299" s="215">
        <f t="shared" si="47"/>
        <v>0</v>
      </c>
      <c r="S299" s="214"/>
      <c r="T299" s="215">
        <f t="shared" si="48"/>
        <v>0</v>
      </c>
      <c r="U299" s="214"/>
      <c r="V299" s="215">
        <f t="shared" si="49"/>
        <v>0</v>
      </c>
      <c r="W299" s="214"/>
      <c r="X299" s="215">
        <f t="shared" si="50"/>
        <v>0</v>
      </c>
      <c r="Y299" s="214"/>
      <c r="Z299" s="215">
        <f t="shared" si="51"/>
        <v>0</v>
      </c>
      <c r="AA299" s="199">
        <f t="shared" si="52"/>
        <v>0</v>
      </c>
      <c r="AB299" s="200">
        <f t="shared" si="53"/>
        <v>0</v>
      </c>
      <c r="AC299" s="195"/>
      <c r="AD299" s="216"/>
    </row>
    <row r="300" spans="1:30" s="228" customFormat="1" ht="18" customHeight="1">
      <c r="A300" s="243">
        <v>2020</v>
      </c>
      <c r="B300" s="210">
        <v>3</v>
      </c>
      <c r="C300" s="210"/>
      <c r="D300" s="211"/>
      <c r="E300" s="211"/>
      <c r="F300" s="211" t="s">
        <v>563</v>
      </c>
      <c r="G300" s="206" t="s">
        <v>40</v>
      </c>
      <c r="H300" s="204" t="s">
        <v>385</v>
      </c>
      <c r="I300" s="111"/>
      <c r="J300" s="111"/>
      <c r="K300" s="127" t="s">
        <v>388</v>
      </c>
      <c r="L300" s="206"/>
      <c r="M300" s="111"/>
      <c r="N300" s="206"/>
      <c r="O300" s="207">
        <f>2195900*0.9</f>
        <v>1976310</v>
      </c>
      <c r="P300" s="213" t="s">
        <v>623</v>
      </c>
      <c r="Q300" s="214"/>
      <c r="R300" s="215">
        <f t="shared" si="47"/>
        <v>0</v>
      </c>
      <c r="S300" s="214"/>
      <c r="T300" s="215">
        <f t="shared" si="48"/>
        <v>0</v>
      </c>
      <c r="U300" s="214"/>
      <c r="V300" s="215">
        <f t="shared" si="49"/>
        <v>0</v>
      </c>
      <c r="W300" s="214"/>
      <c r="X300" s="215">
        <f t="shared" si="50"/>
        <v>0</v>
      </c>
      <c r="Y300" s="214"/>
      <c r="Z300" s="215">
        <f t="shared" si="51"/>
        <v>0</v>
      </c>
      <c r="AA300" s="199">
        <f t="shared" si="52"/>
        <v>0</v>
      </c>
      <c r="AB300" s="200">
        <f t="shared" si="53"/>
        <v>0</v>
      </c>
      <c r="AC300" s="195"/>
      <c r="AD300" s="216"/>
    </row>
    <row r="301" spans="1:30" s="228" customFormat="1" ht="18" customHeight="1">
      <c r="A301" s="243">
        <v>2020</v>
      </c>
      <c r="B301" s="210">
        <v>3</v>
      </c>
      <c r="C301" s="210"/>
      <c r="D301" s="211"/>
      <c r="E301" s="211"/>
      <c r="F301" s="211" t="s">
        <v>563</v>
      </c>
      <c r="G301" s="206" t="s">
        <v>40</v>
      </c>
      <c r="H301" s="204" t="s">
        <v>389</v>
      </c>
      <c r="I301" s="111"/>
      <c r="J301" s="111"/>
      <c r="K301" s="137" t="s">
        <v>390</v>
      </c>
      <c r="L301" s="206"/>
      <c r="M301" s="111"/>
      <c r="N301" s="206"/>
      <c r="O301" s="207">
        <f>1670900*0.9</f>
        <v>1503810</v>
      </c>
      <c r="P301" s="213" t="s">
        <v>623</v>
      </c>
      <c r="Q301" s="214"/>
      <c r="R301" s="215">
        <f t="shared" si="47"/>
        <v>0</v>
      </c>
      <c r="S301" s="214"/>
      <c r="T301" s="215">
        <f t="shared" si="48"/>
        <v>0</v>
      </c>
      <c r="U301" s="214"/>
      <c r="V301" s="215">
        <f t="shared" si="49"/>
        <v>0</v>
      </c>
      <c r="W301" s="214"/>
      <c r="X301" s="215">
        <f t="shared" si="50"/>
        <v>0</v>
      </c>
      <c r="Y301" s="214"/>
      <c r="Z301" s="215">
        <f t="shared" si="51"/>
        <v>0</v>
      </c>
      <c r="AA301" s="199">
        <f t="shared" si="52"/>
        <v>0</v>
      </c>
      <c r="AB301" s="200">
        <f t="shared" si="53"/>
        <v>0</v>
      </c>
      <c r="AC301" s="195"/>
      <c r="AD301" s="216"/>
    </row>
    <row r="302" spans="1:30" s="228" customFormat="1" ht="18" customHeight="1">
      <c r="A302" s="243">
        <v>2020</v>
      </c>
      <c r="B302" s="210">
        <v>3</v>
      </c>
      <c r="C302" s="210"/>
      <c r="D302" s="211"/>
      <c r="E302" s="211"/>
      <c r="F302" s="211" t="s">
        <v>563</v>
      </c>
      <c r="G302" s="206" t="s">
        <v>40</v>
      </c>
      <c r="H302" s="204" t="s">
        <v>389</v>
      </c>
      <c r="I302" s="111"/>
      <c r="J302" s="111"/>
      <c r="K302" s="127" t="s">
        <v>391</v>
      </c>
      <c r="L302" s="206"/>
      <c r="M302" s="111"/>
      <c r="N302" s="206"/>
      <c r="O302" s="207">
        <f>934900*0.9</f>
        <v>841410</v>
      </c>
      <c r="P302" s="213" t="s">
        <v>623</v>
      </c>
      <c r="Q302" s="214"/>
      <c r="R302" s="215">
        <f t="shared" si="47"/>
        <v>0</v>
      </c>
      <c r="S302" s="214"/>
      <c r="T302" s="215">
        <f t="shared" si="48"/>
        <v>0</v>
      </c>
      <c r="U302" s="214"/>
      <c r="V302" s="215">
        <f t="shared" si="49"/>
        <v>0</v>
      </c>
      <c r="W302" s="214"/>
      <c r="X302" s="215">
        <f t="shared" si="50"/>
        <v>0</v>
      </c>
      <c r="Y302" s="214"/>
      <c r="Z302" s="215">
        <f t="shared" si="51"/>
        <v>0</v>
      </c>
      <c r="AA302" s="199">
        <f t="shared" si="52"/>
        <v>0</v>
      </c>
      <c r="AB302" s="200">
        <f t="shared" si="53"/>
        <v>0</v>
      </c>
      <c r="AC302" s="195"/>
      <c r="AD302" s="216"/>
    </row>
    <row r="303" spans="1:30" s="228" customFormat="1" ht="18" customHeight="1">
      <c r="A303" s="243">
        <v>2020</v>
      </c>
      <c r="B303" s="210">
        <v>3</v>
      </c>
      <c r="C303" s="210"/>
      <c r="D303" s="211"/>
      <c r="E303" s="211"/>
      <c r="F303" s="211" t="s">
        <v>563</v>
      </c>
      <c r="G303" s="206" t="s">
        <v>40</v>
      </c>
      <c r="H303" s="204" t="s">
        <v>392</v>
      </c>
      <c r="I303" s="111"/>
      <c r="J303" s="111"/>
      <c r="K303" s="127" t="s">
        <v>393</v>
      </c>
      <c r="L303" s="206"/>
      <c r="M303" s="111"/>
      <c r="N303" s="206"/>
      <c r="O303" s="207">
        <f>724900*0.9</f>
        <v>652410</v>
      </c>
      <c r="P303" s="213" t="s">
        <v>623</v>
      </c>
      <c r="Q303" s="214"/>
      <c r="R303" s="215">
        <f t="shared" si="47"/>
        <v>0</v>
      </c>
      <c r="S303" s="214"/>
      <c r="T303" s="215">
        <f t="shared" si="48"/>
        <v>0</v>
      </c>
      <c r="U303" s="214"/>
      <c r="V303" s="215">
        <f t="shared" si="49"/>
        <v>0</v>
      </c>
      <c r="W303" s="214"/>
      <c r="X303" s="215">
        <f t="shared" si="50"/>
        <v>0</v>
      </c>
      <c r="Y303" s="214"/>
      <c r="Z303" s="215">
        <f t="shared" si="51"/>
        <v>0</v>
      </c>
      <c r="AA303" s="199">
        <f t="shared" si="52"/>
        <v>0</v>
      </c>
      <c r="AB303" s="200">
        <f t="shared" si="53"/>
        <v>0</v>
      </c>
      <c r="AC303" s="195"/>
      <c r="AD303" s="216"/>
    </row>
    <row r="304" spans="1:30" s="228" customFormat="1" ht="18" customHeight="1">
      <c r="A304" s="243">
        <v>2020</v>
      </c>
      <c r="B304" s="210">
        <v>3</v>
      </c>
      <c r="C304" s="210"/>
      <c r="D304" s="211"/>
      <c r="E304" s="211"/>
      <c r="F304" s="211" t="s">
        <v>563</v>
      </c>
      <c r="G304" s="206" t="s">
        <v>40</v>
      </c>
      <c r="H304" s="204" t="s">
        <v>394</v>
      </c>
      <c r="I304" s="111"/>
      <c r="J304" s="111"/>
      <c r="K304" s="127" t="s">
        <v>621</v>
      </c>
      <c r="L304" s="206"/>
      <c r="M304" s="111"/>
      <c r="N304" s="206"/>
      <c r="O304" s="207">
        <f>1355900*0.9</f>
        <v>1220310</v>
      </c>
      <c r="P304" s="213" t="s">
        <v>623</v>
      </c>
      <c r="Q304" s="214"/>
      <c r="R304" s="215">
        <f t="shared" si="47"/>
        <v>0</v>
      </c>
      <c r="S304" s="214"/>
      <c r="T304" s="215">
        <f t="shared" si="48"/>
        <v>0</v>
      </c>
      <c r="U304" s="214"/>
      <c r="V304" s="215">
        <f t="shared" si="49"/>
        <v>0</v>
      </c>
      <c r="W304" s="214"/>
      <c r="X304" s="215">
        <f t="shared" si="50"/>
        <v>0</v>
      </c>
      <c r="Y304" s="214"/>
      <c r="Z304" s="215">
        <f t="shared" si="51"/>
        <v>0</v>
      </c>
      <c r="AA304" s="199">
        <f t="shared" si="52"/>
        <v>0</v>
      </c>
      <c r="AB304" s="200">
        <f t="shared" si="53"/>
        <v>0</v>
      </c>
      <c r="AC304" s="195"/>
      <c r="AD304" s="216"/>
    </row>
    <row r="305" spans="1:30" s="228" customFormat="1" ht="18" customHeight="1">
      <c r="A305" s="243">
        <v>2020</v>
      </c>
      <c r="B305" s="210">
        <v>3</v>
      </c>
      <c r="C305" s="210"/>
      <c r="D305" s="211"/>
      <c r="E305" s="211"/>
      <c r="F305" s="211" t="s">
        <v>563</v>
      </c>
      <c r="G305" s="206" t="s">
        <v>40</v>
      </c>
      <c r="H305" s="204" t="s">
        <v>394</v>
      </c>
      <c r="I305" s="111"/>
      <c r="J305" s="111"/>
      <c r="K305" s="127" t="s">
        <v>396</v>
      </c>
      <c r="L305" s="206"/>
      <c r="M305" s="111"/>
      <c r="N305" s="206"/>
      <c r="O305" s="207">
        <f>3140900*0.9</f>
        <v>2826810</v>
      </c>
      <c r="P305" s="213" t="s">
        <v>623</v>
      </c>
      <c r="Q305" s="214"/>
      <c r="R305" s="215">
        <f t="shared" si="47"/>
        <v>0</v>
      </c>
      <c r="S305" s="214"/>
      <c r="T305" s="215">
        <f t="shared" si="48"/>
        <v>0</v>
      </c>
      <c r="U305" s="214"/>
      <c r="V305" s="215">
        <f t="shared" si="49"/>
        <v>0</v>
      </c>
      <c r="W305" s="214"/>
      <c r="X305" s="215">
        <f t="shared" si="50"/>
        <v>0</v>
      </c>
      <c r="Y305" s="214"/>
      <c r="Z305" s="215">
        <f t="shared" si="51"/>
        <v>0</v>
      </c>
      <c r="AA305" s="199">
        <f t="shared" si="52"/>
        <v>0</v>
      </c>
      <c r="AB305" s="200">
        <f t="shared" si="53"/>
        <v>0</v>
      </c>
      <c r="AC305" s="195"/>
      <c r="AD305" s="216"/>
    </row>
    <row r="306" spans="1:30" s="216" customFormat="1" ht="18" customHeight="1">
      <c r="A306" s="243">
        <v>2020</v>
      </c>
      <c r="B306" s="210">
        <v>3</v>
      </c>
      <c r="C306" s="210"/>
      <c r="D306" s="211"/>
      <c r="E306" s="211"/>
      <c r="F306" s="211" t="s">
        <v>563</v>
      </c>
      <c r="G306" s="206" t="s">
        <v>40</v>
      </c>
      <c r="H306" s="204" t="s">
        <v>590</v>
      </c>
      <c r="I306" s="230"/>
      <c r="J306" s="230"/>
      <c r="K306" s="138" t="s">
        <v>344</v>
      </c>
      <c r="L306" s="212"/>
      <c r="M306" s="230"/>
      <c r="N306" s="212"/>
      <c r="O306" s="207">
        <f>2490000*0.9</f>
        <v>2241000</v>
      </c>
      <c r="P306" s="213" t="s">
        <v>623</v>
      </c>
      <c r="Q306" s="214"/>
      <c r="R306" s="215">
        <f t="shared" si="47"/>
        <v>0</v>
      </c>
      <c r="S306" s="214"/>
      <c r="T306" s="215">
        <f t="shared" si="48"/>
        <v>0</v>
      </c>
      <c r="U306" s="214"/>
      <c r="V306" s="215">
        <f t="shared" si="49"/>
        <v>0</v>
      </c>
      <c r="W306" s="214"/>
      <c r="X306" s="215">
        <f t="shared" si="50"/>
        <v>0</v>
      </c>
      <c r="Y306" s="214"/>
      <c r="Z306" s="215">
        <f t="shared" si="51"/>
        <v>0</v>
      </c>
      <c r="AA306" s="199">
        <f t="shared" si="52"/>
        <v>0</v>
      </c>
      <c r="AB306" s="200">
        <f t="shared" si="53"/>
        <v>0</v>
      </c>
      <c r="AC306" s="195"/>
    </row>
    <row r="307" spans="1:30" s="216" customFormat="1" ht="18" customHeight="1">
      <c r="A307" s="243">
        <v>2020</v>
      </c>
      <c r="B307" s="210">
        <v>3</v>
      </c>
      <c r="C307" s="210"/>
      <c r="D307" s="211"/>
      <c r="E307" s="211"/>
      <c r="F307" s="211" t="s">
        <v>563</v>
      </c>
      <c r="G307" s="206" t="s">
        <v>40</v>
      </c>
      <c r="H307" s="204" t="s">
        <v>590</v>
      </c>
      <c r="I307" s="111"/>
      <c r="J307" s="111"/>
      <c r="K307" s="127" t="s">
        <v>345</v>
      </c>
      <c r="L307" s="212"/>
      <c r="M307" s="111"/>
      <c r="N307" s="212"/>
      <c r="O307" s="207">
        <v>1999999.9999999998</v>
      </c>
      <c r="P307" s="213" t="s">
        <v>623</v>
      </c>
      <c r="Q307" s="214"/>
      <c r="R307" s="215">
        <f t="shared" si="47"/>
        <v>0</v>
      </c>
      <c r="S307" s="214"/>
      <c r="T307" s="215">
        <f t="shared" si="48"/>
        <v>0</v>
      </c>
      <c r="U307" s="214"/>
      <c r="V307" s="215">
        <f t="shared" si="49"/>
        <v>0</v>
      </c>
      <c r="W307" s="214"/>
      <c r="X307" s="215">
        <f t="shared" si="50"/>
        <v>0</v>
      </c>
      <c r="Y307" s="214"/>
      <c r="Z307" s="215">
        <f t="shared" si="51"/>
        <v>0</v>
      </c>
      <c r="AA307" s="199">
        <f t="shared" si="52"/>
        <v>0</v>
      </c>
      <c r="AB307" s="200">
        <f t="shared" si="53"/>
        <v>0</v>
      </c>
      <c r="AC307" s="195"/>
    </row>
    <row r="308" spans="1:30" s="216" customFormat="1" ht="18" customHeight="1">
      <c r="A308" s="243">
        <v>2020</v>
      </c>
      <c r="B308" s="210">
        <v>3</v>
      </c>
      <c r="C308" s="210"/>
      <c r="D308" s="211"/>
      <c r="E308" s="211"/>
      <c r="F308" s="211" t="s">
        <v>563</v>
      </c>
      <c r="G308" s="206" t="s">
        <v>40</v>
      </c>
      <c r="H308" s="204" t="s">
        <v>590</v>
      </c>
      <c r="I308" s="206"/>
      <c r="J308" s="206"/>
      <c r="K308" s="123" t="s">
        <v>346</v>
      </c>
      <c r="L308" s="212"/>
      <c r="M308" s="206"/>
      <c r="N308" s="212"/>
      <c r="O308" s="207">
        <f>1630000*0.9</f>
        <v>1467000</v>
      </c>
      <c r="P308" s="213" t="s">
        <v>623</v>
      </c>
      <c r="Q308" s="214"/>
      <c r="R308" s="215">
        <f t="shared" si="47"/>
        <v>0</v>
      </c>
      <c r="S308" s="214"/>
      <c r="T308" s="215">
        <f t="shared" si="48"/>
        <v>0</v>
      </c>
      <c r="U308" s="214"/>
      <c r="V308" s="215">
        <f t="shared" si="49"/>
        <v>0</v>
      </c>
      <c r="W308" s="214"/>
      <c r="X308" s="215">
        <f t="shared" si="50"/>
        <v>0</v>
      </c>
      <c r="Y308" s="214"/>
      <c r="Z308" s="215">
        <f t="shared" si="51"/>
        <v>0</v>
      </c>
      <c r="AA308" s="199">
        <f t="shared" si="52"/>
        <v>0</v>
      </c>
      <c r="AB308" s="200">
        <f t="shared" si="53"/>
        <v>0</v>
      </c>
      <c r="AC308" s="195"/>
    </row>
    <row r="309" spans="1:30" s="216" customFormat="1" ht="18" customHeight="1">
      <c r="A309" s="243">
        <v>2020</v>
      </c>
      <c r="B309" s="210">
        <v>3</v>
      </c>
      <c r="C309" s="210"/>
      <c r="D309" s="211"/>
      <c r="E309" s="211"/>
      <c r="F309" s="211" t="s">
        <v>563</v>
      </c>
      <c r="G309" s="206" t="s">
        <v>40</v>
      </c>
      <c r="H309" s="204" t="s">
        <v>590</v>
      </c>
      <c r="I309" s="111"/>
      <c r="J309" s="111"/>
      <c r="K309" s="127" t="s">
        <v>347</v>
      </c>
      <c r="L309" s="212"/>
      <c r="M309" s="111"/>
      <c r="N309" s="212"/>
      <c r="O309" s="207">
        <f>1570000*0.9</f>
        <v>1413000</v>
      </c>
      <c r="P309" s="213" t="s">
        <v>623</v>
      </c>
      <c r="Q309" s="214"/>
      <c r="R309" s="215">
        <f t="shared" si="47"/>
        <v>0</v>
      </c>
      <c r="S309" s="214"/>
      <c r="T309" s="215">
        <f t="shared" si="48"/>
        <v>0</v>
      </c>
      <c r="U309" s="214"/>
      <c r="V309" s="215">
        <f t="shared" si="49"/>
        <v>0</v>
      </c>
      <c r="W309" s="214"/>
      <c r="X309" s="215">
        <f t="shared" si="50"/>
        <v>0</v>
      </c>
      <c r="Y309" s="214"/>
      <c r="Z309" s="215">
        <f t="shared" si="51"/>
        <v>0</v>
      </c>
      <c r="AA309" s="199">
        <f t="shared" si="52"/>
        <v>0</v>
      </c>
      <c r="AB309" s="200">
        <f t="shared" si="53"/>
        <v>0</v>
      </c>
      <c r="AC309" s="195"/>
    </row>
    <row r="310" spans="1:30" s="216" customFormat="1" ht="18" customHeight="1">
      <c r="A310" s="243">
        <v>2020</v>
      </c>
      <c r="B310" s="210">
        <v>3</v>
      </c>
      <c r="C310" s="210"/>
      <c r="D310" s="211"/>
      <c r="E310" s="211"/>
      <c r="F310" s="211" t="s">
        <v>563</v>
      </c>
      <c r="G310" s="206" t="s">
        <v>40</v>
      </c>
      <c r="H310" s="204" t="s">
        <v>590</v>
      </c>
      <c r="I310" s="111"/>
      <c r="J310" s="111"/>
      <c r="K310" s="127" t="s">
        <v>348</v>
      </c>
      <c r="L310" s="212"/>
      <c r="M310" s="111"/>
      <c r="N310" s="212"/>
      <c r="O310" s="207">
        <f>1450000*0.9</f>
        <v>1305000</v>
      </c>
      <c r="P310" s="213" t="s">
        <v>623</v>
      </c>
      <c r="Q310" s="214"/>
      <c r="R310" s="215">
        <f t="shared" si="47"/>
        <v>0</v>
      </c>
      <c r="S310" s="214"/>
      <c r="T310" s="215">
        <f t="shared" si="48"/>
        <v>0</v>
      </c>
      <c r="U310" s="214"/>
      <c r="V310" s="215">
        <f t="shared" si="49"/>
        <v>0</v>
      </c>
      <c r="W310" s="214"/>
      <c r="X310" s="215">
        <f t="shared" si="50"/>
        <v>0</v>
      </c>
      <c r="Y310" s="214"/>
      <c r="Z310" s="215">
        <f t="shared" si="51"/>
        <v>0</v>
      </c>
      <c r="AA310" s="199">
        <f t="shared" si="52"/>
        <v>0</v>
      </c>
      <c r="AB310" s="200">
        <f t="shared" si="53"/>
        <v>0</v>
      </c>
      <c r="AC310" s="195"/>
    </row>
    <row r="311" spans="1:30" s="216" customFormat="1" ht="18" customHeight="1">
      <c r="A311" s="243">
        <v>2020</v>
      </c>
      <c r="B311" s="210">
        <v>3</v>
      </c>
      <c r="C311" s="210"/>
      <c r="D311" s="211"/>
      <c r="E311" s="211"/>
      <c r="F311" s="211" t="s">
        <v>563</v>
      </c>
      <c r="G311" s="206" t="s">
        <v>40</v>
      </c>
      <c r="H311" s="204" t="s">
        <v>590</v>
      </c>
      <c r="I311" s="111"/>
      <c r="J311" s="111"/>
      <c r="K311" s="127" t="s">
        <v>350</v>
      </c>
      <c r="L311" s="212"/>
      <c r="M311" s="111"/>
      <c r="N311" s="212"/>
      <c r="O311" s="207">
        <f>690000*0.9</f>
        <v>621000</v>
      </c>
      <c r="P311" s="213" t="s">
        <v>623</v>
      </c>
      <c r="Q311" s="214"/>
      <c r="R311" s="215">
        <f t="shared" si="47"/>
        <v>0</v>
      </c>
      <c r="S311" s="214"/>
      <c r="T311" s="215">
        <f t="shared" si="48"/>
        <v>0</v>
      </c>
      <c r="U311" s="214"/>
      <c r="V311" s="215">
        <f t="shared" si="49"/>
        <v>0</v>
      </c>
      <c r="W311" s="214"/>
      <c r="X311" s="215">
        <f t="shared" si="50"/>
        <v>0</v>
      </c>
      <c r="Y311" s="214"/>
      <c r="Z311" s="215">
        <f t="shared" si="51"/>
        <v>0</v>
      </c>
      <c r="AA311" s="199">
        <f t="shared" si="52"/>
        <v>0</v>
      </c>
      <c r="AB311" s="200">
        <f t="shared" si="53"/>
        <v>0</v>
      </c>
      <c r="AC311" s="195"/>
    </row>
    <row r="312" spans="1:30" s="216" customFormat="1" ht="18" customHeight="1">
      <c r="A312" s="243">
        <v>2020</v>
      </c>
      <c r="B312" s="210">
        <v>3</v>
      </c>
      <c r="C312" s="210"/>
      <c r="D312" s="211"/>
      <c r="E312" s="211"/>
      <c r="F312" s="211" t="s">
        <v>563</v>
      </c>
      <c r="G312" s="206" t="s">
        <v>40</v>
      </c>
      <c r="H312" s="204" t="s">
        <v>590</v>
      </c>
      <c r="I312" s="111"/>
      <c r="J312" s="111"/>
      <c r="K312" s="208" t="s">
        <v>600</v>
      </c>
      <c r="L312" s="212"/>
      <c r="M312" s="111"/>
      <c r="N312" s="212"/>
      <c r="O312" s="207">
        <f>600000*0.9</f>
        <v>540000</v>
      </c>
      <c r="P312" s="213" t="s">
        <v>623</v>
      </c>
      <c r="Q312" s="214"/>
      <c r="R312" s="215">
        <f t="shared" si="47"/>
        <v>0</v>
      </c>
      <c r="S312" s="214"/>
      <c r="T312" s="215">
        <f t="shared" si="48"/>
        <v>0</v>
      </c>
      <c r="U312" s="214"/>
      <c r="V312" s="215">
        <f t="shared" si="49"/>
        <v>0</v>
      </c>
      <c r="W312" s="214"/>
      <c r="X312" s="215">
        <f t="shared" si="50"/>
        <v>0</v>
      </c>
      <c r="Y312" s="214"/>
      <c r="Z312" s="215">
        <f t="shared" si="51"/>
        <v>0</v>
      </c>
      <c r="AA312" s="199">
        <f t="shared" si="52"/>
        <v>0</v>
      </c>
      <c r="AB312" s="200">
        <f t="shared" si="53"/>
        <v>0</v>
      </c>
      <c r="AC312" s="195"/>
    </row>
    <row r="313" spans="1:30" s="216" customFormat="1" ht="18" customHeight="1">
      <c r="A313" s="243">
        <v>2020</v>
      </c>
      <c r="B313" s="210">
        <v>3</v>
      </c>
      <c r="C313" s="210"/>
      <c r="D313" s="211"/>
      <c r="E313" s="211"/>
      <c r="F313" s="211" t="s">
        <v>563</v>
      </c>
      <c r="G313" s="206" t="s">
        <v>40</v>
      </c>
      <c r="H313" s="204" t="s">
        <v>590</v>
      </c>
      <c r="I313" s="111"/>
      <c r="J313" s="111"/>
      <c r="K313" s="208" t="s">
        <v>601</v>
      </c>
      <c r="L313" s="212"/>
      <c r="M313" s="111"/>
      <c r="N313" s="212"/>
      <c r="O313" s="207">
        <f>3090000*0.9</f>
        <v>2781000</v>
      </c>
      <c r="P313" s="213" t="s">
        <v>623</v>
      </c>
      <c r="Q313" s="214"/>
      <c r="R313" s="215">
        <f t="shared" si="47"/>
        <v>0</v>
      </c>
      <c r="S313" s="214"/>
      <c r="T313" s="215">
        <f t="shared" si="48"/>
        <v>0</v>
      </c>
      <c r="U313" s="214"/>
      <c r="V313" s="215">
        <f t="shared" si="49"/>
        <v>0</v>
      </c>
      <c r="W313" s="214"/>
      <c r="X313" s="215">
        <f t="shared" si="50"/>
        <v>0</v>
      </c>
      <c r="Y313" s="214"/>
      <c r="Z313" s="215">
        <f t="shared" si="51"/>
        <v>0</v>
      </c>
      <c r="AA313" s="199">
        <f t="shared" si="52"/>
        <v>0</v>
      </c>
      <c r="AB313" s="200">
        <f t="shared" si="53"/>
        <v>0</v>
      </c>
      <c r="AC313" s="195"/>
    </row>
    <row r="314" spans="1:30" s="216" customFormat="1" ht="18" customHeight="1">
      <c r="A314" s="243">
        <v>2020</v>
      </c>
      <c r="B314" s="210">
        <v>3</v>
      </c>
      <c r="C314" s="210"/>
      <c r="D314" s="211"/>
      <c r="E314" s="211"/>
      <c r="F314" s="211" t="s">
        <v>563</v>
      </c>
      <c r="G314" s="206" t="s">
        <v>40</v>
      </c>
      <c r="H314" s="204" t="s">
        <v>591</v>
      </c>
      <c r="I314" s="111"/>
      <c r="J314" s="111"/>
      <c r="K314" s="127" t="s">
        <v>351</v>
      </c>
      <c r="L314" s="212"/>
      <c r="M314" s="111"/>
      <c r="N314" s="212"/>
      <c r="O314" s="207">
        <v>318181.81818181818</v>
      </c>
      <c r="P314" s="213" t="s">
        <v>623</v>
      </c>
      <c r="Q314" s="214"/>
      <c r="R314" s="215">
        <f t="shared" si="47"/>
        <v>0</v>
      </c>
      <c r="S314" s="214"/>
      <c r="T314" s="215">
        <f t="shared" si="48"/>
        <v>0</v>
      </c>
      <c r="U314" s="214"/>
      <c r="V314" s="215">
        <f t="shared" si="49"/>
        <v>0</v>
      </c>
      <c r="W314" s="214"/>
      <c r="X314" s="215">
        <f t="shared" si="50"/>
        <v>0</v>
      </c>
      <c r="Y314" s="214"/>
      <c r="Z314" s="215">
        <f t="shared" si="51"/>
        <v>0</v>
      </c>
      <c r="AA314" s="199">
        <f t="shared" si="52"/>
        <v>0</v>
      </c>
      <c r="AB314" s="200">
        <f t="shared" si="53"/>
        <v>0</v>
      </c>
      <c r="AC314" s="195"/>
    </row>
    <row r="315" spans="1:30" s="216" customFormat="1" ht="18" customHeight="1">
      <c r="A315" s="243">
        <v>2020</v>
      </c>
      <c r="B315" s="210">
        <v>3</v>
      </c>
      <c r="C315" s="210"/>
      <c r="D315" s="211"/>
      <c r="E315" s="211"/>
      <c r="F315" s="211" t="s">
        <v>563</v>
      </c>
      <c r="G315" s="206" t="s">
        <v>40</v>
      </c>
      <c r="H315" s="204" t="s">
        <v>591</v>
      </c>
      <c r="I315" s="111"/>
      <c r="J315" s="111"/>
      <c r="K315" s="208" t="s">
        <v>602</v>
      </c>
      <c r="L315" s="212"/>
      <c r="M315" s="111"/>
      <c r="N315" s="212"/>
      <c r="O315" s="207">
        <f>290000*0.9</f>
        <v>261000</v>
      </c>
      <c r="P315" s="213" t="s">
        <v>623</v>
      </c>
      <c r="Q315" s="214"/>
      <c r="R315" s="215">
        <f t="shared" si="47"/>
        <v>0</v>
      </c>
      <c r="S315" s="214"/>
      <c r="T315" s="215">
        <f t="shared" si="48"/>
        <v>0</v>
      </c>
      <c r="U315" s="214"/>
      <c r="V315" s="215">
        <f t="shared" si="49"/>
        <v>0</v>
      </c>
      <c r="W315" s="214"/>
      <c r="X315" s="215">
        <f t="shared" si="50"/>
        <v>0</v>
      </c>
      <c r="Y315" s="214"/>
      <c r="Z315" s="215">
        <f t="shared" si="51"/>
        <v>0</v>
      </c>
      <c r="AA315" s="199">
        <f t="shared" si="52"/>
        <v>0</v>
      </c>
      <c r="AB315" s="200">
        <f t="shared" si="53"/>
        <v>0</v>
      </c>
      <c r="AC315" s="195"/>
    </row>
    <row r="316" spans="1:30" s="216" customFormat="1" ht="18" customHeight="1">
      <c r="A316" s="243">
        <v>2020</v>
      </c>
      <c r="B316" s="210">
        <v>3</v>
      </c>
      <c r="C316" s="210"/>
      <c r="D316" s="211"/>
      <c r="E316" s="211"/>
      <c r="F316" s="211" t="s">
        <v>563</v>
      </c>
      <c r="G316" s="206" t="s">
        <v>40</v>
      </c>
      <c r="H316" s="204" t="s">
        <v>591</v>
      </c>
      <c r="I316" s="111"/>
      <c r="J316" s="111"/>
      <c r="K316" s="127" t="s">
        <v>352</v>
      </c>
      <c r="L316" s="212"/>
      <c r="M316" s="111"/>
      <c r="N316" s="212"/>
      <c r="O316" s="207">
        <v>263636.36363636359</v>
      </c>
      <c r="P316" s="213" t="s">
        <v>623</v>
      </c>
      <c r="Q316" s="214"/>
      <c r="R316" s="215">
        <f t="shared" si="47"/>
        <v>0</v>
      </c>
      <c r="S316" s="214"/>
      <c r="T316" s="215">
        <f t="shared" si="48"/>
        <v>0</v>
      </c>
      <c r="U316" s="214"/>
      <c r="V316" s="215">
        <f t="shared" si="49"/>
        <v>0</v>
      </c>
      <c r="W316" s="214"/>
      <c r="X316" s="215">
        <f t="shared" si="50"/>
        <v>0</v>
      </c>
      <c r="Y316" s="214"/>
      <c r="Z316" s="215">
        <f t="shared" si="51"/>
        <v>0</v>
      </c>
      <c r="AA316" s="199">
        <f t="shared" si="52"/>
        <v>0</v>
      </c>
      <c r="AB316" s="200">
        <f t="shared" si="53"/>
        <v>0</v>
      </c>
      <c r="AC316" s="195"/>
    </row>
    <row r="317" spans="1:30" s="228" customFormat="1" ht="18" customHeight="1">
      <c r="A317" s="243">
        <v>2020</v>
      </c>
      <c r="B317" s="210">
        <v>3</v>
      </c>
      <c r="C317" s="210"/>
      <c r="D317" s="211"/>
      <c r="E317" s="211"/>
      <c r="F317" s="211" t="s">
        <v>563</v>
      </c>
      <c r="G317" s="206" t="s">
        <v>418</v>
      </c>
      <c r="H317" s="204" t="s">
        <v>592</v>
      </c>
      <c r="I317" s="204"/>
      <c r="J317" s="204"/>
      <c r="K317" s="136" t="s">
        <v>419</v>
      </c>
      <c r="L317" s="206" t="s">
        <v>294</v>
      </c>
      <c r="M317" s="204"/>
      <c r="N317" s="206"/>
      <c r="O317" s="207">
        <f>935000*0.9</f>
        <v>841500</v>
      </c>
      <c r="P317" s="213" t="s">
        <v>623</v>
      </c>
      <c r="Q317" s="214"/>
      <c r="R317" s="215">
        <f t="shared" si="47"/>
        <v>0</v>
      </c>
      <c r="S317" s="214"/>
      <c r="T317" s="215">
        <f t="shared" si="48"/>
        <v>0</v>
      </c>
      <c r="U317" s="214"/>
      <c r="V317" s="215">
        <f t="shared" si="49"/>
        <v>0</v>
      </c>
      <c r="W317" s="214"/>
      <c r="X317" s="215">
        <f t="shared" si="50"/>
        <v>0</v>
      </c>
      <c r="Y317" s="214"/>
      <c r="Z317" s="215">
        <f t="shared" si="51"/>
        <v>0</v>
      </c>
      <c r="AA317" s="199">
        <f t="shared" si="52"/>
        <v>0</v>
      </c>
      <c r="AB317" s="200">
        <f t="shared" si="53"/>
        <v>0</v>
      </c>
      <c r="AC317" s="195"/>
      <c r="AD317" s="216"/>
    </row>
    <row r="318" spans="1:30" s="228" customFormat="1" ht="18" customHeight="1">
      <c r="A318" s="243">
        <v>2020</v>
      </c>
      <c r="B318" s="210">
        <v>3</v>
      </c>
      <c r="C318" s="210"/>
      <c r="D318" s="211"/>
      <c r="E318" s="211"/>
      <c r="F318" s="211" t="s">
        <v>563</v>
      </c>
      <c r="G318" s="206" t="s">
        <v>418</v>
      </c>
      <c r="H318" s="204" t="s">
        <v>593</v>
      </c>
      <c r="I318" s="111"/>
      <c r="J318" s="111"/>
      <c r="K318" s="127" t="s">
        <v>523</v>
      </c>
      <c r="L318" s="206" t="s">
        <v>294</v>
      </c>
      <c r="M318" s="111"/>
      <c r="N318" s="206"/>
      <c r="O318" s="207">
        <f>1595000*0.9</f>
        <v>1435500</v>
      </c>
      <c r="P318" s="213" t="s">
        <v>623</v>
      </c>
      <c r="Q318" s="214"/>
      <c r="R318" s="215">
        <f t="shared" si="47"/>
        <v>0</v>
      </c>
      <c r="S318" s="214"/>
      <c r="T318" s="215">
        <f t="shared" si="48"/>
        <v>0</v>
      </c>
      <c r="U318" s="214"/>
      <c r="V318" s="215">
        <f t="shared" si="49"/>
        <v>0</v>
      </c>
      <c r="W318" s="214"/>
      <c r="X318" s="215">
        <f t="shared" si="50"/>
        <v>0</v>
      </c>
      <c r="Y318" s="214"/>
      <c r="Z318" s="215">
        <f t="shared" si="51"/>
        <v>0</v>
      </c>
      <c r="AA318" s="199">
        <f t="shared" si="52"/>
        <v>0</v>
      </c>
      <c r="AB318" s="200">
        <f t="shared" si="53"/>
        <v>0</v>
      </c>
      <c r="AC318" s="195"/>
      <c r="AD318" s="216"/>
    </row>
    <row r="319" spans="1:30" s="228" customFormat="1" ht="18" customHeight="1">
      <c r="A319" s="243">
        <v>2020</v>
      </c>
      <c r="B319" s="210">
        <v>3</v>
      </c>
      <c r="C319" s="210"/>
      <c r="D319" s="211"/>
      <c r="E319" s="211"/>
      <c r="F319" s="211" t="s">
        <v>563</v>
      </c>
      <c r="G319" s="206" t="s">
        <v>418</v>
      </c>
      <c r="H319" s="204" t="s">
        <v>594</v>
      </c>
      <c r="I319" s="111"/>
      <c r="J319" s="111"/>
      <c r="K319" s="127" t="s">
        <v>522</v>
      </c>
      <c r="L319" s="206" t="s">
        <v>294</v>
      </c>
      <c r="M319" s="111"/>
      <c r="N319" s="206"/>
      <c r="O319" s="207">
        <f>1804000*0.9</f>
        <v>1623600</v>
      </c>
      <c r="P319" s="213" t="s">
        <v>623</v>
      </c>
      <c r="Q319" s="214"/>
      <c r="R319" s="215">
        <f t="shared" si="47"/>
        <v>0</v>
      </c>
      <c r="S319" s="214"/>
      <c r="T319" s="215">
        <f t="shared" si="48"/>
        <v>0</v>
      </c>
      <c r="U319" s="214"/>
      <c r="V319" s="215">
        <f t="shared" si="49"/>
        <v>0</v>
      </c>
      <c r="W319" s="214"/>
      <c r="X319" s="215">
        <f t="shared" si="50"/>
        <v>0</v>
      </c>
      <c r="Y319" s="214"/>
      <c r="Z319" s="215">
        <f t="shared" si="51"/>
        <v>0</v>
      </c>
      <c r="AA319" s="199">
        <f t="shared" si="52"/>
        <v>0</v>
      </c>
      <c r="AB319" s="200">
        <f t="shared" si="53"/>
        <v>0</v>
      </c>
      <c r="AC319" s="195"/>
      <c r="AD319" s="216"/>
    </row>
    <row r="320" spans="1:30" s="236" customFormat="1" ht="18" customHeight="1">
      <c r="A320" s="243">
        <v>2020</v>
      </c>
      <c r="B320" s="210">
        <v>3</v>
      </c>
      <c r="C320" s="210"/>
      <c r="D320" s="211"/>
      <c r="E320" s="211"/>
      <c r="F320" s="211" t="s">
        <v>563</v>
      </c>
      <c r="G320" s="206" t="s">
        <v>418</v>
      </c>
      <c r="H320" s="204" t="s">
        <v>594</v>
      </c>
      <c r="I320" s="111"/>
      <c r="J320" s="111"/>
      <c r="K320" s="127" t="s">
        <v>526</v>
      </c>
      <c r="L320" s="206"/>
      <c r="M320" s="111"/>
      <c r="N320" s="206"/>
      <c r="O320" s="207">
        <v>1909090.9090909089</v>
      </c>
      <c r="P320" s="213" t="s">
        <v>623</v>
      </c>
      <c r="Q320" s="231"/>
      <c r="R320" s="215">
        <f t="shared" si="47"/>
        <v>0</v>
      </c>
      <c r="S320" s="231"/>
      <c r="T320" s="232">
        <f t="shared" si="48"/>
        <v>0</v>
      </c>
      <c r="U320" s="231"/>
      <c r="V320" s="232">
        <f t="shared" si="49"/>
        <v>0</v>
      </c>
      <c r="W320" s="231"/>
      <c r="X320" s="232">
        <f t="shared" si="50"/>
        <v>0</v>
      </c>
      <c r="Y320" s="231"/>
      <c r="Z320" s="232">
        <f t="shared" si="51"/>
        <v>0</v>
      </c>
      <c r="AA320" s="233">
        <f t="shared" si="52"/>
        <v>0</v>
      </c>
      <c r="AB320" s="234">
        <f t="shared" si="53"/>
        <v>0</v>
      </c>
      <c r="AC320" s="195"/>
      <c r="AD320" s="235"/>
    </row>
    <row r="321" spans="1:30" s="236" customFormat="1" ht="18" customHeight="1">
      <c r="A321" s="243">
        <v>2020</v>
      </c>
      <c r="B321" s="210">
        <v>3</v>
      </c>
      <c r="C321" s="210"/>
      <c r="D321" s="211"/>
      <c r="E321" s="211"/>
      <c r="F321" s="211" t="s">
        <v>563</v>
      </c>
      <c r="G321" s="206" t="s">
        <v>418</v>
      </c>
      <c r="H321" s="204" t="s">
        <v>594</v>
      </c>
      <c r="I321" s="111"/>
      <c r="J321" s="111"/>
      <c r="K321" s="127" t="s">
        <v>521</v>
      </c>
      <c r="L321" s="206"/>
      <c r="M321" s="111"/>
      <c r="N321" s="206"/>
      <c r="O321" s="207">
        <f>2090000*0.9</f>
        <v>1881000</v>
      </c>
      <c r="P321" s="213" t="s">
        <v>623</v>
      </c>
      <c r="Q321" s="231"/>
      <c r="R321" s="215">
        <f t="shared" si="47"/>
        <v>0</v>
      </c>
      <c r="S321" s="231"/>
      <c r="T321" s="232">
        <f t="shared" si="48"/>
        <v>0</v>
      </c>
      <c r="U321" s="231"/>
      <c r="V321" s="232">
        <f t="shared" si="49"/>
        <v>0</v>
      </c>
      <c r="W321" s="231"/>
      <c r="X321" s="232">
        <f t="shared" si="50"/>
        <v>0</v>
      </c>
      <c r="Y321" s="231"/>
      <c r="Z321" s="232">
        <f t="shared" si="51"/>
        <v>0</v>
      </c>
      <c r="AA321" s="233">
        <f t="shared" si="52"/>
        <v>0</v>
      </c>
      <c r="AB321" s="234">
        <f t="shared" si="53"/>
        <v>0</v>
      </c>
      <c r="AC321" s="195"/>
      <c r="AD321" s="235"/>
    </row>
    <row r="322" spans="1:30" s="236" customFormat="1" ht="18" customHeight="1">
      <c r="A322" s="243">
        <v>2020</v>
      </c>
      <c r="B322" s="210">
        <v>3</v>
      </c>
      <c r="C322" s="210"/>
      <c r="D322" s="211"/>
      <c r="E322" s="211"/>
      <c r="F322" s="211" t="s">
        <v>563</v>
      </c>
      <c r="G322" s="206" t="s">
        <v>418</v>
      </c>
      <c r="H322" s="204" t="s">
        <v>594</v>
      </c>
      <c r="I322" s="111"/>
      <c r="J322" s="111"/>
      <c r="K322" s="127" t="s">
        <v>520</v>
      </c>
      <c r="L322" s="206"/>
      <c r="M322" s="111"/>
      <c r="N322" s="206"/>
      <c r="O322" s="207">
        <v>1545455</v>
      </c>
      <c r="P322" s="213" t="s">
        <v>623</v>
      </c>
      <c r="Q322" s="231"/>
      <c r="R322" s="215">
        <f t="shared" si="47"/>
        <v>0</v>
      </c>
      <c r="S322" s="231"/>
      <c r="T322" s="232">
        <f t="shared" si="48"/>
        <v>0</v>
      </c>
      <c r="U322" s="231"/>
      <c r="V322" s="232">
        <f t="shared" si="49"/>
        <v>0</v>
      </c>
      <c r="W322" s="231"/>
      <c r="X322" s="232">
        <f t="shared" si="50"/>
        <v>0</v>
      </c>
      <c r="Y322" s="231"/>
      <c r="Z322" s="232">
        <f t="shared" si="51"/>
        <v>0</v>
      </c>
      <c r="AA322" s="233">
        <f t="shared" si="52"/>
        <v>0</v>
      </c>
      <c r="AB322" s="234">
        <f t="shared" si="53"/>
        <v>0</v>
      </c>
      <c r="AC322" s="195"/>
      <c r="AD322" s="235"/>
    </row>
    <row r="323" spans="1:30" s="236" customFormat="1" ht="18" customHeight="1">
      <c r="A323" s="243">
        <v>2020</v>
      </c>
      <c r="B323" s="210">
        <v>3</v>
      </c>
      <c r="C323" s="210"/>
      <c r="D323" s="211"/>
      <c r="E323" s="211"/>
      <c r="F323" s="211" t="s">
        <v>563</v>
      </c>
      <c r="G323" s="206" t="s">
        <v>418</v>
      </c>
      <c r="H323" s="204" t="s">
        <v>594</v>
      </c>
      <c r="I323" s="111"/>
      <c r="J323" s="111"/>
      <c r="K323" s="127" t="s">
        <v>524</v>
      </c>
      <c r="L323" s="206"/>
      <c r="M323" s="111"/>
      <c r="N323" s="206"/>
      <c r="O323" s="207">
        <v>1363636</v>
      </c>
      <c r="P323" s="213" t="s">
        <v>623</v>
      </c>
      <c r="Q323" s="231"/>
      <c r="R323" s="215">
        <f t="shared" si="47"/>
        <v>0</v>
      </c>
      <c r="S323" s="231"/>
      <c r="T323" s="232">
        <f t="shared" si="48"/>
        <v>0</v>
      </c>
      <c r="U323" s="231"/>
      <c r="V323" s="232">
        <f t="shared" si="49"/>
        <v>0</v>
      </c>
      <c r="W323" s="231"/>
      <c r="X323" s="232">
        <f t="shared" si="50"/>
        <v>0</v>
      </c>
      <c r="Y323" s="231"/>
      <c r="Z323" s="232">
        <f t="shared" si="51"/>
        <v>0</v>
      </c>
      <c r="AA323" s="233">
        <f t="shared" si="52"/>
        <v>0</v>
      </c>
      <c r="AB323" s="234">
        <f t="shared" si="53"/>
        <v>0</v>
      </c>
      <c r="AC323" s="195"/>
      <c r="AD323" s="235"/>
    </row>
    <row r="324" spans="1:30" s="236" customFormat="1" ht="18" customHeight="1">
      <c r="A324" s="243">
        <v>2020</v>
      </c>
      <c r="B324" s="210">
        <v>3</v>
      </c>
      <c r="C324" s="210"/>
      <c r="D324" s="211"/>
      <c r="E324" s="211"/>
      <c r="F324" s="211" t="s">
        <v>563</v>
      </c>
      <c r="G324" s="206" t="s">
        <v>418</v>
      </c>
      <c r="H324" s="204" t="s">
        <v>594</v>
      </c>
      <c r="I324" s="111"/>
      <c r="J324" s="111"/>
      <c r="K324" s="127" t="s">
        <v>525</v>
      </c>
      <c r="L324" s="206"/>
      <c r="M324" s="111"/>
      <c r="N324" s="206"/>
      <c r="O324" s="207">
        <v>1636364</v>
      </c>
      <c r="P324" s="213" t="s">
        <v>623</v>
      </c>
      <c r="Q324" s="231"/>
      <c r="R324" s="215">
        <f t="shared" si="47"/>
        <v>0</v>
      </c>
      <c r="S324" s="231"/>
      <c r="T324" s="232">
        <f t="shared" si="48"/>
        <v>0</v>
      </c>
      <c r="U324" s="231"/>
      <c r="V324" s="232">
        <f t="shared" si="49"/>
        <v>0</v>
      </c>
      <c r="W324" s="231"/>
      <c r="X324" s="232">
        <f t="shared" si="50"/>
        <v>0</v>
      </c>
      <c r="Y324" s="231"/>
      <c r="Z324" s="232">
        <f t="shared" si="51"/>
        <v>0</v>
      </c>
      <c r="AA324" s="233">
        <f t="shared" si="52"/>
        <v>0</v>
      </c>
      <c r="AB324" s="234">
        <f t="shared" si="53"/>
        <v>0</v>
      </c>
      <c r="AC324" s="195"/>
      <c r="AD324" s="235"/>
    </row>
    <row r="325" spans="1:30" s="228" customFormat="1" ht="18" customHeight="1" thickBot="1">
      <c r="A325" s="243">
        <v>2020</v>
      </c>
      <c r="B325" s="210">
        <v>3</v>
      </c>
      <c r="C325" s="210"/>
      <c r="D325" s="237"/>
      <c r="E325" s="237"/>
      <c r="F325" s="237" t="s">
        <v>563</v>
      </c>
      <c r="G325" s="238" t="s">
        <v>418</v>
      </c>
      <c r="H325" s="239" t="s">
        <v>595</v>
      </c>
      <c r="I325" s="239"/>
      <c r="J325" s="239"/>
      <c r="K325" s="128" t="s">
        <v>423</v>
      </c>
      <c r="L325" s="238" t="s">
        <v>294</v>
      </c>
      <c r="M325" s="239"/>
      <c r="N325" s="238"/>
      <c r="O325" s="207">
        <f>1804000*0.9</f>
        <v>1623600</v>
      </c>
      <c r="P325" s="213" t="s">
        <v>623</v>
      </c>
      <c r="Q325" s="214"/>
      <c r="R325" s="215">
        <f t="shared" si="47"/>
        <v>0</v>
      </c>
      <c r="S325" s="214"/>
      <c r="T325" s="215">
        <f t="shared" si="48"/>
        <v>0</v>
      </c>
      <c r="U325" s="214"/>
      <c r="V325" s="215">
        <f t="shared" si="49"/>
        <v>0</v>
      </c>
      <c r="W325" s="214"/>
      <c r="X325" s="215">
        <f t="shared" si="50"/>
        <v>0</v>
      </c>
      <c r="Y325" s="214"/>
      <c r="Z325" s="215">
        <f t="shared" si="51"/>
        <v>0</v>
      </c>
      <c r="AA325" s="199">
        <f t="shared" si="52"/>
        <v>0</v>
      </c>
      <c r="AB325" s="200">
        <f t="shared" si="53"/>
        <v>0</v>
      </c>
      <c r="AC325" s="195"/>
      <c r="AD325" s="216"/>
    </row>
    <row r="326" spans="1:30" s="95" customFormat="1" ht="18" customHeight="1" thickTop="1">
      <c r="A326" s="107">
        <v>2020</v>
      </c>
      <c r="B326" s="108">
        <v>3</v>
      </c>
      <c r="C326" s="108"/>
      <c r="D326" s="102"/>
      <c r="E326" s="102"/>
      <c r="F326" s="109" t="s">
        <v>564</v>
      </c>
      <c r="G326" s="108" t="s">
        <v>418</v>
      </c>
      <c r="H326" s="183" t="s">
        <v>592</v>
      </c>
      <c r="I326" s="115"/>
      <c r="J326" s="115"/>
      <c r="K326" s="123" t="s">
        <v>333</v>
      </c>
      <c r="L326" s="110"/>
      <c r="M326" s="115"/>
      <c r="N326" s="110"/>
      <c r="O326" s="118">
        <v>300000</v>
      </c>
      <c r="P326" s="192" t="s">
        <v>684</v>
      </c>
      <c r="Q326" s="110"/>
      <c r="R326" s="215">
        <f t="shared" si="47"/>
        <v>0</v>
      </c>
      <c r="S326" s="110"/>
      <c r="T326" s="160">
        <f>S326*$O326</f>
        <v>0</v>
      </c>
      <c r="U326" s="110"/>
      <c r="V326" s="160">
        <f>U326*$O326</f>
        <v>0</v>
      </c>
      <c r="W326" s="110"/>
      <c r="X326" s="160">
        <f>W326*$O326</f>
        <v>0</v>
      </c>
      <c r="Y326" s="110"/>
      <c r="Z326" s="160">
        <f>Y326*$O326</f>
        <v>0</v>
      </c>
      <c r="AA326" s="162">
        <f>SUMIF($Q$4:$Z$4,"BÁN",$Q326:$Z326)</f>
        <v>0</v>
      </c>
      <c r="AB326" s="163">
        <f>SUMIF($Q$4:$Z$4,"THÀNH TIỀN
BÁN THỰC TẾ",$Q326:$Z326)</f>
        <v>0</v>
      </c>
      <c r="AC326" s="195"/>
    </row>
    <row r="327" spans="1:30" s="216" customFormat="1" ht="18" customHeight="1">
      <c r="A327" s="243">
        <v>2020</v>
      </c>
      <c r="B327" s="210">
        <v>3</v>
      </c>
      <c r="C327" s="210"/>
      <c r="D327" s="211"/>
      <c r="E327" s="211"/>
      <c r="F327" s="211" t="s">
        <v>564</v>
      </c>
      <c r="G327" s="206" t="s">
        <v>418</v>
      </c>
      <c r="H327" s="249" t="s">
        <v>598</v>
      </c>
      <c r="I327" s="111"/>
      <c r="J327" s="111"/>
      <c r="K327" s="208" t="s">
        <v>326</v>
      </c>
      <c r="L327" s="212" t="s">
        <v>327</v>
      </c>
      <c r="M327" s="111"/>
      <c r="N327" s="212"/>
      <c r="O327" s="207">
        <f>870000*0.9</f>
        <v>783000</v>
      </c>
      <c r="P327" s="213" t="s">
        <v>623</v>
      </c>
      <c r="Q327" s="214"/>
      <c r="R327" s="215">
        <f t="shared" si="47"/>
        <v>0</v>
      </c>
      <c r="S327" s="214"/>
      <c r="T327" s="215">
        <f t="shared" si="48"/>
        <v>0</v>
      </c>
      <c r="U327" s="214"/>
      <c r="V327" s="215">
        <f t="shared" si="49"/>
        <v>0</v>
      </c>
      <c r="W327" s="214"/>
      <c r="X327" s="215">
        <f t="shared" si="50"/>
        <v>0</v>
      </c>
      <c r="Y327" s="214"/>
      <c r="Z327" s="215">
        <f t="shared" si="51"/>
        <v>0</v>
      </c>
      <c r="AA327" s="199">
        <f t="shared" si="52"/>
        <v>0</v>
      </c>
      <c r="AB327" s="200">
        <f t="shared" si="53"/>
        <v>0</v>
      </c>
      <c r="AC327" s="195"/>
    </row>
    <row r="328" spans="1:30" s="95" customFormat="1" ht="18" customHeight="1">
      <c r="A328" s="107">
        <v>2020</v>
      </c>
      <c r="B328" s="108">
        <v>3</v>
      </c>
      <c r="C328" s="108"/>
      <c r="D328" s="102"/>
      <c r="E328" s="102"/>
      <c r="F328" s="102" t="s">
        <v>564</v>
      </c>
      <c r="G328" s="98" t="s">
        <v>418</v>
      </c>
      <c r="H328" s="121" t="s">
        <v>592</v>
      </c>
      <c r="I328" s="98"/>
      <c r="J328" s="98"/>
      <c r="K328" s="123" t="s">
        <v>288</v>
      </c>
      <c r="L328" s="101" t="s">
        <v>289</v>
      </c>
      <c r="M328" s="98"/>
      <c r="N328" s="110"/>
      <c r="O328" s="118">
        <f>550000*0.9</f>
        <v>495000</v>
      </c>
      <c r="P328" s="192" t="s">
        <v>623</v>
      </c>
      <c r="Q328" s="110"/>
      <c r="R328" s="215">
        <f t="shared" si="47"/>
        <v>0</v>
      </c>
      <c r="S328" s="110"/>
      <c r="T328" s="160">
        <f t="shared" ref="T328:T354" si="54">S328*$O328</f>
        <v>0</v>
      </c>
      <c r="U328" s="110"/>
      <c r="V328" s="160">
        <f t="shared" ref="V328:V354" si="55">U328*$O328</f>
        <v>0</v>
      </c>
      <c r="W328" s="110"/>
      <c r="X328" s="160">
        <f t="shared" ref="X328:X354" si="56">W328*$O328</f>
        <v>0</v>
      </c>
      <c r="Y328" s="110"/>
      <c r="Z328" s="160">
        <f t="shared" ref="Z328:Z354" si="57">Y328*$O328</f>
        <v>0</v>
      </c>
      <c r="AA328" s="162">
        <f t="shared" ref="AA328:AA354" si="58">SUMIF($Q$4:$Z$4,"BÁN",$Q328:$Z328)</f>
        <v>0</v>
      </c>
      <c r="AB328" s="163">
        <f t="shared" ref="AB328:AB354" si="59">SUMIF($Q$4:$Z$4,"THÀNH TIỀN
BÁN THỰC TẾ",$Q328:$Z328)</f>
        <v>0</v>
      </c>
      <c r="AC328" s="195"/>
    </row>
    <row r="329" spans="1:30" s="95" customFormat="1" ht="18" customHeight="1">
      <c r="A329" s="107">
        <v>2020</v>
      </c>
      <c r="B329" s="108">
        <v>3</v>
      </c>
      <c r="C329" s="108"/>
      <c r="D329" s="102"/>
      <c r="E329" s="102"/>
      <c r="F329" s="102" t="s">
        <v>564</v>
      </c>
      <c r="G329" s="98" t="s">
        <v>418</v>
      </c>
      <c r="H329" s="121" t="s">
        <v>592</v>
      </c>
      <c r="I329" s="98"/>
      <c r="J329" s="98"/>
      <c r="K329" s="123" t="s">
        <v>514</v>
      </c>
      <c r="L329" s="101" t="s">
        <v>294</v>
      </c>
      <c r="M329" s="98"/>
      <c r="N329" s="110"/>
      <c r="O329" s="118">
        <v>770000</v>
      </c>
      <c r="P329" s="192" t="s">
        <v>623</v>
      </c>
      <c r="Q329" s="110"/>
      <c r="R329" s="215">
        <f t="shared" si="47"/>
        <v>0</v>
      </c>
      <c r="S329" s="110"/>
      <c r="T329" s="160">
        <f t="shared" si="54"/>
        <v>0</v>
      </c>
      <c r="U329" s="110"/>
      <c r="V329" s="160">
        <f t="shared" si="55"/>
        <v>0</v>
      </c>
      <c r="W329" s="110"/>
      <c r="X329" s="160">
        <f t="shared" si="56"/>
        <v>0</v>
      </c>
      <c r="Y329" s="110"/>
      <c r="Z329" s="160">
        <f t="shared" si="57"/>
        <v>0</v>
      </c>
      <c r="AA329" s="162">
        <f t="shared" si="58"/>
        <v>0</v>
      </c>
      <c r="AB329" s="163">
        <f t="shared" si="59"/>
        <v>0</v>
      </c>
      <c r="AC329" s="195"/>
    </row>
    <row r="330" spans="1:30" s="95" customFormat="1" ht="18" customHeight="1">
      <c r="A330" s="107">
        <v>2020</v>
      </c>
      <c r="B330" s="108">
        <v>3</v>
      </c>
      <c r="C330" s="108"/>
      <c r="D330" s="102"/>
      <c r="E330" s="102"/>
      <c r="F330" s="102" t="s">
        <v>564</v>
      </c>
      <c r="G330" s="98" t="s">
        <v>418</v>
      </c>
      <c r="H330" s="121" t="s">
        <v>593</v>
      </c>
      <c r="I330" s="111"/>
      <c r="J330" s="111"/>
      <c r="K330" s="127" t="s">
        <v>332</v>
      </c>
      <c r="L330" s="101"/>
      <c r="M330" s="111"/>
      <c r="N330" s="110"/>
      <c r="O330" s="118">
        <v>399091</v>
      </c>
      <c r="P330" s="192" t="s">
        <v>623</v>
      </c>
      <c r="Q330" s="110"/>
      <c r="R330" s="215">
        <f t="shared" si="47"/>
        <v>0</v>
      </c>
      <c r="S330" s="110"/>
      <c r="T330" s="160">
        <f t="shared" si="54"/>
        <v>0</v>
      </c>
      <c r="U330" s="110"/>
      <c r="V330" s="160">
        <f t="shared" si="55"/>
        <v>0</v>
      </c>
      <c r="W330" s="110"/>
      <c r="X330" s="160">
        <f t="shared" si="56"/>
        <v>0</v>
      </c>
      <c r="Y330" s="110"/>
      <c r="Z330" s="160">
        <f t="shared" si="57"/>
        <v>0</v>
      </c>
      <c r="AA330" s="162">
        <f t="shared" si="58"/>
        <v>0</v>
      </c>
      <c r="AB330" s="163">
        <f t="shared" si="59"/>
        <v>0</v>
      </c>
      <c r="AC330" s="195"/>
    </row>
    <row r="331" spans="1:30" s="95" customFormat="1" ht="18" customHeight="1">
      <c r="A331" s="107">
        <v>2020</v>
      </c>
      <c r="B331" s="108">
        <v>3</v>
      </c>
      <c r="C331" s="108"/>
      <c r="D331" s="102"/>
      <c r="E331" s="102"/>
      <c r="F331" s="102" t="s">
        <v>564</v>
      </c>
      <c r="G331" s="98" t="s">
        <v>418</v>
      </c>
      <c r="H331" s="121" t="s">
        <v>593</v>
      </c>
      <c r="I331" s="111"/>
      <c r="J331" s="111"/>
      <c r="K331" s="127" t="s">
        <v>340</v>
      </c>
      <c r="L331" s="101"/>
      <c r="M331" s="111"/>
      <c r="N331" s="110"/>
      <c r="O331" s="118">
        <v>437273</v>
      </c>
      <c r="P331" s="192" t="s">
        <v>623</v>
      </c>
      <c r="Q331" s="110"/>
      <c r="R331" s="215">
        <f t="shared" si="47"/>
        <v>0</v>
      </c>
      <c r="S331" s="110"/>
      <c r="T331" s="160">
        <f t="shared" si="54"/>
        <v>0</v>
      </c>
      <c r="U331" s="110"/>
      <c r="V331" s="160">
        <f t="shared" si="55"/>
        <v>0</v>
      </c>
      <c r="W331" s="110"/>
      <c r="X331" s="160">
        <f t="shared" si="56"/>
        <v>0</v>
      </c>
      <c r="Y331" s="110"/>
      <c r="Z331" s="160">
        <f t="shared" si="57"/>
        <v>0</v>
      </c>
      <c r="AA331" s="162">
        <f t="shared" si="58"/>
        <v>0</v>
      </c>
      <c r="AB331" s="163">
        <f t="shared" si="59"/>
        <v>0</v>
      </c>
      <c r="AC331" s="195"/>
    </row>
    <row r="332" spans="1:30" s="95" customFormat="1" ht="18" customHeight="1">
      <c r="A332" s="107">
        <v>2020</v>
      </c>
      <c r="B332" s="108">
        <v>3</v>
      </c>
      <c r="C332" s="108"/>
      <c r="D332" s="102"/>
      <c r="E332" s="102"/>
      <c r="F332" s="102" t="s">
        <v>564</v>
      </c>
      <c r="G332" s="98" t="s">
        <v>418</v>
      </c>
      <c r="H332" s="121" t="s">
        <v>593</v>
      </c>
      <c r="I332" s="114"/>
      <c r="J332" s="114"/>
      <c r="K332" s="127" t="s">
        <v>295</v>
      </c>
      <c r="L332" s="101" t="s">
        <v>289</v>
      </c>
      <c r="M332" s="114"/>
      <c r="N332" s="110"/>
      <c r="O332" s="118">
        <f>693000*0.9</f>
        <v>623700</v>
      </c>
      <c r="P332" s="192" t="s">
        <v>623</v>
      </c>
      <c r="Q332" s="110"/>
      <c r="R332" s="215">
        <f t="shared" si="47"/>
        <v>0</v>
      </c>
      <c r="S332" s="110"/>
      <c r="T332" s="160">
        <f t="shared" si="54"/>
        <v>0</v>
      </c>
      <c r="U332" s="110"/>
      <c r="V332" s="160">
        <f t="shared" si="55"/>
        <v>0</v>
      </c>
      <c r="W332" s="110"/>
      <c r="X332" s="160">
        <f t="shared" si="56"/>
        <v>0</v>
      </c>
      <c r="Y332" s="110"/>
      <c r="Z332" s="160">
        <f t="shared" si="57"/>
        <v>0</v>
      </c>
      <c r="AA332" s="162">
        <f t="shared" si="58"/>
        <v>0</v>
      </c>
      <c r="AB332" s="163">
        <f t="shared" si="59"/>
        <v>0</v>
      </c>
      <c r="AC332" s="195"/>
    </row>
    <row r="333" spans="1:30" s="95" customFormat="1" ht="18" customHeight="1">
      <c r="A333" s="107">
        <v>2020</v>
      </c>
      <c r="B333" s="108">
        <v>3</v>
      </c>
      <c r="C333" s="108"/>
      <c r="D333" s="102"/>
      <c r="E333" s="102"/>
      <c r="F333" s="102" t="s">
        <v>564</v>
      </c>
      <c r="G333" s="98" t="s">
        <v>418</v>
      </c>
      <c r="H333" s="121" t="s">
        <v>594</v>
      </c>
      <c r="I333" s="111"/>
      <c r="J333" s="111"/>
      <c r="K333" s="127" t="s">
        <v>334</v>
      </c>
      <c r="L333" s="101"/>
      <c r="M333" s="111"/>
      <c r="N333" s="101"/>
      <c r="O333" s="118">
        <f>480000*0.9</f>
        <v>432000</v>
      </c>
      <c r="P333" s="192" t="s">
        <v>623</v>
      </c>
      <c r="Q333" s="110"/>
      <c r="R333" s="215">
        <f t="shared" si="47"/>
        <v>0</v>
      </c>
      <c r="S333" s="110"/>
      <c r="T333" s="160">
        <f t="shared" si="54"/>
        <v>0</v>
      </c>
      <c r="U333" s="110"/>
      <c r="V333" s="160">
        <f t="shared" si="55"/>
        <v>0</v>
      </c>
      <c r="W333" s="110"/>
      <c r="X333" s="160">
        <f t="shared" si="56"/>
        <v>0</v>
      </c>
      <c r="Y333" s="110"/>
      <c r="Z333" s="160">
        <f t="shared" si="57"/>
        <v>0</v>
      </c>
      <c r="AA333" s="162">
        <f t="shared" si="58"/>
        <v>0</v>
      </c>
      <c r="AB333" s="163">
        <f t="shared" si="59"/>
        <v>0</v>
      </c>
      <c r="AC333" s="195"/>
    </row>
    <row r="334" spans="1:30" s="95" customFormat="1" ht="18" customHeight="1">
      <c r="A334" s="107">
        <v>2020</v>
      </c>
      <c r="B334" s="108">
        <v>3</v>
      </c>
      <c r="C334" s="108"/>
      <c r="D334" s="102"/>
      <c r="E334" s="102"/>
      <c r="F334" s="102" t="s">
        <v>564</v>
      </c>
      <c r="G334" s="98" t="s">
        <v>418</v>
      </c>
      <c r="H334" s="121" t="s">
        <v>594</v>
      </c>
      <c r="I334" s="103" t="s">
        <v>478</v>
      </c>
      <c r="J334" s="103"/>
      <c r="K334" s="127" t="s">
        <v>342</v>
      </c>
      <c r="L334" s="101"/>
      <c r="M334" s="103" t="s">
        <v>478</v>
      </c>
      <c r="N334" s="101"/>
      <c r="O334" s="118">
        <v>1442727</v>
      </c>
      <c r="P334" s="192" t="s">
        <v>623</v>
      </c>
      <c r="Q334" s="110"/>
      <c r="R334" s="215">
        <f t="shared" si="47"/>
        <v>0</v>
      </c>
      <c r="S334" s="110"/>
      <c r="T334" s="160">
        <f t="shared" si="54"/>
        <v>0</v>
      </c>
      <c r="U334" s="110"/>
      <c r="V334" s="160">
        <f t="shared" si="55"/>
        <v>0</v>
      </c>
      <c r="W334" s="110"/>
      <c r="X334" s="160">
        <f t="shared" si="56"/>
        <v>0</v>
      </c>
      <c r="Y334" s="110"/>
      <c r="Z334" s="160">
        <f t="shared" si="57"/>
        <v>0</v>
      </c>
      <c r="AA334" s="162">
        <f t="shared" si="58"/>
        <v>0</v>
      </c>
      <c r="AB334" s="163">
        <f t="shared" si="59"/>
        <v>0</v>
      </c>
      <c r="AC334" s="195"/>
    </row>
    <row r="335" spans="1:30" s="95" customFormat="1" ht="18" customHeight="1">
      <c r="A335" s="107">
        <v>2020</v>
      </c>
      <c r="B335" s="108">
        <v>3</v>
      </c>
      <c r="C335" s="108"/>
      <c r="D335" s="102"/>
      <c r="E335" s="102"/>
      <c r="F335" s="102" t="s">
        <v>564</v>
      </c>
      <c r="G335" s="98" t="s">
        <v>418</v>
      </c>
      <c r="H335" s="121" t="s">
        <v>594</v>
      </c>
      <c r="I335" s="111"/>
      <c r="J335" s="111"/>
      <c r="K335" s="127" t="s">
        <v>341</v>
      </c>
      <c r="L335" s="101"/>
      <c r="M335" s="111"/>
      <c r="N335" s="101"/>
      <c r="O335" s="118">
        <v>598182</v>
      </c>
      <c r="P335" s="192" t="s">
        <v>623</v>
      </c>
      <c r="Q335" s="110"/>
      <c r="R335" s="215">
        <f t="shared" si="47"/>
        <v>0</v>
      </c>
      <c r="S335" s="110"/>
      <c r="T335" s="160">
        <f t="shared" si="54"/>
        <v>0</v>
      </c>
      <c r="U335" s="110"/>
      <c r="V335" s="160">
        <f t="shared" si="55"/>
        <v>0</v>
      </c>
      <c r="W335" s="110"/>
      <c r="X335" s="160">
        <f t="shared" si="56"/>
        <v>0</v>
      </c>
      <c r="Y335" s="110"/>
      <c r="Z335" s="160">
        <f t="shared" si="57"/>
        <v>0</v>
      </c>
      <c r="AA335" s="162">
        <f t="shared" si="58"/>
        <v>0</v>
      </c>
      <c r="AB335" s="163">
        <f t="shared" si="59"/>
        <v>0</v>
      </c>
      <c r="AC335" s="195"/>
    </row>
    <row r="336" spans="1:30" s="95" customFormat="1" ht="18" customHeight="1">
      <c r="A336" s="107">
        <v>2020</v>
      </c>
      <c r="B336" s="108">
        <v>3</v>
      </c>
      <c r="C336" s="108"/>
      <c r="D336" s="102"/>
      <c r="E336" s="102"/>
      <c r="F336" s="102" t="s">
        <v>564</v>
      </c>
      <c r="G336" s="98" t="s">
        <v>418</v>
      </c>
      <c r="H336" s="121" t="s">
        <v>594</v>
      </c>
      <c r="I336" s="111"/>
      <c r="J336" s="111"/>
      <c r="K336" s="127" t="s">
        <v>338</v>
      </c>
      <c r="L336" s="101" t="s">
        <v>339</v>
      </c>
      <c r="M336" s="111"/>
      <c r="N336" s="101"/>
      <c r="O336" s="118">
        <v>551818</v>
      </c>
      <c r="P336" s="192" t="s">
        <v>623</v>
      </c>
      <c r="Q336" s="110"/>
      <c r="R336" s="215">
        <f t="shared" si="47"/>
        <v>0</v>
      </c>
      <c r="S336" s="110"/>
      <c r="T336" s="160">
        <f t="shared" si="54"/>
        <v>0</v>
      </c>
      <c r="U336" s="110"/>
      <c r="V336" s="160">
        <f t="shared" si="55"/>
        <v>0</v>
      </c>
      <c r="W336" s="110"/>
      <c r="X336" s="160">
        <f t="shared" si="56"/>
        <v>0</v>
      </c>
      <c r="Y336" s="110"/>
      <c r="Z336" s="160">
        <f t="shared" si="57"/>
        <v>0</v>
      </c>
      <c r="AA336" s="162">
        <f t="shared" si="58"/>
        <v>0</v>
      </c>
      <c r="AB336" s="163">
        <f t="shared" si="59"/>
        <v>0</v>
      </c>
      <c r="AC336" s="195"/>
    </row>
    <row r="337" spans="1:29" s="95" customFormat="1" ht="18" customHeight="1">
      <c r="A337" s="107">
        <v>2020</v>
      </c>
      <c r="B337" s="108">
        <v>3</v>
      </c>
      <c r="C337" s="108"/>
      <c r="D337" s="102"/>
      <c r="E337" s="102"/>
      <c r="F337" s="102" t="s">
        <v>564</v>
      </c>
      <c r="G337" s="98" t="s">
        <v>418</v>
      </c>
      <c r="H337" s="121" t="s">
        <v>594</v>
      </c>
      <c r="I337" s="103" t="s">
        <v>478</v>
      </c>
      <c r="J337" s="103"/>
      <c r="K337" s="127" t="s">
        <v>511</v>
      </c>
      <c r="L337" s="101" t="s">
        <v>294</v>
      </c>
      <c r="M337" s="103" t="s">
        <v>478</v>
      </c>
      <c r="N337" s="101"/>
      <c r="O337" s="118">
        <v>948182</v>
      </c>
      <c r="P337" s="192" t="s">
        <v>623</v>
      </c>
      <c r="Q337" s="110"/>
      <c r="R337" s="215">
        <f t="shared" ref="R337:R354" si="60">Q337*$O337</f>
        <v>0</v>
      </c>
      <c r="S337" s="110"/>
      <c r="T337" s="160">
        <f t="shared" si="54"/>
        <v>0</v>
      </c>
      <c r="U337" s="110"/>
      <c r="V337" s="160">
        <f t="shared" si="55"/>
        <v>0</v>
      </c>
      <c r="W337" s="110"/>
      <c r="X337" s="160">
        <f t="shared" si="56"/>
        <v>0</v>
      </c>
      <c r="Y337" s="110"/>
      <c r="Z337" s="160">
        <f t="shared" si="57"/>
        <v>0</v>
      </c>
      <c r="AA337" s="162">
        <f t="shared" si="58"/>
        <v>0</v>
      </c>
      <c r="AB337" s="163">
        <f t="shared" si="59"/>
        <v>0</v>
      </c>
      <c r="AC337" s="195"/>
    </row>
    <row r="338" spans="1:29" s="95" customFormat="1" ht="18" customHeight="1">
      <c r="A338" s="107">
        <v>2020</v>
      </c>
      <c r="B338" s="108">
        <v>3</v>
      </c>
      <c r="C338" s="108"/>
      <c r="D338" s="102"/>
      <c r="E338" s="102"/>
      <c r="F338" s="102" t="s">
        <v>564</v>
      </c>
      <c r="G338" s="98" t="s">
        <v>418</v>
      </c>
      <c r="H338" s="121" t="s">
        <v>594</v>
      </c>
      <c r="I338" s="114"/>
      <c r="J338" s="114"/>
      <c r="K338" s="127" t="s">
        <v>301</v>
      </c>
      <c r="L338" s="101" t="s">
        <v>292</v>
      </c>
      <c r="M338" s="114"/>
      <c r="N338" s="101"/>
      <c r="O338" s="118">
        <f>752000*0.9</f>
        <v>676800</v>
      </c>
      <c r="P338" s="192" t="s">
        <v>623</v>
      </c>
      <c r="Q338" s="110"/>
      <c r="R338" s="215">
        <f t="shared" si="60"/>
        <v>0</v>
      </c>
      <c r="S338" s="110"/>
      <c r="T338" s="160">
        <f t="shared" si="54"/>
        <v>0</v>
      </c>
      <c r="U338" s="110"/>
      <c r="V338" s="160">
        <f t="shared" si="55"/>
        <v>0</v>
      </c>
      <c r="W338" s="110"/>
      <c r="X338" s="160">
        <f t="shared" si="56"/>
        <v>0</v>
      </c>
      <c r="Y338" s="110"/>
      <c r="Z338" s="160">
        <f t="shared" si="57"/>
        <v>0</v>
      </c>
      <c r="AA338" s="162">
        <f t="shared" si="58"/>
        <v>0</v>
      </c>
      <c r="AB338" s="163">
        <f t="shared" si="59"/>
        <v>0</v>
      </c>
      <c r="AC338" s="195"/>
    </row>
    <row r="339" spans="1:29" s="95" customFormat="1" ht="18" customHeight="1">
      <c r="A339" s="107">
        <v>2020</v>
      </c>
      <c r="B339" s="108">
        <v>3</v>
      </c>
      <c r="C339" s="108"/>
      <c r="D339" s="102"/>
      <c r="E339" s="102"/>
      <c r="F339" s="102" t="s">
        <v>564</v>
      </c>
      <c r="G339" s="98" t="s">
        <v>418</v>
      </c>
      <c r="H339" s="121" t="s">
        <v>594</v>
      </c>
      <c r="I339" s="111"/>
      <c r="J339" s="111"/>
      <c r="K339" s="127" t="s">
        <v>335</v>
      </c>
      <c r="L339" s="101" t="s">
        <v>336</v>
      </c>
      <c r="M339" s="111"/>
      <c r="N339" s="101"/>
      <c r="O339" s="118">
        <v>850000</v>
      </c>
      <c r="P339" s="192" t="s">
        <v>623</v>
      </c>
      <c r="Q339" s="110"/>
      <c r="R339" s="215">
        <f t="shared" si="60"/>
        <v>0</v>
      </c>
      <c r="S339" s="110"/>
      <c r="T339" s="160">
        <f t="shared" si="54"/>
        <v>0</v>
      </c>
      <c r="U339" s="110"/>
      <c r="V339" s="160">
        <f t="shared" si="55"/>
        <v>0</v>
      </c>
      <c r="W339" s="110"/>
      <c r="X339" s="160">
        <f t="shared" si="56"/>
        <v>0</v>
      </c>
      <c r="Y339" s="110"/>
      <c r="Z339" s="160">
        <f t="shared" si="57"/>
        <v>0</v>
      </c>
      <c r="AA339" s="162">
        <f t="shared" si="58"/>
        <v>0</v>
      </c>
      <c r="AB339" s="163">
        <f t="shared" si="59"/>
        <v>0</v>
      </c>
      <c r="AC339" s="195"/>
    </row>
    <row r="340" spans="1:29" s="95" customFormat="1" ht="18" customHeight="1">
      <c r="A340" s="107">
        <v>2020</v>
      </c>
      <c r="B340" s="108">
        <v>3</v>
      </c>
      <c r="C340" s="108"/>
      <c r="D340" s="102"/>
      <c r="E340" s="102"/>
      <c r="F340" s="102" t="s">
        <v>564</v>
      </c>
      <c r="G340" s="98" t="s">
        <v>418</v>
      </c>
      <c r="H340" s="121" t="s">
        <v>594</v>
      </c>
      <c r="I340" s="103"/>
      <c r="J340" s="103"/>
      <c r="K340" s="208" t="s">
        <v>302</v>
      </c>
      <c r="L340" s="101" t="s">
        <v>481</v>
      </c>
      <c r="M340" s="103"/>
      <c r="N340" s="101"/>
      <c r="O340" s="118">
        <f>712000*0.9</f>
        <v>640800</v>
      </c>
      <c r="P340" s="192" t="s">
        <v>623</v>
      </c>
      <c r="Q340" s="110"/>
      <c r="R340" s="215">
        <f t="shared" si="60"/>
        <v>0</v>
      </c>
      <c r="S340" s="110"/>
      <c r="T340" s="160">
        <f t="shared" si="54"/>
        <v>0</v>
      </c>
      <c r="U340" s="110"/>
      <c r="V340" s="160">
        <f t="shared" si="55"/>
        <v>0</v>
      </c>
      <c r="W340" s="110"/>
      <c r="X340" s="160">
        <f t="shared" si="56"/>
        <v>0</v>
      </c>
      <c r="Y340" s="110"/>
      <c r="Z340" s="160">
        <f t="shared" si="57"/>
        <v>0</v>
      </c>
      <c r="AA340" s="162">
        <f t="shared" si="58"/>
        <v>0</v>
      </c>
      <c r="AB340" s="163">
        <f t="shared" si="59"/>
        <v>0</v>
      </c>
      <c r="AC340" s="195"/>
    </row>
    <row r="341" spans="1:29" s="95" customFormat="1" ht="18" customHeight="1">
      <c r="A341" s="107">
        <v>2020</v>
      </c>
      <c r="B341" s="108">
        <v>3</v>
      </c>
      <c r="C341" s="108"/>
      <c r="D341" s="102"/>
      <c r="E341" s="102"/>
      <c r="F341" s="102" t="s">
        <v>564</v>
      </c>
      <c r="G341" s="98" t="s">
        <v>418</v>
      </c>
      <c r="H341" s="121" t="s">
        <v>594</v>
      </c>
      <c r="I341" s="114"/>
      <c r="J341" s="114"/>
      <c r="K341" s="127" t="s">
        <v>303</v>
      </c>
      <c r="L341" s="101" t="s">
        <v>305</v>
      </c>
      <c r="M341" s="114"/>
      <c r="N341" s="101"/>
      <c r="O341" s="118">
        <f>1773000*0.9</f>
        <v>1595700</v>
      </c>
      <c r="P341" s="192" t="s">
        <v>623</v>
      </c>
      <c r="Q341" s="110"/>
      <c r="R341" s="215">
        <f t="shared" si="60"/>
        <v>0</v>
      </c>
      <c r="S341" s="110"/>
      <c r="T341" s="160">
        <f t="shared" si="54"/>
        <v>0</v>
      </c>
      <c r="U341" s="110"/>
      <c r="V341" s="160">
        <f t="shared" si="55"/>
        <v>0</v>
      </c>
      <c r="W341" s="110"/>
      <c r="X341" s="160">
        <f t="shared" si="56"/>
        <v>0</v>
      </c>
      <c r="Y341" s="110"/>
      <c r="Z341" s="160">
        <f t="shared" si="57"/>
        <v>0</v>
      </c>
      <c r="AA341" s="162">
        <f t="shared" si="58"/>
        <v>0</v>
      </c>
      <c r="AB341" s="163">
        <f t="shared" si="59"/>
        <v>0</v>
      </c>
      <c r="AC341" s="195"/>
    </row>
    <row r="342" spans="1:29" s="95" customFormat="1" ht="18" customHeight="1">
      <c r="A342" s="107">
        <v>2020</v>
      </c>
      <c r="B342" s="108">
        <v>3</v>
      </c>
      <c r="C342" s="108"/>
      <c r="D342" s="102"/>
      <c r="E342" s="102"/>
      <c r="F342" s="102" t="s">
        <v>564</v>
      </c>
      <c r="G342" s="98" t="s">
        <v>418</v>
      </c>
      <c r="H342" s="121" t="s">
        <v>594</v>
      </c>
      <c r="I342" s="114"/>
      <c r="J342" s="114"/>
      <c r="K342" s="208" t="s">
        <v>304</v>
      </c>
      <c r="L342" s="101" t="s">
        <v>292</v>
      </c>
      <c r="M342" s="114"/>
      <c r="N342" s="101"/>
      <c r="O342" s="118">
        <f>1186000*0.9</f>
        <v>1067400</v>
      </c>
      <c r="P342" s="192" t="s">
        <v>623</v>
      </c>
      <c r="Q342" s="110"/>
      <c r="R342" s="215">
        <f t="shared" si="60"/>
        <v>0</v>
      </c>
      <c r="S342" s="110"/>
      <c r="T342" s="160">
        <f t="shared" si="54"/>
        <v>0</v>
      </c>
      <c r="U342" s="110"/>
      <c r="V342" s="160">
        <f t="shared" si="55"/>
        <v>0</v>
      </c>
      <c r="W342" s="110"/>
      <c r="X342" s="160">
        <f t="shared" si="56"/>
        <v>0</v>
      </c>
      <c r="Y342" s="110"/>
      <c r="Z342" s="160">
        <f t="shared" si="57"/>
        <v>0</v>
      </c>
      <c r="AA342" s="162">
        <f t="shared" si="58"/>
        <v>0</v>
      </c>
      <c r="AB342" s="163">
        <f t="shared" si="59"/>
        <v>0</v>
      </c>
      <c r="AC342" s="195"/>
    </row>
    <row r="343" spans="1:29" s="95" customFormat="1" ht="18" customHeight="1">
      <c r="A343" s="107">
        <v>2020</v>
      </c>
      <c r="B343" s="108">
        <v>3</v>
      </c>
      <c r="C343" s="108"/>
      <c r="D343" s="102"/>
      <c r="E343" s="102"/>
      <c r="F343" s="102" t="s">
        <v>564</v>
      </c>
      <c r="G343" s="98" t="s">
        <v>418</v>
      </c>
      <c r="H343" s="121" t="s">
        <v>594</v>
      </c>
      <c r="I343" s="103"/>
      <c r="J343" s="103"/>
      <c r="K343" s="208" t="s">
        <v>484</v>
      </c>
      <c r="L343" s="101" t="s">
        <v>292</v>
      </c>
      <c r="M343" s="103"/>
      <c r="N343" s="101"/>
      <c r="O343" s="118">
        <f>850000*0.9</f>
        <v>765000</v>
      </c>
      <c r="P343" s="192" t="s">
        <v>623</v>
      </c>
      <c r="Q343" s="110"/>
      <c r="R343" s="215">
        <f t="shared" si="60"/>
        <v>0</v>
      </c>
      <c r="S343" s="110"/>
      <c r="T343" s="160">
        <f t="shared" si="54"/>
        <v>0</v>
      </c>
      <c r="U343" s="110"/>
      <c r="V343" s="160">
        <f t="shared" si="55"/>
        <v>0</v>
      </c>
      <c r="W343" s="110"/>
      <c r="X343" s="160">
        <f t="shared" si="56"/>
        <v>0</v>
      </c>
      <c r="Y343" s="110"/>
      <c r="Z343" s="160">
        <f t="shared" si="57"/>
        <v>0</v>
      </c>
      <c r="AA343" s="162">
        <f t="shared" si="58"/>
        <v>0</v>
      </c>
      <c r="AB343" s="163">
        <f t="shared" si="59"/>
        <v>0</v>
      </c>
      <c r="AC343" s="195"/>
    </row>
    <row r="344" spans="1:29" s="95" customFormat="1" ht="18" customHeight="1">
      <c r="A344" s="107">
        <v>2020</v>
      </c>
      <c r="B344" s="108">
        <v>3</v>
      </c>
      <c r="C344" s="108"/>
      <c r="D344" s="102"/>
      <c r="E344" s="102"/>
      <c r="F344" s="102" t="s">
        <v>564</v>
      </c>
      <c r="G344" s="98" t="s">
        <v>418</v>
      </c>
      <c r="H344" s="121" t="s">
        <v>594</v>
      </c>
      <c r="I344" s="103" t="s">
        <v>478</v>
      </c>
      <c r="J344" s="103"/>
      <c r="K344" s="208" t="s">
        <v>477</v>
      </c>
      <c r="L344" s="101" t="s">
        <v>482</v>
      </c>
      <c r="M344" s="103" t="s">
        <v>478</v>
      </c>
      <c r="N344" s="101"/>
      <c r="O344" s="118">
        <f>1200000*0.9</f>
        <v>1080000</v>
      </c>
      <c r="P344" s="192" t="s">
        <v>623</v>
      </c>
      <c r="Q344" s="110"/>
      <c r="R344" s="215">
        <f t="shared" si="60"/>
        <v>0</v>
      </c>
      <c r="S344" s="110"/>
      <c r="T344" s="160">
        <f t="shared" si="54"/>
        <v>0</v>
      </c>
      <c r="U344" s="110"/>
      <c r="V344" s="160">
        <f t="shared" si="55"/>
        <v>0</v>
      </c>
      <c r="W344" s="110"/>
      <c r="X344" s="160">
        <f t="shared" si="56"/>
        <v>0</v>
      </c>
      <c r="Y344" s="110"/>
      <c r="Z344" s="160">
        <f t="shared" si="57"/>
        <v>0</v>
      </c>
      <c r="AA344" s="162">
        <f t="shared" si="58"/>
        <v>0</v>
      </c>
      <c r="AB344" s="163">
        <f t="shared" si="59"/>
        <v>0</v>
      </c>
      <c r="AC344" s="195"/>
    </row>
    <row r="345" spans="1:29" s="95" customFormat="1" ht="18" customHeight="1">
      <c r="A345" s="107">
        <v>2020</v>
      </c>
      <c r="B345" s="108">
        <v>3</v>
      </c>
      <c r="C345" s="108"/>
      <c r="D345" s="102"/>
      <c r="E345" s="102"/>
      <c r="F345" s="102" t="s">
        <v>564</v>
      </c>
      <c r="G345" s="98" t="s">
        <v>418</v>
      </c>
      <c r="H345" s="121" t="s">
        <v>594</v>
      </c>
      <c r="I345" s="103" t="s">
        <v>480</v>
      </c>
      <c r="J345" s="103"/>
      <c r="K345" s="208" t="s">
        <v>479</v>
      </c>
      <c r="L345" s="101" t="s">
        <v>292</v>
      </c>
      <c r="M345" s="103" t="s">
        <v>480</v>
      </c>
      <c r="N345" s="101"/>
      <c r="O345" s="118">
        <f>1900000*0.9</f>
        <v>1710000</v>
      </c>
      <c r="P345" s="192" t="s">
        <v>623</v>
      </c>
      <c r="Q345" s="110"/>
      <c r="R345" s="215">
        <f t="shared" si="60"/>
        <v>0</v>
      </c>
      <c r="S345" s="110"/>
      <c r="T345" s="160">
        <f t="shared" si="54"/>
        <v>0</v>
      </c>
      <c r="U345" s="110"/>
      <c r="V345" s="160">
        <f t="shared" si="55"/>
        <v>0</v>
      </c>
      <c r="W345" s="110"/>
      <c r="X345" s="160">
        <f t="shared" si="56"/>
        <v>0</v>
      </c>
      <c r="Y345" s="110"/>
      <c r="Z345" s="160">
        <f t="shared" si="57"/>
        <v>0</v>
      </c>
      <c r="AA345" s="162">
        <f t="shared" si="58"/>
        <v>0</v>
      </c>
      <c r="AB345" s="163">
        <f t="shared" si="59"/>
        <v>0</v>
      </c>
      <c r="AC345" s="195"/>
    </row>
    <row r="346" spans="1:29" s="95" customFormat="1" ht="18" customHeight="1">
      <c r="A346" s="107">
        <v>2020</v>
      </c>
      <c r="B346" s="108">
        <v>3</v>
      </c>
      <c r="C346" s="108"/>
      <c r="D346" s="102"/>
      <c r="E346" s="102"/>
      <c r="F346" s="102" t="s">
        <v>564</v>
      </c>
      <c r="G346" s="98" t="s">
        <v>418</v>
      </c>
      <c r="H346" s="121" t="s">
        <v>594</v>
      </c>
      <c r="I346" s="111"/>
      <c r="J346" s="111"/>
      <c r="K346" s="127" t="s">
        <v>337</v>
      </c>
      <c r="L346" s="101" t="s">
        <v>294</v>
      </c>
      <c r="M346" s="111"/>
      <c r="N346" s="101"/>
      <c r="O346" s="118">
        <v>450000</v>
      </c>
      <c r="P346" s="192" t="s">
        <v>623</v>
      </c>
      <c r="Q346" s="110"/>
      <c r="R346" s="215">
        <f t="shared" si="60"/>
        <v>0</v>
      </c>
      <c r="S346" s="110"/>
      <c r="T346" s="160">
        <f t="shared" si="54"/>
        <v>0</v>
      </c>
      <c r="U346" s="110"/>
      <c r="V346" s="160">
        <f t="shared" si="55"/>
        <v>0</v>
      </c>
      <c r="W346" s="110"/>
      <c r="X346" s="160">
        <f t="shared" si="56"/>
        <v>0</v>
      </c>
      <c r="Y346" s="110"/>
      <c r="Z346" s="160">
        <f t="shared" si="57"/>
        <v>0</v>
      </c>
      <c r="AA346" s="162">
        <f t="shared" si="58"/>
        <v>0</v>
      </c>
      <c r="AB346" s="163">
        <f t="shared" si="59"/>
        <v>0</v>
      </c>
      <c r="AC346" s="195"/>
    </row>
    <row r="347" spans="1:29" s="95" customFormat="1" ht="18" customHeight="1">
      <c r="A347" s="107">
        <v>2020</v>
      </c>
      <c r="B347" s="108">
        <v>3</v>
      </c>
      <c r="C347" s="108"/>
      <c r="D347" s="102"/>
      <c r="E347" s="102"/>
      <c r="F347" s="102" t="s">
        <v>564</v>
      </c>
      <c r="G347" s="98" t="s">
        <v>418</v>
      </c>
      <c r="H347" s="121" t="s">
        <v>594</v>
      </c>
      <c r="I347" s="111"/>
      <c r="J347" s="111"/>
      <c r="K347" s="127" t="s">
        <v>512</v>
      </c>
      <c r="L347" s="101" t="s">
        <v>292</v>
      </c>
      <c r="M347" s="111"/>
      <c r="N347" s="101"/>
      <c r="O347" s="118">
        <v>489091</v>
      </c>
      <c r="P347" s="192" t="s">
        <v>623</v>
      </c>
      <c r="Q347" s="110"/>
      <c r="R347" s="215">
        <f t="shared" si="60"/>
        <v>0</v>
      </c>
      <c r="S347" s="110"/>
      <c r="T347" s="160">
        <f t="shared" si="54"/>
        <v>0</v>
      </c>
      <c r="U347" s="110"/>
      <c r="V347" s="160">
        <f t="shared" si="55"/>
        <v>0</v>
      </c>
      <c r="W347" s="110"/>
      <c r="X347" s="160">
        <f t="shared" si="56"/>
        <v>0</v>
      </c>
      <c r="Y347" s="110"/>
      <c r="Z347" s="160">
        <f t="shared" si="57"/>
        <v>0</v>
      </c>
      <c r="AA347" s="162">
        <f t="shared" si="58"/>
        <v>0</v>
      </c>
      <c r="AB347" s="163">
        <f t="shared" si="59"/>
        <v>0</v>
      </c>
      <c r="AC347" s="195"/>
    </row>
    <row r="348" spans="1:29" s="95" customFormat="1" ht="18" customHeight="1">
      <c r="A348" s="107">
        <v>2020</v>
      </c>
      <c r="B348" s="108">
        <v>3</v>
      </c>
      <c r="C348" s="108"/>
      <c r="D348" s="102"/>
      <c r="E348" s="102"/>
      <c r="F348" s="102" t="s">
        <v>564</v>
      </c>
      <c r="G348" s="98" t="s">
        <v>418</v>
      </c>
      <c r="H348" s="121" t="s">
        <v>594</v>
      </c>
      <c r="I348" s="111"/>
      <c r="J348" s="111"/>
      <c r="K348" s="127" t="s">
        <v>513</v>
      </c>
      <c r="L348" s="101" t="s">
        <v>292</v>
      </c>
      <c r="M348" s="111"/>
      <c r="N348" s="101"/>
      <c r="O348" s="118">
        <v>610000</v>
      </c>
      <c r="P348" s="192" t="s">
        <v>623</v>
      </c>
      <c r="Q348" s="110"/>
      <c r="R348" s="215">
        <f t="shared" si="60"/>
        <v>0</v>
      </c>
      <c r="S348" s="110"/>
      <c r="T348" s="160">
        <f t="shared" si="54"/>
        <v>0</v>
      </c>
      <c r="U348" s="110"/>
      <c r="V348" s="160">
        <f t="shared" si="55"/>
        <v>0</v>
      </c>
      <c r="W348" s="110"/>
      <c r="X348" s="160">
        <f t="shared" si="56"/>
        <v>0</v>
      </c>
      <c r="Y348" s="110"/>
      <c r="Z348" s="160">
        <f t="shared" si="57"/>
        <v>0</v>
      </c>
      <c r="AA348" s="162">
        <f t="shared" si="58"/>
        <v>0</v>
      </c>
      <c r="AB348" s="163">
        <f t="shared" si="59"/>
        <v>0</v>
      </c>
      <c r="AC348" s="195"/>
    </row>
    <row r="349" spans="1:29" s="95" customFormat="1" ht="18" customHeight="1">
      <c r="A349" s="107">
        <v>2020</v>
      </c>
      <c r="B349" s="108">
        <v>3</v>
      </c>
      <c r="C349" s="108"/>
      <c r="D349" s="102"/>
      <c r="E349" s="102"/>
      <c r="F349" s="102" t="s">
        <v>564</v>
      </c>
      <c r="G349" s="98" t="s">
        <v>418</v>
      </c>
      <c r="H349" s="121" t="s">
        <v>595</v>
      </c>
      <c r="I349" s="103"/>
      <c r="J349" s="103"/>
      <c r="K349" s="127" t="s">
        <v>311</v>
      </c>
      <c r="L349" s="101" t="s">
        <v>292</v>
      </c>
      <c r="M349" s="103"/>
      <c r="N349" s="101"/>
      <c r="O349" s="118">
        <f>530000*0.9</f>
        <v>477000</v>
      </c>
      <c r="P349" s="192" t="s">
        <v>623</v>
      </c>
      <c r="Q349" s="110"/>
      <c r="R349" s="215">
        <f t="shared" si="60"/>
        <v>0</v>
      </c>
      <c r="S349" s="110"/>
      <c r="T349" s="160">
        <f t="shared" si="54"/>
        <v>0</v>
      </c>
      <c r="U349" s="110"/>
      <c r="V349" s="160">
        <f t="shared" si="55"/>
        <v>0</v>
      </c>
      <c r="W349" s="110"/>
      <c r="X349" s="160">
        <f t="shared" si="56"/>
        <v>0</v>
      </c>
      <c r="Y349" s="110"/>
      <c r="Z349" s="160">
        <f t="shared" si="57"/>
        <v>0</v>
      </c>
      <c r="AA349" s="162">
        <f t="shared" si="58"/>
        <v>0</v>
      </c>
      <c r="AB349" s="163">
        <f t="shared" si="59"/>
        <v>0</v>
      </c>
      <c r="AC349" s="195"/>
    </row>
    <row r="350" spans="1:29" s="95" customFormat="1" ht="18" customHeight="1">
      <c r="A350" s="107">
        <v>2020</v>
      </c>
      <c r="B350" s="108">
        <v>3</v>
      </c>
      <c r="C350" s="108"/>
      <c r="D350" s="102"/>
      <c r="E350" s="102"/>
      <c r="F350" s="102" t="s">
        <v>564</v>
      </c>
      <c r="G350" s="98" t="s">
        <v>418</v>
      </c>
      <c r="H350" s="121" t="s">
        <v>595</v>
      </c>
      <c r="I350" s="114"/>
      <c r="J350" s="114"/>
      <c r="K350" s="208" t="s">
        <v>603</v>
      </c>
      <c r="L350" s="101" t="s">
        <v>604</v>
      </c>
      <c r="M350" s="114"/>
      <c r="N350" s="101"/>
      <c r="O350" s="118">
        <v>390000</v>
      </c>
      <c r="P350" s="192" t="s">
        <v>623</v>
      </c>
      <c r="Q350" s="110"/>
      <c r="R350" s="215">
        <f t="shared" si="60"/>
        <v>0</v>
      </c>
      <c r="S350" s="110"/>
      <c r="T350" s="160">
        <f t="shared" si="54"/>
        <v>0</v>
      </c>
      <c r="U350" s="110"/>
      <c r="V350" s="160">
        <f t="shared" si="55"/>
        <v>0</v>
      </c>
      <c r="W350" s="110"/>
      <c r="X350" s="160">
        <f t="shared" si="56"/>
        <v>0</v>
      </c>
      <c r="Y350" s="110"/>
      <c r="Z350" s="160">
        <f t="shared" si="57"/>
        <v>0</v>
      </c>
      <c r="AA350" s="162">
        <f t="shared" si="58"/>
        <v>0</v>
      </c>
      <c r="AB350" s="163">
        <f t="shared" si="59"/>
        <v>0</v>
      </c>
      <c r="AC350" s="195"/>
    </row>
    <row r="351" spans="1:29" s="95" customFormat="1" ht="18" customHeight="1">
      <c r="A351" s="107">
        <v>2020</v>
      </c>
      <c r="B351" s="108">
        <v>3</v>
      </c>
      <c r="C351" s="108"/>
      <c r="D351" s="102"/>
      <c r="E351" s="102"/>
      <c r="F351" s="102" t="s">
        <v>564</v>
      </c>
      <c r="G351" s="98" t="s">
        <v>418</v>
      </c>
      <c r="H351" s="121" t="s">
        <v>595</v>
      </c>
      <c r="I351" s="114"/>
      <c r="J351" s="114"/>
      <c r="K351" s="208" t="s">
        <v>606</v>
      </c>
      <c r="L351" s="101" t="s">
        <v>292</v>
      </c>
      <c r="M351" s="114"/>
      <c r="N351" s="101"/>
      <c r="O351" s="118">
        <v>689091</v>
      </c>
      <c r="P351" s="192" t="s">
        <v>623</v>
      </c>
      <c r="Q351" s="110"/>
      <c r="R351" s="215">
        <f t="shared" si="60"/>
        <v>0</v>
      </c>
      <c r="S351" s="110"/>
      <c r="T351" s="160">
        <f t="shared" si="54"/>
        <v>0</v>
      </c>
      <c r="U351" s="110"/>
      <c r="V351" s="160">
        <f t="shared" si="55"/>
        <v>0</v>
      </c>
      <c r="W351" s="110"/>
      <c r="X351" s="160">
        <f t="shared" si="56"/>
        <v>0</v>
      </c>
      <c r="Y351" s="110"/>
      <c r="Z351" s="160">
        <f t="shared" si="57"/>
        <v>0</v>
      </c>
      <c r="AA351" s="162">
        <f t="shared" si="58"/>
        <v>0</v>
      </c>
      <c r="AB351" s="163">
        <f t="shared" si="59"/>
        <v>0</v>
      </c>
      <c r="AC351" s="195"/>
    </row>
    <row r="352" spans="1:29" s="95" customFormat="1" ht="18" customHeight="1">
      <c r="A352" s="107">
        <v>2020</v>
      </c>
      <c r="B352" s="108">
        <v>3</v>
      </c>
      <c r="C352" s="108"/>
      <c r="D352" s="102"/>
      <c r="E352" s="102"/>
      <c r="F352" s="102" t="s">
        <v>564</v>
      </c>
      <c r="G352" s="98" t="s">
        <v>418</v>
      </c>
      <c r="H352" s="121" t="s">
        <v>595</v>
      </c>
      <c r="I352" s="103"/>
      <c r="J352" s="103"/>
      <c r="K352" s="127" t="s">
        <v>314</v>
      </c>
      <c r="L352" s="101" t="s">
        <v>289</v>
      </c>
      <c r="M352" s="103"/>
      <c r="N352" s="101"/>
      <c r="O352" s="118">
        <f>572000*0.9</f>
        <v>514800</v>
      </c>
      <c r="P352" s="192" t="s">
        <v>623</v>
      </c>
      <c r="Q352" s="110"/>
      <c r="R352" s="215">
        <f t="shared" si="60"/>
        <v>0</v>
      </c>
      <c r="S352" s="110"/>
      <c r="T352" s="160">
        <f t="shared" si="54"/>
        <v>0</v>
      </c>
      <c r="U352" s="110"/>
      <c r="V352" s="160">
        <f t="shared" si="55"/>
        <v>0</v>
      </c>
      <c r="W352" s="110"/>
      <c r="X352" s="160">
        <f t="shared" si="56"/>
        <v>0</v>
      </c>
      <c r="Y352" s="110"/>
      <c r="Z352" s="160">
        <f t="shared" si="57"/>
        <v>0</v>
      </c>
      <c r="AA352" s="162">
        <f t="shared" si="58"/>
        <v>0</v>
      </c>
      <c r="AB352" s="163">
        <f t="shared" si="59"/>
        <v>0</v>
      </c>
      <c r="AC352" s="195"/>
    </row>
    <row r="353" spans="1:29" s="95" customFormat="1" ht="18" customHeight="1">
      <c r="A353" s="107">
        <v>2020</v>
      </c>
      <c r="B353" s="108">
        <v>3</v>
      </c>
      <c r="C353" s="108"/>
      <c r="D353" s="102"/>
      <c r="E353" s="102"/>
      <c r="F353" s="102" t="s">
        <v>564</v>
      </c>
      <c r="G353" s="98" t="s">
        <v>418</v>
      </c>
      <c r="H353" s="121" t="s">
        <v>595</v>
      </c>
      <c r="I353" s="103"/>
      <c r="J353" s="103"/>
      <c r="K353" s="127" t="s">
        <v>318</v>
      </c>
      <c r="L353" s="101" t="s">
        <v>292</v>
      </c>
      <c r="M353" s="103"/>
      <c r="N353" s="101"/>
      <c r="O353" s="118">
        <f>861000*0.9</f>
        <v>774900</v>
      </c>
      <c r="P353" s="192" t="s">
        <v>623</v>
      </c>
      <c r="Q353" s="110"/>
      <c r="R353" s="215">
        <f t="shared" si="60"/>
        <v>0</v>
      </c>
      <c r="S353" s="110"/>
      <c r="T353" s="160">
        <f t="shared" si="54"/>
        <v>0</v>
      </c>
      <c r="U353" s="110"/>
      <c r="V353" s="160">
        <f t="shared" si="55"/>
        <v>0</v>
      </c>
      <c r="W353" s="110"/>
      <c r="X353" s="160">
        <f t="shared" si="56"/>
        <v>0</v>
      </c>
      <c r="Y353" s="110"/>
      <c r="Z353" s="160">
        <f t="shared" si="57"/>
        <v>0</v>
      </c>
      <c r="AA353" s="162">
        <f t="shared" si="58"/>
        <v>0</v>
      </c>
      <c r="AB353" s="163">
        <f t="shared" si="59"/>
        <v>0</v>
      </c>
      <c r="AC353" s="195"/>
    </row>
    <row r="354" spans="1:29" s="95" customFormat="1" ht="18" customHeight="1">
      <c r="A354" s="107">
        <v>2020</v>
      </c>
      <c r="B354" s="108">
        <v>3</v>
      </c>
      <c r="C354" s="108"/>
      <c r="D354" s="102"/>
      <c r="E354" s="102"/>
      <c r="F354" s="102" t="s">
        <v>564</v>
      </c>
      <c r="G354" s="98" t="s">
        <v>418</v>
      </c>
      <c r="H354" s="121" t="s">
        <v>595</v>
      </c>
      <c r="I354" s="103" t="s">
        <v>480</v>
      </c>
      <c r="J354" s="103"/>
      <c r="K354" s="208" t="s">
        <v>488</v>
      </c>
      <c r="L354" s="101" t="s">
        <v>292</v>
      </c>
      <c r="M354" s="103" t="s">
        <v>480</v>
      </c>
      <c r="N354" s="101"/>
      <c r="O354" s="118">
        <f>1020000*0.9</f>
        <v>918000</v>
      </c>
      <c r="P354" s="192" t="s">
        <v>623</v>
      </c>
      <c r="Q354" s="110"/>
      <c r="R354" s="215">
        <f t="shared" si="60"/>
        <v>0</v>
      </c>
      <c r="S354" s="110"/>
      <c r="T354" s="160">
        <f t="shared" si="54"/>
        <v>0</v>
      </c>
      <c r="U354" s="110"/>
      <c r="V354" s="160">
        <f t="shared" si="55"/>
        <v>0</v>
      </c>
      <c r="W354" s="110"/>
      <c r="X354" s="160">
        <f t="shared" si="56"/>
        <v>0</v>
      </c>
      <c r="Y354" s="110"/>
      <c r="Z354" s="160">
        <f t="shared" si="57"/>
        <v>0</v>
      </c>
      <c r="AA354" s="162">
        <f t="shared" si="58"/>
        <v>0</v>
      </c>
      <c r="AB354" s="163">
        <f t="shared" si="59"/>
        <v>0</v>
      </c>
      <c r="AC354" s="195"/>
    </row>
    <row r="355" spans="1:29" s="94" customForma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122"/>
      <c r="L355" s="91"/>
      <c r="M355" s="91"/>
      <c r="N355" s="91"/>
      <c r="O355" s="92"/>
      <c r="P355" s="91"/>
      <c r="Q355" s="91"/>
      <c r="R355" s="93"/>
      <c r="S355" s="91"/>
      <c r="T355" s="93"/>
      <c r="U355" s="91"/>
      <c r="V355" s="93"/>
      <c r="W355" s="91"/>
      <c r="X355" s="93"/>
      <c r="Y355" s="91"/>
      <c r="Z355" s="93"/>
      <c r="AA355" s="91"/>
      <c r="AB355" s="93"/>
      <c r="AC355" s="91"/>
    </row>
    <row r="356" spans="1:29" s="94" customForma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122"/>
      <c r="L356" s="91"/>
      <c r="M356" s="91"/>
      <c r="N356" s="91"/>
      <c r="O356" s="92"/>
      <c r="P356" s="91"/>
      <c r="Q356" s="91"/>
      <c r="R356" s="93"/>
      <c r="S356" s="91"/>
      <c r="T356" s="93"/>
      <c r="U356" s="91"/>
      <c r="V356" s="93"/>
      <c r="W356" s="91"/>
      <c r="X356" s="93"/>
      <c r="Y356" s="91"/>
      <c r="Z356" s="93"/>
      <c r="AA356" s="91"/>
      <c r="AB356" s="93"/>
      <c r="AC356" s="91"/>
    </row>
    <row r="357" spans="1:29" s="94" customForma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122"/>
      <c r="L357" s="91"/>
      <c r="M357" s="91"/>
      <c r="N357" s="91"/>
      <c r="O357" s="92"/>
      <c r="P357" s="91"/>
      <c r="Q357" s="91"/>
      <c r="R357" s="93"/>
      <c r="S357" s="91"/>
      <c r="T357" s="93"/>
      <c r="U357" s="91"/>
      <c r="V357" s="93"/>
      <c r="W357" s="91"/>
      <c r="X357" s="93"/>
      <c r="Y357" s="91"/>
      <c r="Z357" s="93"/>
      <c r="AA357" s="91"/>
      <c r="AB357" s="93"/>
      <c r="AC357" s="91"/>
    </row>
    <row r="358" spans="1:29" s="94" customForma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122"/>
      <c r="L358" s="91"/>
      <c r="M358" s="91"/>
      <c r="N358" s="91"/>
      <c r="O358" s="92"/>
      <c r="P358" s="91"/>
      <c r="Q358" s="91"/>
      <c r="R358" s="93"/>
      <c r="S358" s="91"/>
      <c r="T358" s="93"/>
      <c r="U358" s="91"/>
      <c r="V358" s="93"/>
      <c r="W358" s="91"/>
      <c r="X358" s="93"/>
      <c r="Y358" s="91"/>
      <c r="Z358" s="93"/>
      <c r="AA358" s="91"/>
      <c r="AB358" s="93"/>
      <c r="AC358" s="91"/>
    </row>
    <row r="359" spans="1:29" s="94" customForma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122"/>
      <c r="L359" s="91"/>
      <c r="M359" s="91"/>
      <c r="N359" s="91"/>
      <c r="O359" s="92"/>
      <c r="P359" s="91"/>
      <c r="Q359" s="91"/>
      <c r="R359" s="93"/>
      <c r="S359" s="91"/>
      <c r="T359" s="93"/>
      <c r="U359" s="91"/>
      <c r="V359" s="93"/>
      <c r="W359" s="91"/>
      <c r="X359" s="93"/>
      <c r="Y359" s="91"/>
      <c r="Z359" s="93"/>
      <c r="AA359" s="91"/>
      <c r="AB359" s="93"/>
      <c r="AC359" s="91"/>
    </row>
    <row r="360" spans="1:29" s="94" customForma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122"/>
      <c r="L360" s="91"/>
      <c r="M360" s="91"/>
      <c r="N360" s="91"/>
      <c r="O360" s="92"/>
      <c r="P360" s="91"/>
      <c r="Q360" s="91"/>
      <c r="R360" s="93"/>
      <c r="S360" s="91"/>
      <c r="T360" s="93"/>
      <c r="U360" s="91"/>
      <c r="V360" s="93"/>
      <c r="W360" s="91"/>
      <c r="X360" s="93"/>
      <c r="Y360" s="91"/>
      <c r="Z360" s="93"/>
      <c r="AA360" s="91"/>
      <c r="AB360" s="93"/>
      <c r="AC360" s="91"/>
    </row>
    <row r="361" spans="1:29" s="94" customForma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122"/>
      <c r="L361" s="91"/>
      <c r="M361" s="91"/>
      <c r="N361" s="91"/>
      <c r="O361" s="92"/>
      <c r="P361" s="91"/>
      <c r="Q361" s="91"/>
      <c r="R361" s="93"/>
      <c r="S361" s="91"/>
      <c r="T361" s="93"/>
      <c r="U361" s="91"/>
      <c r="V361" s="93"/>
      <c r="W361" s="91"/>
      <c r="X361" s="93"/>
      <c r="Y361" s="91"/>
      <c r="Z361" s="93"/>
      <c r="AA361" s="91"/>
      <c r="AB361" s="93"/>
      <c r="AC361" s="91"/>
    </row>
    <row r="362" spans="1:29" s="94" customForma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122"/>
      <c r="L362" s="91"/>
      <c r="M362" s="91"/>
      <c r="N362" s="91"/>
      <c r="O362" s="92"/>
      <c r="P362" s="91"/>
      <c r="Q362" s="91"/>
      <c r="R362" s="93"/>
      <c r="S362" s="91"/>
      <c r="T362" s="93"/>
      <c r="U362" s="91"/>
      <c r="V362" s="93"/>
      <c r="W362" s="91"/>
      <c r="X362" s="93"/>
      <c r="Y362" s="91"/>
      <c r="Z362" s="93"/>
      <c r="AA362" s="91"/>
      <c r="AB362" s="93"/>
      <c r="AC362" s="91"/>
    </row>
    <row r="363" spans="1:29" s="94" customForma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122"/>
      <c r="L363" s="91"/>
      <c r="M363" s="91"/>
      <c r="N363" s="91"/>
      <c r="O363" s="92"/>
      <c r="P363" s="91"/>
      <c r="Q363" s="91"/>
      <c r="R363" s="93"/>
      <c r="S363" s="91"/>
      <c r="T363" s="93"/>
      <c r="U363" s="91"/>
      <c r="V363" s="93"/>
      <c r="W363" s="91"/>
      <c r="X363" s="93"/>
      <c r="Y363" s="91"/>
      <c r="Z363" s="93"/>
      <c r="AA363" s="91"/>
      <c r="AB363" s="93"/>
      <c r="AC363" s="91"/>
    </row>
    <row r="364" spans="1:29" s="94" customForma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122"/>
      <c r="L364" s="91"/>
      <c r="M364" s="91"/>
      <c r="N364" s="91"/>
      <c r="O364" s="92"/>
      <c r="P364" s="91"/>
      <c r="Q364" s="91"/>
      <c r="R364" s="93"/>
      <c r="S364" s="91"/>
      <c r="T364" s="93"/>
      <c r="U364" s="91"/>
      <c r="V364" s="93"/>
      <c r="W364" s="91"/>
      <c r="X364" s="93"/>
      <c r="Y364" s="91"/>
      <c r="Z364" s="93"/>
      <c r="AA364" s="91"/>
      <c r="AB364" s="93"/>
      <c r="AC364" s="91"/>
    </row>
    <row r="365" spans="1:29" s="94" customForma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122"/>
      <c r="L365" s="91"/>
      <c r="M365" s="91"/>
      <c r="N365" s="91"/>
      <c r="O365" s="92"/>
      <c r="P365" s="91"/>
      <c r="Q365" s="91"/>
      <c r="R365" s="93"/>
      <c r="S365" s="91"/>
      <c r="T365" s="93"/>
      <c r="U365" s="91"/>
      <c r="V365" s="93"/>
      <c r="W365" s="91"/>
      <c r="X365" s="93"/>
      <c r="Y365" s="91"/>
      <c r="Z365" s="93"/>
      <c r="AA365" s="91"/>
      <c r="AB365" s="93"/>
      <c r="AC365" s="91"/>
    </row>
    <row r="366" spans="1:29" s="94" customForma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122"/>
      <c r="L366" s="91"/>
      <c r="M366" s="91"/>
      <c r="N366" s="91"/>
      <c r="O366" s="92"/>
      <c r="P366" s="91"/>
      <c r="Q366" s="91"/>
      <c r="R366" s="93"/>
      <c r="S366" s="91"/>
      <c r="T366" s="93"/>
      <c r="U366" s="91"/>
      <c r="V366" s="93"/>
      <c r="W366" s="91"/>
      <c r="X366" s="93"/>
      <c r="Y366" s="91"/>
      <c r="Z366" s="93"/>
      <c r="AA366" s="91"/>
      <c r="AB366" s="93"/>
      <c r="AC366" s="91"/>
    </row>
    <row r="367" spans="1:29" s="94" customForma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122"/>
      <c r="L367" s="91"/>
      <c r="M367" s="91"/>
      <c r="N367" s="91"/>
      <c r="O367" s="92"/>
      <c r="P367" s="91"/>
      <c r="Q367" s="91"/>
      <c r="R367" s="93"/>
      <c r="S367" s="91"/>
      <c r="T367" s="93"/>
      <c r="U367" s="91"/>
      <c r="V367" s="93"/>
      <c r="W367" s="91"/>
      <c r="X367" s="93"/>
      <c r="Y367" s="91"/>
      <c r="Z367" s="93"/>
      <c r="AA367" s="91"/>
      <c r="AB367" s="93"/>
      <c r="AC367" s="91"/>
    </row>
    <row r="368" spans="1:29" s="94" customForma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122"/>
      <c r="L368" s="91"/>
      <c r="M368" s="91"/>
      <c r="N368" s="91"/>
      <c r="O368" s="92"/>
      <c r="P368" s="91"/>
      <c r="Q368" s="91"/>
      <c r="R368" s="93"/>
      <c r="S368" s="91"/>
      <c r="T368" s="93"/>
      <c r="U368" s="91"/>
      <c r="V368" s="93"/>
      <c r="W368" s="91"/>
      <c r="X368" s="93"/>
      <c r="Y368" s="91"/>
      <c r="Z368" s="93"/>
      <c r="AA368" s="91"/>
      <c r="AB368" s="93"/>
      <c r="AC368" s="91"/>
    </row>
    <row r="369" spans="1:29" s="94" customForma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122"/>
      <c r="L369" s="91"/>
      <c r="M369" s="91"/>
      <c r="N369" s="91"/>
      <c r="O369" s="92"/>
      <c r="P369" s="91"/>
      <c r="Q369" s="91"/>
      <c r="R369" s="93"/>
      <c r="S369" s="91"/>
      <c r="T369" s="93"/>
      <c r="U369" s="91"/>
      <c r="V369" s="93"/>
      <c r="W369" s="91"/>
      <c r="X369" s="93"/>
      <c r="Y369" s="91"/>
      <c r="Z369" s="93"/>
      <c r="AA369" s="91"/>
      <c r="AB369" s="93"/>
      <c r="AC369" s="91"/>
    </row>
    <row r="370" spans="1:29" s="94" customForma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122"/>
      <c r="L370" s="91"/>
      <c r="M370" s="91"/>
      <c r="N370" s="91"/>
      <c r="O370" s="92"/>
      <c r="P370" s="91"/>
      <c r="Q370" s="91"/>
      <c r="R370" s="93"/>
      <c r="S370" s="91"/>
      <c r="T370" s="93"/>
      <c r="U370" s="91"/>
      <c r="V370" s="93"/>
      <c r="W370" s="91"/>
      <c r="X370" s="93"/>
      <c r="Y370" s="91"/>
      <c r="Z370" s="93"/>
      <c r="AA370" s="91"/>
      <c r="AB370" s="93"/>
      <c r="AC370" s="91"/>
    </row>
    <row r="371" spans="1:29" s="94" customForma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122"/>
      <c r="L371" s="91"/>
      <c r="M371" s="91"/>
      <c r="N371" s="91"/>
      <c r="O371" s="92"/>
      <c r="P371" s="91"/>
      <c r="Q371" s="91"/>
      <c r="R371" s="93"/>
      <c r="S371" s="91"/>
      <c r="T371" s="93"/>
      <c r="U371" s="91"/>
      <c r="V371" s="93"/>
      <c r="W371" s="91"/>
      <c r="X371" s="93"/>
      <c r="Y371" s="91"/>
      <c r="Z371" s="93"/>
      <c r="AA371" s="91"/>
      <c r="AB371" s="93"/>
      <c r="AC371" s="91"/>
    </row>
    <row r="372" spans="1:29" s="94" customForma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122"/>
      <c r="L372" s="91"/>
      <c r="M372" s="91"/>
      <c r="N372" s="91"/>
      <c r="O372" s="92"/>
      <c r="P372" s="91"/>
      <c r="Q372" s="91"/>
      <c r="R372" s="93"/>
      <c r="S372" s="91"/>
      <c r="T372" s="93"/>
      <c r="U372" s="91"/>
      <c r="V372" s="93"/>
      <c r="W372" s="91"/>
      <c r="X372" s="93"/>
      <c r="Y372" s="91"/>
      <c r="Z372" s="93"/>
      <c r="AA372" s="91"/>
      <c r="AB372" s="93"/>
      <c r="AC372" s="91"/>
    </row>
    <row r="373" spans="1:29" s="94" customForma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122"/>
      <c r="L373" s="91"/>
      <c r="M373" s="91"/>
      <c r="N373" s="91"/>
      <c r="O373" s="92"/>
      <c r="P373" s="91"/>
      <c r="Q373" s="91"/>
      <c r="R373" s="93"/>
      <c r="S373" s="91"/>
      <c r="T373" s="93"/>
      <c r="U373" s="91"/>
      <c r="V373" s="93"/>
      <c r="W373" s="91"/>
      <c r="X373" s="93"/>
      <c r="Y373" s="91"/>
      <c r="Z373" s="93"/>
      <c r="AA373" s="91"/>
      <c r="AB373" s="93"/>
      <c r="AC373" s="91"/>
    </row>
    <row r="374" spans="1:29" s="94" customForma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122"/>
      <c r="L374" s="91"/>
      <c r="M374" s="91"/>
      <c r="N374" s="91"/>
      <c r="O374" s="92"/>
      <c r="P374" s="91"/>
      <c r="Q374" s="91"/>
      <c r="R374" s="93"/>
      <c r="S374" s="91"/>
      <c r="T374" s="93"/>
      <c r="U374" s="91"/>
      <c r="V374" s="93"/>
      <c r="W374" s="91"/>
      <c r="X374" s="93"/>
      <c r="Y374" s="91"/>
      <c r="Z374" s="93"/>
      <c r="AA374" s="91"/>
      <c r="AB374" s="93"/>
      <c r="AC374" s="91"/>
    </row>
    <row r="375" spans="1:29" s="94" customForma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122"/>
      <c r="L375" s="91"/>
      <c r="M375" s="91"/>
      <c r="N375" s="91"/>
      <c r="O375" s="92"/>
      <c r="P375" s="91"/>
      <c r="Q375" s="91"/>
      <c r="R375" s="93"/>
      <c r="S375" s="91"/>
      <c r="T375" s="93"/>
      <c r="U375" s="91"/>
      <c r="V375" s="93"/>
      <c r="W375" s="91"/>
      <c r="X375" s="93"/>
      <c r="Y375" s="91"/>
      <c r="Z375" s="93"/>
      <c r="AA375" s="91"/>
      <c r="AB375" s="93"/>
      <c r="AC375" s="91"/>
    </row>
    <row r="376" spans="1:29" s="94" customForma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122"/>
      <c r="L376" s="91"/>
      <c r="M376" s="91"/>
      <c r="N376" s="91"/>
      <c r="O376" s="92"/>
      <c r="P376" s="91"/>
      <c r="Q376" s="91"/>
      <c r="R376" s="93"/>
      <c r="S376" s="91"/>
      <c r="T376" s="93"/>
      <c r="U376" s="91"/>
      <c r="V376" s="93"/>
      <c r="W376" s="91"/>
      <c r="X376" s="93"/>
      <c r="Y376" s="91"/>
      <c r="Z376" s="93"/>
      <c r="AA376" s="91"/>
      <c r="AB376" s="93"/>
      <c r="AC376" s="91"/>
    </row>
    <row r="377" spans="1:29" s="94" customForma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122"/>
      <c r="L377" s="91"/>
      <c r="M377" s="91"/>
      <c r="N377" s="91"/>
      <c r="O377" s="92"/>
      <c r="P377" s="91"/>
      <c r="Q377" s="91"/>
      <c r="R377" s="93"/>
      <c r="S377" s="91"/>
      <c r="T377" s="93"/>
      <c r="U377" s="91"/>
      <c r="V377" s="93"/>
      <c r="W377" s="91"/>
      <c r="X377" s="93"/>
      <c r="Y377" s="91"/>
      <c r="Z377" s="93"/>
      <c r="AA377" s="91"/>
      <c r="AB377" s="93"/>
      <c r="AC377" s="91"/>
    </row>
    <row r="378" spans="1:29" s="94" customForma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122"/>
      <c r="L378" s="91"/>
      <c r="M378" s="91"/>
      <c r="N378" s="91"/>
      <c r="O378" s="92"/>
      <c r="P378" s="91"/>
      <c r="Q378" s="91"/>
      <c r="R378" s="93"/>
      <c r="S378" s="91"/>
      <c r="T378" s="93"/>
      <c r="U378" s="91"/>
      <c r="V378" s="93"/>
      <c r="W378" s="91"/>
      <c r="X378" s="93"/>
      <c r="Y378" s="91"/>
      <c r="Z378" s="93"/>
      <c r="AA378" s="91"/>
      <c r="AB378" s="93"/>
      <c r="AC378" s="91"/>
    </row>
    <row r="379" spans="1:29" s="94" customForma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122"/>
      <c r="L379" s="91"/>
      <c r="M379" s="91"/>
      <c r="N379" s="91"/>
      <c r="O379" s="92"/>
      <c r="P379" s="91"/>
      <c r="Q379" s="91"/>
      <c r="R379" s="93"/>
      <c r="S379" s="91"/>
      <c r="T379" s="93"/>
      <c r="U379" s="91"/>
      <c r="V379" s="93"/>
      <c r="W379" s="91"/>
      <c r="X379" s="93"/>
      <c r="Y379" s="91"/>
      <c r="Z379" s="93"/>
      <c r="AA379" s="91"/>
      <c r="AB379" s="93"/>
      <c r="AC379" s="91"/>
    </row>
    <row r="380" spans="1:29" s="94" customForma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122"/>
      <c r="L380" s="91"/>
      <c r="M380" s="91"/>
      <c r="N380" s="91"/>
      <c r="O380" s="92"/>
      <c r="P380" s="91"/>
      <c r="Q380" s="91"/>
      <c r="R380" s="93"/>
      <c r="S380" s="91"/>
      <c r="T380" s="93"/>
      <c r="U380" s="91"/>
      <c r="V380" s="93"/>
      <c r="W380" s="91"/>
      <c r="X380" s="93"/>
      <c r="Y380" s="91"/>
      <c r="Z380" s="93"/>
      <c r="AA380" s="91"/>
      <c r="AB380" s="93"/>
      <c r="AC380" s="91"/>
    </row>
  </sheetData>
  <autoFilter ref="A4:R206"/>
  <mergeCells count="23">
    <mergeCell ref="AA3:AC3"/>
    <mergeCell ref="W3:X3"/>
    <mergeCell ref="Y3:Z3"/>
    <mergeCell ref="Q3:R3"/>
    <mergeCell ref="P3:P4"/>
    <mergeCell ref="U3:V3"/>
    <mergeCell ref="O3:O4"/>
    <mergeCell ref="H3:H4"/>
    <mergeCell ref="S3:T3"/>
    <mergeCell ref="N3:N4"/>
    <mergeCell ref="J3:J4"/>
    <mergeCell ref="M3:M4"/>
    <mergeCell ref="A1:C2"/>
    <mergeCell ref="K3:K4"/>
    <mergeCell ref="L3:L4"/>
    <mergeCell ref="D3:D4"/>
    <mergeCell ref="E3:E4"/>
    <mergeCell ref="C3:C4"/>
    <mergeCell ref="G3:G4"/>
    <mergeCell ref="A3:A4"/>
    <mergeCell ref="B3:B4"/>
    <mergeCell ref="I3:I4"/>
    <mergeCell ref="F3:F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C7" sqref="C7"/>
    </sheetView>
  </sheetViews>
  <sheetFormatPr defaultRowHeight="15"/>
  <cols>
    <col min="1" max="1" width="14.375" style="91" customWidth="1"/>
    <col min="2" max="3" width="12.5" style="91" customWidth="1"/>
    <col min="4" max="4" width="8.625" style="91" customWidth="1"/>
    <col min="5" max="5" width="11.25" style="91" customWidth="1"/>
    <col min="6" max="6" width="11.75" style="91" bestFit="1" customWidth="1"/>
    <col min="7" max="7" width="11.25" style="91" bestFit="1" customWidth="1"/>
    <col min="8" max="16384" width="9" style="91"/>
  </cols>
  <sheetData>
    <row r="3" spans="1:7">
      <c r="A3" s="356" t="s">
        <v>1493</v>
      </c>
      <c r="B3" s="356" t="s">
        <v>1379</v>
      </c>
      <c r="C3" s="374" t="s">
        <v>1380</v>
      </c>
      <c r="D3" s="364"/>
      <c r="E3" s="364"/>
      <c r="F3" s="364"/>
      <c r="G3" s="366"/>
    </row>
    <row r="4" spans="1:7">
      <c r="A4" s="365"/>
      <c r="B4" s="358" t="s">
        <v>877</v>
      </c>
      <c r="C4" s="364"/>
      <c r="D4" s="358" t="s">
        <v>1494</v>
      </c>
      <c r="E4" s="358" t="s">
        <v>1495</v>
      </c>
      <c r="F4" s="358" t="s">
        <v>1496</v>
      </c>
      <c r="G4" s="357" t="s">
        <v>1492</v>
      </c>
    </row>
    <row r="5" spans="1:7">
      <c r="A5" s="356" t="s">
        <v>871</v>
      </c>
      <c r="B5" s="358" t="s">
        <v>683</v>
      </c>
      <c r="C5" s="367" t="s">
        <v>1495</v>
      </c>
      <c r="D5" s="365"/>
      <c r="E5" s="358" t="s">
        <v>683</v>
      </c>
      <c r="F5" s="365"/>
      <c r="G5" s="375"/>
    </row>
    <row r="6" spans="1:7">
      <c r="A6" s="358" t="s">
        <v>953</v>
      </c>
      <c r="B6" s="368">
        <v>95</v>
      </c>
      <c r="C6" s="369">
        <v>18</v>
      </c>
      <c r="D6" s="368">
        <v>113</v>
      </c>
      <c r="E6" s="368">
        <v>54</v>
      </c>
      <c r="F6" s="368">
        <v>54</v>
      </c>
      <c r="G6" s="359">
        <v>167</v>
      </c>
    </row>
    <row r="7" spans="1:7">
      <c r="A7" s="360" t="s">
        <v>562</v>
      </c>
      <c r="B7" s="370">
        <v>109</v>
      </c>
      <c r="C7" s="371">
        <v>23</v>
      </c>
      <c r="D7" s="370">
        <v>132</v>
      </c>
      <c r="E7" s="370">
        <v>7</v>
      </c>
      <c r="F7" s="370">
        <v>7</v>
      </c>
      <c r="G7" s="361">
        <v>139</v>
      </c>
    </row>
    <row r="8" spans="1:7">
      <c r="A8" s="360" t="s">
        <v>563</v>
      </c>
      <c r="B8" s="370">
        <v>85</v>
      </c>
      <c r="C8" s="371">
        <v>29</v>
      </c>
      <c r="D8" s="370">
        <v>114</v>
      </c>
      <c r="E8" s="370">
        <v>15</v>
      </c>
      <c r="F8" s="370">
        <v>15</v>
      </c>
      <c r="G8" s="361">
        <v>129</v>
      </c>
    </row>
    <row r="9" spans="1:7">
      <c r="A9" s="362" t="s">
        <v>1492</v>
      </c>
      <c r="B9" s="372">
        <v>289</v>
      </c>
      <c r="C9" s="373">
        <v>70</v>
      </c>
      <c r="D9" s="372">
        <v>359</v>
      </c>
      <c r="E9" s="372">
        <v>76</v>
      </c>
      <c r="F9" s="372">
        <v>76</v>
      </c>
      <c r="G9" s="363">
        <v>435</v>
      </c>
    </row>
    <row r="10" spans="1:7" ht="15.75">
      <c r="A10"/>
      <c r="B10"/>
      <c r="C10"/>
      <c r="D10"/>
    </row>
    <row r="11" spans="1:7" ht="15.75">
      <c r="A11"/>
      <c r="B11"/>
      <c r="C11"/>
      <c r="D11"/>
    </row>
    <row r="12" spans="1:7" ht="15.75">
      <c r="A12"/>
      <c r="B12"/>
      <c r="C12"/>
      <c r="D12"/>
    </row>
    <row r="13" spans="1:7" ht="15.75">
      <c r="A13"/>
      <c r="B13"/>
      <c r="C13"/>
      <c r="D13"/>
    </row>
    <row r="14" spans="1:7" ht="15.75">
      <c r="A14"/>
      <c r="B14"/>
      <c r="C14"/>
      <c r="D14"/>
    </row>
    <row r="15" spans="1:7" ht="15.75">
      <c r="A15"/>
      <c r="B15"/>
      <c r="C15"/>
      <c r="D15"/>
    </row>
    <row r="16" spans="1:7" ht="15.75">
      <c r="A16"/>
      <c r="B16"/>
      <c r="C16"/>
      <c r="D16"/>
    </row>
    <row r="17" spans="1:4" ht="15.75">
      <c r="A17"/>
      <c r="B17"/>
      <c r="C17"/>
      <c r="D17"/>
    </row>
    <row r="18" spans="1:4" ht="15.75">
      <c r="A18"/>
      <c r="B18"/>
      <c r="C18"/>
      <c r="D18"/>
    </row>
    <row r="19" spans="1:4" ht="15.75">
      <c r="A19"/>
      <c r="B19"/>
      <c r="C19"/>
      <c r="D19"/>
    </row>
    <row r="20" spans="1:4" ht="15.75">
      <c r="A20"/>
      <c r="B20"/>
      <c r="C20"/>
      <c r="D20"/>
    </row>
    <row r="21" spans="1:4" ht="15.75">
      <c r="A21"/>
      <c r="B21"/>
      <c r="C21"/>
      <c r="D21"/>
    </row>
    <row r="22" spans="1:4" ht="15.75">
      <c r="A22"/>
      <c r="B22"/>
      <c r="C22"/>
      <c r="D22"/>
    </row>
    <row r="23" spans="1:4" ht="15.75">
      <c r="A23"/>
      <c r="B23"/>
      <c r="C23"/>
      <c r="D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37"/>
  <sheetViews>
    <sheetView tabSelected="1" zoomScaleNormal="100" workbookViewId="0">
      <selection activeCell="A2" sqref="A2"/>
    </sheetView>
  </sheetViews>
  <sheetFormatPr defaultRowHeight="12.75"/>
  <cols>
    <col min="1" max="1" width="12.375" style="345" bestFit="1" customWidth="1"/>
    <col min="2" max="2" width="18.5" style="284" bestFit="1" customWidth="1"/>
    <col min="3" max="3" width="3.4375" style="284" customWidth="1"/>
    <col min="4" max="4" width="18.5" style="284" hidden="1" customWidth="1"/>
    <col min="5" max="5" width="10.375" style="284" hidden="1" customWidth="1"/>
    <col min="6" max="6" width="9.25" style="284" hidden="1" customWidth="1"/>
    <col min="7" max="7" width="10.375" style="283" hidden="1" customWidth="1"/>
    <col min="8" max="8" width="16.3125" style="284" hidden="1" customWidth="1"/>
    <col min="9" max="9" width="26.375" style="284" hidden="1" customWidth="1"/>
    <col min="10" max="10" width="21.5" style="284" hidden="1" customWidth="1"/>
    <col min="11" max="11" width="16.3125" style="283" hidden="1" customWidth="1"/>
    <col min="12" max="12" width="197.4375" style="283" hidden="1" customWidth="1"/>
    <col min="13" max="14" width="9.375" style="283" bestFit="1" customWidth="1"/>
    <col min="15" max="15" width="9.4375" style="283" bestFit="1" customWidth="1"/>
    <col min="16" max="16" width="60.875" style="283" hidden="1" customWidth="1"/>
    <col min="17" max="17" width="9.1875" style="283" bestFit="1" customWidth="1"/>
    <col min="18" max="18" width="60.875" style="283" hidden="1" customWidth="1"/>
    <col min="19" max="19" width="7.5625" style="283" bestFit="1" customWidth="1"/>
    <col min="20" max="20" width="60.875" style="283" hidden="1" customWidth="1"/>
    <col min="21" max="21" width="8.75" style="283" bestFit="1" customWidth="1"/>
    <col min="22" max="22" width="60.875" style="283" hidden="1" customWidth="1"/>
    <col min="23" max="23" width="8.9375" style="283" bestFit="1" customWidth="1"/>
    <col min="24" max="24" width="60.875" style="283" hidden="1" customWidth="1"/>
    <col min="25" max="25" width="7.5625" style="283" bestFit="1" customWidth="1"/>
    <col min="26" max="26" width="60.875" style="283" hidden="1" customWidth="1"/>
    <col min="27" max="27" width="15.125" style="283" bestFit="1" customWidth="1"/>
    <col min="28" max="28" width="60.875" style="283" hidden="1" customWidth="1"/>
    <col min="29" max="29" width="15.125" style="283" bestFit="1" customWidth="1"/>
    <col min="30" max="30" width="60.875" style="283" hidden="1" customWidth="1"/>
    <col min="31" max="31" width="7.5625" style="283" bestFit="1" customWidth="1"/>
    <col min="32" max="32" width="29" style="283" hidden="1" customWidth="1"/>
    <col min="33" max="33" width="9" style="283" bestFit="1" customWidth="1"/>
    <col min="34" max="34" width="9" style="283" hidden="1" customWidth="1"/>
    <col min="35" max="35" width="12.125" style="283" bestFit="1" customWidth="1"/>
    <col min="36" max="36" width="15.25" style="283" hidden="1" customWidth="1"/>
    <col min="37" max="37" width="19.1875" style="331" customWidth="1"/>
    <col min="38" max="38" width="10" style="383" customWidth="1"/>
    <col min="39" max="39" width="24.5625" style="327" customWidth="1"/>
    <col min="40" max="41" width="11.5" style="284" customWidth="1"/>
    <col min="42" max="16384" width="9" style="284"/>
  </cols>
  <sheetData>
    <row r="1" spans="1:41">
      <c r="A1" s="345" t="s">
        <v>979</v>
      </c>
      <c r="B1" s="284" t="s">
        <v>1345</v>
      </c>
      <c r="D1" s="284" t="s">
        <v>1503</v>
      </c>
      <c r="E1" s="284" t="s">
        <v>1501</v>
      </c>
      <c r="F1" s="284" t="s">
        <v>1498</v>
      </c>
      <c r="G1" s="283" t="s">
        <v>1497</v>
      </c>
      <c r="H1" s="284" t="s">
        <v>1502</v>
      </c>
      <c r="I1" s="284" t="s">
        <v>1345</v>
      </c>
      <c r="J1" s="284" t="s">
        <v>1500</v>
      </c>
      <c r="K1" s="283" t="s">
        <v>1499</v>
      </c>
      <c r="M1" s="283">
        <f>SUM(O1,Q1,S1,U1,W1,Y1,AA1,AC1,AE1,AG1,AI1)</f>
        <v>424</v>
      </c>
      <c r="O1" s="283">
        <f t="shared" ref="O1:AH1" si="0">COUNTA(O3:O1000)</f>
        <v>59</v>
      </c>
      <c r="P1" s="283">
        <f t="shared" si="0"/>
        <v>59</v>
      </c>
      <c r="Q1" s="283">
        <f t="shared" si="0"/>
        <v>31</v>
      </c>
      <c r="R1" s="283">
        <f t="shared" si="0"/>
        <v>31</v>
      </c>
      <c r="S1" s="283">
        <f t="shared" si="0"/>
        <v>36</v>
      </c>
      <c r="T1" s="283">
        <f t="shared" si="0"/>
        <v>38</v>
      </c>
      <c r="U1" s="283">
        <f t="shared" si="0"/>
        <v>50</v>
      </c>
      <c r="V1" s="283">
        <f t="shared" si="0"/>
        <v>50</v>
      </c>
      <c r="W1" s="283">
        <f t="shared" si="0"/>
        <v>25</v>
      </c>
      <c r="X1" s="283">
        <f t="shared" si="0"/>
        <v>27</v>
      </c>
      <c r="Y1" s="283">
        <f t="shared" si="0"/>
        <v>24</v>
      </c>
      <c r="Z1" s="283">
        <f t="shared" si="0"/>
        <v>24</v>
      </c>
      <c r="AA1" s="283">
        <f t="shared" si="0"/>
        <v>18</v>
      </c>
      <c r="AB1" s="283">
        <f t="shared" si="0"/>
        <v>18</v>
      </c>
      <c r="AC1" s="283">
        <f t="shared" si="0"/>
        <v>67</v>
      </c>
      <c r="AD1" s="283">
        <f t="shared" si="0"/>
        <v>67</v>
      </c>
      <c r="AE1" s="283">
        <f t="shared" si="0"/>
        <v>87</v>
      </c>
      <c r="AF1" s="283">
        <f t="shared" si="0"/>
        <v>87</v>
      </c>
      <c r="AG1" s="283">
        <f t="shared" si="0"/>
        <v>14</v>
      </c>
      <c r="AH1" s="283">
        <f t="shared" si="0"/>
        <v>14</v>
      </c>
      <c r="AI1" s="283">
        <f>COUNTA(AI3:AI1000)</f>
        <v>13</v>
      </c>
    </row>
    <row r="2" spans="1:41" s="283" customFormat="1" ht="30" customHeight="1">
      <c r="A2" s="289" t="s">
        <v>979</v>
      </c>
      <c r="B2" s="332" t="s">
        <v>1345</v>
      </c>
      <c r="C2" s="332"/>
      <c r="D2" s="289" t="s">
        <v>983</v>
      </c>
      <c r="E2" s="289" t="s">
        <v>490</v>
      </c>
      <c r="F2" s="289" t="s">
        <v>1348</v>
      </c>
      <c r="G2" s="289" t="s">
        <v>871</v>
      </c>
      <c r="H2" s="289" t="s">
        <v>1349</v>
      </c>
      <c r="I2" s="289" t="s">
        <v>1346</v>
      </c>
      <c r="J2" s="289" t="s">
        <v>1347</v>
      </c>
      <c r="K2" s="289" t="s">
        <v>980</v>
      </c>
      <c r="L2" s="289"/>
      <c r="M2" s="289" t="s">
        <v>1379</v>
      </c>
      <c r="N2" s="289" t="s">
        <v>1380</v>
      </c>
      <c r="O2" s="289" t="s">
        <v>1431</v>
      </c>
      <c r="P2" s="289"/>
      <c r="Q2" s="289" t="s">
        <v>1432</v>
      </c>
      <c r="R2" s="289"/>
      <c r="S2" s="289" t="s">
        <v>1433</v>
      </c>
      <c r="T2" s="289"/>
      <c r="U2" s="289" t="s">
        <v>1434</v>
      </c>
      <c r="V2" s="289"/>
      <c r="W2" s="289" t="s">
        <v>1435</v>
      </c>
      <c r="X2" s="289"/>
      <c r="Y2" s="289" t="s">
        <v>1436</v>
      </c>
      <c r="Z2" s="289"/>
      <c r="AA2" s="289" t="s">
        <v>1437</v>
      </c>
      <c r="AB2" s="289"/>
      <c r="AC2" s="289" t="s">
        <v>1438</v>
      </c>
      <c r="AD2" s="289"/>
      <c r="AE2" s="289" t="s">
        <v>1439</v>
      </c>
      <c r="AF2" s="289"/>
      <c r="AG2" s="289" t="s">
        <v>1440</v>
      </c>
      <c r="AH2" s="289"/>
      <c r="AI2" s="289" t="s">
        <v>1441</v>
      </c>
      <c r="AJ2" s="289"/>
      <c r="AK2" s="328" t="s">
        <v>1381</v>
      </c>
      <c r="AL2" s="326" t="s">
        <v>1382</v>
      </c>
      <c r="AM2" s="326"/>
      <c r="AN2" s="289" t="s">
        <v>976</v>
      </c>
      <c r="AO2" s="289" t="s">
        <v>977</v>
      </c>
    </row>
    <row r="3" spans="1:41">
      <c r="A3" s="334">
        <v>7115900050</v>
      </c>
      <c r="B3" s="290" t="s">
        <v>15</v>
      </c>
      <c r="C3" s="290">
        <f>VLOOKUP(B3,Sheet1!$B$17:$C$451,2,0)</f>
        <v>337</v>
      </c>
      <c r="D3" s="291" t="s">
        <v>984</v>
      </c>
      <c r="E3" s="291" t="s">
        <v>560</v>
      </c>
      <c r="F3" s="291" t="s">
        <v>23</v>
      </c>
      <c r="G3" s="291" t="s">
        <v>562</v>
      </c>
      <c r="H3" s="291" t="s">
        <v>1350</v>
      </c>
      <c r="I3" s="291" t="s">
        <v>203</v>
      </c>
      <c r="J3" s="291" t="s">
        <v>1377</v>
      </c>
      <c r="K3" s="293" t="s">
        <v>872</v>
      </c>
      <c r="L3" s="293"/>
      <c r="M3" s="292" t="s">
        <v>877</v>
      </c>
      <c r="N3" s="292" t="s">
        <v>683</v>
      </c>
      <c r="O3" s="292" t="s">
        <v>1488</v>
      </c>
      <c r="P3" s="292" t="str">
        <f>"INSERT INTO ProductByAccount
( ProductId,AccountId)VALUES
("&amp;C3&amp;",1029)"</f>
        <v>INSERT INTO ProductByAccount
( ProductId,AccountId)VALUES
(337,1029)</v>
      </c>
      <c r="Q3" s="292" t="s">
        <v>872</v>
      </c>
      <c r="R3" s="292" t="str">
        <f>"INSERT INTO ProductByAccount
( ProductId,AccountId)VALUES
("&amp;C3&amp;",1030)"</f>
        <v>INSERT INTO ProductByAccount
( ProductId,AccountId)VALUES
(337,1030)</v>
      </c>
      <c r="S3" s="292"/>
      <c r="T3" s="292"/>
      <c r="U3" s="292" t="s">
        <v>872</v>
      </c>
      <c r="V3" s="292" t="str">
        <f>"INSERT INTO ProductByAccount
( ProductId,AccountId)VALUES
("&amp;C3&amp;",1032)"</f>
        <v>INSERT INTO ProductByAccount
( ProductId,AccountId)VALUES
(337,1032)</v>
      </c>
      <c r="W3" s="292"/>
      <c r="X3" s="292"/>
      <c r="Y3" s="292" t="s">
        <v>872</v>
      </c>
      <c r="Z3" s="292" t="str">
        <f>"INSERT INTO ProductByAccount
( ProductId,AccountId)VALUES
("&amp;C3&amp;",1034)"</f>
        <v>INSERT INTO ProductByAccount
( ProductId,AccountId)VALUES
(337,1034)</v>
      </c>
      <c r="AA3" s="292"/>
      <c r="AB3" s="292"/>
      <c r="AC3" s="292"/>
      <c r="AD3" s="292"/>
      <c r="AE3" s="292"/>
      <c r="AF3" s="292"/>
      <c r="AG3" s="292"/>
      <c r="AH3" s="292"/>
      <c r="AI3" s="292" t="s">
        <v>872</v>
      </c>
      <c r="AJ3" s="292" t="str">
        <f>"INSERT INTO ProductByAccount
( ProductId,AccountId)VALUES
("&amp;C3&amp;",1039)"</f>
        <v>INSERT INTO ProductByAccount
( ProductId,AccountId)VALUES
(337,1039)</v>
      </c>
      <c r="AK3" s="380">
        <v>160000</v>
      </c>
      <c r="AL3" s="381">
        <v>128182</v>
      </c>
      <c r="AM3" s="379" t="str">
        <f>"INSERT INTO ListedPrice
(ProductId,ActiveDate,Channel,Price)
VALUES("&amp;C3&amp;",'2020-05-01','GT',"&amp;AL3&amp;")"</f>
        <v>INSERT INTO ListedPrice
(ProductId,ActiveDate,Channel,Price)
VALUES(337,'2020-05-01','GT',128182)</v>
      </c>
      <c r="AN3" s="292"/>
      <c r="AO3" s="292"/>
    </row>
    <row r="4" spans="1:41">
      <c r="A4" s="335">
        <v>7115900037</v>
      </c>
      <c r="B4" s="290" t="s">
        <v>491</v>
      </c>
      <c r="C4" s="290">
        <f>VLOOKUP(B4,Sheet1!$B$17:$C$451,2,0)</f>
        <v>338</v>
      </c>
      <c r="D4" s="291" t="s">
        <v>985</v>
      </c>
      <c r="E4" s="291" t="s">
        <v>469</v>
      </c>
      <c r="F4" s="291" t="s">
        <v>23</v>
      </c>
      <c r="G4" s="291" t="s">
        <v>562</v>
      </c>
      <c r="H4" s="291" t="s">
        <v>1350</v>
      </c>
      <c r="I4" s="291" t="s">
        <v>2</v>
      </c>
      <c r="J4" s="291" t="s">
        <v>1377</v>
      </c>
      <c r="K4" s="293" t="s">
        <v>872</v>
      </c>
      <c r="L4" s="293"/>
      <c r="M4" s="292" t="s">
        <v>877</v>
      </c>
      <c r="N4" s="292" t="s">
        <v>683</v>
      </c>
      <c r="O4" s="292" t="s">
        <v>1488</v>
      </c>
      <c r="P4" s="292" t="str">
        <f>"INSERT INTO ProductByAccount
( ProductId,AccountId)VALUES
("&amp;C4&amp;",1029)"</f>
        <v>INSERT INTO ProductByAccount
( ProductId,AccountId)VALUES
(338,1029)</v>
      </c>
      <c r="Q4" s="292" t="s">
        <v>872</v>
      </c>
      <c r="R4" s="292" t="str">
        <f>"INSERT INTO ProductByAccount
( ProductId,AccountId)VALUES
("&amp;C4&amp;",1030)"</f>
        <v>INSERT INTO ProductByAccount
( ProductId,AccountId)VALUES
(338,1030)</v>
      </c>
      <c r="S4" s="292"/>
      <c r="T4" s="292"/>
      <c r="U4" s="292" t="s">
        <v>872</v>
      </c>
      <c r="V4" s="292" t="str">
        <f>"INSERT INTO ProductByAccount
( ProductId,AccountId)VALUES
("&amp;C4&amp;",1032)"</f>
        <v>INSERT INTO ProductByAccount
( ProductId,AccountId)VALUES
(338,1032)</v>
      </c>
      <c r="W4" s="292"/>
      <c r="X4" s="292"/>
      <c r="Y4" s="292" t="s">
        <v>872</v>
      </c>
      <c r="Z4" s="292" t="str">
        <f>"INSERT INTO ProductByAccount
( ProductId,AccountId)VALUES
("&amp;C4&amp;",1034)"</f>
        <v>INSERT INTO ProductByAccount
( ProductId,AccountId)VALUES
(338,1034)</v>
      </c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380">
        <v>180910</v>
      </c>
      <c r="AL4" s="381">
        <v>145455</v>
      </c>
      <c r="AM4" s="379" t="str">
        <f>"INSERT INTO ListedPrice
(ProductId,ActiveDate,Channel,Price)
VALUES("&amp;C4&amp;",'2020-05-01','GT',"&amp;AL4&amp;")"</f>
        <v>INSERT INTO ListedPrice
(ProductId,ActiveDate,Channel,Price)
VALUES(338,'2020-05-01','GT',145455)</v>
      </c>
      <c r="AN4" s="292"/>
      <c r="AO4" s="292"/>
    </row>
    <row r="5" spans="1:41">
      <c r="A5" s="335">
        <v>7115900782</v>
      </c>
      <c r="B5" s="290" t="s">
        <v>709</v>
      </c>
      <c r="C5" s="290">
        <f>VLOOKUP(B5,Sheet1!$B$17:$C$451,2,0)</f>
        <v>339</v>
      </c>
      <c r="D5" s="291" t="s">
        <v>985</v>
      </c>
      <c r="E5" s="291" t="s">
        <v>469</v>
      </c>
      <c r="F5" s="291" t="s">
        <v>23</v>
      </c>
      <c r="G5" s="291" t="s">
        <v>562</v>
      </c>
      <c r="H5" s="291" t="s">
        <v>1350</v>
      </c>
      <c r="I5" s="291" t="s">
        <v>2</v>
      </c>
      <c r="J5" s="291" t="s">
        <v>1377</v>
      </c>
      <c r="K5" s="293" t="s">
        <v>872</v>
      </c>
      <c r="L5" s="293"/>
      <c r="M5" s="292" t="s">
        <v>877</v>
      </c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 t="s">
        <v>872</v>
      </c>
      <c r="AF5" s="292" t="str">
        <f>"INSERT INTO ProductByAccount
( ProductId,AccountId)VALUES
("&amp;C5&amp;",1037)"</f>
        <v>INSERT INTO ProductByAccount
( ProductId,AccountId)VALUES
(339,1037)</v>
      </c>
      <c r="AG5" s="292"/>
      <c r="AH5" s="292"/>
      <c r="AI5" s="292"/>
      <c r="AJ5" s="292"/>
      <c r="AK5" s="380">
        <v>180910</v>
      </c>
      <c r="AL5" s="381">
        <v>0</v>
      </c>
      <c r="AM5" s="379" t="str">
        <f>"INSERT INTO ListedPrice
(ProductId,ActiveDate,Channel,Price)
VALUES("&amp;C5&amp;",'2020-05-01','MT',"&amp;AK5&amp;")"</f>
        <v>INSERT INTO ListedPrice
(ProductId,ActiveDate,Channel,Price)
VALUES(339,'2020-05-01','MT',180910)</v>
      </c>
      <c r="AN5" s="292"/>
      <c r="AO5" s="292"/>
    </row>
    <row r="6" spans="1:41">
      <c r="A6" s="335">
        <v>7115900038</v>
      </c>
      <c r="B6" s="290" t="s">
        <v>492</v>
      </c>
      <c r="C6" s="290">
        <f>VLOOKUP(B6,Sheet1!$B$17:$C$451,2,0)</f>
        <v>340</v>
      </c>
      <c r="D6" s="291" t="s">
        <v>986</v>
      </c>
      <c r="E6" s="291" t="s">
        <v>475</v>
      </c>
      <c r="F6" s="291" t="s">
        <v>23</v>
      </c>
      <c r="G6" s="291" t="s">
        <v>562</v>
      </c>
      <c r="H6" s="291" t="s">
        <v>1350</v>
      </c>
      <c r="I6" s="291" t="s">
        <v>2</v>
      </c>
      <c r="J6" s="291" t="s">
        <v>1377</v>
      </c>
      <c r="K6" s="293" t="s">
        <v>872</v>
      </c>
      <c r="L6" s="293"/>
      <c r="M6" s="292" t="s">
        <v>877</v>
      </c>
      <c r="N6" s="292" t="s">
        <v>683</v>
      </c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380">
        <v>202637</v>
      </c>
      <c r="AL6" s="381">
        <v>161818</v>
      </c>
      <c r="AM6" s="379" t="str">
        <f>"INSERT INTO ListedPrice
(ProductId,ActiveDate,Channel,Price)
VALUES("&amp;C6&amp;",'2020-05-01','GT',"&amp;AL6&amp;")"</f>
        <v>INSERT INTO ListedPrice
(ProductId,ActiveDate,Channel,Price)
VALUES(340,'2020-05-01','GT',161818)</v>
      </c>
      <c r="AN6" s="292"/>
      <c r="AO6" s="292"/>
    </row>
    <row r="7" spans="1:41">
      <c r="A7" s="335">
        <v>7115900778</v>
      </c>
      <c r="B7" s="290" t="s">
        <v>705</v>
      </c>
      <c r="C7" s="290">
        <f>VLOOKUP(B7,Sheet1!$B$17:$C$451,2,0)</f>
        <v>341</v>
      </c>
      <c r="D7" s="291" t="s">
        <v>986</v>
      </c>
      <c r="E7" s="291" t="s">
        <v>475</v>
      </c>
      <c r="F7" s="291" t="s">
        <v>23</v>
      </c>
      <c r="G7" s="291" t="s">
        <v>562</v>
      </c>
      <c r="H7" s="291" t="s">
        <v>1350</v>
      </c>
      <c r="I7" s="291" t="s">
        <v>2</v>
      </c>
      <c r="J7" s="291" t="s">
        <v>1377</v>
      </c>
      <c r="K7" s="293" t="s">
        <v>872</v>
      </c>
      <c r="L7" s="293"/>
      <c r="M7" s="292" t="s">
        <v>877</v>
      </c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 t="s">
        <v>872</v>
      </c>
      <c r="AF7" s="292" t="str">
        <f>"INSERT INTO ProductByAccount
( ProductId,AccountId)VALUES
("&amp;C7&amp;",1037)"</f>
        <v>INSERT INTO ProductByAccount
( ProductId,AccountId)VALUES
(341,1037)</v>
      </c>
      <c r="AG7" s="292"/>
      <c r="AH7" s="292"/>
      <c r="AI7" s="292"/>
      <c r="AJ7" s="292"/>
      <c r="AK7" s="380">
        <v>202637</v>
      </c>
      <c r="AL7" s="381">
        <v>0</v>
      </c>
      <c r="AM7" s="379" t="str">
        <f>"INSERT INTO ListedPrice
(ProductId,ActiveDate,Channel,Price)
VALUES("&amp;C7&amp;",'2020-05-01','MT',"&amp;AK7&amp;")"</f>
        <v>INSERT INTO ListedPrice
(ProductId,ActiveDate,Channel,Price)
VALUES(341,'2020-05-01','MT',202637)</v>
      </c>
      <c r="AN7" s="292"/>
      <c r="AO7" s="292"/>
    </row>
    <row r="8" spans="1:41">
      <c r="A8" s="335">
        <v>7115900039</v>
      </c>
      <c r="B8" s="290" t="s">
        <v>493</v>
      </c>
      <c r="C8" s="290">
        <f>VLOOKUP(B8,Sheet1!$B$17:$C$451,2,0)</f>
        <v>342</v>
      </c>
      <c r="D8" s="291" t="s">
        <v>987</v>
      </c>
      <c r="E8" s="291" t="s">
        <v>471</v>
      </c>
      <c r="F8" s="291" t="s">
        <v>23</v>
      </c>
      <c r="G8" s="291" t="s">
        <v>562</v>
      </c>
      <c r="H8" s="291" t="s">
        <v>1350</v>
      </c>
      <c r="I8" s="291" t="s">
        <v>2</v>
      </c>
      <c r="J8" s="291" t="s">
        <v>1377</v>
      </c>
      <c r="K8" s="293" t="s">
        <v>872</v>
      </c>
      <c r="L8" s="293"/>
      <c r="M8" s="292" t="s">
        <v>877</v>
      </c>
      <c r="N8" s="292" t="s">
        <v>683</v>
      </c>
      <c r="O8" s="292"/>
      <c r="P8" s="292"/>
      <c r="Q8" s="292" t="s">
        <v>872</v>
      </c>
      <c r="R8" s="292" t="str">
        <f>"INSERT INTO ProductByAccount
( ProductId,AccountId)VALUES
("&amp;C8&amp;",1030)"</f>
        <v>INSERT INTO ProductByAccount
( ProductId,AccountId)VALUES
(342,1030)</v>
      </c>
      <c r="S8" s="292"/>
      <c r="T8" s="292"/>
      <c r="U8" s="292" t="s">
        <v>872</v>
      </c>
      <c r="V8" s="292" t="str">
        <f>"INSERT INTO ProductByAccount
( ProductId,AccountId)VALUES
("&amp;C8&amp;",1032)"</f>
        <v>INSERT INTO ProductByAccount
( ProductId,AccountId)VALUES
(342,1032)</v>
      </c>
      <c r="W8" s="292"/>
      <c r="X8" s="292"/>
      <c r="Y8" s="292" t="s">
        <v>872</v>
      </c>
      <c r="Z8" s="292" t="str">
        <f>"INSERT INTO ProductByAccount
( ProductId,AccountId)VALUES
("&amp;C8&amp;",1034)"</f>
        <v>INSERT INTO ProductByAccount
( ProductId,AccountId)VALUES
(342,1034)</v>
      </c>
      <c r="AA8" s="292"/>
      <c r="AB8" s="292"/>
      <c r="AC8" s="292"/>
      <c r="AD8" s="292"/>
      <c r="AE8" s="292"/>
      <c r="AF8" s="292"/>
      <c r="AG8" s="292"/>
      <c r="AH8" s="292"/>
      <c r="AI8" s="292"/>
      <c r="AJ8" s="292"/>
      <c r="AK8" s="380">
        <v>237182</v>
      </c>
      <c r="AL8" s="381">
        <v>190000</v>
      </c>
      <c r="AM8" s="379" t="str">
        <f>"INSERT INTO ListedPrice
(ProductId,ActiveDate,Channel,Price)
VALUES("&amp;C8&amp;",'2020-05-01','GT',"&amp;AL8&amp;")"</f>
        <v>INSERT INTO ListedPrice
(ProductId,ActiveDate,Channel,Price)
VALUES(342,'2020-05-01','GT',190000)</v>
      </c>
      <c r="AN8" s="292"/>
      <c r="AO8" s="292"/>
    </row>
    <row r="9" spans="1:41">
      <c r="A9" s="335">
        <v>7115900040</v>
      </c>
      <c r="B9" s="290" t="s">
        <v>495</v>
      </c>
      <c r="C9" s="290">
        <f>VLOOKUP(B9,Sheet1!$B$17:$C$451,2,0)</f>
        <v>343</v>
      </c>
      <c r="D9" s="291" t="s">
        <v>988</v>
      </c>
      <c r="E9" s="291" t="s">
        <v>463</v>
      </c>
      <c r="F9" s="291" t="s">
        <v>23</v>
      </c>
      <c r="G9" s="291" t="s">
        <v>562</v>
      </c>
      <c r="H9" s="291" t="s">
        <v>1350</v>
      </c>
      <c r="I9" s="291" t="s">
        <v>2</v>
      </c>
      <c r="J9" s="291" t="s">
        <v>1377</v>
      </c>
      <c r="K9" s="293" t="s">
        <v>872</v>
      </c>
      <c r="L9" s="293"/>
      <c r="M9" s="292" t="s">
        <v>877</v>
      </c>
      <c r="N9" s="292" t="s">
        <v>683</v>
      </c>
      <c r="O9" s="292"/>
      <c r="P9" s="292"/>
      <c r="Q9" s="292" t="s">
        <v>872</v>
      </c>
      <c r="R9" s="292" t="str">
        <f>"INSERT INTO ProductByAccount
( ProductId,AccountId)VALUES
("&amp;C9&amp;",1030)"</f>
        <v>INSERT INTO ProductByAccount
( ProductId,AccountId)VALUES
(343,1030)</v>
      </c>
      <c r="S9" s="292"/>
      <c r="T9" s="292"/>
      <c r="U9" s="292" t="s">
        <v>872</v>
      </c>
      <c r="V9" s="292" t="str">
        <f>"INSERT INTO ProductByAccount
( ProductId,AccountId)VALUES
("&amp;C9&amp;",1032)"</f>
        <v>INSERT INTO ProductByAccount
( ProductId,AccountId)VALUES
(343,1032)</v>
      </c>
      <c r="W9" s="292"/>
      <c r="X9" s="292"/>
      <c r="Y9" s="292" t="s">
        <v>872</v>
      </c>
      <c r="Z9" s="292" t="str">
        <f>"INSERT INTO ProductByAccount
( ProductId,AccountId)VALUES
("&amp;C9&amp;",1034)"</f>
        <v>INSERT INTO ProductByAccount
( ProductId,AccountId)VALUES
(343,1034)</v>
      </c>
      <c r="AA9" s="292"/>
      <c r="AB9" s="292"/>
      <c r="AC9" s="292"/>
      <c r="AD9" s="292"/>
      <c r="AE9" s="292"/>
      <c r="AF9" s="292"/>
      <c r="AG9" s="292"/>
      <c r="AH9" s="292"/>
      <c r="AI9" s="292"/>
      <c r="AJ9" s="292"/>
      <c r="AK9" s="380">
        <v>316273</v>
      </c>
      <c r="AL9" s="381">
        <v>252727</v>
      </c>
      <c r="AM9" s="379" t="str">
        <f>"INSERT INTO ListedPrice
(ProductId,ActiveDate,Channel,Price)
VALUES("&amp;C9&amp;",'2020-05-01','GT',"&amp;AL9&amp;")"</f>
        <v>INSERT INTO ListedPrice
(ProductId,ActiveDate,Channel,Price)
VALUES(343,'2020-05-01','GT',252727)</v>
      </c>
      <c r="AN9" s="292"/>
      <c r="AO9" s="292"/>
    </row>
    <row r="10" spans="1:41">
      <c r="A10" s="335">
        <v>7115900779</v>
      </c>
      <c r="B10" s="290" t="s">
        <v>706</v>
      </c>
      <c r="C10" s="290">
        <f>VLOOKUP(B10,Sheet1!$B$17:$C$451,2,0)</f>
        <v>344</v>
      </c>
      <c r="D10" s="291" t="s">
        <v>988</v>
      </c>
      <c r="E10" s="291" t="s">
        <v>463</v>
      </c>
      <c r="F10" s="291" t="s">
        <v>23</v>
      </c>
      <c r="G10" s="291" t="s">
        <v>562</v>
      </c>
      <c r="H10" s="291" t="s">
        <v>1350</v>
      </c>
      <c r="I10" s="291" t="s">
        <v>2</v>
      </c>
      <c r="J10" s="291" t="s">
        <v>1377</v>
      </c>
      <c r="K10" s="293" t="s">
        <v>872</v>
      </c>
      <c r="L10" s="293"/>
      <c r="M10" s="292" t="s">
        <v>877</v>
      </c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 t="s">
        <v>1485</v>
      </c>
      <c r="AF10" s="292" t="str">
        <f>"INSERT INTO ProductByAccount
( ProductId,AccountId)VALUES
("&amp;C10&amp;",1037)"</f>
        <v>INSERT INTO ProductByAccount
( ProductId,AccountId)VALUES
(344,1037)</v>
      </c>
      <c r="AG10" s="292"/>
      <c r="AH10" s="292"/>
      <c r="AI10" s="292"/>
      <c r="AJ10" s="292"/>
      <c r="AK10" s="380">
        <v>316273</v>
      </c>
      <c r="AL10" s="381">
        <v>0</v>
      </c>
      <c r="AM10" s="379" t="str">
        <f>"INSERT INTO ListedPrice
(ProductId,ActiveDate,Channel,Price)
VALUES("&amp;C10&amp;",'2020-05-01','MT',"&amp;AK10&amp;")"</f>
        <v>INSERT INTO ListedPrice
(ProductId,ActiveDate,Channel,Price)
VALUES(344,'2020-05-01','MT',316273)</v>
      </c>
      <c r="AN10" s="292"/>
      <c r="AO10" s="292"/>
    </row>
    <row r="11" spans="1:41">
      <c r="A11" s="335">
        <v>7115900119</v>
      </c>
      <c r="B11" s="290" t="s">
        <v>494</v>
      </c>
      <c r="C11" s="290">
        <f>VLOOKUP(B11,Sheet1!$B$17:$C$451,2,0)</f>
        <v>345</v>
      </c>
      <c r="D11" s="291" t="s">
        <v>989</v>
      </c>
      <c r="E11" s="291" t="s">
        <v>461</v>
      </c>
      <c r="F11" s="291" t="s">
        <v>23</v>
      </c>
      <c r="G11" s="291" t="s">
        <v>562</v>
      </c>
      <c r="H11" s="291" t="s">
        <v>1350</v>
      </c>
      <c r="I11" s="291" t="s">
        <v>2</v>
      </c>
      <c r="J11" s="291" t="s">
        <v>1377</v>
      </c>
      <c r="K11" s="293" t="s">
        <v>872</v>
      </c>
      <c r="L11" s="293"/>
      <c r="M11" s="292" t="s">
        <v>877</v>
      </c>
      <c r="N11" s="292" t="s">
        <v>683</v>
      </c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  <c r="AI11" s="292"/>
      <c r="AJ11" s="292"/>
      <c r="AK11" s="380">
        <v>282637</v>
      </c>
      <c r="AL11" s="381">
        <v>226364</v>
      </c>
      <c r="AM11" s="379" t="str">
        <f>"INSERT INTO ListedPrice
(ProductId,ActiveDate,Channel,Price)
VALUES("&amp;C11&amp;",'2020-05-01','GT',"&amp;AL11&amp;")"</f>
        <v>INSERT INTO ListedPrice
(ProductId,ActiveDate,Channel,Price)
VALUES(345,'2020-05-01','GT',226364)</v>
      </c>
      <c r="AN11" s="292"/>
      <c r="AO11" s="292"/>
    </row>
    <row r="12" spans="1:41">
      <c r="A12" s="335">
        <v>7115900780</v>
      </c>
      <c r="B12" s="290" t="s">
        <v>707</v>
      </c>
      <c r="C12" s="290">
        <f>VLOOKUP(B12,Sheet1!$B$17:$C$451,2,0)</f>
        <v>346</v>
      </c>
      <c r="D12" s="291" t="s">
        <v>989</v>
      </c>
      <c r="E12" s="291" t="s">
        <v>461</v>
      </c>
      <c r="F12" s="291" t="s">
        <v>23</v>
      </c>
      <c r="G12" s="291" t="s">
        <v>562</v>
      </c>
      <c r="H12" s="291" t="s">
        <v>1350</v>
      </c>
      <c r="I12" s="291" t="s">
        <v>2</v>
      </c>
      <c r="J12" s="291" t="s">
        <v>1377</v>
      </c>
      <c r="K12" s="293" t="s">
        <v>872</v>
      </c>
      <c r="L12" s="293"/>
      <c r="M12" s="292" t="s">
        <v>877</v>
      </c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 t="s">
        <v>872</v>
      </c>
      <c r="AF12" s="292" t="str">
        <f>"INSERT INTO ProductByAccount
( ProductId,AccountId)VALUES
("&amp;C12&amp;",1037)"</f>
        <v>INSERT INTO ProductByAccount
( ProductId,AccountId)VALUES
(346,1037)</v>
      </c>
      <c r="AG12" s="292"/>
      <c r="AH12" s="292"/>
      <c r="AI12" s="292"/>
      <c r="AJ12" s="292"/>
      <c r="AK12" s="380">
        <v>282637</v>
      </c>
      <c r="AL12" s="381">
        <v>0</v>
      </c>
      <c r="AM12" s="379" t="str">
        <f>"INSERT INTO ListedPrice
(ProductId,ActiveDate,Channel,Price)
VALUES("&amp;C12&amp;",'2020-05-01','MT',"&amp;AK12&amp;")"</f>
        <v>INSERT INTO ListedPrice
(ProductId,ActiveDate,Channel,Price)
VALUES(346,'2020-05-01','MT',282637)</v>
      </c>
      <c r="AN12" s="292"/>
      <c r="AO12" s="292"/>
    </row>
    <row r="13" spans="1:41">
      <c r="A13" s="335">
        <v>7115900120</v>
      </c>
      <c r="B13" s="290" t="s">
        <v>497</v>
      </c>
      <c r="C13" s="290">
        <f>VLOOKUP(B13,Sheet1!$B$17:$C$451,2,0)</f>
        <v>347</v>
      </c>
      <c r="D13" s="291" t="s">
        <v>990</v>
      </c>
      <c r="E13" s="291" t="s">
        <v>464</v>
      </c>
      <c r="F13" s="291" t="s">
        <v>23</v>
      </c>
      <c r="G13" s="291" t="s">
        <v>562</v>
      </c>
      <c r="H13" s="291" t="s">
        <v>1350</v>
      </c>
      <c r="I13" s="291" t="s">
        <v>2</v>
      </c>
      <c r="J13" s="291" t="s">
        <v>1377</v>
      </c>
      <c r="K13" s="293" t="s">
        <v>872</v>
      </c>
      <c r="L13" s="293"/>
      <c r="M13" s="292" t="s">
        <v>877</v>
      </c>
      <c r="N13" s="292" t="s">
        <v>683</v>
      </c>
      <c r="O13" s="292"/>
      <c r="P13" s="292"/>
      <c r="Q13" s="292"/>
      <c r="R13" s="292"/>
      <c r="S13" s="292"/>
      <c r="T13" s="292"/>
      <c r="U13" s="292" t="s">
        <v>872</v>
      </c>
      <c r="V13" s="292" t="str">
        <f>"INSERT INTO ProductByAccount
( ProductId,AccountId)VALUES
("&amp;C13&amp;",1032)"</f>
        <v>INSERT INTO ProductByAccount
( ProductId,AccountId)VALUES
(347,1032)</v>
      </c>
      <c r="W13" s="292"/>
      <c r="X13" s="292"/>
      <c r="Y13" s="292" t="s">
        <v>872</v>
      </c>
      <c r="Z13" s="292" t="str">
        <f>"INSERT INTO ProductByAccount
( ProductId,AccountId)VALUES
("&amp;C13&amp;",1034)"</f>
        <v>INSERT INTO ProductByAccount
( ProductId,AccountId)VALUES
(347,1034)</v>
      </c>
      <c r="AA13" s="292"/>
      <c r="AB13" s="292"/>
      <c r="AC13" s="292"/>
      <c r="AD13" s="292"/>
      <c r="AE13" s="292"/>
      <c r="AF13" s="292"/>
      <c r="AG13" s="292"/>
      <c r="AH13" s="292"/>
      <c r="AI13" s="292" t="s">
        <v>872</v>
      </c>
      <c r="AJ13" s="292" t="str">
        <f>"INSERT INTO ProductByAccount
( ProductId,AccountId)VALUES
("&amp;C13&amp;",1039)"</f>
        <v>INSERT INTO ProductByAccount
( ProductId,AccountId)VALUES
(347,1039)</v>
      </c>
      <c r="AK13" s="380">
        <v>537182</v>
      </c>
      <c r="AL13" s="381">
        <v>430000</v>
      </c>
      <c r="AM13" s="379" t="str">
        <f>"INSERT INTO ListedPrice
(ProductId,ActiveDate,Channel,Price)
VALUES("&amp;C13&amp;",'2020-05-01','GT',"&amp;AL13&amp;")"</f>
        <v>INSERT INTO ListedPrice
(ProductId,ActiveDate,Channel,Price)
VALUES(347,'2020-05-01','GT',430000)</v>
      </c>
      <c r="AN13" s="292"/>
      <c r="AO13" s="292"/>
    </row>
    <row r="14" spans="1:41">
      <c r="A14" s="335">
        <v>7115900155</v>
      </c>
      <c r="B14" s="290" t="s">
        <v>496</v>
      </c>
      <c r="C14" s="290">
        <f>VLOOKUP(B14,Sheet1!$B$17:$C$451,2,0)</f>
        <v>348</v>
      </c>
      <c r="D14" s="291" t="s">
        <v>991</v>
      </c>
      <c r="E14" s="291" t="s">
        <v>462</v>
      </c>
      <c r="F14" s="291" t="s">
        <v>23</v>
      </c>
      <c r="G14" s="291" t="s">
        <v>562</v>
      </c>
      <c r="H14" s="291" t="s">
        <v>1350</v>
      </c>
      <c r="I14" s="291" t="s">
        <v>2</v>
      </c>
      <c r="J14" s="291" t="s">
        <v>1377</v>
      </c>
      <c r="K14" s="293" t="s">
        <v>872</v>
      </c>
      <c r="L14" s="293"/>
      <c r="M14" s="292" t="s">
        <v>877</v>
      </c>
      <c r="N14" s="292" t="s">
        <v>683</v>
      </c>
      <c r="O14" s="292" t="s">
        <v>1488</v>
      </c>
      <c r="P14" s="292" t="str">
        <f>"INSERT INTO ProductByAccount
( ProductId,AccountId)VALUES
("&amp;C14&amp;",1029)"</f>
        <v>INSERT INTO ProductByAccount
( ProductId,AccountId)VALUES
(348,1029)</v>
      </c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292"/>
      <c r="AJ14" s="292"/>
      <c r="AK14" s="380">
        <v>422637</v>
      </c>
      <c r="AL14" s="381">
        <v>339091</v>
      </c>
      <c r="AM14" s="379" t="str">
        <f>"INSERT INTO ListedPrice
(ProductId,ActiveDate,Channel,Price)
VALUES("&amp;C14&amp;",'2020-05-01','GT',"&amp;AL14&amp;")"</f>
        <v>INSERT INTO ListedPrice
(ProductId,ActiveDate,Channel,Price)
VALUES(348,'2020-05-01','GT',339091)</v>
      </c>
      <c r="AN14" s="292"/>
      <c r="AO14" s="292"/>
    </row>
    <row r="15" spans="1:41">
      <c r="A15" s="335">
        <v>7115900781</v>
      </c>
      <c r="B15" s="290" t="s">
        <v>708</v>
      </c>
      <c r="C15" s="290">
        <f>VLOOKUP(B15,Sheet1!$B$17:$C$451,2,0)</f>
        <v>349</v>
      </c>
      <c r="D15" s="291" t="s">
        <v>991</v>
      </c>
      <c r="E15" s="291" t="s">
        <v>462</v>
      </c>
      <c r="F15" s="291" t="s">
        <v>23</v>
      </c>
      <c r="G15" s="291" t="s">
        <v>562</v>
      </c>
      <c r="H15" s="291" t="s">
        <v>1350</v>
      </c>
      <c r="I15" s="291" t="s">
        <v>2</v>
      </c>
      <c r="J15" s="291" t="s">
        <v>1377</v>
      </c>
      <c r="K15" s="293" t="s">
        <v>872</v>
      </c>
      <c r="L15" s="293"/>
      <c r="M15" s="292" t="s">
        <v>877</v>
      </c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 t="s">
        <v>872</v>
      </c>
      <c r="AF15" s="292" t="str">
        <f>"INSERT INTO ProductByAccount
( ProductId,AccountId)VALUES
("&amp;C15&amp;",1037)"</f>
        <v>INSERT INTO ProductByAccount
( ProductId,AccountId)VALUES
(349,1037)</v>
      </c>
      <c r="AG15" s="292"/>
      <c r="AH15" s="292"/>
      <c r="AI15" s="292"/>
      <c r="AJ15" s="292"/>
      <c r="AK15" s="380">
        <v>422637</v>
      </c>
      <c r="AL15" s="381">
        <v>0</v>
      </c>
      <c r="AM15" s="379" t="str">
        <f>"INSERT INTO ListedPrice
(ProductId,ActiveDate,Channel,Price)
VALUES("&amp;C15&amp;",'2020-05-01','MT',"&amp;AK15&amp;")"</f>
        <v>INSERT INTO ListedPrice
(ProductId,ActiveDate,Channel,Price)
VALUES(349,'2020-05-01','MT',422637)</v>
      </c>
      <c r="AN15" s="292"/>
      <c r="AO15" s="292"/>
    </row>
    <row r="16" spans="1:41" s="285" customFormat="1">
      <c r="A16" s="347">
        <v>7115900285</v>
      </c>
      <c r="B16" s="294" t="s">
        <v>1428</v>
      </c>
      <c r="C16" s="290">
        <f>VLOOKUP(B16,Sheet1!$B$17:$C$451,2,0)</f>
        <v>350</v>
      </c>
      <c r="D16" s="295"/>
      <c r="E16" s="295" t="s">
        <v>475</v>
      </c>
      <c r="F16" s="295" t="s">
        <v>23</v>
      </c>
      <c r="G16" s="295" t="s">
        <v>562</v>
      </c>
      <c r="H16" s="295" t="s">
        <v>1350</v>
      </c>
      <c r="I16" s="295" t="s">
        <v>208</v>
      </c>
      <c r="J16" s="295" t="s">
        <v>327</v>
      </c>
      <c r="K16" s="297" t="s">
        <v>623</v>
      </c>
      <c r="L16" s="297"/>
      <c r="M16" s="333" t="s">
        <v>877</v>
      </c>
      <c r="N16" s="333" t="s">
        <v>683</v>
      </c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6"/>
      <c r="AF16" s="296"/>
      <c r="AG16" s="292"/>
      <c r="AH16" s="292"/>
      <c r="AI16" s="292"/>
      <c r="AJ16" s="292"/>
      <c r="AK16" s="308"/>
      <c r="AL16" s="381"/>
      <c r="AM16" s="379" t="str">
        <f>"INSERT INTO ListedPrice
(ProductId,ActiveDate,Channel,Price)
VALUES("&amp;C16&amp;",'2020-05-01','MT',"&amp;AK16&amp;")"</f>
        <v>INSERT INTO ListedPrice
(ProductId,ActiveDate,Channel,Price)
VALUES(350,'2020-05-01','MT',)</v>
      </c>
      <c r="AN16" s="296"/>
      <c r="AO16" s="296"/>
    </row>
    <row r="17" spans="1:41" s="285" customFormat="1">
      <c r="A17" s="336">
        <v>7115900491</v>
      </c>
      <c r="B17" s="294" t="s">
        <v>121</v>
      </c>
      <c r="C17" s="290">
        <f>VLOOKUP(B17,Sheet1!$B$17:$C$451,2,0)</f>
        <v>351</v>
      </c>
      <c r="D17" s="291" t="s">
        <v>992</v>
      </c>
      <c r="E17" s="291"/>
      <c r="F17" s="295" t="s">
        <v>23</v>
      </c>
      <c r="G17" s="295" t="s">
        <v>562</v>
      </c>
      <c r="H17" s="295" t="s">
        <v>1350</v>
      </c>
      <c r="I17" s="291"/>
      <c r="J17" s="291" t="s">
        <v>1377</v>
      </c>
      <c r="K17" s="297" t="s">
        <v>623</v>
      </c>
      <c r="L17" s="297"/>
      <c r="M17" s="333" t="s">
        <v>877</v>
      </c>
      <c r="N17" s="333" t="s">
        <v>683</v>
      </c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380">
        <v>217273</v>
      </c>
      <c r="AL17" s="381">
        <v>0</v>
      </c>
      <c r="AM17" s="379" t="str">
        <f>"INSERT INTO ListedPrice
(ProductId,ActiveDate,Channel,Price)
VALUES("&amp;C17&amp;",'2020-05-01','MT',"&amp;AK17&amp;")"</f>
        <v>INSERT INTO ListedPrice
(ProductId,ActiveDate,Channel,Price)
VALUES(351,'2020-05-01','MT',217273)</v>
      </c>
      <c r="AN17" s="292"/>
      <c r="AO17" s="292"/>
    </row>
    <row r="18" spans="1:41">
      <c r="A18" s="335">
        <v>7115900702</v>
      </c>
      <c r="B18" s="290" t="s">
        <v>153</v>
      </c>
      <c r="C18" s="290">
        <f>VLOOKUP(B18,Sheet1!$B$17:$C$451,2,0)</f>
        <v>352</v>
      </c>
      <c r="D18" s="291" t="s">
        <v>993</v>
      </c>
      <c r="E18" s="291" t="s">
        <v>469</v>
      </c>
      <c r="F18" s="291" t="s">
        <v>23</v>
      </c>
      <c r="G18" s="291" t="s">
        <v>562</v>
      </c>
      <c r="H18" s="291" t="s">
        <v>1350</v>
      </c>
      <c r="I18" s="291" t="s">
        <v>954</v>
      </c>
      <c r="J18" s="291" t="s">
        <v>1377</v>
      </c>
      <c r="K18" s="293" t="s">
        <v>872</v>
      </c>
      <c r="L18" s="293"/>
      <c r="M18" s="292" t="s">
        <v>877</v>
      </c>
      <c r="N18" s="292" t="s">
        <v>683</v>
      </c>
      <c r="O18" s="292" t="s">
        <v>1488</v>
      </c>
      <c r="P18" s="292" t="str">
        <f>"INSERT INTO ProductByAccount
( ProductId,AccountId)VALUES
("&amp;C18&amp;",1029)"</f>
        <v>INSERT INTO ProductByAccount
( ProductId,AccountId)VALUES
(352,1029)</v>
      </c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380">
        <v>205364</v>
      </c>
      <c r="AL18" s="381">
        <v>165455</v>
      </c>
      <c r="AM18" s="379" t="str">
        <f t="shared" ref="AM18:AM25" si="1">"INSERT INTO ListedPrice
(ProductId,ActiveDate,Channel,Price)
VALUES("&amp;C18&amp;",'2020-05-01','GT',"&amp;AL18&amp;")"</f>
        <v>INSERT INTO ListedPrice
(ProductId,ActiveDate,Channel,Price)
VALUES(352,'2020-05-01','GT',165455)</v>
      </c>
      <c r="AN18" s="292"/>
      <c r="AO18" s="292"/>
    </row>
    <row r="19" spans="1:41">
      <c r="A19" s="335">
        <v>7115900703</v>
      </c>
      <c r="B19" s="290" t="s">
        <v>154</v>
      </c>
      <c r="C19" s="290">
        <f>VLOOKUP(B19,Sheet1!$B$17:$C$451,2,0)</f>
        <v>353</v>
      </c>
      <c r="D19" s="291" t="s">
        <v>994</v>
      </c>
      <c r="E19" s="291" t="s">
        <v>475</v>
      </c>
      <c r="F19" s="291" t="s">
        <v>23</v>
      </c>
      <c r="G19" s="291" t="s">
        <v>562</v>
      </c>
      <c r="H19" s="291" t="s">
        <v>1350</v>
      </c>
      <c r="I19" s="291" t="s">
        <v>954</v>
      </c>
      <c r="J19" s="291" t="s">
        <v>1377</v>
      </c>
      <c r="K19" s="293" t="s">
        <v>872</v>
      </c>
      <c r="L19" s="293"/>
      <c r="M19" s="292" t="s">
        <v>877</v>
      </c>
      <c r="N19" s="292" t="s">
        <v>683</v>
      </c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 t="s">
        <v>1485</v>
      </c>
      <c r="AF19" s="292" t="str">
        <f>"INSERT INTO ProductByAccount
( ProductId,AccountId)VALUES
("&amp;C19&amp;",1037)"</f>
        <v>INSERT INTO ProductByAccount
( ProductId,AccountId)VALUES
(353,1037)</v>
      </c>
      <c r="AG19" s="292"/>
      <c r="AH19" s="292"/>
      <c r="AI19" s="292"/>
      <c r="AJ19" s="292"/>
      <c r="AK19" s="380">
        <v>237182</v>
      </c>
      <c r="AL19" s="381">
        <v>190000</v>
      </c>
      <c r="AM19" s="379" t="str">
        <f t="shared" si="1"/>
        <v>INSERT INTO ListedPrice
(ProductId,ActiveDate,Channel,Price)
VALUES(353,'2020-05-01','GT',190000)</v>
      </c>
      <c r="AN19" s="292"/>
      <c r="AO19" s="292"/>
    </row>
    <row r="20" spans="1:41">
      <c r="A20" s="335">
        <v>7115900704</v>
      </c>
      <c r="B20" s="290" t="s">
        <v>155</v>
      </c>
      <c r="C20" s="290">
        <f>VLOOKUP(B20,Sheet1!$B$17:$C$451,2,0)</f>
        <v>354</v>
      </c>
      <c r="D20" s="291" t="s">
        <v>995</v>
      </c>
      <c r="E20" s="291" t="s">
        <v>471</v>
      </c>
      <c r="F20" s="291" t="s">
        <v>23</v>
      </c>
      <c r="G20" s="291" t="s">
        <v>562</v>
      </c>
      <c r="H20" s="291" t="s">
        <v>1350</v>
      </c>
      <c r="I20" s="291" t="s">
        <v>954</v>
      </c>
      <c r="J20" s="291" t="s">
        <v>1377</v>
      </c>
      <c r="K20" s="293" t="s">
        <v>872</v>
      </c>
      <c r="L20" s="293"/>
      <c r="M20" s="292" t="s">
        <v>877</v>
      </c>
      <c r="N20" s="292" t="s">
        <v>683</v>
      </c>
      <c r="O20" s="292" t="s">
        <v>1488</v>
      </c>
      <c r="P20" s="292" t="str">
        <f>"INSERT INTO ProductByAccount
( ProductId,AccountId)VALUES
("&amp;C20&amp;",1029)"</f>
        <v>INSERT INTO ProductByAccount
( ProductId,AccountId)VALUES
(354,1029)</v>
      </c>
      <c r="Q20" s="292"/>
      <c r="R20" s="292"/>
      <c r="S20" s="292" t="s">
        <v>1485</v>
      </c>
      <c r="T20" s="292" t="str">
        <f>"INSERT INTO ProductByAccount
( ProductId,AccountId)VALUES
("&amp;C20&amp;",1031)"</f>
        <v>INSERT INTO ProductByAccount
( ProductId,AccountId)VALUES
(354,1031)</v>
      </c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380">
        <v>268091</v>
      </c>
      <c r="AL20" s="381">
        <v>215455</v>
      </c>
      <c r="AM20" s="379" t="str">
        <f t="shared" si="1"/>
        <v>INSERT INTO ListedPrice
(ProductId,ActiveDate,Channel,Price)
VALUES(354,'2020-05-01','GT',215455)</v>
      </c>
      <c r="AN20" s="292"/>
      <c r="AO20" s="292"/>
    </row>
    <row r="21" spans="1:41">
      <c r="A21" s="335">
        <v>7115900705</v>
      </c>
      <c r="B21" s="290" t="s">
        <v>156</v>
      </c>
      <c r="C21" s="290">
        <f>VLOOKUP(B21,Sheet1!$B$17:$C$451,2,0)</f>
        <v>355</v>
      </c>
      <c r="D21" s="291" t="s">
        <v>996</v>
      </c>
      <c r="E21" s="291" t="s">
        <v>461</v>
      </c>
      <c r="F21" s="291" t="s">
        <v>23</v>
      </c>
      <c r="G21" s="291" t="s">
        <v>562</v>
      </c>
      <c r="H21" s="291" t="s">
        <v>1350</v>
      </c>
      <c r="I21" s="291" t="s">
        <v>954</v>
      </c>
      <c r="J21" s="291" t="s">
        <v>1377</v>
      </c>
      <c r="K21" s="293" t="s">
        <v>872</v>
      </c>
      <c r="L21" s="293"/>
      <c r="M21" s="292" t="s">
        <v>877</v>
      </c>
      <c r="N21" s="292" t="s">
        <v>683</v>
      </c>
      <c r="O21" s="292" t="s">
        <v>1488</v>
      </c>
      <c r="P21" s="292" t="str">
        <f>"INSERT INTO ProductByAccount
( ProductId,AccountId)VALUES
("&amp;C21&amp;",1029)"</f>
        <v>INSERT INTO ProductByAccount
( ProductId,AccountId)VALUES
(355,1029)</v>
      </c>
      <c r="Q21" s="292"/>
      <c r="R21" s="292"/>
      <c r="S21" s="292"/>
      <c r="T21" s="292" t="s">
        <v>1506</v>
      </c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 t="s">
        <v>1485</v>
      </c>
      <c r="AF21" s="292" t="str">
        <f>"INSERT INTO ProductByAccount
( ProductId,AccountId)VALUES
("&amp;C21&amp;",1037)"</f>
        <v>INSERT INTO ProductByAccount
( ProductId,AccountId)VALUES
(355,1037)</v>
      </c>
      <c r="AG21" s="292"/>
      <c r="AH21" s="292"/>
      <c r="AI21" s="292"/>
      <c r="AJ21" s="292"/>
      <c r="AK21" s="380">
        <v>299000</v>
      </c>
      <c r="AL21" s="381">
        <v>239091</v>
      </c>
      <c r="AM21" s="379" t="str">
        <f t="shared" si="1"/>
        <v>INSERT INTO ListedPrice
(ProductId,ActiveDate,Channel,Price)
VALUES(355,'2020-05-01','GT',239091)</v>
      </c>
      <c r="AN21" s="292"/>
      <c r="AO21" s="292"/>
    </row>
    <row r="22" spans="1:41" s="285" customFormat="1">
      <c r="A22" s="336">
        <v>7115900345</v>
      </c>
      <c r="B22" s="294" t="s">
        <v>72</v>
      </c>
      <c r="C22" s="290">
        <f>VLOOKUP(B22,Sheet1!$B$17:$C$451,2,0)</f>
        <v>356</v>
      </c>
      <c r="D22" s="291" t="s">
        <v>1088</v>
      </c>
      <c r="E22" s="291" t="s">
        <v>461</v>
      </c>
      <c r="F22" s="295" t="s">
        <v>23</v>
      </c>
      <c r="G22" s="295" t="s">
        <v>562</v>
      </c>
      <c r="H22" s="291" t="s">
        <v>1350</v>
      </c>
      <c r="I22" s="291" t="s">
        <v>955</v>
      </c>
      <c r="J22" s="295" t="s">
        <v>1474</v>
      </c>
      <c r="K22" s="297" t="s">
        <v>623</v>
      </c>
      <c r="L22" s="297"/>
      <c r="M22" s="292" t="s">
        <v>877</v>
      </c>
      <c r="N22" s="292" t="s">
        <v>683</v>
      </c>
      <c r="O22" s="292"/>
      <c r="P22" s="292"/>
      <c r="Q22" s="292"/>
      <c r="R22" s="292"/>
      <c r="S22" s="292"/>
      <c r="T22" s="292" t="s">
        <v>1507</v>
      </c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380">
        <v>300510</v>
      </c>
      <c r="AL22" s="381">
        <v>242727</v>
      </c>
      <c r="AM22" s="379" t="str">
        <f t="shared" si="1"/>
        <v>INSERT INTO ListedPrice
(ProductId,ActiveDate,Channel,Price)
VALUES(356,'2020-05-01','GT',242727)</v>
      </c>
      <c r="AN22" s="292"/>
      <c r="AO22" s="292"/>
    </row>
    <row r="23" spans="1:41" s="285" customFormat="1">
      <c r="A23" s="336">
        <v>7115900348</v>
      </c>
      <c r="B23" s="294" t="s">
        <v>874</v>
      </c>
      <c r="C23" s="290">
        <f>VLOOKUP(B23,Sheet1!$B$17:$C$451,2,0)</f>
        <v>357</v>
      </c>
      <c r="D23" s="291" t="s">
        <v>1031</v>
      </c>
      <c r="E23" s="291" t="s">
        <v>461</v>
      </c>
      <c r="F23" s="295" t="s">
        <v>23</v>
      </c>
      <c r="G23" s="295" t="s">
        <v>562</v>
      </c>
      <c r="H23" s="291" t="s">
        <v>1350</v>
      </c>
      <c r="I23" s="295" t="s">
        <v>955</v>
      </c>
      <c r="J23" s="295" t="s">
        <v>1474</v>
      </c>
      <c r="K23" s="297" t="s">
        <v>623</v>
      </c>
      <c r="L23" s="297"/>
      <c r="M23" s="292" t="s">
        <v>877</v>
      </c>
      <c r="N23" s="292" t="s">
        <v>683</v>
      </c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380">
        <v>403546</v>
      </c>
      <c r="AL23" s="381">
        <v>323636</v>
      </c>
      <c r="AM23" s="379" t="str">
        <f t="shared" si="1"/>
        <v>INSERT INTO ListedPrice
(ProductId,ActiveDate,Channel,Price)
VALUES(357,'2020-05-01','GT',323636)</v>
      </c>
      <c r="AN23" s="292"/>
      <c r="AO23" s="292"/>
    </row>
    <row r="24" spans="1:41" s="286" customFormat="1">
      <c r="A24" s="337">
        <v>7115900798</v>
      </c>
      <c r="B24" s="298" t="s">
        <v>236</v>
      </c>
      <c r="C24" s="290">
        <f>VLOOKUP(B24,Sheet1!$B$17:$C$451,2,0)</f>
        <v>358</v>
      </c>
      <c r="D24" s="291" t="s">
        <v>1052</v>
      </c>
      <c r="E24" s="291" t="s">
        <v>469</v>
      </c>
      <c r="F24" s="299" t="s">
        <v>23</v>
      </c>
      <c r="G24" s="299" t="s">
        <v>562</v>
      </c>
      <c r="H24" s="291" t="s">
        <v>1350</v>
      </c>
      <c r="I24" s="291" t="s">
        <v>239</v>
      </c>
      <c r="J24" s="299" t="s">
        <v>1475</v>
      </c>
      <c r="K24" s="300" t="s">
        <v>873</v>
      </c>
      <c r="L24" s="300"/>
      <c r="M24" s="292" t="s">
        <v>877</v>
      </c>
      <c r="N24" s="292" t="s">
        <v>683</v>
      </c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380">
        <v>281727.27272727271</v>
      </c>
      <c r="AL24" s="381">
        <v>225455</v>
      </c>
      <c r="AM24" s="379" t="str">
        <f t="shared" si="1"/>
        <v>INSERT INTO ListedPrice
(ProductId,ActiveDate,Channel,Price)
VALUES(358,'2020-05-01','GT',225455)</v>
      </c>
      <c r="AN24" s="292"/>
      <c r="AO24" s="292"/>
    </row>
    <row r="25" spans="1:41" s="286" customFormat="1">
      <c r="A25" s="337">
        <v>7115900799</v>
      </c>
      <c r="B25" s="298" t="s">
        <v>237</v>
      </c>
      <c r="C25" s="290">
        <f>VLOOKUP(B25,Sheet1!$B$17:$C$451,2,0)</f>
        <v>359</v>
      </c>
      <c r="D25" s="291" t="s">
        <v>1053</v>
      </c>
      <c r="E25" s="291" t="s">
        <v>475</v>
      </c>
      <c r="F25" s="299" t="s">
        <v>23</v>
      </c>
      <c r="G25" s="299" t="s">
        <v>562</v>
      </c>
      <c r="H25" s="291" t="s">
        <v>1350</v>
      </c>
      <c r="I25" s="291" t="s">
        <v>239</v>
      </c>
      <c r="J25" s="299" t="s">
        <v>1475</v>
      </c>
      <c r="K25" s="300" t="s">
        <v>873</v>
      </c>
      <c r="L25" s="300"/>
      <c r="M25" s="292" t="s">
        <v>877</v>
      </c>
      <c r="N25" s="292" t="s">
        <v>683</v>
      </c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380">
        <v>327181.81818181818</v>
      </c>
      <c r="AL25" s="381">
        <v>260000</v>
      </c>
      <c r="AM25" s="379" t="str">
        <f t="shared" si="1"/>
        <v>INSERT INTO ListedPrice
(ProductId,ActiveDate,Channel,Price)
VALUES(359,'2020-05-01','GT',260000)</v>
      </c>
      <c r="AN25" s="292"/>
      <c r="AO25" s="292"/>
    </row>
    <row r="26" spans="1:41" s="286" customFormat="1">
      <c r="A26" s="337">
        <v>7115900800</v>
      </c>
      <c r="B26" s="298" t="s">
        <v>238</v>
      </c>
      <c r="C26" s="290">
        <f>VLOOKUP(B26,Sheet1!$B$17:$C$451,2,0)</f>
        <v>360</v>
      </c>
      <c r="D26" s="291" t="s">
        <v>1054</v>
      </c>
      <c r="E26" s="291" t="s">
        <v>461</v>
      </c>
      <c r="F26" s="299" t="s">
        <v>23</v>
      </c>
      <c r="G26" s="299" t="s">
        <v>562</v>
      </c>
      <c r="H26" s="291" t="s">
        <v>1350</v>
      </c>
      <c r="I26" s="291" t="s">
        <v>239</v>
      </c>
      <c r="J26" s="299" t="s">
        <v>1475</v>
      </c>
      <c r="K26" s="300" t="s">
        <v>873</v>
      </c>
      <c r="L26" s="300"/>
      <c r="M26" s="292" t="s">
        <v>877</v>
      </c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380">
        <v>354454.54545454541</v>
      </c>
      <c r="AL26" s="381">
        <v>0</v>
      </c>
      <c r="AM26" s="379" t="str">
        <f>"INSERT INTO ListedPrice
(ProductId,ActiveDate,Channel,Price)
VALUES("&amp;C26&amp;",'2020-05-01','MT',"&amp;AK26&amp;")"</f>
        <v>INSERT INTO ListedPrice
(ProductId,ActiveDate,Channel,Price)
VALUES(360,'2020-05-01','MT',354454.545454545)</v>
      </c>
      <c r="AN26" s="292"/>
      <c r="AO26" s="292"/>
    </row>
    <row r="27" spans="1:41" s="287" customFormat="1">
      <c r="A27" s="338">
        <v>7115900871</v>
      </c>
      <c r="B27" s="301" t="s">
        <v>712</v>
      </c>
      <c r="C27" s="290">
        <f>VLOOKUP(B27,Sheet1!$B$17:$C$451,2,0)</f>
        <v>361</v>
      </c>
      <c r="D27" s="291" t="s">
        <v>1085</v>
      </c>
      <c r="E27" s="291" t="s">
        <v>476</v>
      </c>
      <c r="F27" s="302" t="s">
        <v>23</v>
      </c>
      <c r="G27" s="302" t="s">
        <v>562</v>
      </c>
      <c r="H27" s="291" t="s">
        <v>1350</v>
      </c>
      <c r="I27" s="291" t="s">
        <v>1344</v>
      </c>
      <c r="J27" s="291" t="s">
        <v>1344</v>
      </c>
      <c r="K27" s="303" t="s">
        <v>516</v>
      </c>
      <c r="L27" s="303"/>
      <c r="M27" s="292" t="s">
        <v>877</v>
      </c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329"/>
      <c r="AL27" s="381">
        <v>0</v>
      </c>
      <c r="AM27" s="379" t="str">
        <f>"INSERT INTO ListedPrice
(ProductId,ActiveDate,Channel,Price)
VALUES("&amp;C27&amp;",'2020-05-01','MT',"&amp;AK27&amp;")"</f>
        <v>INSERT INTO ListedPrice
(ProductId,ActiveDate,Channel,Price)
VALUES(361,'2020-05-01','MT',)</v>
      </c>
      <c r="AN27" s="292"/>
      <c r="AO27" s="292"/>
    </row>
    <row r="28" spans="1:41" s="286" customFormat="1">
      <c r="A28" s="337">
        <v>7115900805</v>
      </c>
      <c r="B28" s="298" t="s">
        <v>250</v>
      </c>
      <c r="C28" s="290">
        <f>VLOOKUP(B28,Sheet1!$B$17:$C$451,2,0)</f>
        <v>362</v>
      </c>
      <c r="D28" s="291" t="s">
        <v>1068</v>
      </c>
      <c r="E28" s="291" t="s">
        <v>469</v>
      </c>
      <c r="F28" s="299" t="s">
        <v>23</v>
      </c>
      <c r="G28" s="299" t="s">
        <v>562</v>
      </c>
      <c r="H28" s="291" t="s">
        <v>1350</v>
      </c>
      <c r="I28" s="291" t="s">
        <v>500</v>
      </c>
      <c r="J28" s="299" t="s">
        <v>428</v>
      </c>
      <c r="K28" s="300" t="s">
        <v>873</v>
      </c>
      <c r="L28" s="300"/>
      <c r="M28" s="292" t="s">
        <v>877</v>
      </c>
      <c r="N28" s="292" t="s">
        <v>683</v>
      </c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380">
        <v>276272.72727272724</v>
      </c>
      <c r="AL28" s="381">
        <v>220000</v>
      </c>
      <c r="AM28" s="379" t="str">
        <f t="shared" ref="AM28:AM37" si="2">"INSERT INTO ListedPrice
(ProductId,ActiveDate,Channel,Price)
VALUES("&amp;C28&amp;",'2020-05-01','GT',"&amp;AL28&amp;")"</f>
        <v>INSERT INTO ListedPrice
(ProductId,ActiveDate,Channel,Price)
VALUES(362,'2020-05-01','GT',220000)</v>
      </c>
      <c r="AN28" s="292"/>
      <c r="AO28" s="292"/>
    </row>
    <row r="29" spans="1:41" s="286" customFormat="1">
      <c r="A29" s="337">
        <v>7115900806</v>
      </c>
      <c r="B29" s="298" t="s">
        <v>251</v>
      </c>
      <c r="C29" s="290">
        <f>VLOOKUP(B29,Sheet1!$B$17:$C$451,2,0)</f>
        <v>363</v>
      </c>
      <c r="D29" s="291" t="s">
        <v>1071</v>
      </c>
      <c r="E29" s="291" t="s">
        <v>475</v>
      </c>
      <c r="F29" s="299" t="s">
        <v>23</v>
      </c>
      <c r="G29" s="299" t="s">
        <v>562</v>
      </c>
      <c r="H29" s="291" t="s">
        <v>1350</v>
      </c>
      <c r="I29" s="291" t="s">
        <v>500</v>
      </c>
      <c r="J29" s="299" t="s">
        <v>428</v>
      </c>
      <c r="K29" s="300" t="s">
        <v>873</v>
      </c>
      <c r="L29" s="300"/>
      <c r="M29" s="292" t="s">
        <v>877</v>
      </c>
      <c r="N29" s="292" t="s">
        <v>683</v>
      </c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380">
        <v>327181.81818181818</v>
      </c>
      <c r="AL29" s="381">
        <v>260000</v>
      </c>
      <c r="AM29" s="379" t="str">
        <f t="shared" si="2"/>
        <v>INSERT INTO ListedPrice
(ProductId,ActiveDate,Channel,Price)
VALUES(363,'2020-05-01','GT',260000)</v>
      </c>
      <c r="AN29" s="292"/>
      <c r="AO29" s="292"/>
    </row>
    <row r="30" spans="1:41" s="285" customFormat="1">
      <c r="A30" s="336">
        <v>7115900807</v>
      </c>
      <c r="B30" s="294" t="s">
        <v>252</v>
      </c>
      <c r="C30" s="290">
        <f>VLOOKUP(B30,Sheet1!$B$17:$C$451,2,0)</f>
        <v>364</v>
      </c>
      <c r="D30" s="291" t="s">
        <v>1074</v>
      </c>
      <c r="E30" s="291" t="s">
        <v>461</v>
      </c>
      <c r="F30" s="295" t="s">
        <v>23</v>
      </c>
      <c r="G30" s="295" t="s">
        <v>562</v>
      </c>
      <c r="H30" s="291" t="s">
        <v>1350</v>
      </c>
      <c r="I30" s="291" t="s">
        <v>500</v>
      </c>
      <c r="J30" s="299" t="s">
        <v>428</v>
      </c>
      <c r="K30" s="297" t="s">
        <v>623</v>
      </c>
      <c r="L30" s="297"/>
      <c r="M30" s="292" t="s">
        <v>877</v>
      </c>
      <c r="N30" s="292" t="s">
        <v>683</v>
      </c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380">
        <v>363545.45454545453</v>
      </c>
      <c r="AL30" s="381">
        <v>290000</v>
      </c>
      <c r="AM30" s="379" t="str">
        <f t="shared" si="2"/>
        <v>INSERT INTO ListedPrice
(ProductId,ActiveDate,Channel,Price)
VALUES(364,'2020-05-01','GT',290000)</v>
      </c>
      <c r="AN30" s="292"/>
      <c r="AO30" s="292"/>
    </row>
    <row r="31" spans="1:41" s="286" customFormat="1">
      <c r="A31" s="337">
        <v>7115900836</v>
      </c>
      <c r="B31" s="298" t="s">
        <v>254</v>
      </c>
      <c r="C31" s="290">
        <f>VLOOKUP(B31,Sheet1!$B$17:$C$451,2,0)</f>
        <v>365</v>
      </c>
      <c r="D31" s="291" t="s">
        <v>1069</v>
      </c>
      <c r="E31" s="291" t="s">
        <v>469</v>
      </c>
      <c r="F31" s="299" t="s">
        <v>23</v>
      </c>
      <c r="G31" s="299" t="s">
        <v>562</v>
      </c>
      <c r="H31" s="291" t="s">
        <v>1350</v>
      </c>
      <c r="I31" s="291" t="s">
        <v>500</v>
      </c>
      <c r="J31" s="299" t="s">
        <v>1476</v>
      </c>
      <c r="K31" s="300" t="s">
        <v>873</v>
      </c>
      <c r="L31" s="300"/>
      <c r="M31" s="292" t="s">
        <v>877</v>
      </c>
      <c r="N31" s="292" t="s">
        <v>683</v>
      </c>
      <c r="O31" s="292"/>
      <c r="P31" s="292"/>
      <c r="Q31" s="292"/>
      <c r="R31" s="292"/>
      <c r="S31" s="292"/>
      <c r="T31" s="292"/>
      <c r="U31" s="292"/>
      <c r="V31" s="292"/>
      <c r="W31" s="292" t="s">
        <v>872</v>
      </c>
      <c r="X31" s="292" t="str">
        <f>"INSERT INTO ProductByAccount
( ProductId,AccountId)VALUES
("&amp;C31&amp;",1033)"</f>
        <v>INSERT INTO ProductByAccount
( ProductId,AccountId)VALUES
(365,1033)</v>
      </c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380">
        <v>272636.36363636359</v>
      </c>
      <c r="AL31" s="381">
        <v>219091</v>
      </c>
      <c r="AM31" s="379" t="str">
        <f t="shared" si="2"/>
        <v>INSERT INTO ListedPrice
(ProductId,ActiveDate,Channel,Price)
VALUES(365,'2020-05-01','GT',219091)</v>
      </c>
      <c r="AN31" s="292"/>
      <c r="AO31" s="292"/>
    </row>
    <row r="32" spans="1:41" s="285" customFormat="1">
      <c r="A32" s="336">
        <v>7115900813</v>
      </c>
      <c r="B32" s="294" t="s">
        <v>255</v>
      </c>
      <c r="C32" s="290">
        <f>VLOOKUP(B32,Sheet1!$B$17:$C$451,2,0)</f>
        <v>366</v>
      </c>
      <c r="D32" s="291" t="s">
        <v>1072</v>
      </c>
      <c r="E32" s="291" t="s">
        <v>475</v>
      </c>
      <c r="F32" s="295" t="s">
        <v>23</v>
      </c>
      <c r="G32" s="295" t="s">
        <v>562</v>
      </c>
      <c r="H32" s="291" t="s">
        <v>1350</v>
      </c>
      <c r="I32" s="291" t="s">
        <v>500</v>
      </c>
      <c r="J32" s="299" t="s">
        <v>1476</v>
      </c>
      <c r="K32" s="297" t="s">
        <v>623</v>
      </c>
      <c r="L32" s="297"/>
      <c r="M32" s="292" t="s">
        <v>877</v>
      </c>
      <c r="N32" s="292" t="s">
        <v>683</v>
      </c>
      <c r="O32" s="292"/>
      <c r="P32" s="292"/>
      <c r="Q32" s="292"/>
      <c r="R32" s="292"/>
      <c r="S32" s="292"/>
      <c r="T32" s="292"/>
      <c r="U32" s="292"/>
      <c r="V32" s="292"/>
      <c r="W32" s="292"/>
      <c r="X32" s="292" t="s">
        <v>1506</v>
      </c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380">
        <v>327181.81818181818</v>
      </c>
      <c r="AL32" s="381">
        <v>260000</v>
      </c>
      <c r="AM32" s="379" t="str">
        <f t="shared" si="2"/>
        <v>INSERT INTO ListedPrice
(ProductId,ActiveDate,Channel,Price)
VALUES(366,'2020-05-01','GT',260000)</v>
      </c>
      <c r="AN32" s="292"/>
      <c r="AO32" s="292"/>
    </row>
    <row r="33" spans="1:41" s="285" customFormat="1">
      <c r="A33" s="336">
        <v>7115900814</v>
      </c>
      <c r="B33" s="294" t="s">
        <v>256</v>
      </c>
      <c r="C33" s="290">
        <f>VLOOKUP(B33,Sheet1!$B$17:$C$451,2,0)</f>
        <v>367</v>
      </c>
      <c r="D33" s="291" t="s">
        <v>1075</v>
      </c>
      <c r="E33" s="291" t="s">
        <v>461</v>
      </c>
      <c r="F33" s="295" t="s">
        <v>23</v>
      </c>
      <c r="G33" s="295" t="s">
        <v>562</v>
      </c>
      <c r="H33" s="291" t="s">
        <v>1350</v>
      </c>
      <c r="I33" s="291" t="s">
        <v>500</v>
      </c>
      <c r="J33" s="299" t="s">
        <v>1476</v>
      </c>
      <c r="K33" s="297" t="s">
        <v>623</v>
      </c>
      <c r="L33" s="297"/>
      <c r="M33" s="292" t="s">
        <v>877</v>
      </c>
      <c r="N33" s="292" t="s">
        <v>683</v>
      </c>
      <c r="O33" s="292"/>
      <c r="P33" s="292"/>
      <c r="Q33" s="292"/>
      <c r="R33" s="292"/>
      <c r="S33" s="292"/>
      <c r="T33" s="292"/>
      <c r="U33" s="292"/>
      <c r="V33" s="292"/>
      <c r="W33" s="292"/>
      <c r="X33" s="292" t="s">
        <v>1511</v>
      </c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380">
        <v>363545.45454545453</v>
      </c>
      <c r="AL33" s="381">
        <v>290000</v>
      </c>
      <c r="AM33" s="379" t="str">
        <f t="shared" si="2"/>
        <v>INSERT INTO ListedPrice
(ProductId,ActiveDate,Channel,Price)
VALUES(367,'2020-05-01','GT',290000)</v>
      </c>
      <c r="AN33" s="292"/>
      <c r="AO33" s="292"/>
    </row>
    <row r="34" spans="1:41" s="285" customFormat="1">
      <c r="A34" s="336">
        <v>7115900841</v>
      </c>
      <c r="B34" s="294" t="s">
        <v>268</v>
      </c>
      <c r="C34" s="290">
        <f>VLOOKUP(B34,Sheet1!$B$17:$C$451,2,0)</f>
        <v>368</v>
      </c>
      <c r="D34" s="291" t="s">
        <v>1070</v>
      </c>
      <c r="E34" s="291" t="s">
        <v>469</v>
      </c>
      <c r="F34" s="295" t="s">
        <v>23</v>
      </c>
      <c r="G34" s="295" t="s">
        <v>562</v>
      </c>
      <c r="H34" s="291" t="s">
        <v>1350</v>
      </c>
      <c r="I34" s="291" t="s">
        <v>500</v>
      </c>
      <c r="J34" s="299" t="s">
        <v>292</v>
      </c>
      <c r="K34" s="297" t="s">
        <v>623</v>
      </c>
      <c r="L34" s="297"/>
      <c r="M34" s="292" t="s">
        <v>877</v>
      </c>
      <c r="N34" s="292" t="s">
        <v>683</v>
      </c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380">
        <v>269910</v>
      </c>
      <c r="AL34" s="381">
        <v>219091</v>
      </c>
      <c r="AM34" s="379" t="str">
        <f t="shared" si="2"/>
        <v>INSERT INTO ListedPrice
(ProductId,ActiveDate,Channel,Price)
VALUES(368,'2020-05-01','GT',219091)</v>
      </c>
      <c r="AN34" s="292"/>
      <c r="AO34" s="292"/>
    </row>
    <row r="35" spans="1:41" s="285" customFormat="1">
      <c r="A35" s="336">
        <v>7115900842</v>
      </c>
      <c r="B35" s="294" t="s">
        <v>269</v>
      </c>
      <c r="C35" s="290">
        <f>VLOOKUP(B35,Sheet1!$B$17:$C$451,2,0)</f>
        <v>369</v>
      </c>
      <c r="D35" s="291" t="s">
        <v>1073</v>
      </c>
      <c r="E35" s="291" t="s">
        <v>475</v>
      </c>
      <c r="F35" s="295" t="s">
        <v>23</v>
      </c>
      <c r="G35" s="295" t="s">
        <v>562</v>
      </c>
      <c r="H35" s="291" t="s">
        <v>1350</v>
      </c>
      <c r="I35" s="291" t="s">
        <v>500</v>
      </c>
      <c r="J35" s="299" t="s">
        <v>292</v>
      </c>
      <c r="K35" s="297" t="s">
        <v>623</v>
      </c>
      <c r="L35" s="297"/>
      <c r="M35" s="292" t="s">
        <v>877</v>
      </c>
      <c r="N35" s="292" t="s">
        <v>683</v>
      </c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380">
        <v>323910</v>
      </c>
      <c r="AL35" s="381">
        <v>260000</v>
      </c>
      <c r="AM35" s="379" t="str">
        <f t="shared" si="2"/>
        <v>INSERT INTO ListedPrice
(ProductId,ActiveDate,Channel,Price)
VALUES(369,'2020-05-01','GT',260000)</v>
      </c>
      <c r="AN35" s="292"/>
      <c r="AO35" s="292"/>
    </row>
    <row r="36" spans="1:41" s="285" customFormat="1">
      <c r="A36" s="336">
        <v>7115900843</v>
      </c>
      <c r="B36" s="294" t="s">
        <v>270</v>
      </c>
      <c r="C36" s="290">
        <f>VLOOKUP(B36,Sheet1!$B$17:$C$451,2,0)</f>
        <v>370</v>
      </c>
      <c r="D36" s="291" t="s">
        <v>1076</v>
      </c>
      <c r="E36" s="291" t="s">
        <v>461</v>
      </c>
      <c r="F36" s="295" t="s">
        <v>23</v>
      </c>
      <c r="G36" s="295" t="s">
        <v>562</v>
      </c>
      <c r="H36" s="291" t="s">
        <v>1350</v>
      </c>
      <c r="I36" s="291" t="s">
        <v>500</v>
      </c>
      <c r="J36" s="299" t="s">
        <v>292</v>
      </c>
      <c r="K36" s="297" t="s">
        <v>623</v>
      </c>
      <c r="L36" s="297"/>
      <c r="M36" s="292" t="s">
        <v>877</v>
      </c>
      <c r="N36" s="292" t="s">
        <v>683</v>
      </c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380">
        <v>359910</v>
      </c>
      <c r="AL36" s="381">
        <v>290000</v>
      </c>
      <c r="AM36" s="379" t="str">
        <f t="shared" si="2"/>
        <v>INSERT INTO ListedPrice
(ProductId,ActiveDate,Channel,Price)
VALUES(370,'2020-05-01','GT',290000)</v>
      </c>
      <c r="AN36" s="292"/>
      <c r="AO36" s="292"/>
    </row>
    <row r="37" spans="1:41" s="285" customFormat="1">
      <c r="A37" s="336">
        <v>7115900828</v>
      </c>
      <c r="B37" s="294" t="s">
        <v>279</v>
      </c>
      <c r="C37" s="290">
        <f>VLOOKUP(B37,Sheet1!$B$17:$C$451,2,0)</f>
        <v>371</v>
      </c>
      <c r="D37" s="291" t="s">
        <v>1080</v>
      </c>
      <c r="E37" s="291" t="s">
        <v>469</v>
      </c>
      <c r="F37" s="295" t="s">
        <v>23</v>
      </c>
      <c r="G37" s="295" t="s">
        <v>562</v>
      </c>
      <c r="H37" s="291" t="s">
        <v>1350</v>
      </c>
      <c r="I37" s="291" t="s">
        <v>500</v>
      </c>
      <c r="J37" s="295" t="s">
        <v>294</v>
      </c>
      <c r="K37" s="297" t="s">
        <v>623</v>
      </c>
      <c r="L37" s="297"/>
      <c r="M37" s="292" t="s">
        <v>877</v>
      </c>
      <c r="N37" s="292" t="s">
        <v>683</v>
      </c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380">
        <v>255363.63636363635</v>
      </c>
      <c r="AL37" s="381">
        <v>205455</v>
      </c>
      <c r="AM37" s="379" t="str">
        <f t="shared" si="2"/>
        <v>INSERT INTO ListedPrice
(ProductId,ActiveDate,Channel,Price)
VALUES(371,'2020-05-01','GT',205455)</v>
      </c>
      <c r="AN37" s="292"/>
      <c r="AO37" s="292"/>
    </row>
    <row r="38" spans="1:41" s="285" customFormat="1">
      <c r="A38" s="336">
        <v>7115900829</v>
      </c>
      <c r="B38" s="294" t="s">
        <v>280</v>
      </c>
      <c r="C38" s="290">
        <f>VLOOKUP(B38,Sheet1!$B$17:$C$451,2,0)</f>
        <v>372</v>
      </c>
      <c r="D38" s="291" t="s">
        <v>1081</v>
      </c>
      <c r="E38" s="291" t="s">
        <v>475</v>
      </c>
      <c r="F38" s="295" t="s">
        <v>23</v>
      </c>
      <c r="G38" s="295" t="s">
        <v>562</v>
      </c>
      <c r="H38" s="291" t="s">
        <v>1350</v>
      </c>
      <c r="I38" s="291" t="s">
        <v>500</v>
      </c>
      <c r="J38" s="295" t="s">
        <v>294</v>
      </c>
      <c r="K38" s="297" t="s">
        <v>623</v>
      </c>
      <c r="L38" s="297"/>
      <c r="M38" s="292" t="s">
        <v>877</v>
      </c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6" t="s">
        <v>623</v>
      </c>
      <c r="AD38" s="292" t="str">
        <f>"INSERT INTO ProductByAccount
( ProductId,AccountId)VALUES
("&amp;C38&amp;",1036)"</f>
        <v>INSERT INTO ProductByAccount
( ProductId,AccountId)VALUES
(372,1036)</v>
      </c>
      <c r="AE38" s="292"/>
      <c r="AF38" s="292"/>
      <c r="AG38" s="292"/>
      <c r="AH38" s="292"/>
      <c r="AI38" s="292"/>
      <c r="AJ38" s="292"/>
      <c r="AK38" s="380">
        <v>291727.27272727271</v>
      </c>
      <c r="AL38" s="381">
        <v>0</v>
      </c>
      <c r="AM38" s="379" t="str">
        <f>"INSERT INTO ListedPrice
(ProductId,ActiveDate,Channel,Price)
VALUES("&amp;C38&amp;",'2020-05-01','MT',"&amp;AK38&amp;")"</f>
        <v>INSERT INTO ListedPrice
(ProductId,ActiveDate,Channel,Price)
VALUES(372,'2020-05-01','MT',291727.272727273)</v>
      </c>
      <c r="AN38" s="292"/>
      <c r="AO38" s="292"/>
    </row>
    <row r="39" spans="1:41" s="285" customFormat="1">
      <c r="A39" s="336">
        <v>7115900830</v>
      </c>
      <c r="B39" s="294" t="s">
        <v>281</v>
      </c>
      <c r="C39" s="290">
        <f>VLOOKUP(B39,Sheet1!$B$17:$C$451,2,0)</f>
        <v>373</v>
      </c>
      <c r="D39" s="291" t="s">
        <v>1082</v>
      </c>
      <c r="E39" s="291" t="s">
        <v>461</v>
      </c>
      <c r="F39" s="295" t="s">
        <v>23</v>
      </c>
      <c r="G39" s="295" t="s">
        <v>562</v>
      </c>
      <c r="H39" s="291" t="s">
        <v>1350</v>
      </c>
      <c r="I39" s="291" t="s">
        <v>500</v>
      </c>
      <c r="J39" s="295" t="s">
        <v>294</v>
      </c>
      <c r="K39" s="297" t="s">
        <v>623</v>
      </c>
      <c r="L39" s="297"/>
      <c r="M39" s="292" t="s">
        <v>877</v>
      </c>
      <c r="N39" s="292" t="s">
        <v>683</v>
      </c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6" t="s">
        <v>623</v>
      </c>
      <c r="AD39" s="292" t="str">
        <f>"INSERT INTO ProductByAccount
( ProductId,AccountId)VALUES
("&amp;C39&amp;",1036)"</f>
        <v>INSERT INTO ProductByAccount
( ProductId,AccountId)VALUES
(373,1036)</v>
      </c>
      <c r="AE39" s="292"/>
      <c r="AF39" s="292"/>
      <c r="AG39" s="292"/>
      <c r="AH39" s="292"/>
      <c r="AI39" s="292"/>
      <c r="AJ39" s="292"/>
      <c r="AK39" s="380">
        <v>319000</v>
      </c>
      <c r="AL39" s="381">
        <v>255455</v>
      </c>
      <c r="AM39" s="379" t="str">
        <f>"INSERT INTO ListedPrice
(ProductId,ActiveDate,Channel,Price)
VALUES("&amp;C39&amp;",'2020-05-01','GT',"&amp;AL39&amp;")"</f>
        <v>INSERT INTO ListedPrice
(ProductId,ActiveDate,Channel,Price)
VALUES(373,'2020-05-01','GT',255455)</v>
      </c>
      <c r="AN39" s="292"/>
      <c r="AO39" s="292"/>
    </row>
    <row r="40" spans="1:41" s="287" customFormat="1">
      <c r="A40" s="338">
        <v>7115900872</v>
      </c>
      <c r="B40" s="301" t="s">
        <v>713</v>
      </c>
      <c r="C40" s="290">
        <f>VLOOKUP(B40,Sheet1!$B$17:$C$451,2,0)</f>
        <v>374</v>
      </c>
      <c r="D40" s="291" t="s">
        <v>1086</v>
      </c>
      <c r="E40" s="291" t="s">
        <v>475</v>
      </c>
      <c r="F40" s="302" t="s">
        <v>23</v>
      </c>
      <c r="G40" s="302" t="s">
        <v>562</v>
      </c>
      <c r="H40" s="291" t="s">
        <v>1350</v>
      </c>
      <c r="I40" s="291" t="s">
        <v>1344</v>
      </c>
      <c r="J40" s="291" t="s">
        <v>1344</v>
      </c>
      <c r="K40" s="303" t="s">
        <v>516</v>
      </c>
      <c r="L40" s="303"/>
      <c r="M40" s="292" t="s">
        <v>877</v>
      </c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92"/>
      <c r="AG40" s="292"/>
      <c r="AH40" s="292"/>
      <c r="AI40" s="292"/>
      <c r="AJ40" s="292"/>
      <c r="AK40" s="329"/>
      <c r="AL40" s="381">
        <v>0</v>
      </c>
      <c r="AM40" s="379" t="str">
        <f>"INSERT INTO ListedPrice
(ProductId,ActiveDate,Channel,Price)
VALUES("&amp;C40&amp;",'2020-05-01','MT',"&amp;AK40&amp;")"</f>
        <v>INSERT INTO ListedPrice
(ProductId,ActiveDate,Channel,Price)
VALUES(374,'2020-05-01','MT',)</v>
      </c>
      <c r="AN40" s="292"/>
      <c r="AO40" s="292"/>
    </row>
    <row r="41" spans="1:41" s="287" customFormat="1">
      <c r="A41" s="338">
        <v>7115900873</v>
      </c>
      <c r="B41" s="301" t="s">
        <v>714</v>
      </c>
      <c r="C41" s="290">
        <f>VLOOKUP(B41,Sheet1!$B$17:$C$451,2,0)</f>
        <v>375</v>
      </c>
      <c r="D41" s="291" t="s">
        <v>1093</v>
      </c>
      <c r="E41" s="291" t="s">
        <v>471</v>
      </c>
      <c r="F41" s="302" t="s">
        <v>23</v>
      </c>
      <c r="G41" s="302" t="s">
        <v>562</v>
      </c>
      <c r="H41" s="291" t="s">
        <v>1350</v>
      </c>
      <c r="I41" s="291" t="s">
        <v>1344</v>
      </c>
      <c r="J41" s="291" t="s">
        <v>1344</v>
      </c>
      <c r="K41" s="303" t="s">
        <v>516</v>
      </c>
      <c r="L41" s="303"/>
      <c r="M41" s="320" t="s">
        <v>877</v>
      </c>
      <c r="N41" s="333" t="s">
        <v>683</v>
      </c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329"/>
      <c r="AL41" s="381">
        <v>0</v>
      </c>
      <c r="AM41" s="379" t="str">
        <f>"INSERT INTO ListedPrice
(ProductId,ActiveDate,Channel,Price)
VALUES("&amp;C41&amp;",'2020-05-01','MT',"&amp;AK41&amp;")"</f>
        <v>INSERT INTO ListedPrice
(ProductId,ActiveDate,Channel,Price)
VALUES(375,'2020-05-01','MT',)</v>
      </c>
      <c r="AN41" s="292"/>
      <c r="AO41" s="292"/>
    </row>
    <row r="42" spans="1:41" s="287" customFormat="1">
      <c r="A42" s="338">
        <v>7115900874</v>
      </c>
      <c r="B42" s="301" t="s">
        <v>715</v>
      </c>
      <c r="C42" s="290">
        <f>VLOOKUP(B42,Sheet1!$B$17:$C$451,2,0)</f>
        <v>376</v>
      </c>
      <c r="D42" s="291" t="s">
        <v>1094</v>
      </c>
      <c r="E42" s="291" t="s">
        <v>464</v>
      </c>
      <c r="F42" s="302" t="s">
        <v>23</v>
      </c>
      <c r="G42" s="302" t="s">
        <v>562</v>
      </c>
      <c r="H42" s="291" t="s">
        <v>1350</v>
      </c>
      <c r="I42" s="291" t="s">
        <v>1344</v>
      </c>
      <c r="J42" s="291" t="s">
        <v>1344</v>
      </c>
      <c r="K42" s="303" t="s">
        <v>516</v>
      </c>
      <c r="L42" s="303"/>
      <c r="M42" s="320" t="s">
        <v>877</v>
      </c>
      <c r="N42" s="333" t="s">
        <v>683</v>
      </c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292"/>
      <c r="AI42" s="292"/>
      <c r="AJ42" s="292"/>
      <c r="AK42" s="329"/>
      <c r="AL42" s="381">
        <v>0</v>
      </c>
      <c r="AM42" s="379" t="str">
        <f>"INSERT INTO ListedPrice
(ProductId,ActiveDate,Channel,Price)
VALUES("&amp;C42&amp;",'2020-05-01','MT',"&amp;AK42&amp;")"</f>
        <v>INSERT INTO ListedPrice
(ProductId,ActiveDate,Channel,Price)
VALUES(376,'2020-05-01','MT',)</v>
      </c>
      <c r="AN42" s="292"/>
      <c r="AO42" s="292"/>
    </row>
    <row r="43" spans="1:41">
      <c r="A43" s="335">
        <v>7116900005</v>
      </c>
      <c r="B43" s="290" t="s">
        <v>1489</v>
      </c>
      <c r="C43" s="290">
        <f>VLOOKUP(B43,Sheet1!$B$17:$C$451,2,0)</f>
        <v>377</v>
      </c>
      <c r="D43" s="291" t="s">
        <v>1104</v>
      </c>
      <c r="E43" s="291" t="s">
        <v>964</v>
      </c>
      <c r="F43" s="291" t="s">
        <v>23</v>
      </c>
      <c r="G43" s="291" t="s">
        <v>562</v>
      </c>
      <c r="H43" s="302" t="s">
        <v>1367</v>
      </c>
      <c r="I43" s="291" t="s">
        <v>4</v>
      </c>
      <c r="J43" s="291" t="s">
        <v>292</v>
      </c>
      <c r="K43" s="293" t="s">
        <v>872</v>
      </c>
      <c r="L43" s="293"/>
      <c r="M43" s="292" t="s">
        <v>877</v>
      </c>
      <c r="N43" s="292" t="s">
        <v>683</v>
      </c>
      <c r="O43" s="292" t="s">
        <v>1488</v>
      </c>
      <c r="P43" s="292" t="str">
        <f>"INSERT INTO ProductByAccount
( ProductId,AccountId)VALUES
("&amp;C43&amp;",1029)"</f>
        <v>INSERT INTO ProductByAccount
( ProductId,AccountId)VALUES
(377,1029)</v>
      </c>
      <c r="Q43" s="292"/>
      <c r="R43" s="292"/>
      <c r="S43" s="292"/>
      <c r="T43" s="292"/>
      <c r="U43" s="292" t="s">
        <v>1485</v>
      </c>
      <c r="V43" s="292" t="str">
        <f>"INSERT INTO ProductByAccount
( ProductId,AccountId)VALUES
("&amp;C43&amp;",1032)"</f>
        <v>INSERT INTO ProductByAccount
( ProductId,AccountId)VALUES
(377,1032)</v>
      </c>
      <c r="W43" s="292"/>
      <c r="X43" s="292"/>
      <c r="Y43" s="292" t="s">
        <v>872</v>
      </c>
      <c r="Z43" s="292" t="str">
        <f>"INSERT INTO ProductByAccount
( ProductId,AccountId)VALUES
("&amp;C43&amp;",1034)"</f>
        <v>INSERT INTO ProductByAccount
( ProductId,AccountId)VALUES
(377,1034)</v>
      </c>
      <c r="AA43" s="292"/>
      <c r="AB43" s="292"/>
      <c r="AC43" s="292"/>
      <c r="AD43" s="292"/>
      <c r="AE43" s="292"/>
      <c r="AF43" s="292"/>
      <c r="AG43" s="292" t="s">
        <v>872</v>
      </c>
      <c r="AH43" s="292" t="str">
        <f>"INSERT INTO ProductByAccount
( ProductId,AccountId)VALUES
("&amp;C43&amp;",1038)"</f>
        <v>INSERT INTO ProductByAccount
( ProductId,AccountId)VALUES
(377,1038)</v>
      </c>
      <c r="AI43" s="292" t="s">
        <v>872</v>
      </c>
      <c r="AJ43" s="292" t="str">
        <f>"INSERT INTO ProductByAccount
( ProductId,AccountId)VALUES
("&amp;C43&amp;",1039)"</f>
        <v>INSERT INTO ProductByAccount
( ProductId,AccountId)VALUES
(377,1039)</v>
      </c>
      <c r="AK43" s="380">
        <v>227182</v>
      </c>
      <c r="AL43" s="381">
        <v>180000</v>
      </c>
      <c r="AM43" s="379" t="str">
        <f>"INSERT INTO ListedPrice
(ProductId,ActiveDate,Channel,Price)
VALUES("&amp;C43&amp;",'2020-05-01','GT',"&amp;AL43&amp;")"</f>
        <v>INSERT INTO ListedPrice
(ProductId,ActiveDate,Channel,Price)
VALUES(377,'2020-05-01','GT',180000)</v>
      </c>
      <c r="AN43" s="292"/>
      <c r="AO43" s="292"/>
    </row>
    <row r="44" spans="1:41">
      <c r="A44" s="335">
        <v>7116900006</v>
      </c>
      <c r="B44" s="290" t="s">
        <v>1490</v>
      </c>
      <c r="C44" s="290">
        <f>VLOOKUP(B44,Sheet1!$B$17:$C$451,2,0)</f>
        <v>378</v>
      </c>
      <c r="D44" s="291" t="s">
        <v>1104</v>
      </c>
      <c r="E44" s="291" t="s">
        <v>964</v>
      </c>
      <c r="F44" s="291" t="s">
        <v>23</v>
      </c>
      <c r="G44" s="291" t="s">
        <v>562</v>
      </c>
      <c r="H44" s="302" t="s">
        <v>1367</v>
      </c>
      <c r="I44" s="291" t="s">
        <v>4</v>
      </c>
      <c r="J44" s="291" t="s">
        <v>1416</v>
      </c>
      <c r="K44" s="293" t="s">
        <v>872</v>
      </c>
      <c r="L44" s="293"/>
      <c r="M44" s="292" t="s">
        <v>877</v>
      </c>
      <c r="N44" s="292" t="s">
        <v>683</v>
      </c>
      <c r="O44" s="292" t="s">
        <v>1488</v>
      </c>
      <c r="P44" s="292" t="str">
        <f>"INSERT INTO ProductByAccount
( ProductId,AccountId)VALUES
("&amp;C44&amp;",1029)"</f>
        <v>INSERT INTO ProductByAccount
( ProductId,AccountId)VALUES
(378,1029)</v>
      </c>
      <c r="Q44" s="292"/>
      <c r="R44" s="292"/>
      <c r="S44" s="292"/>
      <c r="T44" s="292"/>
      <c r="U44" s="292" t="s">
        <v>1485</v>
      </c>
      <c r="V44" s="292" t="str">
        <f>"INSERT INTO ProductByAccount
( ProductId,AccountId)VALUES
("&amp;C44&amp;",1032)"</f>
        <v>INSERT INTO ProductByAccount
( ProductId,AccountId)VALUES
(378,1032)</v>
      </c>
      <c r="W44" s="292"/>
      <c r="X44" s="292"/>
      <c r="Y44" s="292" t="s">
        <v>872</v>
      </c>
      <c r="Z44" s="292" t="str">
        <f>"INSERT INTO ProductByAccount
( ProductId,AccountId)VALUES
("&amp;C44&amp;",1034)"</f>
        <v>INSERT INTO ProductByAccount
( ProductId,AccountId)VALUES
(378,1034)</v>
      </c>
      <c r="AA44" s="292"/>
      <c r="AB44" s="292"/>
      <c r="AC44" s="292"/>
      <c r="AD44" s="292"/>
      <c r="AE44" s="292"/>
      <c r="AF44" s="292"/>
      <c r="AG44" s="292" t="s">
        <v>872</v>
      </c>
      <c r="AH44" s="292" t="str">
        <f>"INSERT INTO ProductByAccount
( ProductId,AccountId)VALUES
("&amp;C44&amp;",1038)"</f>
        <v>INSERT INTO ProductByAccount
( ProductId,AccountId)VALUES
(378,1038)</v>
      </c>
      <c r="AI44" s="292" t="s">
        <v>872</v>
      </c>
      <c r="AJ44" s="292" t="str">
        <f>"INSERT INTO ProductByAccount
( ProductId,AccountId)VALUES
("&amp;C44&amp;",1039)"</f>
        <v>INSERT INTO ProductByAccount
( ProductId,AccountId)VALUES
(378,1039)</v>
      </c>
      <c r="AK44" s="380">
        <v>227182</v>
      </c>
      <c r="AL44" s="381">
        <v>180000</v>
      </c>
      <c r="AM44" s="379" t="str">
        <f>"INSERT INTO ListedPrice
(ProductId,ActiveDate,Channel,Price)
VALUES("&amp;C44&amp;",'2020-05-01','GT',"&amp;AL44&amp;")"</f>
        <v>INSERT INTO ListedPrice
(ProductId,ActiveDate,Channel,Price)
VALUES(378,'2020-05-01','GT',180000)</v>
      </c>
      <c r="AN44" s="292"/>
      <c r="AO44" s="292"/>
    </row>
    <row r="45" spans="1:41">
      <c r="A45" s="335">
        <v>7116900007</v>
      </c>
      <c r="B45" s="290" t="s">
        <v>1491</v>
      </c>
      <c r="C45" s="290">
        <f>VLOOKUP(B45,Sheet1!$B$17:$C$451,2,0)</f>
        <v>379</v>
      </c>
      <c r="D45" s="291" t="s">
        <v>1104</v>
      </c>
      <c r="E45" s="291" t="s">
        <v>964</v>
      </c>
      <c r="F45" s="291" t="s">
        <v>23</v>
      </c>
      <c r="G45" s="291" t="s">
        <v>562</v>
      </c>
      <c r="H45" s="302" t="s">
        <v>1367</v>
      </c>
      <c r="I45" s="291" t="s">
        <v>4</v>
      </c>
      <c r="J45" s="291" t="s">
        <v>1477</v>
      </c>
      <c r="K45" s="293" t="s">
        <v>872</v>
      </c>
      <c r="L45" s="293"/>
      <c r="M45" s="292" t="s">
        <v>877</v>
      </c>
      <c r="N45" s="292" t="s">
        <v>683</v>
      </c>
      <c r="O45" s="292" t="s">
        <v>1488</v>
      </c>
      <c r="P45" s="292" t="str">
        <f>"INSERT INTO ProductByAccount
( ProductId,AccountId)VALUES
("&amp;C45&amp;",1029)"</f>
        <v>INSERT INTO ProductByAccount
( ProductId,AccountId)VALUES
(379,1029)</v>
      </c>
      <c r="Q45" s="292"/>
      <c r="R45" s="292"/>
      <c r="S45" s="292"/>
      <c r="T45" s="292"/>
      <c r="U45" s="292" t="s">
        <v>1485</v>
      </c>
      <c r="V45" s="292" t="str">
        <f>"INSERT INTO ProductByAccount
( ProductId,AccountId)VALUES
("&amp;C45&amp;",1032)"</f>
        <v>INSERT INTO ProductByAccount
( ProductId,AccountId)VALUES
(379,1032)</v>
      </c>
      <c r="W45" s="292"/>
      <c r="X45" s="292"/>
      <c r="Y45" s="292" t="s">
        <v>872</v>
      </c>
      <c r="Z45" s="292" t="str">
        <f>"INSERT INTO ProductByAccount
( ProductId,AccountId)VALUES
("&amp;C45&amp;",1034)"</f>
        <v>INSERT INTO ProductByAccount
( ProductId,AccountId)VALUES
(379,1034)</v>
      </c>
      <c r="AA45" s="292"/>
      <c r="AB45" s="292"/>
      <c r="AC45" s="292"/>
      <c r="AD45" s="292"/>
      <c r="AE45" s="292"/>
      <c r="AF45" s="292"/>
      <c r="AG45" s="292" t="s">
        <v>872</v>
      </c>
      <c r="AH45" s="292" t="str">
        <f>"INSERT INTO ProductByAccount
( ProductId,AccountId)VALUES
("&amp;C45&amp;",1038)"</f>
        <v>INSERT INTO ProductByAccount
( ProductId,AccountId)VALUES
(379,1038)</v>
      </c>
      <c r="AI45" s="292" t="s">
        <v>872</v>
      </c>
      <c r="AJ45" s="292" t="str">
        <f>"INSERT INTO ProductByAccount
( ProductId,AccountId)VALUES
("&amp;C45&amp;",1039)"</f>
        <v>INSERT INTO ProductByAccount
( ProductId,AccountId)VALUES
(379,1039)</v>
      </c>
      <c r="AK45" s="380">
        <v>227182</v>
      </c>
      <c r="AL45" s="381">
        <v>180000</v>
      </c>
      <c r="AM45" s="379" t="str">
        <f>"INSERT INTO ListedPrice
(ProductId,ActiveDate,Channel,Price)
VALUES("&amp;C45&amp;",'2020-05-01','GT',"&amp;AL45&amp;")"</f>
        <v>INSERT INTO ListedPrice
(ProductId,ActiveDate,Channel,Price)
VALUES(379,'2020-05-01','GT',180000)</v>
      </c>
      <c r="AN45" s="292"/>
      <c r="AO45" s="292"/>
    </row>
    <row r="46" spans="1:41">
      <c r="A46" s="335">
        <v>7116900004</v>
      </c>
      <c r="B46" s="290" t="s">
        <v>506</v>
      </c>
      <c r="C46" s="290">
        <f>VLOOKUP(B46,Sheet1!$B$17:$C$451,2,0)</f>
        <v>380</v>
      </c>
      <c r="D46" s="291" t="s">
        <v>1105</v>
      </c>
      <c r="E46" s="291" t="s">
        <v>507</v>
      </c>
      <c r="F46" s="291" t="s">
        <v>23</v>
      </c>
      <c r="G46" s="291" t="s">
        <v>562</v>
      </c>
      <c r="H46" s="302" t="s">
        <v>1367</v>
      </c>
      <c r="I46" s="291" t="s">
        <v>2</v>
      </c>
      <c r="J46" s="291" t="s">
        <v>1478</v>
      </c>
      <c r="K46" s="293" t="s">
        <v>872</v>
      </c>
      <c r="L46" s="293"/>
      <c r="M46" s="292" t="s">
        <v>877</v>
      </c>
      <c r="N46" s="292" t="s">
        <v>683</v>
      </c>
      <c r="O46" s="292" t="s">
        <v>1488</v>
      </c>
      <c r="P46" s="292" t="str">
        <f>"INSERT INTO ProductByAccount
( ProductId,AccountId)VALUES
("&amp;C46&amp;",1029)"</f>
        <v>INSERT INTO ProductByAccount
( ProductId,AccountId)VALUES
(380,1029)</v>
      </c>
      <c r="Q46" s="292"/>
      <c r="R46" s="292"/>
      <c r="S46" s="292"/>
      <c r="T46" s="292"/>
      <c r="U46" s="292" t="s">
        <v>872</v>
      </c>
      <c r="V46" s="292" t="str">
        <f>"INSERT INTO ProductByAccount
( ProductId,AccountId)VALUES
("&amp;C46&amp;",1032)"</f>
        <v>INSERT INTO ProductByAccount
( ProductId,AccountId)VALUES
(380,1032)</v>
      </c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292"/>
      <c r="AJ46" s="292"/>
      <c r="AK46" s="380">
        <v>619910</v>
      </c>
      <c r="AL46" s="381">
        <v>495455</v>
      </c>
      <c r="AM46" s="379" t="str">
        <f>"INSERT INTO ListedPrice
(ProductId,ActiveDate,Channel,Price)
VALUES("&amp;C46&amp;",'2020-05-01','GT',"&amp;AL46&amp;")"</f>
        <v>INSERT INTO ListedPrice
(ProductId,ActiveDate,Channel,Price)
VALUES(380,'2020-05-01','GT',495455)</v>
      </c>
      <c r="AN46" s="292"/>
      <c r="AO46" s="292"/>
    </row>
    <row r="47" spans="1:41" s="285" customFormat="1">
      <c r="A47" s="336">
        <v>7116900133</v>
      </c>
      <c r="B47" s="294" t="s">
        <v>163</v>
      </c>
      <c r="C47" s="290">
        <f>VLOOKUP(B47,Sheet1!$B$17:$C$451,2,0)</f>
        <v>381</v>
      </c>
      <c r="D47" s="295" t="s">
        <v>1103</v>
      </c>
      <c r="E47" s="295"/>
      <c r="F47" s="295" t="s">
        <v>23</v>
      </c>
      <c r="G47" s="295" t="s">
        <v>562</v>
      </c>
      <c r="H47" s="295" t="s">
        <v>1367</v>
      </c>
      <c r="I47" s="295" t="s">
        <v>954</v>
      </c>
      <c r="J47" s="291" t="s">
        <v>1478</v>
      </c>
      <c r="K47" s="297" t="s">
        <v>623</v>
      </c>
      <c r="L47" s="297"/>
      <c r="M47" s="296" t="s">
        <v>877</v>
      </c>
      <c r="N47" s="296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6"/>
      <c r="AF47" s="296"/>
      <c r="AG47" s="292"/>
      <c r="AH47" s="292"/>
      <c r="AI47" s="292"/>
      <c r="AJ47" s="292"/>
      <c r="AK47" s="381">
        <v>629100</v>
      </c>
      <c r="AL47" s="381"/>
      <c r="AM47" s="379" t="str">
        <f>"INSERT INTO ListedPrice
(ProductId,ActiveDate,Channel,Price)
VALUES("&amp;C47&amp;",'2020-05-01','MT',"&amp;AK47&amp;")"</f>
        <v>INSERT INTO ListedPrice
(ProductId,ActiveDate,Channel,Price)
VALUES(381,'2020-05-01','MT',629100)</v>
      </c>
      <c r="AN47" s="296"/>
      <c r="AO47" s="296"/>
    </row>
    <row r="48" spans="1:41" s="285" customFormat="1">
      <c r="A48" s="347">
        <v>7116900096</v>
      </c>
      <c r="B48" s="294" t="s">
        <v>1429</v>
      </c>
      <c r="C48" s="290">
        <f>VLOOKUP(B48,Sheet1!$B$17:$C$451,2,0)</f>
        <v>382</v>
      </c>
      <c r="D48" s="295" t="s">
        <v>1430</v>
      </c>
      <c r="E48" s="295"/>
      <c r="F48" s="295" t="s">
        <v>23</v>
      </c>
      <c r="G48" s="295" t="s">
        <v>562</v>
      </c>
      <c r="H48" s="295" t="s">
        <v>1367</v>
      </c>
      <c r="I48" s="295" t="s">
        <v>954</v>
      </c>
      <c r="J48" s="291" t="s">
        <v>1478</v>
      </c>
      <c r="K48" s="297" t="s">
        <v>623</v>
      </c>
      <c r="L48" s="297"/>
      <c r="M48" s="320" t="s">
        <v>877</v>
      </c>
      <c r="N48" s="333" t="s">
        <v>683</v>
      </c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6"/>
      <c r="AF48" s="296"/>
      <c r="AG48" s="292"/>
      <c r="AH48" s="292"/>
      <c r="AI48" s="292"/>
      <c r="AJ48" s="292"/>
      <c r="AK48" s="308"/>
      <c r="AL48" s="381"/>
      <c r="AM48" s="379" t="str">
        <f>"INSERT INTO ListedPrice
(ProductId,ActiveDate,Channel,Price)
VALUES("&amp;C48&amp;",'2020-05-01','MT',"&amp;AK48&amp;")"</f>
        <v>INSERT INTO ListedPrice
(ProductId,ActiveDate,Channel,Price)
VALUES(382,'2020-05-01','MT',)</v>
      </c>
      <c r="AN48" s="296"/>
      <c r="AO48" s="296"/>
    </row>
    <row r="49" spans="1:41">
      <c r="A49" s="335">
        <v>7114900002</v>
      </c>
      <c r="B49" s="290" t="s">
        <v>18</v>
      </c>
      <c r="C49" s="290">
        <f>VLOOKUP(B49,Sheet1!$B$17:$C$451,2,0)</f>
        <v>383</v>
      </c>
      <c r="D49" s="291" t="s">
        <v>1099</v>
      </c>
      <c r="E49" s="291" t="s">
        <v>962</v>
      </c>
      <c r="F49" s="291" t="s">
        <v>23</v>
      </c>
      <c r="G49" s="291" t="s">
        <v>562</v>
      </c>
      <c r="H49" s="291" t="s">
        <v>1368</v>
      </c>
      <c r="I49" s="291" t="s">
        <v>204</v>
      </c>
      <c r="J49" s="291" t="s">
        <v>1478</v>
      </c>
      <c r="K49" s="293" t="s">
        <v>872</v>
      </c>
      <c r="L49" s="293"/>
      <c r="M49" s="292" t="s">
        <v>877</v>
      </c>
      <c r="N49" s="292" t="s">
        <v>683</v>
      </c>
      <c r="O49" s="292" t="s">
        <v>1488</v>
      </c>
      <c r="P49" s="292" t="str">
        <f>"INSERT INTO ProductByAccount
( ProductId,AccountId)VALUES
("&amp;C49&amp;",1029)"</f>
        <v>INSERT INTO ProductByAccount
( ProductId,AccountId)VALUES
(383,1029)</v>
      </c>
      <c r="Q49" s="292"/>
      <c r="R49" s="292"/>
      <c r="S49" s="292"/>
      <c r="T49" s="292"/>
      <c r="U49" s="292"/>
      <c r="V49" s="292"/>
      <c r="W49" s="292"/>
      <c r="X49" s="292"/>
      <c r="Y49" s="292" t="s">
        <v>872</v>
      </c>
      <c r="Z49" s="292" t="str">
        <f>"INSERT INTO ProductByAccount
( ProductId,AccountId)VALUES
("&amp;C49&amp;",1034)"</f>
        <v>INSERT INTO ProductByAccount
( ProductId,AccountId)VALUES
(383,1034)</v>
      </c>
      <c r="AA49" s="292"/>
      <c r="AB49" s="292"/>
      <c r="AC49" s="292"/>
      <c r="AD49" s="292"/>
      <c r="AE49" s="292"/>
      <c r="AF49" s="292"/>
      <c r="AG49" s="292" t="s">
        <v>872</v>
      </c>
      <c r="AH49" s="292" t="str">
        <f>"INSERT INTO ProductByAccount
( ProductId,AccountId)VALUES
("&amp;C49&amp;",1038)"</f>
        <v>INSERT INTO ProductByAccount
( ProductId,AccountId)VALUES
(383,1038)</v>
      </c>
      <c r="AI49" s="292" t="s">
        <v>872</v>
      </c>
      <c r="AJ49" s="292" t="str">
        <f>"INSERT INTO ProductByAccount
( ProductId,AccountId)VALUES
("&amp;C49&amp;",1039)"</f>
        <v>INSERT INTO ProductByAccount
( ProductId,AccountId)VALUES
(383,1039)</v>
      </c>
      <c r="AK49" s="380">
        <v>1008182</v>
      </c>
      <c r="AL49" s="381">
        <v>810000</v>
      </c>
      <c r="AM49" s="379" t="str">
        <f t="shared" ref="AM49:AM61" si="3">"INSERT INTO ListedPrice
(ProductId,ActiveDate,Channel,Price)
VALUES("&amp;C49&amp;",'2020-05-01','GT',"&amp;AL49&amp;")"</f>
        <v>INSERT INTO ListedPrice
(ProductId,ActiveDate,Channel,Price)
VALUES(383,'2020-05-01','GT',810000)</v>
      </c>
      <c r="AN49" s="292"/>
      <c r="AO49" s="292"/>
    </row>
    <row r="50" spans="1:41" s="285" customFormat="1">
      <c r="A50" s="336">
        <v>7114900003</v>
      </c>
      <c r="B50" s="294" t="s">
        <v>19</v>
      </c>
      <c r="C50" s="290">
        <f>VLOOKUP(B50,Sheet1!$B$17:$C$451,2,0)</f>
        <v>384</v>
      </c>
      <c r="D50" s="291" t="s">
        <v>1100</v>
      </c>
      <c r="E50" s="291"/>
      <c r="F50" s="295" t="s">
        <v>23</v>
      </c>
      <c r="G50" s="295" t="s">
        <v>562</v>
      </c>
      <c r="H50" s="291" t="s">
        <v>1368</v>
      </c>
      <c r="I50" s="291" t="s">
        <v>204</v>
      </c>
      <c r="J50" s="291" t="s">
        <v>1478</v>
      </c>
      <c r="K50" s="297" t="s">
        <v>623</v>
      </c>
      <c r="L50" s="297"/>
      <c r="M50" s="293"/>
      <c r="N50" s="292" t="s">
        <v>683</v>
      </c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292"/>
      <c r="AJ50" s="292"/>
      <c r="AK50" s="380">
        <v>926100</v>
      </c>
      <c r="AL50" s="381">
        <v>865455</v>
      </c>
      <c r="AM50" s="379" t="str">
        <f t="shared" si="3"/>
        <v>INSERT INTO ListedPrice
(ProductId,ActiveDate,Channel,Price)
VALUES(384,'2020-05-01','GT',865455)</v>
      </c>
      <c r="AN50" s="292"/>
      <c r="AO50" s="292"/>
    </row>
    <row r="51" spans="1:41">
      <c r="A51" s="335">
        <v>7114900022</v>
      </c>
      <c r="B51" s="290" t="s">
        <v>20</v>
      </c>
      <c r="C51" s="290">
        <f>VLOOKUP(B51,Sheet1!$B$17:$C$451,2,0)</f>
        <v>385</v>
      </c>
      <c r="D51" s="291" t="s">
        <v>1101</v>
      </c>
      <c r="E51" s="291" t="s">
        <v>962</v>
      </c>
      <c r="F51" s="291" t="s">
        <v>23</v>
      </c>
      <c r="G51" s="291" t="s">
        <v>562</v>
      </c>
      <c r="H51" s="291" t="s">
        <v>1368</v>
      </c>
      <c r="I51" s="291" t="s">
        <v>204</v>
      </c>
      <c r="J51" s="291" t="s">
        <v>292</v>
      </c>
      <c r="K51" s="293" t="s">
        <v>872</v>
      </c>
      <c r="L51" s="293"/>
      <c r="M51" s="292" t="s">
        <v>877</v>
      </c>
      <c r="N51" s="292" t="s">
        <v>683</v>
      </c>
      <c r="O51" s="292" t="s">
        <v>1488</v>
      </c>
      <c r="P51" s="292" t="str">
        <f>"INSERT INTO ProductByAccount
( ProductId,AccountId)VALUES
("&amp;C51&amp;",1029)"</f>
        <v>INSERT INTO ProductByAccount
( ProductId,AccountId)VALUES
(385,1029)</v>
      </c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292" t="s">
        <v>872</v>
      </c>
      <c r="AJ51" s="292" t="str">
        <f>"INSERT INTO ProductByAccount
( ProductId,AccountId)VALUES
("&amp;C51&amp;",1039)"</f>
        <v>INSERT INTO ProductByAccount
( ProductId,AccountId)VALUES
(385,1039)</v>
      </c>
      <c r="AK51" s="380">
        <v>1080910</v>
      </c>
      <c r="AL51" s="381">
        <v>865455</v>
      </c>
      <c r="AM51" s="379" t="str">
        <f t="shared" si="3"/>
        <v>INSERT INTO ListedPrice
(ProductId,ActiveDate,Channel,Price)
VALUES(385,'2020-05-01','GT',865455)</v>
      </c>
      <c r="AN51" s="292"/>
      <c r="AO51" s="292"/>
    </row>
    <row r="52" spans="1:41">
      <c r="A52" s="335">
        <v>7114900004</v>
      </c>
      <c r="B52" s="290" t="s">
        <v>21</v>
      </c>
      <c r="C52" s="290">
        <f>VLOOKUP(B52,Sheet1!$B$17:$C$451,2,0)</f>
        <v>386</v>
      </c>
      <c r="D52" s="291" t="s">
        <v>1102</v>
      </c>
      <c r="E52" s="291" t="s">
        <v>963</v>
      </c>
      <c r="F52" s="291" t="s">
        <v>23</v>
      </c>
      <c r="G52" s="291" t="s">
        <v>562</v>
      </c>
      <c r="H52" s="291" t="s">
        <v>1368</v>
      </c>
      <c r="I52" s="291" t="s">
        <v>205</v>
      </c>
      <c r="J52" s="291" t="s">
        <v>1478</v>
      </c>
      <c r="K52" s="293" t="s">
        <v>872</v>
      </c>
      <c r="L52" s="293"/>
      <c r="M52" s="292" t="s">
        <v>877</v>
      </c>
      <c r="N52" s="292" t="s">
        <v>683</v>
      </c>
      <c r="O52" s="292" t="s">
        <v>1488</v>
      </c>
      <c r="P52" s="292" t="str">
        <f>"INSERT INTO ProductByAccount
( ProductId,AccountId)VALUES
("&amp;C52&amp;",1029)"</f>
        <v>INSERT INTO ProductByAccount
( ProductId,AccountId)VALUES
(386,1029)</v>
      </c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 t="s">
        <v>1485</v>
      </c>
      <c r="AF52" s="292" t="str">
        <f>"INSERT INTO ProductByAccount
( ProductId,AccountId)VALUES
("&amp;C52&amp;",1037)"</f>
        <v>INSERT INTO ProductByAccount
( ProductId,AccountId)VALUES
(386,1037)</v>
      </c>
      <c r="AG52" s="292"/>
      <c r="AH52" s="292"/>
      <c r="AI52" s="292"/>
      <c r="AJ52" s="292"/>
      <c r="AK52" s="380">
        <v>548182</v>
      </c>
      <c r="AL52" s="381">
        <v>439091</v>
      </c>
      <c r="AM52" s="379" t="str">
        <f t="shared" si="3"/>
        <v>INSERT INTO ListedPrice
(ProductId,ActiveDate,Channel,Price)
VALUES(386,'2020-05-01','GT',439091)</v>
      </c>
      <c r="AN52" s="292"/>
      <c r="AO52" s="292"/>
    </row>
    <row r="53" spans="1:41">
      <c r="A53" s="335">
        <v>7115900031</v>
      </c>
      <c r="B53" s="290" t="s">
        <v>16</v>
      </c>
      <c r="C53" s="290">
        <f>VLOOKUP(B53,Sheet1!$B$17:$C$451,2,0)</f>
        <v>387</v>
      </c>
      <c r="D53" s="291" t="s">
        <v>1087</v>
      </c>
      <c r="E53" s="291" t="s">
        <v>960</v>
      </c>
      <c r="F53" s="291" t="s">
        <v>23</v>
      </c>
      <c r="G53" s="291" t="s">
        <v>562</v>
      </c>
      <c r="H53" s="295" t="s">
        <v>1351</v>
      </c>
      <c r="I53" s="291" t="s">
        <v>32</v>
      </c>
      <c r="J53" s="299" t="s">
        <v>292</v>
      </c>
      <c r="K53" s="293" t="s">
        <v>872</v>
      </c>
      <c r="L53" s="293"/>
      <c r="M53" s="292" t="s">
        <v>877</v>
      </c>
      <c r="N53" s="292" t="s">
        <v>683</v>
      </c>
      <c r="O53" s="292" t="s">
        <v>1488</v>
      </c>
      <c r="P53" s="292" t="str">
        <f>"INSERT INTO ProductByAccount
( ProductId,AccountId)VALUES
("&amp;C53&amp;",1029)"</f>
        <v>INSERT INTO ProductByAccount
( ProductId,AccountId)VALUES
(387,1029)</v>
      </c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380">
        <v>75364</v>
      </c>
      <c r="AL53" s="381">
        <v>60909</v>
      </c>
      <c r="AM53" s="379" t="str">
        <f t="shared" si="3"/>
        <v>INSERT INTO ListedPrice
(ProductId,ActiveDate,Channel,Price)
VALUES(387,'2020-05-01','GT',60909)</v>
      </c>
      <c r="AN53" s="292"/>
      <c r="AO53" s="292"/>
    </row>
    <row r="54" spans="1:41">
      <c r="A54" s="335">
        <v>7115900319</v>
      </c>
      <c r="B54" s="290" t="s">
        <v>65</v>
      </c>
      <c r="C54" s="290">
        <f>VLOOKUP(B54,Sheet1!$B$17:$C$451,2,0)</f>
        <v>388</v>
      </c>
      <c r="D54" s="291" t="s">
        <v>1032</v>
      </c>
      <c r="E54" s="291" t="s">
        <v>475</v>
      </c>
      <c r="F54" s="291" t="s">
        <v>23</v>
      </c>
      <c r="G54" s="291" t="s">
        <v>562</v>
      </c>
      <c r="H54" s="295" t="s">
        <v>1351</v>
      </c>
      <c r="I54" s="291" t="s">
        <v>34</v>
      </c>
      <c r="J54" s="299" t="s">
        <v>292</v>
      </c>
      <c r="K54" s="293" t="s">
        <v>872</v>
      </c>
      <c r="L54" s="293"/>
      <c r="M54" s="292" t="s">
        <v>877</v>
      </c>
      <c r="N54" s="292" t="s">
        <v>683</v>
      </c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 t="s">
        <v>872</v>
      </c>
      <c r="Z54" s="292" t="str">
        <f>"INSERT INTO ProductByAccount
( ProductId,AccountId)VALUES
("&amp;C54&amp;",1034)"</f>
        <v>INSERT INTO ProductByAccount
( ProductId,AccountId)VALUES
(388,1034)</v>
      </c>
      <c r="AA54" s="292"/>
      <c r="AB54" s="292"/>
      <c r="AC54" s="292" t="s">
        <v>872</v>
      </c>
      <c r="AD54" s="292" t="str">
        <f>"INSERT INTO ProductByAccount
( ProductId,AccountId)VALUES
("&amp;C54&amp;",1036)"</f>
        <v>INSERT INTO ProductByAccount
( ProductId,AccountId)VALUES
(388,1036)</v>
      </c>
      <c r="AE54" s="292"/>
      <c r="AF54" s="292"/>
      <c r="AG54" s="292"/>
      <c r="AH54" s="292"/>
      <c r="AI54" s="292"/>
      <c r="AJ54" s="292"/>
      <c r="AK54" s="380">
        <v>122310</v>
      </c>
      <c r="AL54" s="381">
        <v>99091</v>
      </c>
      <c r="AM54" s="379" t="str">
        <f t="shared" si="3"/>
        <v>INSERT INTO ListedPrice
(ProductId,ActiveDate,Channel,Price)
VALUES(388,'2020-05-01','GT',99091)</v>
      </c>
      <c r="AN54" s="292"/>
      <c r="AO54" s="292"/>
    </row>
    <row r="55" spans="1:41">
      <c r="A55" s="335">
        <v>7115900320</v>
      </c>
      <c r="B55" s="290" t="s">
        <v>51</v>
      </c>
      <c r="C55" s="290">
        <f>VLOOKUP(B55,Sheet1!$B$17:$C$451,2,0)</f>
        <v>389</v>
      </c>
      <c r="D55" s="291" t="s">
        <v>1033</v>
      </c>
      <c r="E55" s="291" t="s">
        <v>471</v>
      </c>
      <c r="F55" s="291" t="s">
        <v>23</v>
      </c>
      <c r="G55" s="291" t="s">
        <v>562</v>
      </c>
      <c r="H55" s="295" t="s">
        <v>1351</v>
      </c>
      <c r="I55" s="291" t="s">
        <v>34</v>
      </c>
      <c r="J55" s="299" t="s">
        <v>292</v>
      </c>
      <c r="K55" s="293" t="s">
        <v>872</v>
      </c>
      <c r="L55" s="293"/>
      <c r="M55" s="292" t="s">
        <v>877</v>
      </c>
      <c r="N55" s="292" t="s">
        <v>683</v>
      </c>
      <c r="O55" s="292" t="s">
        <v>1488</v>
      </c>
      <c r="P55" s="292" t="str">
        <f>"INSERT INTO ProductByAccount
( ProductId,AccountId)VALUES
("&amp;C55&amp;",1029)"</f>
        <v>INSERT INTO ProductByAccount
( ProductId,AccountId)VALUES
(389,1029)</v>
      </c>
      <c r="Q55" s="292"/>
      <c r="R55" s="292"/>
      <c r="S55" s="292"/>
      <c r="T55" s="292"/>
      <c r="U55" s="292" t="s">
        <v>1442</v>
      </c>
      <c r="V55" s="292" t="str">
        <f>"INSERT INTO ProductByAccount
( ProductId,AccountId)VALUES
("&amp;C55&amp;",1032)"</f>
        <v>INSERT INTO ProductByAccount
( ProductId,AccountId)VALUES
(389,1032)</v>
      </c>
      <c r="W55" s="292"/>
      <c r="X55" s="292"/>
      <c r="Y55" s="292"/>
      <c r="Z55" s="292"/>
      <c r="AA55" s="292"/>
      <c r="AB55" s="292"/>
      <c r="AC55" s="292"/>
      <c r="AD55" s="292"/>
      <c r="AE55" s="292"/>
      <c r="AF55" s="292"/>
      <c r="AG55" s="292"/>
      <c r="AH55" s="292"/>
      <c r="AI55" s="292"/>
      <c r="AJ55" s="292"/>
      <c r="AK55" s="380">
        <v>135455</v>
      </c>
      <c r="AL55" s="381">
        <v>110000</v>
      </c>
      <c r="AM55" s="379" t="str">
        <f t="shared" si="3"/>
        <v>INSERT INTO ListedPrice
(ProductId,ActiveDate,Channel,Price)
VALUES(389,'2020-05-01','GT',110000)</v>
      </c>
      <c r="AN55" s="292"/>
      <c r="AO55" s="292"/>
    </row>
    <row r="56" spans="1:41">
      <c r="A56" s="335">
        <v>7115900321</v>
      </c>
      <c r="B56" s="290" t="s">
        <v>52</v>
      </c>
      <c r="C56" s="290">
        <f>VLOOKUP(B56,Sheet1!$B$17:$C$451,2,0)</f>
        <v>390</v>
      </c>
      <c r="D56" s="291" t="s">
        <v>1034</v>
      </c>
      <c r="E56" s="291" t="s">
        <v>461</v>
      </c>
      <c r="F56" s="291" t="s">
        <v>23</v>
      </c>
      <c r="G56" s="291" t="s">
        <v>562</v>
      </c>
      <c r="H56" s="295" t="s">
        <v>1351</v>
      </c>
      <c r="I56" s="291" t="s">
        <v>34</v>
      </c>
      <c r="J56" s="299" t="s">
        <v>292</v>
      </c>
      <c r="K56" s="293" t="s">
        <v>872</v>
      </c>
      <c r="L56" s="293"/>
      <c r="M56" s="292" t="s">
        <v>877</v>
      </c>
      <c r="N56" s="292" t="s">
        <v>683</v>
      </c>
      <c r="O56" s="292" t="s">
        <v>1488</v>
      </c>
      <c r="P56" s="292" t="str">
        <f>"INSERT INTO ProductByAccount
( ProductId,AccountId)VALUES
("&amp;C56&amp;",1029)"</f>
        <v>INSERT INTO ProductByAccount
( ProductId,AccountId)VALUES
(390,1029)</v>
      </c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92"/>
      <c r="AG56" s="292" t="s">
        <v>872</v>
      </c>
      <c r="AH56" s="292" t="str">
        <f>"INSERT INTO ProductByAccount
( ProductId,AccountId)VALUES
("&amp;C56&amp;",1038)"</f>
        <v>INSERT INTO ProductByAccount
( ProductId,AccountId)VALUES
(390,1038)</v>
      </c>
      <c r="AI56" s="292"/>
      <c r="AJ56" s="292"/>
      <c r="AK56" s="380">
        <v>154455</v>
      </c>
      <c r="AL56" s="381">
        <v>123636</v>
      </c>
      <c r="AM56" s="379" t="str">
        <f t="shared" si="3"/>
        <v>INSERT INTO ListedPrice
(ProductId,ActiveDate,Channel,Price)
VALUES(390,'2020-05-01','GT',123636)</v>
      </c>
      <c r="AN56" s="292"/>
      <c r="AO56" s="292"/>
    </row>
    <row r="57" spans="1:41">
      <c r="A57" s="335">
        <v>7115900322</v>
      </c>
      <c r="B57" s="290" t="s">
        <v>53</v>
      </c>
      <c r="C57" s="290">
        <f>VLOOKUP(B57,Sheet1!$B$17:$C$451,2,0)</f>
        <v>391</v>
      </c>
      <c r="D57" s="291" t="s">
        <v>1035</v>
      </c>
      <c r="E57" s="291" t="s">
        <v>463</v>
      </c>
      <c r="F57" s="291" t="s">
        <v>23</v>
      </c>
      <c r="G57" s="291" t="s">
        <v>562</v>
      </c>
      <c r="H57" s="295" t="s">
        <v>1351</v>
      </c>
      <c r="I57" s="291" t="s">
        <v>34</v>
      </c>
      <c r="J57" s="299" t="s">
        <v>292</v>
      </c>
      <c r="K57" s="293" t="s">
        <v>872</v>
      </c>
      <c r="L57" s="293"/>
      <c r="M57" s="292" t="s">
        <v>877</v>
      </c>
      <c r="N57" s="292" t="s">
        <v>683</v>
      </c>
      <c r="O57" s="292" t="s">
        <v>1488</v>
      </c>
      <c r="P57" s="292" t="str">
        <f>"INSERT INTO ProductByAccount
( ProductId,AccountId)VALUES
("&amp;C57&amp;",1029)"</f>
        <v>INSERT INTO ProductByAccount
( ProductId,AccountId)VALUES
(391,1029)</v>
      </c>
      <c r="Q57" s="292" t="s">
        <v>872</v>
      </c>
      <c r="R57" s="292" t="str">
        <f>"INSERT INTO ProductByAccount
( ProductId,AccountId)VALUES
("&amp;C57&amp;",1030)"</f>
        <v>INSERT INTO ProductByAccount
( ProductId,AccountId)VALUES
(391,1030)</v>
      </c>
      <c r="S57" s="292" t="s">
        <v>1485</v>
      </c>
      <c r="T57" s="292" t="str">
        <f>"INSERT INTO ProductByAccount
( ProductId,AccountId)VALUES
("&amp;C57&amp;",1031)"</f>
        <v>INSERT INTO ProductByAccount
( ProductId,AccountId)VALUES
(391,1031)</v>
      </c>
      <c r="U57" s="292" t="s">
        <v>872</v>
      </c>
      <c r="V57" s="292" t="str">
        <f>"INSERT INTO ProductByAccount
( ProductId,AccountId)VALUES
("&amp;C57&amp;",1032)"</f>
        <v>INSERT INTO ProductByAccount
( ProductId,AccountId)VALUES
(391,1032)</v>
      </c>
      <c r="W57" s="292"/>
      <c r="X57" s="292"/>
      <c r="Y57" s="292" t="s">
        <v>872</v>
      </c>
      <c r="Z57" s="292" t="str">
        <f>"INSERT INTO ProductByAccount
( ProductId,AccountId)VALUES
("&amp;C57&amp;",1034)"</f>
        <v>INSERT INTO ProductByAccount
( ProductId,AccountId)VALUES
(391,1034)</v>
      </c>
      <c r="AA57" s="292"/>
      <c r="AB57" s="292"/>
      <c r="AC57" s="292"/>
      <c r="AD57" s="292"/>
      <c r="AE57" s="292" t="s">
        <v>1485</v>
      </c>
      <c r="AF57" s="292" t="str">
        <f>"INSERT INTO ProductByAccount
( ProductId,AccountId)VALUES
("&amp;C57&amp;",1037)"</f>
        <v>INSERT INTO ProductByAccount
( ProductId,AccountId)VALUES
(391,1037)</v>
      </c>
      <c r="AG57" s="292" t="s">
        <v>872</v>
      </c>
      <c r="AH57" s="292" t="str">
        <f>"INSERT INTO ProductByAccount
( ProductId,AccountId)VALUES
("&amp;C57&amp;",1038)"</f>
        <v>INSERT INTO ProductByAccount
( ProductId,AccountId)VALUES
(391,1038)</v>
      </c>
      <c r="AI57" s="292"/>
      <c r="AJ57" s="292"/>
      <c r="AK57" s="380">
        <v>175364</v>
      </c>
      <c r="AL57" s="381">
        <v>140000</v>
      </c>
      <c r="AM57" s="379" t="str">
        <f t="shared" si="3"/>
        <v>INSERT INTO ListedPrice
(ProductId,ActiveDate,Channel,Price)
VALUES(391,'2020-05-01','GT',140000)</v>
      </c>
      <c r="AN57" s="292"/>
      <c r="AO57" s="292"/>
    </row>
    <row r="58" spans="1:41">
      <c r="A58" s="335">
        <v>7115900323</v>
      </c>
      <c r="B58" s="290" t="s">
        <v>54</v>
      </c>
      <c r="C58" s="290">
        <f>VLOOKUP(B58,Sheet1!$B$17:$C$451,2,0)</f>
        <v>392</v>
      </c>
      <c r="D58" s="291" t="s">
        <v>1036</v>
      </c>
      <c r="E58" s="291" t="s">
        <v>462</v>
      </c>
      <c r="F58" s="291" t="s">
        <v>23</v>
      </c>
      <c r="G58" s="291" t="s">
        <v>562</v>
      </c>
      <c r="H58" s="295" t="s">
        <v>1351</v>
      </c>
      <c r="I58" s="291" t="s">
        <v>34</v>
      </c>
      <c r="J58" s="299" t="s">
        <v>292</v>
      </c>
      <c r="K58" s="293" t="s">
        <v>872</v>
      </c>
      <c r="L58" s="293"/>
      <c r="M58" s="292" t="s">
        <v>877</v>
      </c>
      <c r="N58" s="292" t="s">
        <v>683</v>
      </c>
      <c r="O58" s="292" t="s">
        <v>1488</v>
      </c>
      <c r="P58" s="292" t="str">
        <f>"INSERT INTO ProductByAccount
( ProductId,AccountId)VALUES
("&amp;C58&amp;",1029)"</f>
        <v>INSERT INTO ProductByAccount
( ProductId,AccountId)VALUES
(392,1029)</v>
      </c>
      <c r="Q58" s="292" t="s">
        <v>872</v>
      </c>
      <c r="R58" s="292" t="str">
        <f>"INSERT INTO ProductByAccount
( ProductId,AccountId)VALUES
("&amp;C58&amp;",1030)"</f>
        <v>INSERT INTO ProductByAccount
( ProductId,AccountId)VALUES
(392,1030)</v>
      </c>
      <c r="S58" s="292" t="s">
        <v>1485</v>
      </c>
      <c r="T58" s="292" t="str">
        <f>"INSERT INTO ProductByAccount
( ProductId,AccountId)VALUES
("&amp;C58&amp;",1031)"</f>
        <v>INSERT INTO ProductByAccount
( ProductId,AccountId)VALUES
(392,1031)</v>
      </c>
      <c r="U58" s="292" t="s">
        <v>872</v>
      </c>
      <c r="V58" s="292" t="str">
        <f>"INSERT INTO ProductByAccount
( ProductId,AccountId)VALUES
("&amp;C58&amp;",1032)"</f>
        <v>INSERT INTO ProductByAccount
( ProductId,AccountId)VALUES
(392,1032)</v>
      </c>
      <c r="W58" s="292"/>
      <c r="X58" s="292"/>
      <c r="Y58" s="292" t="s">
        <v>872</v>
      </c>
      <c r="Z58" s="292" t="str">
        <f>"INSERT INTO ProductByAccount
( ProductId,AccountId)VALUES
("&amp;C58&amp;",1034)"</f>
        <v>INSERT INTO ProductByAccount
( ProductId,AccountId)VALUES
(392,1034)</v>
      </c>
      <c r="AA58" s="292"/>
      <c r="AB58" s="292"/>
      <c r="AC58" s="292" t="s">
        <v>872</v>
      </c>
      <c r="AD58" s="292" t="str">
        <f>"INSERT INTO ProductByAccount
( ProductId,AccountId)VALUES
("&amp;C58&amp;",1036)"</f>
        <v>INSERT INTO ProductByAccount
( ProductId,AccountId)VALUES
(392,1036)</v>
      </c>
      <c r="AE58" s="292"/>
      <c r="AF58" s="292"/>
      <c r="AG58" s="292"/>
      <c r="AH58" s="292"/>
      <c r="AI58" s="292"/>
      <c r="AJ58" s="292"/>
      <c r="AK58" s="380">
        <v>195364</v>
      </c>
      <c r="AL58" s="381">
        <v>156364</v>
      </c>
      <c r="AM58" s="379" t="str">
        <f t="shared" si="3"/>
        <v>INSERT INTO ListedPrice
(ProductId,ActiveDate,Channel,Price)
VALUES(392,'2020-05-01','GT',156364)</v>
      </c>
      <c r="AN58" s="292"/>
      <c r="AO58" s="292"/>
    </row>
    <row r="59" spans="1:41">
      <c r="A59" s="335">
        <v>7115900324</v>
      </c>
      <c r="B59" s="290" t="s">
        <v>55</v>
      </c>
      <c r="C59" s="290">
        <f>VLOOKUP(B59,Sheet1!$B$17:$C$451,2,0)</f>
        <v>393</v>
      </c>
      <c r="D59" s="291" t="s">
        <v>1037</v>
      </c>
      <c r="E59" s="291" t="s">
        <v>464</v>
      </c>
      <c r="F59" s="291" t="s">
        <v>23</v>
      </c>
      <c r="G59" s="291" t="s">
        <v>562</v>
      </c>
      <c r="H59" s="295" t="s">
        <v>1351</v>
      </c>
      <c r="I59" s="291" t="s">
        <v>34</v>
      </c>
      <c r="J59" s="299" t="s">
        <v>292</v>
      </c>
      <c r="K59" s="293" t="s">
        <v>872</v>
      </c>
      <c r="L59" s="293"/>
      <c r="M59" s="292" t="s">
        <v>877</v>
      </c>
      <c r="N59" s="292" t="s">
        <v>683</v>
      </c>
      <c r="O59" s="292"/>
      <c r="P59" s="292"/>
      <c r="Q59" s="292"/>
      <c r="R59" s="292"/>
      <c r="S59" s="292"/>
      <c r="T59" s="292"/>
      <c r="U59" s="292" t="s">
        <v>872</v>
      </c>
      <c r="V59" s="292" t="str">
        <f>"INSERT INTO ProductByAccount
( ProductId,AccountId)VALUES
("&amp;C59&amp;",1032)"</f>
        <v>INSERT INTO ProductByAccount
( ProductId,AccountId)VALUES
(393,1032)</v>
      </c>
      <c r="W59" s="292"/>
      <c r="X59" s="292"/>
      <c r="Y59" s="292" t="s">
        <v>872</v>
      </c>
      <c r="Z59" s="292" t="str">
        <f>"INSERT INTO ProductByAccount
( ProductId,AccountId)VALUES
("&amp;C59&amp;",1034)"</f>
        <v>INSERT INTO ProductByAccount
( ProductId,AccountId)VALUES
(393,1034)</v>
      </c>
      <c r="AA59" s="292"/>
      <c r="AB59" s="292"/>
      <c r="AC59" s="292"/>
      <c r="AD59" s="292"/>
      <c r="AE59" s="292" t="s">
        <v>872</v>
      </c>
      <c r="AF59" s="292" t="str">
        <f>"INSERT INTO ProductByAccount
( ProductId,AccountId)VALUES
("&amp;C59&amp;",1037)"</f>
        <v>INSERT INTO ProductByAccount
( ProductId,AccountId)VALUES
(393,1037)</v>
      </c>
      <c r="AG59" s="292" t="s">
        <v>872</v>
      </c>
      <c r="AH59" s="292" t="str">
        <f>"INSERT INTO ProductByAccount
( ProductId,AccountId)VALUES
("&amp;C59&amp;",1038)"</f>
        <v>INSERT INTO ProductByAccount
( ProductId,AccountId)VALUES
(393,1038)</v>
      </c>
      <c r="AI59" s="292"/>
      <c r="AJ59" s="292"/>
      <c r="AK59" s="380">
        <v>216273</v>
      </c>
      <c r="AL59" s="381">
        <v>172727</v>
      </c>
      <c r="AM59" s="379" t="str">
        <f t="shared" si="3"/>
        <v>INSERT INTO ListedPrice
(ProductId,ActiveDate,Channel,Price)
VALUES(393,'2020-05-01','GT',172727)</v>
      </c>
      <c r="AN59" s="292"/>
      <c r="AO59" s="292"/>
    </row>
    <row r="60" spans="1:41" ht="13.15">
      <c r="A60" s="335">
        <v>7115900325</v>
      </c>
      <c r="B60" s="290" t="s">
        <v>56</v>
      </c>
      <c r="C60" s="290">
        <f>VLOOKUP(B60,Sheet1!$B$17:$C$451,2,0)</f>
        <v>394</v>
      </c>
      <c r="D60" s="291" t="s">
        <v>1038</v>
      </c>
      <c r="E60" s="291" t="s">
        <v>476</v>
      </c>
      <c r="F60" s="291" t="s">
        <v>23</v>
      </c>
      <c r="G60" s="291" t="s">
        <v>562</v>
      </c>
      <c r="H60" s="295" t="s">
        <v>1351</v>
      </c>
      <c r="I60" s="291" t="s">
        <v>31</v>
      </c>
      <c r="J60" s="291" t="s">
        <v>1479</v>
      </c>
      <c r="K60" s="293" t="s">
        <v>872</v>
      </c>
      <c r="L60" s="293"/>
      <c r="M60" s="292" t="s">
        <v>877</v>
      </c>
      <c r="N60" s="292" t="s">
        <v>683</v>
      </c>
      <c r="O60" s="292" t="s">
        <v>1488</v>
      </c>
      <c r="P60" s="292" t="str">
        <f>"INSERT INTO ProductByAccount
( ProductId,AccountId)VALUES
("&amp;C60&amp;",1029)"</f>
        <v>INSERT INTO ProductByAccount
( ProductId,AccountId)VALUES
(394,1029)</v>
      </c>
      <c r="Q60" s="354" t="s">
        <v>1442</v>
      </c>
      <c r="R60" s="292" t="str">
        <f>"INSERT INTO ProductByAccount
( ProductId,AccountId)VALUES
("&amp;C60&amp;",1030)"</f>
        <v>INSERT INTO ProductByAccount
( ProductId,AccountId)VALUES
(394,1030)</v>
      </c>
      <c r="S60" s="292" t="s">
        <v>1485</v>
      </c>
      <c r="T60" s="292" t="str">
        <f>"INSERT INTO ProductByAccount
( ProductId,AccountId)VALUES
("&amp;C60&amp;",1031)"</f>
        <v>INSERT INTO ProductByAccount
( ProductId,AccountId)VALUES
(394,1031)</v>
      </c>
      <c r="U60" s="292" t="s">
        <v>1442</v>
      </c>
      <c r="V60" s="292" t="str">
        <f>"INSERT INTO ProductByAccount
( ProductId,AccountId)VALUES
("&amp;C60&amp;",1032)"</f>
        <v>INSERT INTO ProductByAccount
( ProductId,AccountId)VALUES
(394,1032)</v>
      </c>
      <c r="W60" s="292"/>
      <c r="X60" s="292"/>
      <c r="Y60" s="292" t="s">
        <v>872</v>
      </c>
      <c r="Z60" s="292" t="str">
        <f>"INSERT INTO ProductByAccount
( ProductId,AccountId)VALUES
("&amp;C60&amp;",1034)"</f>
        <v>INSERT INTO ProductByAccount
( ProductId,AccountId)VALUES
(394,1034)</v>
      </c>
      <c r="AA60" s="292"/>
      <c r="AB60" s="292"/>
      <c r="AC60" s="292"/>
      <c r="AD60" s="292"/>
      <c r="AE60" s="292"/>
      <c r="AF60" s="292"/>
      <c r="AG60" s="292"/>
      <c r="AH60" s="292"/>
      <c r="AI60" s="292"/>
      <c r="AJ60" s="292"/>
      <c r="AK60" s="380">
        <v>131819</v>
      </c>
      <c r="AL60" s="381">
        <v>109091</v>
      </c>
      <c r="AM60" s="379" t="str">
        <f t="shared" si="3"/>
        <v>INSERT INTO ListedPrice
(ProductId,ActiveDate,Channel,Price)
VALUES(394,'2020-05-01','GT',109091)</v>
      </c>
      <c r="AN60" s="292"/>
      <c r="AO60" s="292"/>
    </row>
    <row r="61" spans="1:41" ht="13.15">
      <c r="A61" s="335">
        <v>7115900326</v>
      </c>
      <c r="B61" s="290" t="s">
        <v>57</v>
      </c>
      <c r="C61" s="290">
        <f>VLOOKUP(B61,Sheet1!$B$17:$C$451,2,0)</f>
        <v>395</v>
      </c>
      <c r="D61" s="291" t="s">
        <v>1039</v>
      </c>
      <c r="E61" s="291" t="s">
        <v>475</v>
      </c>
      <c r="F61" s="291" t="s">
        <v>23</v>
      </c>
      <c r="G61" s="291" t="s">
        <v>562</v>
      </c>
      <c r="H61" s="295" t="s">
        <v>1351</v>
      </c>
      <c r="I61" s="291" t="s">
        <v>31</v>
      </c>
      <c r="J61" s="291" t="s">
        <v>1361</v>
      </c>
      <c r="K61" s="293" t="s">
        <v>872</v>
      </c>
      <c r="L61" s="293"/>
      <c r="M61" s="292" t="s">
        <v>877</v>
      </c>
      <c r="N61" s="292" t="s">
        <v>683</v>
      </c>
      <c r="O61" s="292" t="s">
        <v>1488</v>
      </c>
      <c r="P61" s="292" t="str">
        <f>"INSERT INTO ProductByAccount
( ProductId,AccountId)VALUES
("&amp;C61&amp;",1029)"</f>
        <v>INSERT INTO ProductByAccount
( ProductId,AccountId)VALUES
(395,1029)</v>
      </c>
      <c r="Q61" s="354" t="s">
        <v>1442</v>
      </c>
      <c r="R61" s="292" t="str">
        <f>"INSERT INTO ProductByAccount
( ProductId,AccountId)VALUES
("&amp;C61&amp;",1030)"</f>
        <v>INSERT INTO ProductByAccount
( ProductId,AccountId)VALUES
(395,1030)</v>
      </c>
      <c r="S61" s="292" t="s">
        <v>1485</v>
      </c>
      <c r="T61" s="292" t="str">
        <f>"INSERT INTO ProductByAccount
( ProductId,AccountId)VALUES
("&amp;C61&amp;",1031)"</f>
        <v>INSERT INTO ProductByAccount
( ProductId,AccountId)VALUES
(395,1031)</v>
      </c>
      <c r="U61" s="292" t="s">
        <v>1442</v>
      </c>
      <c r="V61" s="292" t="str">
        <f>"INSERT INTO ProductByAccount
( ProductId,AccountId)VALUES
("&amp;C61&amp;",1032)"</f>
        <v>INSERT INTO ProductByAccount
( ProductId,AccountId)VALUES
(395,1032)</v>
      </c>
      <c r="W61" s="292"/>
      <c r="X61" s="292"/>
      <c r="Y61" s="292" t="s">
        <v>872</v>
      </c>
      <c r="Z61" s="292" t="str">
        <f>"INSERT INTO ProductByAccount
( ProductId,AccountId)VALUES
("&amp;C61&amp;",1034)"</f>
        <v>INSERT INTO ProductByAccount
( ProductId,AccountId)VALUES
(395,1034)</v>
      </c>
      <c r="AA61" s="292"/>
      <c r="AB61" s="292"/>
      <c r="AC61" s="292"/>
      <c r="AD61" s="292"/>
      <c r="AE61" s="292"/>
      <c r="AF61" s="292"/>
      <c r="AG61" s="292" t="s">
        <v>872</v>
      </c>
      <c r="AH61" s="292" t="str">
        <f>"INSERT INTO ProductByAccount
( ProductId,AccountId)VALUES
("&amp;C61&amp;",1038)"</f>
        <v>INSERT INTO ProductByAccount
( ProductId,AccountId)VALUES
(395,1038)</v>
      </c>
      <c r="AI61" s="292"/>
      <c r="AJ61" s="292"/>
      <c r="AK61" s="380">
        <v>164455</v>
      </c>
      <c r="AL61" s="381">
        <v>131818</v>
      </c>
      <c r="AM61" s="379" t="str">
        <f t="shared" si="3"/>
        <v>INSERT INTO ListedPrice
(ProductId,ActiveDate,Channel,Price)
VALUES(395,'2020-05-01','GT',131818)</v>
      </c>
      <c r="AN61" s="292"/>
      <c r="AO61" s="292"/>
    </row>
    <row r="62" spans="1:41" s="285" customFormat="1">
      <c r="A62" s="336">
        <v>7115900331</v>
      </c>
      <c r="B62" s="294" t="s">
        <v>80</v>
      </c>
      <c r="C62" s="290">
        <f>VLOOKUP(B62,Sheet1!$B$17:$C$451,2,0)</f>
        <v>396</v>
      </c>
      <c r="D62" s="291"/>
      <c r="E62" s="291" t="s">
        <v>463</v>
      </c>
      <c r="F62" s="295" t="s">
        <v>23</v>
      </c>
      <c r="G62" s="295" t="s">
        <v>562</v>
      </c>
      <c r="H62" s="295" t="s">
        <v>1351</v>
      </c>
      <c r="I62" s="291" t="s">
        <v>1419</v>
      </c>
      <c r="J62" s="295" t="s">
        <v>292</v>
      </c>
      <c r="K62" s="297" t="s">
        <v>623</v>
      </c>
      <c r="L62" s="297"/>
      <c r="M62" s="292" t="s">
        <v>877</v>
      </c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292"/>
      <c r="AJ62" s="292"/>
      <c r="AK62" s="329"/>
      <c r="AL62" s="381">
        <v>0</v>
      </c>
      <c r="AM62" s="379" t="str">
        <f t="shared" ref="AM62:AM67" si="4">"INSERT INTO ListedPrice
(ProductId,ActiveDate,Channel,Price)
VALUES("&amp;C62&amp;",'2020-05-01','MT',"&amp;AK62&amp;")"</f>
        <v>INSERT INTO ListedPrice
(ProductId,ActiveDate,Channel,Price)
VALUES(396,'2020-05-01','MT',)</v>
      </c>
      <c r="AN62" s="292"/>
      <c r="AO62" s="292"/>
    </row>
    <row r="63" spans="1:41" s="285" customFormat="1">
      <c r="A63" s="336">
        <v>7115900339</v>
      </c>
      <c r="B63" s="294" t="s">
        <v>95</v>
      </c>
      <c r="C63" s="290">
        <f>VLOOKUP(B63,Sheet1!$B$17:$C$451,2,0)</f>
        <v>397</v>
      </c>
      <c r="D63" s="291" t="s">
        <v>1040</v>
      </c>
      <c r="E63" s="291" t="s">
        <v>461</v>
      </c>
      <c r="F63" s="295" t="s">
        <v>23</v>
      </c>
      <c r="G63" s="295" t="s">
        <v>562</v>
      </c>
      <c r="H63" s="295" t="s">
        <v>1351</v>
      </c>
      <c r="I63" s="291" t="s">
        <v>2</v>
      </c>
      <c r="J63" s="295" t="s">
        <v>292</v>
      </c>
      <c r="K63" s="297" t="s">
        <v>623</v>
      </c>
      <c r="L63" s="297"/>
      <c r="M63" s="292" t="s">
        <v>877</v>
      </c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292"/>
      <c r="AJ63" s="292"/>
      <c r="AK63" s="329"/>
      <c r="AL63" s="381">
        <v>0</v>
      </c>
      <c r="AM63" s="379" t="str">
        <f t="shared" si="4"/>
        <v>INSERT INTO ListedPrice
(ProductId,ActiveDate,Channel,Price)
VALUES(397,'2020-05-01','MT',)</v>
      </c>
      <c r="AN63" s="292"/>
      <c r="AO63" s="292"/>
    </row>
    <row r="64" spans="1:41" s="285" customFormat="1">
      <c r="A64" s="347">
        <v>7115900341</v>
      </c>
      <c r="B64" s="294" t="s">
        <v>127</v>
      </c>
      <c r="C64" s="290">
        <f>VLOOKUP(B64,Sheet1!$B$17:$C$451,2,0)</f>
        <v>398</v>
      </c>
      <c r="D64" s="291"/>
      <c r="E64" s="291" t="s">
        <v>462</v>
      </c>
      <c r="F64" s="295" t="s">
        <v>23</v>
      </c>
      <c r="G64" s="295" t="s">
        <v>562</v>
      </c>
      <c r="H64" s="295" t="s">
        <v>1351</v>
      </c>
      <c r="I64" s="291" t="s">
        <v>2</v>
      </c>
      <c r="J64" s="295" t="s">
        <v>292</v>
      </c>
      <c r="K64" s="297" t="s">
        <v>623</v>
      </c>
      <c r="L64" s="297"/>
      <c r="M64" s="320" t="s">
        <v>877</v>
      </c>
      <c r="N64" s="333" t="s">
        <v>683</v>
      </c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329"/>
      <c r="AL64" s="381"/>
      <c r="AM64" s="379" t="str">
        <f t="shared" si="4"/>
        <v>INSERT INTO ListedPrice
(ProductId,ActiveDate,Channel,Price)
VALUES(398,'2020-05-01','MT',)</v>
      </c>
      <c r="AN64" s="292"/>
      <c r="AO64" s="292"/>
    </row>
    <row r="65" spans="1:41" s="285" customFormat="1">
      <c r="A65" s="339">
        <v>4200005532</v>
      </c>
      <c r="B65" s="297" t="s">
        <v>108</v>
      </c>
      <c r="C65" s="290">
        <f>VLOOKUP(B65,Sheet1!$B$17:$C$451,2,0)</f>
        <v>399</v>
      </c>
      <c r="D65" s="291" t="s">
        <v>1041</v>
      </c>
      <c r="E65" s="291" t="s">
        <v>461</v>
      </c>
      <c r="F65" s="295" t="s">
        <v>23</v>
      </c>
      <c r="G65" s="295" t="s">
        <v>562</v>
      </c>
      <c r="H65" s="295" t="s">
        <v>1351</v>
      </c>
      <c r="I65" s="291" t="s">
        <v>33</v>
      </c>
      <c r="J65" s="295" t="s">
        <v>292</v>
      </c>
      <c r="K65" s="297" t="s">
        <v>623</v>
      </c>
      <c r="L65" s="297"/>
      <c r="M65" s="292" t="s">
        <v>877</v>
      </c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292"/>
      <c r="AI65" s="292"/>
      <c r="AJ65" s="292"/>
      <c r="AK65" s="380">
        <v>161100</v>
      </c>
      <c r="AL65" s="381">
        <v>0</v>
      </c>
      <c r="AM65" s="379" t="str">
        <f t="shared" si="4"/>
        <v>INSERT INTO ListedPrice
(ProductId,ActiveDate,Channel,Price)
VALUES(399,'2020-05-01','MT',161100)</v>
      </c>
      <c r="AN65" s="292"/>
      <c r="AO65" s="292"/>
    </row>
    <row r="66" spans="1:41" s="285" customFormat="1">
      <c r="A66" s="336">
        <v>7115900505</v>
      </c>
      <c r="B66" s="294" t="s">
        <v>875</v>
      </c>
      <c r="C66" s="290">
        <f>VLOOKUP(B66,Sheet1!$B$17:$C$451,2,0)</f>
        <v>400</v>
      </c>
      <c r="D66" s="291" t="s">
        <v>1042</v>
      </c>
      <c r="E66" s="291" t="s">
        <v>471</v>
      </c>
      <c r="F66" s="295" t="s">
        <v>23</v>
      </c>
      <c r="G66" s="295" t="s">
        <v>562</v>
      </c>
      <c r="H66" s="295" t="s">
        <v>1351</v>
      </c>
      <c r="I66" s="291" t="s">
        <v>1473</v>
      </c>
      <c r="J66" s="295" t="s">
        <v>404</v>
      </c>
      <c r="K66" s="297" t="s">
        <v>623</v>
      </c>
      <c r="L66" s="297"/>
      <c r="M66" s="292" t="s">
        <v>877</v>
      </c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  <c r="AH66" s="292"/>
      <c r="AI66" s="292"/>
      <c r="AJ66" s="292"/>
      <c r="AK66" s="329"/>
      <c r="AL66" s="381"/>
      <c r="AM66" s="379" t="str">
        <f t="shared" si="4"/>
        <v>INSERT INTO ListedPrice
(ProductId,ActiveDate,Channel,Price)
VALUES(400,'2020-05-01','MT',)</v>
      </c>
      <c r="AN66" s="292"/>
      <c r="AO66" s="292"/>
    </row>
    <row r="67" spans="1:41" s="285" customFormat="1">
      <c r="A67" s="339">
        <v>7115900483</v>
      </c>
      <c r="B67" s="297" t="s">
        <v>876</v>
      </c>
      <c r="C67" s="290">
        <f>VLOOKUP(B67,Sheet1!$B$17:$C$451,2,0)</f>
        <v>401</v>
      </c>
      <c r="D67" s="291" t="s">
        <v>1043</v>
      </c>
      <c r="E67" s="291" t="s">
        <v>463</v>
      </c>
      <c r="F67" s="295" t="s">
        <v>23</v>
      </c>
      <c r="G67" s="295" t="s">
        <v>562</v>
      </c>
      <c r="H67" s="295" t="s">
        <v>1351</v>
      </c>
      <c r="I67" s="291" t="s">
        <v>1473</v>
      </c>
      <c r="J67" s="295" t="s">
        <v>1416</v>
      </c>
      <c r="K67" s="297" t="s">
        <v>623</v>
      </c>
      <c r="L67" s="297"/>
      <c r="M67" s="292" t="s">
        <v>877</v>
      </c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380">
        <v>250000</v>
      </c>
      <c r="AL67" s="381">
        <v>0</v>
      </c>
      <c r="AM67" s="379" t="str">
        <f t="shared" si="4"/>
        <v>INSERT INTO ListedPrice
(ProductId,ActiveDate,Channel,Price)
VALUES(401,'2020-05-01','MT',250000)</v>
      </c>
      <c r="AN67" s="292"/>
      <c r="AO67" s="292"/>
    </row>
    <row r="68" spans="1:41">
      <c r="A68" s="335">
        <v>7115900758</v>
      </c>
      <c r="B68" s="290" t="s">
        <v>170</v>
      </c>
      <c r="C68" s="290">
        <f>VLOOKUP(B68,Sheet1!$B$17:$C$451,2,0)</f>
        <v>402</v>
      </c>
      <c r="D68" s="291" t="s">
        <v>1044</v>
      </c>
      <c r="E68" s="291" t="s">
        <v>461</v>
      </c>
      <c r="F68" s="291" t="s">
        <v>23</v>
      </c>
      <c r="G68" s="291" t="s">
        <v>562</v>
      </c>
      <c r="H68" s="295" t="s">
        <v>1351</v>
      </c>
      <c r="I68" s="291" t="s">
        <v>956</v>
      </c>
      <c r="J68" s="291" t="s">
        <v>1481</v>
      </c>
      <c r="K68" s="293" t="s">
        <v>872</v>
      </c>
      <c r="L68" s="293"/>
      <c r="M68" s="292" t="s">
        <v>877</v>
      </c>
      <c r="N68" s="292" t="s">
        <v>683</v>
      </c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2"/>
      <c r="AG68" s="292"/>
      <c r="AH68" s="292"/>
      <c r="AI68" s="292"/>
      <c r="AJ68" s="292"/>
      <c r="AK68" s="380">
        <v>253637</v>
      </c>
      <c r="AL68" s="381">
        <v>199091</v>
      </c>
      <c r="AM68" s="379" t="str">
        <f t="shared" ref="AM68:AM89" si="5">"INSERT INTO ListedPrice
(ProductId,ActiveDate,Channel,Price)
VALUES("&amp;C68&amp;",'2020-05-01','GT',"&amp;AL68&amp;")"</f>
        <v>INSERT INTO ListedPrice
(ProductId,ActiveDate,Channel,Price)
VALUES(402,'2020-05-01','GT',199091)</v>
      </c>
      <c r="AN68" s="292"/>
      <c r="AO68" s="292"/>
    </row>
    <row r="69" spans="1:41">
      <c r="A69" s="335">
        <v>7115900755</v>
      </c>
      <c r="B69" s="290" t="s">
        <v>697</v>
      </c>
      <c r="C69" s="290">
        <f>VLOOKUP(B69,Sheet1!$B$17:$C$451,2,0)</f>
        <v>403</v>
      </c>
      <c r="D69" s="291" t="s">
        <v>1045</v>
      </c>
      <c r="E69" s="291" t="s">
        <v>461</v>
      </c>
      <c r="F69" s="291" t="s">
        <v>23</v>
      </c>
      <c r="G69" s="291" t="s">
        <v>562</v>
      </c>
      <c r="H69" s="295" t="s">
        <v>1351</v>
      </c>
      <c r="I69" s="291" t="s">
        <v>956</v>
      </c>
      <c r="J69" s="291" t="s">
        <v>1480</v>
      </c>
      <c r="K69" s="293" t="s">
        <v>872</v>
      </c>
      <c r="L69" s="293"/>
      <c r="M69" s="292" t="s">
        <v>877</v>
      </c>
      <c r="N69" s="292" t="s">
        <v>683</v>
      </c>
      <c r="O69" s="292" t="s">
        <v>1488</v>
      </c>
      <c r="P69" s="292" t="str">
        <f>"INSERT INTO ProductByAccount
( ProductId,AccountId)VALUES
("&amp;C69&amp;",1029)"</f>
        <v>INSERT INTO ProductByAccount
( ProductId,AccountId)VALUES
(403,1029)</v>
      </c>
      <c r="Q69" s="292"/>
      <c r="R69" s="292"/>
      <c r="S69" s="292" t="s">
        <v>1485</v>
      </c>
      <c r="T69" s="292" t="str">
        <f>"INSERT INTO ProductByAccount
( ProductId,AccountId)VALUES
("&amp;C69&amp;",1031)"</f>
        <v>INSERT INTO ProductByAccount
( ProductId,AccountId)VALUES
(403,1031)</v>
      </c>
      <c r="U69" s="292" t="s">
        <v>1442</v>
      </c>
      <c r="V69" s="292" t="str">
        <f>"INSERT INTO ProductByAccount
( ProductId,AccountId)VALUES
("&amp;C69&amp;",1032)"</f>
        <v>INSERT INTO ProductByAccount
( ProductId,AccountId)VALUES
(403,1032)</v>
      </c>
      <c r="W69" s="292"/>
      <c r="X69" s="292"/>
      <c r="Y69" s="292"/>
      <c r="Z69" s="292"/>
      <c r="AA69" s="292"/>
      <c r="AB69" s="292"/>
      <c r="AC69" s="292"/>
      <c r="AD69" s="292"/>
      <c r="AE69" s="292" t="s">
        <v>872</v>
      </c>
      <c r="AF69" s="292" t="str">
        <f>"INSERT INTO ProductByAccount
( ProductId,AccountId)VALUES
("&amp;C69&amp;",1037)"</f>
        <v>INSERT INTO ProductByAccount
( ProductId,AccountId)VALUES
(403,1037)</v>
      </c>
      <c r="AG69" s="292"/>
      <c r="AH69" s="292"/>
      <c r="AI69" s="292"/>
      <c r="AJ69" s="292"/>
      <c r="AK69" s="380">
        <v>269910</v>
      </c>
      <c r="AL69" s="381">
        <v>219091</v>
      </c>
      <c r="AM69" s="379" t="str">
        <f t="shared" si="5"/>
        <v>INSERT INTO ListedPrice
(ProductId,ActiveDate,Channel,Price)
VALUES(403,'2020-05-01','GT',219091)</v>
      </c>
      <c r="AN69" s="292"/>
      <c r="AO69" s="292"/>
    </row>
    <row r="70" spans="1:41">
      <c r="A70" s="335">
        <v>7115900759</v>
      </c>
      <c r="B70" s="290" t="s">
        <v>171</v>
      </c>
      <c r="C70" s="290">
        <f>VLOOKUP(B70,Sheet1!$B$17:$C$451,2,0)</f>
        <v>404</v>
      </c>
      <c r="D70" s="291" t="s">
        <v>1046</v>
      </c>
      <c r="E70" s="291" t="s">
        <v>463</v>
      </c>
      <c r="F70" s="291" t="s">
        <v>23</v>
      </c>
      <c r="G70" s="291" t="s">
        <v>562</v>
      </c>
      <c r="H70" s="295" t="s">
        <v>1351</v>
      </c>
      <c r="I70" s="291" t="s">
        <v>956</v>
      </c>
      <c r="J70" s="291" t="s">
        <v>1481</v>
      </c>
      <c r="K70" s="293" t="s">
        <v>872</v>
      </c>
      <c r="L70" s="293"/>
      <c r="M70" s="292" t="s">
        <v>877</v>
      </c>
      <c r="N70" s="292" t="s">
        <v>683</v>
      </c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380">
        <v>262728</v>
      </c>
      <c r="AL70" s="381">
        <v>210000</v>
      </c>
      <c r="AM70" s="379" t="str">
        <f t="shared" si="5"/>
        <v>INSERT INTO ListedPrice
(ProductId,ActiveDate,Channel,Price)
VALUES(404,'2020-05-01','GT',210000)</v>
      </c>
      <c r="AN70" s="292"/>
      <c r="AO70" s="292"/>
    </row>
    <row r="71" spans="1:41" ht="13.15">
      <c r="A71" s="335">
        <v>7115900756</v>
      </c>
      <c r="B71" s="290" t="s">
        <v>698</v>
      </c>
      <c r="C71" s="290">
        <f>VLOOKUP(B71,Sheet1!$B$17:$C$451,2,0)</f>
        <v>405</v>
      </c>
      <c r="D71" s="291" t="s">
        <v>1047</v>
      </c>
      <c r="E71" s="291" t="s">
        <v>463</v>
      </c>
      <c r="F71" s="291" t="s">
        <v>23</v>
      </c>
      <c r="G71" s="291" t="s">
        <v>562</v>
      </c>
      <c r="H71" s="295" t="s">
        <v>1351</v>
      </c>
      <c r="I71" s="291" t="s">
        <v>956</v>
      </c>
      <c r="J71" s="291" t="s">
        <v>1480</v>
      </c>
      <c r="K71" s="293" t="s">
        <v>872</v>
      </c>
      <c r="L71" s="293"/>
      <c r="M71" s="292" t="s">
        <v>877</v>
      </c>
      <c r="N71" s="292" t="s">
        <v>683</v>
      </c>
      <c r="O71" s="292" t="s">
        <v>1488</v>
      </c>
      <c r="P71" s="292" t="str">
        <f>"INSERT INTO ProductByAccount
( ProductId,AccountId)VALUES
("&amp;C71&amp;",1029)"</f>
        <v>INSERT INTO ProductByAccount
( ProductId,AccountId)VALUES
(405,1029)</v>
      </c>
      <c r="Q71" s="354" t="s">
        <v>1442</v>
      </c>
      <c r="R71" s="292" t="str">
        <f>"INSERT INTO ProductByAccount
( ProductId,AccountId)VALUES
("&amp;C71&amp;",1030)"</f>
        <v>INSERT INTO ProductByAccount
( ProductId,AccountId)VALUES
(405,1030)</v>
      </c>
      <c r="S71" s="292"/>
      <c r="T71" s="292"/>
      <c r="U71" s="292" t="s">
        <v>1442</v>
      </c>
      <c r="V71" s="292" t="str">
        <f>"INSERT INTO ProductByAccount
( ProductId,AccountId)VALUES
("&amp;C71&amp;",1032)"</f>
        <v>INSERT INTO ProductByAccount
( ProductId,AccountId)VALUES
(405,1032)</v>
      </c>
      <c r="W71" s="292"/>
      <c r="X71" s="292"/>
      <c r="Y71" s="292"/>
      <c r="Z71" s="385"/>
      <c r="AC71" s="292"/>
      <c r="AD71" s="292"/>
      <c r="AE71" s="292" t="s">
        <v>872</v>
      </c>
      <c r="AF71" s="292" t="str">
        <f>"INSERT INTO ProductByAccount
( ProductId,AccountId)VALUES
("&amp;C71&amp;",1037)"</f>
        <v>INSERT INTO ProductByAccount
( ProductId,AccountId)VALUES
(405,1037)</v>
      </c>
      <c r="AG71" s="292"/>
      <c r="AH71" s="292"/>
      <c r="AI71" s="292" t="s">
        <v>872</v>
      </c>
      <c r="AJ71" s="292" t="str">
        <f>"INSERT INTO ProductByAccount
( ProductId,AccountId)VALUES
("&amp;C71&amp;",1039)"</f>
        <v>INSERT INTO ProductByAccount
( ProductId,AccountId)VALUES
(405,1039)</v>
      </c>
      <c r="AK71" s="380">
        <v>293546</v>
      </c>
      <c r="AL71" s="381">
        <v>235455</v>
      </c>
      <c r="AM71" s="379" t="str">
        <f t="shared" si="5"/>
        <v>INSERT INTO ListedPrice
(ProductId,ActiveDate,Channel,Price)
VALUES(405,'2020-05-01','GT',235455)</v>
      </c>
      <c r="AN71" s="292"/>
      <c r="AO71" s="292"/>
    </row>
    <row r="72" spans="1:41">
      <c r="A72" s="335">
        <v>7115900760</v>
      </c>
      <c r="B72" s="290" t="s">
        <v>172</v>
      </c>
      <c r="C72" s="290">
        <f>VLOOKUP(B72,Sheet1!$B$17:$C$451,2,0)</f>
        <v>406</v>
      </c>
      <c r="D72" s="291" t="s">
        <v>1048</v>
      </c>
      <c r="E72" s="291" t="s">
        <v>462</v>
      </c>
      <c r="F72" s="291" t="s">
        <v>23</v>
      </c>
      <c r="G72" s="291" t="s">
        <v>562</v>
      </c>
      <c r="H72" s="295" t="s">
        <v>1351</v>
      </c>
      <c r="I72" s="291" t="s">
        <v>956</v>
      </c>
      <c r="J72" s="291" t="s">
        <v>1481</v>
      </c>
      <c r="K72" s="293" t="s">
        <v>872</v>
      </c>
      <c r="L72" s="293"/>
      <c r="M72" s="292" t="s">
        <v>877</v>
      </c>
      <c r="N72" s="292" t="s">
        <v>683</v>
      </c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292"/>
      <c r="AH72" s="292"/>
      <c r="AI72" s="292"/>
      <c r="AJ72" s="292"/>
      <c r="AK72" s="380">
        <v>283546</v>
      </c>
      <c r="AL72" s="381">
        <v>229091</v>
      </c>
      <c r="AM72" s="379" t="str">
        <f t="shared" si="5"/>
        <v>INSERT INTO ListedPrice
(ProductId,ActiveDate,Channel,Price)
VALUES(406,'2020-05-01','GT',229091)</v>
      </c>
      <c r="AN72" s="292"/>
      <c r="AO72" s="292"/>
    </row>
    <row r="73" spans="1:41">
      <c r="A73" s="335">
        <v>7115900757</v>
      </c>
      <c r="B73" s="290" t="s">
        <v>699</v>
      </c>
      <c r="C73" s="290">
        <f>VLOOKUP(B73,Sheet1!$B$17:$C$451,2,0)</f>
        <v>407</v>
      </c>
      <c r="D73" s="291" t="s">
        <v>1049</v>
      </c>
      <c r="E73" s="291" t="s">
        <v>462</v>
      </c>
      <c r="F73" s="291" t="s">
        <v>23</v>
      </c>
      <c r="G73" s="291" t="s">
        <v>562</v>
      </c>
      <c r="H73" s="295" t="s">
        <v>1351</v>
      </c>
      <c r="I73" s="291" t="s">
        <v>956</v>
      </c>
      <c r="J73" s="291" t="s">
        <v>1480</v>
      </c>
      <c r="K73" s="293" t="s">
        <v>872</v>
      </c>
      <c r="L73" s="293"/>
      <c r="M73" s="292" t="s">
        <v>877</v>
      </c>
      <c r="N73" s="292" t="s">
        <v>683</v>
      </c>
      <c r="O73" s="292" t="s">
        <v>1488</v>
      </c>
      <c r="P73" s="292" t="str">
        <f>"INSERT INTO ProductByAccount
( ProductId,AccountId)VALUES
("&amp;C73&amp;",1029)"</f>
        <v>INSERT INTO ProductByAccount
( ProductId,AccountId)VALUES
(407,1029)</v>
      </c>
      <c r="Q73" s="292" t="s">
        <v>872</v>
      </c>
      <c r="R73" s="292" t="str">
        <f>"INSERT INTO ProductByAccount
( ProductId,AccountId)VALUES
("&amp;C73&amp;",1030)"</f>
        <v>INSERT INTO ProductByAccount
( ProductId,AccountId)VALUES
(407,1030)</v>
      </c>
      <c r="S73" s="292"/>
      <c r="T73" s="292"/>
      <c r="U73" s="292" t="s">
        <v>1442</v>
      </c>
      <c r="V73" s="292" t="str">
        <f>"INSERT INTO ProductByAccount
( ProductId,AccountId)VALUES
("&amp;C73&amp;",1032)"</f>
        <v>INSERT INTO ProductByAccount
( ProductId,AccountId)VALUES
(407,1032)</v>
      </c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292"/>
      <c r="AI73" s="292" t="s">
        <v>872</v>
      </c>
      <c r="AJ73" s="292" t="str">
        <f>"INSERT INTO ProductByAccount
( ProductId,AccountId)VALUES
("&amp;C73&amp;",1039)"</f>
        <v>INSERT INTO ProductByAccount
( ProductId,AccountId)VALUES
(407,1039)</v>
      </c>
      <c r="AK73" s="380">
        <v>323546</v>
      </c>
      <c r="AL73" s="381">
        <v>259091</v>
      </c>
      <c r="AM73" s="379" t="str">
        <f t="shared" si="5"/>
        <v>INSERT INTO ListedPrice
(ProductId,ActiveDate,Channel,Price)
VALUES(407,'2020-05-01','GT',259091)</v>
      </c>
      <c r="AN73" s="292"/>
      <c r="AO73" s="292"/>
    </row>
    <row r="74" spans="1:41" s="286" customFormat="1">
      <c r="A74" s="337">
        <v>7115900791</v>
      </c>
      <c r="B74" s="298" t="s">
        <v>229</v>
      </c>
      <c r="C74" s="290">
        <f>VLOOKUP(B74,Sheet1!$B$17:$C$451,2,0)</f>
        <v>408</v>
      </c>
      <c r="D74" s="291" t="s">
        <v>1089</v>
      </c>
      <c r="E74" s="291" t="s">
        <v>461</v>
      </c>
      <c r="F74" s="299" t="s">
        <v>23</v>
      </c>
      <c r="G74" s="299" t="s">
        <v>562</v>
      </c>
      <c r="H74" s="295" t="s">
        <v>1351</v>
      </c>
      <c r="I74" s="291" t="s">
        <v>241</v>
      </c>
      <c r="J74" s="299" t="s">
        <v>1482</v>
      </c>
      <c r="K74" s="300" t="s">
        <v>873</v>
      </c>
      <c r="L74" s="300"/>
      <c r="M74" s="292" t="s">
        <v>877</v>
      </c>
      <c r="N74" s="292" t="s">
        <v>683</v>
      </c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292"/>
      <c r="AI74" s="292"/>
      <c r="AJ74" s="292"/>
      <c r="AK74" s="380">
        <v>272636.36363636359</v>
      </c>
      <c r="AL74" s="381">
        <v>219091</v>
      </c>
      <c r="AM74" s="379" t="str">
        <f t="shared" si="5"/>
        <v>INSERT INTO ListedPrice
(ProductId,ActiveDate,Channel,Price)
VALUES(408,'2020-05-01','GT',219091)</v>
      </c>
      <c r="AN74" s="292"/>
      <c r="AO74" s="292"/>
    </row>
    <row r="75" spans="1:41" s="286" customFormat="1">
      <c r="A75" s="337">
        <v>7115900792</v>
      </c>
      <c r="B75" s="298" t="s">
        <v>230</v>
      </c>
      <c r="C75" s="290">
        <f>VLOOKUP(B75,Sheet1!$B$17:$C$451,2,0)</f>
        <v>409</v>
      </c>
      <c r="D75" s="291" t="s">
        <v>1090</v>
      </c>
      <c r="E75" s="291" t="s">
        <v>463</v>
      </c>
      <c r="F75" s="299" t="s">
        <v>23</v>
      </c>
      <c r="G75" s="299" t="s">
        <v>562</v>
      </c>
      <c r="H75" s="295" t="s">
        <v>1351</v>
      </c>
      <c r="I75" s="291" t="s">
        <v>241</v>
      </c>
      <c r="J75" s="299" t="s">
        <v>1482</v>
      </c>
      <c r="K75" s="300" t="s">
        <v>873</v>
      </c>
      <c r="L75" s="300"/>
      <c r="M75" s="292" t="s">
        <v>877</v>
      </c>
      <c r="N75" s="292" t="s">
        <v>683</v>
      </c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292"/>
      <c r="AH75" s="292"/>
      <c r="AI75" s="292"/>
      <c r="AJ75" s="292"/>
      <c r="AK75" s="380">
        <v>309000</v>
      </c>
      <c r="AL75" s="381">
        <v>249091</v>
      </c>
      <c r="AM75" s="379" t="str">
        <f t="shared" si="5"/>
        <v>INSERT INTO ListedPrice
(ProductId,ActiveDate,Channel,Price)
VALUES(409,'2020-05-01','GT',249091)</v>
      </c>
      <c r="AN75" s="292"/>
      <c r="AO75" s="292"/>
    </row>
    <row r="76" spans="1:41">
      <c r="A76" s="335">
        <v>7115900793</v>
      </c>
      <c r="B76" s="290" t="s">
        <v>231</v>
      </c>
      <c r="C76" s="290">
        <f>VLOOKUP(B76,Sheet1!$B$17:$C$451,2,0)</f>
        <v>410</v>
      </c>
      <c r="D76" s="291" t="s">
        <v>1091</v>
      </c>
      <c r="E76" s="291" t="s">
        <v>462</v>
      </c>
      <c r="F76" s="291" t="s">
        <v>23</v>
      </c>
      <c r="G76" s="291" t="s">
        <v>562</v>
      </c>
      <c r="H76" s="295" t="s">
        <v>1351</v>
      </c>
      <c r="I76" s="291" t="s">
        <v>241</v>
      </c>
      <c r="J76" s="299" t="s">
        <v>1482</v>
      </c>
      <c r="K76" s="293" t="s">
        <v>872</v>
      </c>
      <c r="L76" s="293"/>
      <c r="M76" s="292" t="s">
        <v>877</v>
      </c>
      <c r="N76" s="292" t="s">
        <v>683</v>
      </c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 t="s">
        <v>872</v>
      </c>
      <c r="AF76" s="292" t="str">
        <f>"INSERT INTO ProductByAccount
( ProductId,AccountId)VALUES
("&amp;C76&amp;",1037)"</f>
        <v>INSERT INTO ProductByAccount
( ProductId,AccountId)VALUES
(410,1037)</v>
      </c>
      <c r="AG76" s="292"/>
      <c r="AH76" s="292"/>
      <c r="AI76" s="292"/>
      <c r="AJ76" s="292"/>
      <c r="AK76" s="380">
        <v>354454.54545454541</v>
      </c>
      <c r="AL76" s="381">
        <v>280000</v>
      </c>
      <c r="AM76" s="379" t="str">
        <f t="shared" si="5"/>
        <v>INSERT INTO ListedPrice
(ProductId,ActiveDate,Channel,Price)
VALUES(410,'2020-05-01','GT',280000)</v>
      </c>
      <c r="AN76" s="292"/>
      <c r="AO76" s="292"/>
    </row>
    <row r="77" spans="1:41" s="286" customFormat="1">
      <c r="A77" s="337">
        <v>7115900794</v>
      </c>
      <c r="B77" s="298" t="s">
        <v>232</v>
      </c>
      <c r="C77" s="290">
        <f>VLOOKUP(B77,Sheet1!$B$17:$C$451,2,0)</f>
        <v>411</v>
      </c>
      <c r="D77" s="291" t="s">
        <v>1092</v>
      </c>
      <c r="E77" s="291" t="s">
        <v>462</v>
      </c>
      <c r="F77" s="299" t="s">
        <v>23</v>
      </c>
      <c r="G77" s="299" t="s">
        <v>562</v>
      </c>
      <c r="H77" s="295" t="s">
        <v>1483</v>
      </c>
      <c r="I77" s="291" t="s">
        <v>241</v>
      </c>
      <c r="J77" s="299" t="s">
        <v>1482</v>
      </c>
      <c r="K77" s="300" t="s">
        <v>873</v>
      </c>
      <c r="L77" s="320" t="str">
        <f t="shared" ref="L77:L100" si="6">"INSERT INTO Product (CMMF,Model,BarCode,Capacity,[Type],Product,[Range],[ModelName],[Color],[Status]) VALUES
('"&amp;A77&amp;"','"&amp;B77&amp;"','"&amp;D77&amp;"','"&amp;E77&amp;"','"&amp;F77&amp;"','"&amp;G77&amp;"',N'"&amp;H77&amp;"',N'"&amp;I77&amp;"',N'"&amp;J77&amp;"','"&amp;K77&amp;"')"</f>
        <v>INSERT INTO Product (CMMF,Model,BarCode,Capacity,[Type],Product,[Range],[ModelName],[Color],[Status]) VALUES
('7115900794','H18201-SJ28','8936042293396','28cm','CW','Supor',N'Chảo Sâu',N'Lux',N'Xám mờ','To be discontinued')</v>
      </c>
      <c r="M77" s="292" t="s">
        <v>877</v>
      </c>
      <c r="N77" s="292" t="s">
        <v>683</v>
      </c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292"/>
      <c r="AH77" s="292"/>
      <c r="AI77" s="292"/>
      <c r="AJ77" s="292"/>
      <c r="AK77" s="380">
        <v>354454.54545454541</v>
      </c>
      <c r="AL77" s="381">
        <v>285455</v>
      </c>
      <c r="AM77" s="379" t="str">
        <f t="shared" si="5"/>
        <v>INSERT INTO ListedPrice
(ProductId,ActiveDate,Channel,Price)
VALUES(411,'2020-05-01','GT',285455)</v>
      </c>
      <c r="AN77" s="292"/>
      <c r="AO77" s="292"/>
    </row>
    <row r="78" spans="1:41" s="285" customFormat="1">
      <c r="A78" s="336">
        <v>7115900795</v>
      </c>
      <c r="B78" s="294" t="s">
        <v>233</v>
      </c>
      <c r="C78" s="290">
        <f>VLOOKUP(B78,Sheet1!$B$17:$C$451,2,0)</f>
        <v>412</v>
      </c>
      <c r="D78" s="291" t="s">
        <v>1050</v>
      </c>
      <c r="E78" s="291" t="s">
        <v>461</v>
      </c>
      <c r="F78" s="295" t="s">
        <v>23</v>
      </c>
      <c r="G78" s="295" t="s">
        <v>562</v>
      </c>
      <c r="H78" s="295" t="s">
        <v>1351</v>
      </c>
      <c r="I78" s="291" t="s">
        <v>239</v>
      </c>
      <c r="J78" s="295" t="s">
        <v>1475</v>
      </c>
      <c r="K78" s="297" t="s">
        <v>623</v>
      </c>
      <c r="L78" s="320" t="str">
        <f t="shared" si="6"/>
        <v>INSERT INTO Product (CMMF,Model,BarCode,Capacity,[Type],Product,[Range],[ModelName],[Color],[Status]) VALUES
('7115900795','H18202-J24','8936042293402','24cm','CW','Supor',N'Chảo Chiên',N'Ruby',N'Đỏ Đô','Discontinued')</v>
      </c>
      <c r="M78" s="292" t="s">
        <v>877</v>
      </c>
      <c r="N78" s="292" t="s">
        <v>683</v>
      </c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6" t="s">
        <v>623</v>
      </c>
      <c r="AD78" s="292" t="str">
        <f>"INSERT INTO ProductByAccount
( ProductId,AccountId)VALUES
("&amp;C78&amp;",1036)"</f>
        <v>INSERT INTO ProductByAccount
( ProductId,AccountId)VALUES
(412,1036)</v>
      </c>
      <c r="AE78" s="292"/>
      <c r="AF78" s="292"/>
      <c r="AG78" s="292"/>
      <c r="AH78" s="292"/>
      <c r="AI78" s="292"/>
      <c r="AJ78" s="292"/>
      <c r="AK78" s="380">
        <v>271710</v>
      </c>
      <c r="AL78" s="381">
        <v>219091</v>
      </c>
      <c r="AM78" s="379" t="str">
        <f t="shared" si="5"/>
        <v>INSERT INTO ListedPrice
(ProductId,ActiveDate,Channel,Price)
VALUES(412,'2020-05-01','GT',219091)</v>
      </c>
      <c r="AN78" s="292"/>
      <c r="AO78" s="292"/>
    </row>
    <row r="79" spans="1:41">
      <c r="A79" s="335">
        <v>7115900796</v>
      </c>
      <c r="B79" s="290" t="s">
        <v>234</v>
      </c>
      <c r="C79" s="290">
        <f>VLOOKUP(B79,Sheet1!$B$17:$C$451,2,0)</f>
        <v>413</v>
      </c>
      <c r="D79" s="291" t="s">
        <v>1051</v>
      </c>
      <c r="E79" s="291" t="s">
        <v>463</v>
      </c>
      <c r="F79" s="291" t="s">
        <v>23</v>
      </c>
      <c r="G79" s="291" t="s">
        <v>562</v>
      </c>
      <c r="H79" s="295" t="s">
        <v>1351</v>
      </c>
      <c r="I79" s="291" t="s">
        <v>239</v>
      </c>
      <c r="J79" s="295" t="s">
        <v>1475</v>
      </c>
      <c r="K79" s="293" t="s">
        <v>872</v>
      </c>
      <c r="L79" s="320" t="str">
        <f t="shared" si="6"/>
        <v>INSERT INTO Product (CMMF,Model,BarCode,Capacity,[Type],Product,[Range],[ModelName],[Color],[Status]) VALUES
('7115900796','H18202-J26','8936042293419','26cm','CW','Supor',N'Chảo Chiên',N'Ruby',N'Đỏ Đô','On going')</v>
      </c>
      <c r="M79" s="292" t="s">
        <v>877</v>
      </c>
      <c r="N79" s="292" t="s">
        <v>683</v>
      </c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92"/>
      <c r="AG79" s="292"/>
      <c r="AH79" s="292"/>
      <c r="AI79" s="292"/>
      <c r="AJ79" s="292"/>
      <c r="AK79" s="380">
        <v>305910</v>
      </c>
      <c r="AL79" s="381">
        <v>247273</v>
      </c>
      <c r="AM79" s="379" t="str">
        <f t="shared" si="5"/>
        <v>INSERT INTO ListedPrice
(ProductId,ActiveDate,Channel,Price)
VALUES(413,'2020-05-01','GT',247273)</v>
      </c>
      <c r="AN79" s="292"/>
      <c r="AO79" s="292"/>
    </row>
    <row r="80" spans="1:41" s="286" customFormat="1">
      <c r="A80" s="337">
        <v>7115900801</v>
      </c>
      <c r="B80" s="298" t="s">
        <v>244</v>
      </c>
      <c r="C80" s="290">
        <f>VLOOKUP(B80,Sheet1!$B$17:$C$451,2,0)</f>
        <v>414</v>
      </c>
      <c r="D80" s="291" t="s">
        <v>1055</v>
      </c>
      <c r="E80" s="291" t="s">
        <v>471</v>
      </c>
      <c r="F80" s="299" t="s">
        <v>23</v>
      </c>
      <c r="G80" s="299" t="s">
        <v>562</v>
      </c>
      <c r="H80" s="295" t="s">
        <v>1351</v>
      </c>
      <c r="I80" s="291" t="s">
        <v>500</v>
      </c>
      <c r="J80" s="299" t="s">
        <v>428</v>
      </c>
      <c r="K80" s="300" t="s">
        <v>873</v>
      </c>
      <c r="L80" s="320" t="str">
        <f t="shared" si="6"/>
        <v>INSERT INTO Product (CMMF,Model,BarCode,Capacity,[Type],Product,[Range],[ModelName],[Color],[Status]) VALUES
('7115900801','H18203-J22','8936042293464','22cm','CW','Supor',N'Chảo Chiên',N'Affinity',N'Đồng','To be discontinued')</v>
      </c>
      <c r="M80" s="292" t="s">
        <v>877</v>
      </c>
      <c r="N80" s="292" t="s">
        <v>683</v>
      </c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92"/>
      <c r="AG80" s="292"/>
      <c r="AH80" s="292"/>
      <c r="AI80" s="292"/>
      <c r="AJ80" s="292"/>
      <c r="AK80" s="380">
        <v>227181.81818181818</v>
      </c>
      <c r="AL80" s="381">
        <v>180000</v>
      </c>
      <c r="AM80" s="379" t="str">
        <f t="shared" si="5"/>
        <v>INSERT INTO ListedPrice
(ProductId,ActiveDate,Channel,Price)
VALUES(414,'2020-05-01','GT',180000)</v>
      </c>
      <c r="AN80" s="292"/>
      <c r="AO80" s="292"/>
    </row>
    <row r="81" spans="1:41" s="286" customFormat="1">
      <c r="A81" s="337">
        <v>7115900802</v>
      </c>
      <c r="B81" s="298" t="s">
        <v>245</v>
      </c>
      <c r="C81" s="290">
        <f>VLOOKUP(B81,Sheet1!$B$17:$C$451,2,0)</f>
        <v>415</v>
      </c>
      <c r="D81" s="291" t="s">
        <v>1058</v>
      </c>
      <c r="E81" s="291" t="s">
        <v>461</v>
      </c>
      <c r="F81" s="299" t="s">
        <v>23</v>
      </c>
      <c r="G81" s="299" t="s">
        <v>562</v>
      </c>
      <c r="H81" s="295" t="s">
        <v>1351</v>
      </c>
      <c r="I81" s="291" t="s">
        <v>500</v>
      </c>
      <c r="J81" s="299" t="s">
        <v>428</v>
      </c>
      <c r="K81" s="300" t="s">
        <v>873</v>
      </c>
      <c r="L81" s="320" t="str">
        <f t="shared" si="6"/>
        <v>INSERT INTO Product (CMMF,Model,BarCode,Capacity,[Type],Product,[Range],[ModelName],[Color],[Status]) VALUES
('7115900802','H18203-J24','8936042293471','24cm','CW','Supor',N'Chảo Chiên',N'Affinity',N'Đồng','To be discontinued')</v>
      </c>
      <c r="M81" s="292" t="s">
        <v>877</v>
      </c>
      <c r="N81" s="292" t="s">
        <v>683</v>
      </c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292"/>
      <c r="AI81" s="292"/>
      <c r="AJ81" s="292"/>
      <c r="AK81" s="380">
        <v>254454.54545454544</v>
      </c>
      <c r="AL81" s="381">
        <v>199091</v>
      </c>
      <c r="AM81" s="379" t="str">
        <f t="shared" si="5"/>
        <v>INSERT INTO ListedPrice
(ProductId,ActiveDate,Channel,Price)
VALUES(415,'2020-05-01','GT',199091)</v>
      </c>
      <c r="AN81" s="292"/>
      <c r="AO81" s="292"/>
    </row>
    <row r="82" spans="1:41" s="286" customFormat="1">
      <c r="A82" s="337">
        <v>7115900803</v>
      </c>
      <c r="B82" s="298" t="s">
        <v>246</v>
      </c>
      <c r="C82" s="290">
        <f>VLOOKUP(B82,Sheet1!$B$17:$C$451,2,0)</f>
        <v>416</v>
      </c>
      <c r="D82" s="291" t="s">
        <v>1062</v>
      </c>
      <c r="E82" s="291" t="s">
        <v>463</v>
      </c>
      <c r="F82" s="299" t="s">
        <v>23</v>
      </c>
      <c r="G82" s="299" t="s">
        <v>562</v>
      </c>
      <c r="H82" s="295" t="s">
        <v>1351</v>
      </c>
      <c r="I82" s="291" t="s">
        <v>500</v>
      </c>
      <c r="J82" s="299" t="s">
        <v>428</v>
      </c>
      <c r="K82" s="300" t="s">
        <v>873</v>
      </c>
      <c r="L82" s="320" t="str">
        <f t="shared" si="6"/>
        <v>INSERT INTO Product (CMMF,Model,BarCode,Capacity,[Type],Product,[Range],[ModelName],[Color],[Status]) VALUES
('7115900803','H18203-J26','8936042293488','26cm','CW','Supor',N'Chảo Chiên',N'Affinity',N'Đồng','To be discontinued')</v>
      </c>
      <c r="M82" s="292" t="s">
        <v>877</v>
      </c>
      <c r="N82" s="292" t="s">
        <v>683</v>
      </c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292"/>
      <c r="AI82" s="292"/>
      <c r="AJ82" s="292"/>
      <c r="AK82" s="380">
        <v>272636.36363636359</v>
      </c>
      <c r="AL82" s="381">
        <v>219091</v>
      </c>
      <c r="AM82" s="379" t="str">
        <f t="shared" si="5"/>
        <v>INSERT INTO ListedPrice
(ProductId,ActiveDate,Channel,Price)
VALUES(416,'2020-05-01','GT',219091)</v>
      </c>
      <c r="AN82" s="292"/>
      <c r="AO82" s="292"/>
    </row>
    <row r="83" spans="1:41">
      <c r="A83" s="335">
        <v>7115900804</v>
      </c>
      <c r="B83" s="290" t="s">
        <v>247</v>
      </c>
      <c r="C83" s="290">
        <f>VLOOKUP(B83,Sheet1!$B$17:$C$451,2,0)</f>
        <v>417</v>
      </c>
      <c r="D83" s="291" t="s">
        <v>1066</v>
      </c>
      <c r="E83" s="291" t="s">
        <v>462</v>
      </c>
      <c r="F83" s="291" t="s">
        <v>23</v>
      </c>
      <c r="G83" s="291" t="s">
        <v>562</v>
      </c>
      <c r="H83" s="295" t="s">
        <v>1483</v>
      </c>
      <c r="I83" s="291" t="s">
        <v>500</v>
      </c>
      <c r="J83" s="299" t="s">
        <v>428</v>
      </c>
      <c r="K83" s="293" t="s">
        <v>872</v>
      </c>
      <c r="L83" s="320" t="str">
        <f t="shared" si="6"/>
        <v>INSERT INTO Product (CMMF,Model,BarCode,Capacity,[Type],Product,[Range],[ModelName],[Color],[Status]) VALUES
('7115900804','H18203-SJ28','8936042293495','28cm','CW','Supor',N'Chảo Sâu',N'Affinity',N'Đồng','On going')</v>
      </c>
      <c r="M83" s="292" t="s">
        <v>877</v>
      </c>
      <c r="N83" s="292" t="s">
        <v>683</v>
      </c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292"/>
      <c r="AI83" s="292"/>
      <c r="AJ83" s="292"/>
      <c r="AK83" s="380">
        <v>345363.63636363635</v>
      </c>
      <c r="AL83" s="381">
        <v>276364</v>
      </c>
      <c r="AM83" s="379" t="str">
        <f t="shared" si="5"/>
        <v>INSERT INTO ListedPrice
(ProductId,ActiveDate,Channel,Price)
VALUES(417,'2020-05-01','GT',276364)</v>
      </c>
      <c r="AN83" s="292"/>
      <c r="AO83" s="292"/>
    </row>
    <row r="84" spans="1:41">
      <c r="A84" s="335">
        <v>7115900809</v>
      </c>
      <c r="B84" s="290" t="s">
        <v>260</v>
      </c>
      <c r="C84" s="290">
        <f>VLOOKUP(B84,Sheet1!$B$17:$C$451,2,0)</f>
        <v>418</v>
      </c>
      <c r="D84" s="291" t="s">
        <v>1059</v>
      </c>
      <c r="E84" s="291" t="s">
        <v>461</v>
      </c>
      <c r="F84" s="291" t="s">
        <v>23</v>
      </c>
      <c r="G84" s="291" t="s">
        <v>562</v>
      </c>
      <c r="H84" s="295" t="s">
        <v>1351</v>
      </c>
      <c r="I84" s="291" t="s">
        <v>500</v>
      </c>
      <c r="J84" s="291" t="s">
        <v>1416</v>
      </c>
      <c r="K84" s="293" t="s">
        <v>872</v>
      </c>
      <c r="L84" s="320" t="str">
        <f t="shared" si="6"/>
        <v>INSERT INTO Product (CMMF,Model,BarCode,Capacity,[Type],Product,[Range],[ModelName],[Color],[Status]) VALUES
('7115900809','H18203-J24A','8936042293549','24cm','CW','Supor',N'Chảo Chiên',N'Affinity',N'Xanh Lá','On going')</v>
      </c>
      <c r="M84" s="292" t="s">
        <v>877</v>
      </c>
      <c r="N84" s="292" t="s">
        <v>683</v>
      </c>
      <c r="O84" s="292"/>
      <c r="P84" s="292"/>
      <c r="Q84" s="292"/>
      <c r="R84" s="292"/>
      <c r="S84" s="292"/>
      <c r="T84" s="292"/>
      <c r="U84" s="292"/>
      <c r="V84" s="292"/>
      <c r="W84" s="292" t="s">
        <v>872</v>
      </c>
      <c r="X84" s="292" t="str">
        <f>"INSERT INTO ProductByAccount
( ProductId,AccountId)VALUES
("&amp;C84&amp;",1033)"</f>
        <v>INSERT INTO ProductByAccount
( ProductId,AccountId)VALUES
(418,1033)</v>
      </c>
      <c r="Y84" s="292"/>
      <c r="Z84" s="292"/>
      <c r="AA84" s="292"/>
      <c r="AB84" s="292"/>
      <c r="AC84" s="292"/>
      <c r="AD84" s="292"/>
      <c r="AE84" s="292" t="s">
        <v>1485</v>
      </c>
      <c r="AF84" s="292" t="str">
        <f>"INSERT INTO ProductByAccount
( ProductId,AccountId)VALUES
("&amp;C84&amp;",1037)"</f>
        <v>INSERT INTO ProductByAccount
( ProductId,AccountId)VALUES
(418,1037)</v>
      </c>
      <c r="AG84" s="292"/>
      <c r="AH84" s="292"/>
      <c r="AI84" s="292"/>
      <c r="AJ84" s="292"/>
      <c r="AK84" s="380">
        <v>254454.54545454544</v>
      </c>
      <c r="AL84" s="381">
        <v>205455</v>
      </c>
      <c r="AM84" s="379" t="str">
        <f t="shared" si="5"/>
        <v>INSERT INTO ListedPrice
(ProductId,ActiveDate,Channel,Price)
VALUES(418,'2020-05-01','GT',205455)</v>
      </c>
      <c r="AN84" s="292"/>
      <c r="AO84" s="292"/>
    </row>
    <row r="85" spans="1:41" s="286" customFormat="1">
      <c r="A85" s="337">
        <v>7115900810</v>
      </c>
      <c r="B85" s="298" t="s">
        <v>261</v>
      </c>
      <c r="C85" s="290">
        <f>VLOOKUP(B85,Sheet1!$B$17:$C$451,2,0)</f>
        <v>419</v>
      </c>
      <c r="D85" s="291" t="s">
        <v>1063</v>
      </c>
      <c r="E85" s="291" t="s">
        <v>463</v>
      </c>
      <c r="F85" s="299" t="s">
        <v>23</v>
      </c>
      <c r="G85" s="299" t="s">
        <v>562</v>
      </c>
      <c r="H85" s="295" t="s">
        <v>1351</v>
      </c>
      <c r="I85" s="291" t="s">
        <v>500</v>
      </c>
      <c r="J85" s="299" t="s">
        <v>882</v>
      </c>
      <c r="K85" s="300" t="s">
        <v>873</v>
      </c>
      <c r="L85" s="320" t="str">
        <f t="shared" si="6"/>
        <v>INSERT INTO Product (CMMF,Model,BarCode,Capacity,[Type],Product,[Range],[ModelName],[Color],[Status]) VALUES
('7115900810','H18203-J26A','8936042293556','26cm','CW','Supor',N'Chảo Chiên',N'Affinity',N'Green','To be discontinued')</v>
      </c>
      <c r="M85" s="292" t="s">
        <v>877</v>
      </c>
      <c r="N85" s="292" t="s">
        <v>683</v>
      </c>
      <c r="O85" s="292"/>
      <c r="P85" s="292"/>
      <c r="Q85" s="292"/>
      <c r="R85" s="292"/>
      <c r="S85" s="292"/>
      <c r="T85" s="292"/>
      <c r="U85" s="292"/>
      <c r="V85" s="292"/>
      <c r="W85" s="292" t="s">
        <v>872</v>
      </c>
      <c r="X85" s="292" t="str">
        <f>"INSERT INTO ProductByAccount
( ProductId,AccountId)VALUES
("&amp;C85&amp;",1033)"</f>
        <v>INSERT INTO ProductByAccount
( ProductId,AccountId)VALUES
(419,1033)</v>
      </c>
      <c r="Y85" s="292"/>
      <c r="Z85" s="292"/>
      <c r="AA85" s="292"/>
      <c r="AB85" s="292"/>
      <c r="AC85" s="292"/>
      <c r="AD85" s="292"/>
      <c r="AE85" s="292"/>
      <c r="AF85" s="292"/>
      <c r="AG85" s="292"/>
      <c r="AH85" s="292"/>
      <c r="AI85" s="292"/>
      <c r="AJ85" s="292"/>
      <c r="AK85" s="380">
        <v>272636.36363636359</v>
      </c>
      <c r="AL85" s="381">
        <v>219091</v>
      </c>
      <c r="AM85" s="379" t="str">
        <f t="shared" si="5"/>
        <v>INSERT INTO ListedPrice
(ProductId,ActiveDate,Channel,Price)
VALUES(419,'2020-05-01','GT',219091)</v>
      </c>
      <c r="AN85" s="292"/>
      <c r="AO85" s="292"/>
    </row>
    <row r="86" spans="1:41" s="286" customFormat="1">
      <c r="A86" s="337">
        <v>7115900811</v>
      </c>
      <c r="B86" s="298" t="s">
        <v>262</v>
      </c>
      <c r="C86" s="290">
        <f>VLOOKUP(B86,Sheet1!$B$17:$C$451,2,0)</f>
        <v>420</v>
      </c>
      <c r="D86" s="291" t="s">
        <v>1067</v>
      </c>
      <c r="E86" s="291" t="s">
        <v>462</v>
      </c>
      <c r="F86" s="299" t="s">
        <v>23</v>
      </c>
      <c r="G86" s="299" t="s">
        <v>562</v>
      </c>
      <c r="H86" s="295" t="s">
        <v>1483</v>
      </c>
      <c r="I86" s="291" t="s">
        <v>500</v>
      </c>
      <c r="J86" s="299" t="s">
        <v>882</v>
      </c>
      <c r="K86" s="300" t="s">
        <v>873</v>
      </c>
      <c r="L86" s="320" t="str">
        <f t="shared" si="6"/>
        <v>INSERT INTO Product (CMMF,Model,BarCode,Capacity,[Type],Product,[Range],[ModelName],[Color],[Status]) VALUES
('7115900811','H18203-SJ28A','8936042293563','28cm','CW','Supor',N'Chảo Sâu',N'Affinity',N'Green','To be discontinued')</v>
      </c>
      <c r="M86" s="292" t="s">
        <v>877</v>
      </c>
      <c r="N86" s="292" t="s">
        <v>683</v>
      </c>
      <c r="O86" s="292"/>
      <c r="P86" s="292"/>
      <c r="Q86" s="292"/>
      <c r="R86" s="292"/>
      <c r="S86" s="292"/>
      <c r="T86" s="292"/>
      <c r="U86" s="292"/>
      <c r="V86" s="292"/>
      <c r="W86" s="292" t="s">
        <v>872</v>
      </c>
      <c r="X86" s="292" t="str">
        <f>"INSERT INTO ProductByAccount
( ProductId,AccountId)VALUES
("&amp;C86&amp;",1033)"</f>
        <v>INSERT INTO ProductByAccount
( ProductId,AccountId)VALUES
(420,1033)</v>
      </c>
      <c r="Y86" s="292"/>
      <c r="Z86" s="292"/>
      <c r="AA86" s="292"/>
      <c r="AB86" s="292"/>
      <c r="AC86" s="292"/>
      <c r="AD86" s="292"/>
      <c r="AE86" s="292"/>
      <c r="AF86" s="292"/>
      <c r="AG86" s="292"/>
      <c r="AH86" s="292"/>
      <c r="AI86" s="292"/>
      <c r="AJ86" s="292"/>
      <c r="AK86" s="380">
        <v>345363.63636363635</v>
      </c>
      <c r="AL86" s="381">
        <v>276364</v>
      </c>
      <c r="AM86" s="379" t="str">
        <f t="shared" si="5"/>
        <v>INSERT INTO ListedPrice
(ProductId,ActiveDate,Channel,Price)
VALUES(420,'2020-05-01','GT',276364)</v>
      </c>
      <c r="AN86" s="292"/>
      <c r="AO86" s="292"/>
    </row>
    <row r="87" spans="1:41" s="285" customFormat="1">
      <c r="A87" s="336">
        <v>7115900837</v>
      </c>
      <c r="B87" s="294" t="s">
        <v>263</v>
      </c>
      <c r="C87" s="290">
        <f>VLOOKUP(B87,Sheet1!$B$17:$C$451,2,0)</f>
        <v>421</v>
      </c>
      <c r="D87" s="291" t="s">
        <v>1056</v>
      </c>
      <c r="E87" s="291" t="s">
        <v>471</v>
      </c>
      <c r="F87" s="295" t="s">
        <v>23</v>
      </c>
      <c r="G87" s="295" t="s">
        <v>562</v>
      </c>
      <c r="H87" s="295" t="s">
        <v>1351</v>
      </c>
      <c r="I87" s="291" t="s">
        <v>500</v>
      </c>
      <c r="J87" s="299" t="s">
        <v>292</v>
      </c>
      <c r="K87" s="297" t="s">
        <v>623</v>
      </c>
      <c r="L87" s="320" t="str">
        <f t="shared" si="6"/>
        <v>INSERT INTO Product (CMMF,Model,BarCode,Capacity,[Type],Product,[Range],[ModelName],[Color],[Status]) VALUES
('7115900837','H18203-J22C','8936042293600','22cm','CW','Supor',N'Chảo Chiên',N'Affinity',N'Đen','Discontinued')</v>
      </c>
      <c r="M87" s="292" t="s">
        <v>877</v>
      </c>
      <c r="N87" s="292" t="s">
        <v>683</v>
      </c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6" t="s">
        <v>623</v>
      </c>
      <c r="AD87" s="292" t="str">
        <f>"INSERT INTO ProductByAccount
( ProductId,AccountId)VALUES
("&amp;C87&amp;",1036)"</f>
        <v>INSERT INTO ProductByAccount
( ProductId,AccountId)VALUES
(421,1036)</v>
      </c>
      <c r="AE87" s="292"/>
      <c r="AF87" s="292"/>
      <c r="AG87" s="292"/>
      <c r="AH87" s="292"/>
      <c r="AI87" s="292"/>
      <c r="AJ87" s="292"/>
      <c r="AK87" s="380">
        <v>227181.81818181818</v>
      </c>
      <c r="AL87" s="381">
        <v>180000</v>
      </c>
      <c r="AM87" s="379" t="str">
        <f t="shared" si="5"/>
        <v>INSERT INTO ListedPrice
(ProductId,ActiveDate,Channel,Price)
VALUES(421,'2020-05-01','GT',180000)</v>
      </c>
      <c r="AN87" s="292"/>
      <c r="AO87" s="292"/>
    </row>
    <row r="88" spans="1:41" s="286" customFormat="1">
      <c r="A88" s="337">
        <v>7115900838</v>
      </c>
      <c r="B88" s="298" t="s">
        <v>264</v>
      </c>
      <c r="C88" s="290">
        <f>VLOOKUP(B88,Sheet1!$B$17:$C$451,2,0)</f>
        <v>422</v>
      </c>
      <c r="D88" s="291" t="s">
        <v>1060</v>
      </c>
      <c r="E88" s="291" t="s">
        <v>461</v>
      </c>
      <c r="F88" s="299" t="s">
        <v>23</v>
      </c>
      <c r="G88" s="299" t="s">
        <v>562</v>
      </c>
      <c r="H88" s="295" t="s">
        <v>1351</v>
      </c>
      <c r="I88" s="291" t="s">
        <v>500</v>
      </c>
      <c r="J88" s="299" t="s">
        <v>292</v>
      </c>
      <c r="K88" s="300" t="s">
        <v>873</v>
      </c>
      <c r="L88" s="320" t="str">
        <f t="shared" si="6"/>
        <v>INSERT INTO Product (CMMF,Model,BarCode,Capacity,[Type],Product,[Range],[ModelName],[Color],[Status]) VALUES
('7115900838','H18203-J24C','8936042293617','24cm','CW','Supor',N'Chảo Chiên',N'Affinity',N'Đen','To be discontinued')</v>
      </c>
      <c r="M88" s="292" t="s">
        <v>877</v>
      </c>
      <c r="N88" s="292" t="s">
        <v>683</v>
      </c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300" t="s">
        <v>873</v>
      </c>
      <c r="AD88" s="292" t="str">
        <f>"INSERT INTO ProductByAccount
( ProductId,AccountId)VALUES
("&amp;C88&amp;",1036)"</f>
        <v>INSERT INTO ProductByAccount
( ProductId,AccountId)VALUES
(422,1036)</v>
      </c>
      <c r="AE88" s="292"/>
      <c r="AF88" s="292"/>
      <c r="AG88" s="292"/>
      <c r="AH88" s="292"/>
      <c r="AI88" s="292"/>
      <c r="AJ88" s="292"/>
      <c r="AK88" s="380">
        <v>254454.54545454544</v>
      </c>
      <c r="AL88" s="381">
        <v>205455</v>
      </c>
      <c r="AM88" s="379" t="str">
        <f t="shared" si="5"/>
        <v>INSERT INTO ListedPrice
(ProductId,ActiveDate,Channel,Price)
VALUES(422,'2020-05-01','GT',205455)</v>
      </c>
      <c r="AN88" s="292"/>
      <c r="AO88" s="292"/>
    </row>
    <row r="89" spans="1:41" s="286" customFormat="1">
      <c r="A89" s="337">
        <v>7115900839</v>
      </c>
      <c r="B89" s="298" t="s">
        <v>265</v>
      </c>
      <c r="C89" s="290">
        <f>VLOOKUP(B89,Sheet1!$B$17:$C$451,2,0)</f>
        <v>423</v>
      </c>
      <c r="D89" s="291" t="s">
        <v>1064</v>
      </c>
      <c r="E89" s="291" t="s">
        <v>463</v>
      </c>
      <c r="F89" s="299" t="s">
        <v>23</v>
      </c>
      <c r="G89" s="299" t="s">
        <v>562</v>
      </c>
      <c r="H89" s="295" t="s">
        <v>1351</v>
      </c>
      <c r="I89" s="291" t="s">
        <v>500</v>
      </c>
      <c r="J89" s="299" t="s">
        <v>292</v>
      </c>
      <c r="K89" s="300" t="s">
        <v>873</v>
      </c>
      <c r="L89" s="320" t="str">
        <f t="shared" si="6"/>
        <v>INSERT INTO Product (CMMF,Model,BarCode,Capacity,[Type],Product,[Range],[ModelName],[Color],[Status]) VALUES
('7115900839','H18203-J26C','8936042293624','26cm','CW','Supor',N'Chảo Chiên',N'Affinity',N'Đen','To be discontinued')</v>
      </c>
      <c r="M89" s="292" t="s">
        <v>877</v>
      </c>
      <c r="N89" s="292" t="s">
        <v>683</v>
      </c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292"/>
      <c r="AI89" s="292"/>
      <c r="AJ89" s="292"/>
      <c r="AK89" s="380">
        <v>272636.36363636359</v>
      </c>
      <c r="AL89" s="381">
        <v>219091</v>
      </c>
      <c r="AM89" s="379" t="str">
        <f t="shared" si="5"/>
        <v>INSERT INTO ListedPrice
(ProductId,ActiveDate,Channel,Price)
VALUES(423,'2020-05-01','GT',219091)</v>
      </c>
      <c r="AN89" s="292"/>
      <c r="AO89" s="292"/>
    </row>
    <row r="90" spans="1:41" s="286" customFormat="1">
      <c r="A90" s="337">
        <v>7115900822</v>
      </c>
      <c r="B90" s="298" t="s">
        <v>271</v>
      </c>
      <c r="C90" s="290">
        <f>VLOOKUP(B90,Sheet1!$B$17:$C$451,2,0)</f>
        <v>424</v>
      </c>
      <c r="D90" s="291" t="s">
        <v>1057</v>
      </c>
      <c r="E90" s="291" t="s">
        <v>471</v>
      </c>
      <c r="F90" s="299" t="s">
        <v>23</v>
      </c>
      <c r="G90" s="299" t="s">
        <v>562</v>
      </c>
      <c r="H90" s="295" t="s">
        <v>1351</v>
      </c>
      <c r="I90" s="291" t="s">
        <v>500</v>
      </c>
      <c r="J90" s="299" t="s">
        <v>958</v>
      </c>
      <c r="K90" s="300" t="s">
        <v>873</v>
      </c>
      <c r="L90" s="320" t="str">
        <f t="shared" si="6"/>
        <v>INSERT INTO Product (CMMF,Model,BarCode,Capacity,[Type],Product,[Range],[ModelName],[Color],[Status]) VALUES
('7115900822','H18203-J22D','8936042293679','22cm','CW','Supor',N'Chảo Chiên',N'Affinity',N'Glass Red ','To be discontinued')</v>
      </c>
      <c r="M90" s="292" t="s">
        <v>877</v>
      </c>
      <c r="N90" s="292"/>
      <c r="O90" s="292"/>
      <c r="P90" s="292"/>
      <c r="Q90" s="292"/>
      <c r="R90" s="292"/>
      <c r="S90" s="292"/>
      <c r="T90" s="292"/>
      <c r="U90" s="292"/>
      <c r="V90" s="292"/>
      <c r="W90" s="292" t="s">
        <v>1485</v>
      </c>
      <c r="X90" s="292" t="str">
        <f>"INSERT INTO ProductByAccount
( ProductId,AccountId)VALUES
("&amp;C90&amp;",1033)"</f>
        <v>INSERT INTO ProductByAccount
( ProductId,AccountId)VALUES
(424,1033)</v>
      </c>
      <c r="Y90" s="292"/>
      <c r="Z90" s="292"/>
      <c r="AA90" s="292"/>
      <c r="AB90" s="292"/>
      <c r="AC90" s="300" t="s">
        <v>873</v>
      </c>
      <c r="AD90" s="292" t="str">
        <f>"INSERT INTO ProductByAccount
( ProductId,AccountId)VALUES
("&amp;C90&amp;",1036)"</f>
        <v>INSERT INTO ProductByAccount
( ProductId,AccountId)VALUES
(424,1036)</v>
      </c>
      <c r="AE90" s="292"/>
      <c r="AF90" s="292"/>
      <c r="AG90" s="292"/>
      <c r="AH90" s="292"/>
      <c r="AI90" s="292"/>
      <c r="AJ90" s="292"/>
      <c r="AK90" s="380">
        <v>238090.90909090906</v>
      </c>
      <c r="AL90" s="381">
        <v>0</v>
      </c>
      <c r="AM90" s="379" t="str">
        <f t="shared" ref="AM90:AM97" si="7">"INSERT INTO ListedPrice
(ProductId,ActiveDate,Channel,Price)
VALUES("&amp;C90&amp;",'2020-05-01','MT',"&amp;AK90&amp;")"</f>
        <v>INSERT INTO ListedPrice
(ProductId,ActiveDate,Channel,Price)
VALUES(424,'2020-05-01','MT',238090.909090909)</v>
      </c>
      <c r="AN90" s="292"/>
      <c r="AO90" s="292"/>
    </row>
    <row r="91" spans="1:41" s="286" customFormat="1">
      <c r="A91" s="337">
        <v>7115900823</v>
      </c>
      <c r="B91" s="298" t="s">
        <v>272</v>
      </c>
      <c r="C91" s="290">
        <f>VLOOKUP(B91,Sheet1!$B$17:$C$451,2,0)</f>
        <v>425</v>
      </c>
      <c r="D91" s="291" t="s">
        <v>1061</v>
      </c>
      <c r="E91" s="291" t="s">
        <v>461</v>
      </c>
      <c r="F91" s="299" t="s">
        <v>23</v>
      </c>
      <c r="G91" s="299" t="s">
        <v>562</v>
      </c>
      <c r="H91" s="295" t="s">
        <v>1351</v>
      </c>
      <c r="I91" s="291" t="s">
        <v>500</v>
      </c>
      <c r="J91" s="299" t="s">
        <v>958</v>
      </c>
      <c r="K91" s="300" t="s">
        <v>873</v>
      </c>
      <c r="L91" s="320" t="str">
        <f t="shared" si="6"/>
        <v>INSERT INTO Product (CMMF,Model,BarCode,Capacity,[Type],Product,[Range],[ModelName],[Color],[Status]) VALUES
('7115900823','H18203-J24D','8936042293686','24cm','CW','Supor',N'Chảo Chiên',N'Affinity',N'Glass Red ','To be discontinued')</v>
      </c>
      <c r="M91" s="292" t="s">
        <v>877</v>
      </c>
      <c r="N91" s="292"/>
      <c r="O91" s="292"/>
      <c r="P91" s="292"/>
      <c r="Q91" s="292"/>
      <c r="R91" s="292"/>
      <c r="S91" s="292"/>
      <c r="T91" s="292"/>
      <c r="U91" s="292"/>
      <c r="V91" s="292"/>
      <c r="W91" s="292" t="s">
        <v>1485</v>
      </c>
      <c r="X91" s="292" t="str">
        <f>"INSERT INTO ProductByAccount
( ProductId,AccountId)VALUES
("&amp;C91&amp;",1033)"</f>
        <v>INSERT INTO ProductByAccount
( ProductId,AccountId)VALUES
(425,1033)</v>
      </c>
      <c r="Y91" s="292"/>
      <c r="Z91" s="292"/>
      <c r="AA91" s="292"/>
      <c r="AB91" s="292"/>
      <c r="AC91" s="300" t="s">
        <v>873</v>
      </c>
      <c r="AD91" s="292" t="str">
        <f>"INSERT INTO ProductByAccount
( ProductId,AccountId)VALUES
("&amp;C91&amp;",1036)"</f>
        <v>INSERT INTO ProductByAccount
( ProductId,AccountId)VALUES
(425,1036)</v>
      </c>
      <c r="AE91" s="292"/>
      <c r="AF91" s="292"/>
      <c r="AG91" s="292"/>
      <c r="AH91" s="292"/>
      <c r="AI91" s="292"/>
      <c r="AJ91" s="292"/>
      <c r="AK91" s="380">
        <v>260818.18181818179</v>
      </c>
      <c r="AL91" s="381">
        <v>0</v>
      </c>
      <c r="AM91" s="379" t="str">
        <f t="shared" si="7"/>
        <v>INSERT INTO ListedPrice
(ProductId,ActiveDate,Channel,Price)
VALUES(425,'2020-05-01','MT',260818.181818182)</v>
      </c>
      <c r="AN91" s="292"/>
      <c r="AO91" s="292"/>
    </row>
    <row r="92" spans="1:41" s="286" customFormat="1">
      <c r="A92" s="337">
        <v>7115900824</v>
      </c>
      <c r="B92" s="298" t="s">
        <v>273</v>
      </c>
      <c r="C92" s="290">
        <f>VLOOKUP(B92,Sheet1!$B$17:$C$451,2,0)</f>
        <v>426</v>
      </c>
      <c r="D92" s="291" t="s">
        <v>1065</v>
      </c>
      <c r="E92" s="291" t="s">
        <v>463</v>
      </c>
      <c r="F92" s="299" t="s">
        <v>23</v>
      </c>
      <c r="G92" s="299" t="s">
        <v>562</v>
      </c>
      <c r="H92" s="295" t="s">
        <v>1351</v>
      </c>
      <c r="I92" s="291" t="s">
        <v>500</v>
      </c>
      <c r="J92" s="299" t="s">
        <v>958</v>
      </c>
      <c r="K92" s="300" t="s">
        <v>873</v>
      </c>
      <c r="L92" s="320" t="str">
        <f t="shared" si="6"/>
        <v>INSERT INTO Product (CMMF,Model,BarCode,Capacity,[Type],Product,[Range],[ModelName],[Color],[Status]) VALUES
('7115900824','H18203-J26D','8936042293693','26cm','CW','Supor',N'Chảo Chiên',N'Affinity',N'Glass Red ','To be discontinued')</v>
      </c>
      <c r="M92" s="292" t="s">
        <v>877</v>
      </c>
      <c r="N92" s="292"/>
      <c r="O92" s="292"/>
      <c r="P92" s="292"/>
      <c r="Q92" s="292"/>
      <c r="R92" s="292"/>
      <c r="S92" s="292"/>
      <c r="T92" s="292"/>
      <c r="U92" s="292"/>
      <c r="V92" s="292"/>
      <c r="W92" s="292" t="s">
        <v>1485</v>
      </c>
      <c r="X92" s="292" t="str">
        <f>"INSERT INTO ProductByAccount
( ProductId,AccountId)VALUES
("&amp;C92&amp;",1033)"</f>
        <v>INSERT INTO ProductByAccount
( ProductId,AccountId)VALUES
(426,1033)</v>
      </c>
      <c r="Y92" s="292"/>
      <c r="Z92" s="292"/>
      <c r="AA92" s="292"/>
      <c r="AB92" s="292"/>
      <c r="AC92" s="292"/>
      <c r="AD92" s="292"/>
      <c r="AE92" s="292"/>
      <c r="AF92" s="292"/>
      <c r="AG92" s="292"/>
      <c r="AH92" s="292"/>
      <c r="AI92" s="292"/>
      <c r="AJ92" s="292"/>
      <c r="AK92" s="380">
        <v>285363.63636363635</v>
      </c>
      <c r="AL92" s="381">
        <v>0</v>
      </c>
      <c r="AM92" s="379" t="str">
        <f t="shared" si="7"/>
        <v>INSERT INTO ListedPrice
(ProductId,ActiveDate,Channel,Price)
VALUES(426,'2020-05-01','MT',285363.636363636)</v>
      </c>
      <c r="AN92" s="292"/>
      <c r="AO92" s="292"/>
    </row>
    <row r="93" spans="1:41" s="285" customFormat="1">
      <c r="A93" s="336">
        <v>7115900825</v>
      </c>
      <c r="B93" s="294" t="s">
        <v>275</v>
      </c>
      <c r="C93" s="290">
        <f>VLOOKUP(B93,Sheet1!$B$17:$C$451,2,0)</f>
        <v>427</v>
      </c>
      <c r="D93" s="291" t="s">
        <v>1077</v>
      </c>
      <c r="E93" s="291" t="s">
        <v>471</v>
      </c>
      <c r="F93" s="295" t="s">
        <v>23</v>
      </c>
      <c r="G93" s="295" t="s">
        <v>562</v>
      </c>
      <c r="H93" s="295" t="s">
        <v>1351</v>
      </c>
      <c r="I93" s="291" t="s">
        <v>500</v>
      </c>
      <c r="J93" s="295" t="s">
        <v>959</v>
      </c>
      <c r="K93" s="297" t="s">
        <v>623</v>
      </c>
      <c r="L93" s="320" t="str">
        <f t="shared" si="6"/>
        <v>INSERT INTO Product (CMMF,Model,BarCode,Capacity,[Type],Product,[Range],[ModelName],[Color],[Status]) VALUES
('7115900825','H18204-J22','8936042293709','22cm','CW','Supor',N'Chảo Chiên',N'Affinity',N'Glass Grey','Discontinued')</v>
      </c>
      <c r="M93" s="292" t="s">
        <v>877</v>
      </c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6" t="s">
        <v>623</v>
      </c>
      <c r="AD93" s="292" t="str">
        <f>"INSERT INTO ProductByAccount
( ProductId,AccountId)VALUES
("&amp;C93&amp;",1036)"</f>
        <v>INSERT INTO ProductByAccount
( ProductId,AccountId)VALUES
(427,1036)</v>
      </c>
      <c r="AE93" s="292"/>
      <c r="AF93" s="292"/>
      <c r="AG93" s="292"/>
      <c r="AH93" s="292"/>
      <c r="AI93" s="292"/>
      <c r="AJ93" s="292"/>
      <c r="AK93" s="380">
        <v>197910</v>
      </c>
      <c r="AL93" s="381">
        <v>0</v>
      </c>
      <c r="AM93" s="379" t="str">
        <f t="shared" si="7"/>
        <v>INSERT INTO ListedPrice
(ProductId,ActiveDate,Channel,Price)
VALUES(427,'2020-05-01','MT',197910)</v>
      </c>
      <c r="AN93" s="292"/>
      <c r="AO93" s="292"/>
    </row>
    <row r="94" spans="1:41" s="285" customFormat="1">
      <c r="A94" s="336">
        <v>7115900826</v>
      </c>
      <c r="B94" s="294" t="s">
        <v>276</v>
      </c>
      <c r="C94" s="290">
        <f>VLOOKUP(B94,Sheet1!$B$17:$C$451,2,0)</f>
        <v>428</v>
      </c>
      <c r="D94" s="291" t="s">
        <v>1078</v>
      </c>
      <c r="E94" s="291" t="s">
        <v>461</v>
      </c>
      <c r="F94" s="295" t="s">
        <v>23</v>
      </c>
      <c r="G94" s="295" t="s">
        <v>562</v>
      </c>
      <c r="H94" s="295" t="s">
        <v>1351</v>
      </c>
      <c r="I94" s="291" t="s">
        <v>500</v>
      </c>
      <c r="J94" s="295" t="s">
        <v>959</v>
      </c>
      <c r="K94" s="297" t="s">
        <v>623</v>
      </c>
      <c r="L94" s="320" t="str">
        <f t="shared" si="6"/>
        <v>INSERT INTO Product (CMMF,Model,BarCode,Capacity,[Type],Product,[Range],[ModelName],[Color],[Status]) VALUES
('7115900826','H18204-J24','8936042293716','24cm','CW','Supor',N'Chảo Chiên',N'Affinity',N'Glass Grey','Discontinued')</v>
      </c>
      <c r="M94" s="292" t="s">
        <v>877</v>
      </c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6" t="s">
        <v>623</v>
      </c>
      <c r="AD94" s="292" t="str">
        <f>"INSERT INTO ProductByAccount
( ProductId,AccountId)VALUES
("&amp;C94&amp;",1036)"</f>
        <v>INSERT INTO ProductByAccount
( ProductId,AccountId)VALUES
(428,1036)</v>
      </c>
      <c r="AE94" s="292"/>
      <c r="AF94" s="292"/>
      <c r="AG94" s="292"/>
      <c r="AH94" s="292"/>
      <c r="AI94" s="292"/>
      <c r="AJ94" s="292"/>
      <c r="AK94" s="380">
        <v>215910</v>
      </c>
      <c r="AL94" s="381">
        <v>0</v>
      </c>
      <c r="AM94" s="379" t="str">
        <f t="shared" si="7"/>
        <v>INSERT INTO ListedPrice
(ProductId,ActiveDate,Channel,Price)
VALUES(428,'2020-05-01','MT',215910)</v>
      </c>
      <c r="AN94" s="292"/>
      <c r="AO94" s="292"/>
    </row>
    <row r="95" spans="1:41" s="285" customFormat="1">
      <c r="A95" s="336">
        <v>7115900827</v>
      </c>
      <c r="B95" s="294" t="s">
        <v>277</v>
      </c>
      <c r="C95" s="290">
        <f>VLOOKUP(B95,Sheet1!$B$17:$C$451,2,0)</f>
        <v>429</v>
      </c>
      <c r="D95" s="291" t="s">
        <v>1079</v>
      </c>
      <c r="E95" s="291" t="s">
        <v>463</v>
      </c>
      <c r="F95" s="295" t="s">
        <v>23</v>
      </c>
      <c r="G95" s="295" t="s">
        <v>562</v>
      </c>
      <c r="H95" s="295" t="s">
        <v>1351</v>
      </c>
      <c r="I95" s="291" t="s">
        <v>500</v>
      </c>
      <c r="J95" s="295" t="s">
        <v>959</v>
      </c>
      <c r="K95" s="297" t="s">
        <v>623</v>
      </c>
      <c r="L95" s="320" t="str">
        <f t="shared" si="6"/>
        <v>INSERT INTO Product (CMMF,Model,BarCode,Capacity,[Type],Product,[Range],[ModelName],[Color],[Status]) VALUES
('7115900827','H18204-J26','8936042293723','26cm','CW','Supor',N'Chảo Chiên',N'Affinity',N'Glass Grey','Discontinued')</v>
      </c>
      <c r="M95" s="292" t="s">
        <v>877</v>
      </c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6" t="s">
        <v>623</v>
      </c>
      <c r="AD95" s="292" t="str">
        <f>"INSERT INTO ProductByAccount
( ProductId,AccountId)VALUES
("&amp;C95&amp;",1036)"</f>
        <v>INSERT INTO ProductByAccount
( ProductId,AccountId)VALUES
(429,1036)</v>
      </c>
      <c r="AE95" s="292"/>
      <c r="AF95" s="292"/>
      <c r="AG95" s="292"/>
      <c r="AH95" s="292"/>
      <c r="AI95" s="292"/>
      <c r="AJ95" s="292"/>
      <c r="AK95" s="380">
        <v>233910</v>
      </c>
      <c r="AL95" s="381">
        <v>0</v>
      </c>
      <c r="AM95" s="379" t="str">
        <f t="shared" si="7"/>
        <v>INSERT INTO ListedPrice
(ProductId,ActiveDate,Channel,Price)
VALUES(429,'2020-05-01','MT',233910)</v>
      </c>
      <c r="AN95" s="292"/>
      <c r="AO95" s="292"/>
    </row>
    <row r="96" spans="1:41" s="287" customFormat="1">
      <c r="A96" s="338">
        <v>7115900869</v>
      </c>
      <c r="B96" s="301" t="s">
        <v>710</v>
      </c>
      <c r="C96" s="290">
        <f>VLOOKUP(B96,Sheet1!$B$17:$C$451,2,0)</f>
        <v>430</v>
      </c>
      <c r="D96" s="291" t="s">
        <v>1083</v>
      </c>
      <c r="E96" s="291" t="s">
        <v>471</v>
      </c>
      <c r="F96" s="302" t="s">
        <v>23</v>
      </c>
      <c r="G96" s="302" t="s">
        <v>562</v>
      </c>
      <c r="H96" s="295" t="s">
        <v>1351</v>
      </c>
      <c r="I96" s="291" t="s">
        <v>1344</v>
      </c>
      <c r="J96" s="291" t="s">
        <v>1344</v>
      </c>
      <c r="K96" s="303" t="s">
        <v>516</v>
      </c>
      <c r="L96" s="320" t="str">
        <f t="shared" si="6"/>
        <v>INSERT INTO Product (CMMF,Model,BarCode,Capacity,[Type],Product,[Range],[ModelName],[Color],[Status]) VALUES
('7115900869','H20201-J22','8936042294249','22cm','CW','Supor',N'Chảo Chiên',N'Update',N'Update','New')</v>
      </c>
      <c r="M96" s="292" t="s">
        <v>877</v>
      </c>
      <c r="N96" s="292"/>
      <c r="O96" s="292"/>
      <c r="P96" s="292"/>
      <c r="Q96" s="292"/>
      <c r="R96" s="292"/>
      <c r="S96" s="292"/>
      <c r="T96" s="292"/>
      <c r="U96" s="292"/>
      <c r="V96" s="292"/>
      <c r="W96" s="292"/>
      <c r="X96" s="292"/>
      <c r="Y96" s="292"/>
      <c r="Z96" s="292"/>
      <c r="AA96" s="292"/>
      <c r="AB96" s="292"/>
      <c r="AC96" s="292"/>
      <c r="AD96" s="292"/>
      <c r="AE96" s="292"/>
      <c r="AF96" s="292"/>
      <c r="AG96" s="292"/>
      <c r="AH96" s="292"/>
      <c r="AI96" s="292"/>
      <c r="AJ96" s="292"/>
      <c r="AK96" s="329"/>
      <c r="AL96" s="381">
        <v>0</v>
      </c>
      <c r="AM96" s="379" t="str">
        <f t="shared" si="7"/>
        <v>INSERT INTO ListedPrice
(ProductId,ActiveDate,Channel,Price)
VALUES(430,'2020-05-01','MT',)</v>
      </c>
      <c r="AN96" s="292"/>
      <c r="AO96" s="292"/>
    </row>
    <row r="97" spans="1:41" s="287" customFormat="1">
      <c r="A97" s="338">
        <v>7115900870</v>
      </c>
      <c r="B97" s="301" t="s">
        <v>711</v>
      </c>
      <c r="C97" s="290">
        <f>VLOOKUP(B97,Sheet1!$B$17:$C$451,2,0)</f>
        <v>431</v>
      </c>
      <c r="D97" s="291" t="s">
        <v>1084</v>
      </c>
      <c r="E97" s="291" t="s">
        <v>471</v>
      </c>
      <c r="F97" s="302" t="s">
        <v>23</v>
      </c>
      <c r="G97" s="302" t="s">
        <v>562</v>
      </c>
      <c r="H97" s="295" t="s">
        <v>1351</v>
      </c>
      <c r="I97" s="291" t="s">
        <v>1344</v>
      </c>
      <c r="J97" s="291" t="s">
        <v>1344</v>
      </c>
      <c r="K97" s="303" t="s">
        <v>516</v>
      </c>
      <c r="L97" s="320" t="str">
        <f t="shared" si="6"/>
        <v>INSERT INTO Product (CMMF,Model,BarCode,Capacity,[Type],Product,[Range],[ModelName],[Color],[Status]) VALUES
('7115900870','H20202-J22','8936042294256','22cm','CW','Supor',N'Chảo Chiên',N'Update',N'Update','New')</v>
      </c>
      <c r="M97" s="292" t="s">
        <v>877</v>
      </c>
      <c r="N97" s="292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292"/>
      <c r="AC97" s="292"/>
      <c r="AD97" s="292"/>
      <c r="AE97" s="292"/>
      <c r="AF97" s="292"/>
      <c r="AG97" s="292"/>
      <c r="AH97" s="292"/>
      <c r="AI97" s="292"/>
      <c r="AJ97" s="292"/>
      <c r="AK97" s="329"/>
      <c r="AL97" s="381">
        <v>0</v>
      </c>
      <c r="AM97" s="379" t="str">
        <f t="shared" si="7"/>
        <v>INSERT INTO ListedPrice
(ProductId,ActiveDate,Channel,Price)
VALUES(431,'2020-05-01','MT',)</v>
      </c>
      <c r="AN97" s="292"/>
      <c r="AO97" s="292"/>
    </row>
    <row r="98" spans="1:41">
      <c r="A98" s="335">
        <v>7115900212</v>
      </c>
      <c r="B98" s="290" t="s">
        <v>689</v>
      </c>
      <c r="C98" s="290">
        <f>VLOOKUP(B98,Sheet1!$B$17:$C$451,2,0)</f>
        <v>432</v>
      </c>
      <c r="D98" s="291" t="s">
        <v>1106</v>
      </c>
      <c r="E98" s="291" t="s">
        <v>690</v>
      </c>
      <c r="F98" s="291" t="s">
        <v>23</v>
      </c>
      <c r="G98" s="291" t="s">
        <v>562</v>
      </c>
      <c r="H98" s="291" t="s">
        <v>1372</v>
      </c>
      <c r="I98" s="291" t="s">
        <v>35</v>
      </c>
      <c r="J98" s="291" t="s">
        <v>292</v>
      </c>
      <c r="K98" s="293" t="s">
        <v>872</v>
      </c>
      <c r="L98" s="320" t="str">
        <f t="shared" si="6"/>
        <v>INSERT INTO Product (CMMF,Model,BarCode,Capacity,[Type],Product,[Range],[ModelName],[Color],[Status]) VALUES
('7115900212','H07011-1','8936042291125','32 cm','CW','Supor',N'Chảo Xào',N'Spear',N'Đen','On going')</v>
      </c>
      <c r="M98" s="292" t="s">
        <v>877</v>
      </c>
      <c r="N98" s="292" t="s">
        <v>683</v>
      </c>
      <c r="O98" s="292" t="s">
        <v>1488</v>
      </c>
      <c r="P98" s="292" t="str">
        <f>"INSERT INTO ProductByAccount
( ProductId,AccountId)VALUES
("&amp;C98&amp;",1029)"</f>
        <v>INSERT INTO ProductByAccount
( ProductId,AccountId)VALUES
(432,1029)</v>
      </c>
      <c r="Q98" s="292" t="s">
        <v>872</v>
      </c>
      <c r="R98" s="292" t="str">
        <f>"INSERT INTO ProductByAccount
( ProductId,AccountId)VALUES
("&amp;C98&amp;",1030)"</f>
        <v>INSERT INTO ProductByAccount
( ProductId,AccountId)VALUES
(432,1030)</v>
      </c>
      <c r="S98" s="292"/>
      <c r="T98" s="292"/>
      <c r="U98" s="292" t="s">
        <v>872</v>
      </c>
      <c r="V98" s="292" t="str">
        <f>"INSERT INTO ProductByAccount
( ProductId,AccountId)VALUES
("&amp;C98&amp;",1032)"</f>
        <v>INSERT INTO ProductByAccount
( ProductId,AccountId)VALUES
(432,1032)</v>
      </c>
      <c r="W98" s="292"/>
      <c r="X98" s="292"/>
      <c r="Y98" s="292" t="s">
        <v>872</v>
      </c>
      <c r="Z98" s="292" t="str">
        <f>"INSERT INTO ProductByAccount
( ProductId,AccountId)VALUES
("&amp;C98&amp;",1034)"</f>
        <v>INSERT INTO ProductByAccount
( ProductId,AccountId)VALUES
(432,1034)</v>
      </c>
      <c r="AA98" s="292"/>
      <c r="AB98" s="292"/>
      <c r="AC98" s="292"/>
      <c r="AD98" s="292"/>
      <c r="AE98" s="292"/>
      <c r="AF98" s="292"/>
      <c r="AG98" s="292"/>
      <c r="AH98" s="292"/>
      <c r="AI98" s="292" t="s">
        <v>872</v>
      </c>
      <c r="AJ98" s="292" t="str">
        <f>"INSERT INTO ProductByAccount
( ProductId,AccountId)VALUES
("&amp;C98&amp;",1039)"</f>
        <v>INSERT INTO ProductByAccount
( ProductId,AccountId)VALUES
(432,1039)</v>
      </c>
      <c r="AK98" s="380">
        <v>378091</v>
      </c>
      <c r="AL98" s="381">
        <v>305455</v>
      </c>
      <c r="AM98" s="379" t="str">
        <f t="shared" ref="AM98:AM121" si="8">"INSERT INTO ListedPrice
(ProductId,ActiveDate,Channel,Price)
VALUES("&amp;C98&amp;",'2020-05-01','GT',"&amp;AL98&amp;")"</f>
        <v>INSERT INTO ListedPrice
(ProductId,ActiveDate,Channel,Price)
VALUES(432,'2020-05-01','GT',305455)</v>
      </c>
      <c r="AN98" s="292"/>
      <c r="AO98" s="292"/>
    </row>
    <row r="99" spans="1:41">
      <c r="A99" s="335">
        <v>7115900213</v>
      </c>
      <c r="B99" s="290" t="s">
        <v>694</v>
      </c>
      <c r="C99" s="290">
        <f>VLOOKUP(B99,Sheet1!$B$17:$C$451,2,0)</f>
        <v>433</v>
      </c>
      <c r="D99" s="291" t="s">
        <v>1107</v>
      </c>
      <c r="E99" s="291" t="s">
        <v>691</v>
      </c>
      <c r="F99" s="291" t="s">
        <v>23</v>
      </c>
      <c r="G99" s="291" t="s">
        <v>562</v>
      </c>
      <c r="H99" s="291" t="s">
        <v>1372</v>
      </c>
      <c r="I99" s="291" t="s">
        <v>35</v>
      </c>
      <c r="J99" s="291" t="s">
        <v>292</v>
      </c>
      <c r="K99" s="293" t="s">
        <v>872</v>
      </c>
      <c r="L99" s="320" t="str">
        <f t="shared" si="6"/>
        <v>INSERT INTO Product (CMMF,Model,BarCode,Capacity,[Type],Product,[Range],[ModelName],[Color],[Status]) VALUES
('7115900213','H07011-2','8936042291132','34 cm','CW','Supor',N'Chảo Xào',N'Spear',N'Đen','On going')</v>
      </c>
      <c r="M99" s="292" t="s">
        <v>877</v>
      </c>
      <c r="N99" s="292" t="s">
        <v>683</v>
      </c>
      <c r="O99" s="292" t="s">
        <v>1488</v>
      </c>
      <c r="P99" s="292" t="str">
        <f>"INSERT INTO ProductByAccount
( ProductId,AccountId)VALUES
("&amp;C99&amp;",1029)"</f>
        <v>INSERT INTO ProductByAccount
( ProductId,AccountId)VALUES
(433,1029)</v>
      </c>
      <c r="Q99" s="292"/>
      <c r="R99" s="292"/>
      <c r="S99" s="292"/>
      <c r="T99" s="292"/>
      <c r="U99" s="292"/>
      <c r="V99" s="292"/>
      <c r="W99" s="292"/>
      <c r="X99" s="292"/>
      <c r="Y99" s="292" t="s">
        <v>872</v>
      </c>
      <c r="Z99" s="292" t="str">
        <f>"INSERT INTO ProductByAccount
( ProductId,AccountId)VALUES
("&amp;C99&amp;",1034)"</f>
        <v>INSERT INTO ProductByAccount
( ProductId,AccountId)VALUES
(433,1034)</v>
      </c>
      <c r="AA99" s="292"/>
      <c r="AB99" s="292"/>
      <c r="AC99" s="292"/>
      <c r="AD99" s="292"/>
      <c r="AE99" s="292"/>
      <c r="AF99" s="292"/>
      <c r="AG99" s="292"/>
      <c r="AH99" s="292"/>
      <c r="AI99" s="292" t="s">
        <v>872</v>
      </c>
      <c r="AJ99" s="292" t="str">
        <f>"INSERT INTO ProductByAccount
( ProductId,AccountId)VALUES
("&amp;C99&amp;",1039)"</f>
        <v>INSERT INTO ProductByAccount
( ProductId,AccountId)VALUES
(433,1039)</v>
      </c>
      <c r="AK99" s="380">
        <v>401728</v>
      </c>
      <c r="AL99" s="381">
        <v>321818</v>
      </c>
      <c r="AM99" s="379" t="str">
        <f t="shared" si="8"/>
        <v>INSERT INTO ListedPrice
(ProductId,ActiveDate,Channel,Price)
VALUES(433,'2020-05-01','GT',321818)</v>
      </c>
      <c r="AN99" s="292"/>
      <c r="AO99" s="292"/>
    </row>
    <row r="100" spans="1:41">
      <c r="A100" s="335">
        <v>7115900214</v>
      </c>
      <c r="B100" s="290" t="s">
        <v>695</v>
      </c>
      <c r="C100" s="290">
        <f>VLOOKUP(B100,Sheet1!$B$17:$C$451,2,0)</f>
        <v>434</v>
      </c>
      <c r="D100" s="291" t="s">
        <v>1108</v>
      </c>
      <c r="E100" s="291" t="s">
        <v>692</v>
      </c>
      <c r="F100" s="291" t="s">
        <v>23</v>
      </c>
      <c r="G100" s="291" t="s">
        <v>562</v>
      </c>
      <c r="H100" s="291" t="s">
        <v>1372</v>
      </c>
      <c r="I100" s="291" t="s">
        <v>35</v>
      </c>
      <c r="J100" s="291" t="s">
        <v>292</v>
      </c>
      <c r="K100" s="293" t="s">
        <v>872</v>
      </c>
      <c r="L100" s="320" t="str">
        <f t="shared" si="6"/>
        <v>INSERT INTO Product (CMMF,Model,BarCode,Capacity,[Type],Product,[Range],[ModelName],[Color],[Status]) VALUES
('7115900214','H07011-3','8936042291149','36 cm','CW','Supor',N'Chảo Xào',N'Spear',N'Đen','On going')</v>
      </c>
      <c r="M100" s="292" t="s">
        <v>877</v>
      </c>
      <c r="N100" s="292" t="s">
        <v>683</v>
      </c>
      <c r="O100" s="292"/>
      <c r="P100" s="292"/>
      <c r="Q100" s="292" t="s">
        <v>872</v>
      </c>
      <c r="R100" s="292" t="str">
        <f>"INSERT INTO ProductByAccount
( ProductId,AccountId)VALUES
("&amp;C100&amp;",1030)"</f>
        <v>INSERT INTO ProductByAccount
( ProductId,AccountId)VALUES
(434,1030)</v>
      </c>
      <c r="S100" s="292"/>
      <c r="T100" s="292"/>
      <c r="U100" s="292" t="s">
        <v>872</v>
      </c>
      <c r="V100" s="292" t="str">
        <f>"INSERT INTO ProductByAccount
( ProductId,AccountId)VALUES
("&amp;C100&amp;",1032)"</f>
        <v>INSERT INTO ProductByAccount
( ProductId,AccountId)VALUES
(434,1032)</v>
      </c>
      <c r="W100" s="292"/>
      <c r="X100" s="292"/>
      <c r="Y100" s="292"/>
      <c r="Z100" s="292"/>
      <c r="AA100" s="292"/>
      <c r="AB100" s="292"/>
      <c r="AC100" s="292"/>
      <c r="AD100" s="292"/>
      <c r="AE100" s="292" t="s">
        <v>872</v>
      </c>
      <c r="AF100" s="292" t="str">
        <f>"INSERT INTO ProductByAccount
( ProductId,AccountId)VALUES
("&amp;C100&amp;",1037)"</f>
        <v>INSERT INTO ProductByAccount
( ProductId,AccountId)VALUES
(434,1037)</v>
      </c>
      <c r="AG100" s="292"/>
      <c r="AH100" s="292"/>
      <c r="AI100" s="292" t="s">
        <v>872</v>
      </c>
      <c r="AJ100" s="292" t="str">
        <f>"INSERT INTO ProductByAccount
( ProductId,AccountId)VALUES
("&amp;C100&amp;",1039)"</f>
        <v>INSERT INTO ProductByAccount
( ProductId,AccountId)VALUES
(434,1039)</v>
      </c>
      <c r="AK100" s="380">
        <v>416273</v>
      </c>
      <c r="AL100" s="381">
        <v>333636</v>
      </c>
      <c r="AM100" s="379" t="str">
        <f t="shared" si="8"/>
        <v>INSERT INTO ListedPrice
(ProductId,ActiveDate,Channel,Price)
VALUES(434,'2020-05-01','GT',333636)</v>
      </c>
      <c r="AN100" s="292"/>
      <c r="AO100" s="292"/>
    </row>
    <row r="101" spans="1:41">
      <c r="A101" s="335">
        <v>7115900215</v>
      </c>
      <c r="B101" s="290" t="s">
        <v>696</v>
      </c>
      <c r="C101" s="290">
        <f>VLOOKUP(B101,Sheet1!$B$17:$C$451,2,0)</f>
        <v>435</v>
      </c>
      <c r="D101" s="291" t="s">
        <v>1109</v>
      </c>
      <c r="E101" s="291" t="s">
        <v>693</v>
      </c>
      <c r="F101" s="291" t="s">
        <v>23</v>
      </c>
      <c r="G101" s="291" t="s">
        <v>562</v>
      </c>
      <c r="H101" s="291" t="s">
        <v>1372</v>
      </c>
      <c r="I101" s="291" t="s">
        <v>35</v>
      </c>
      <c r="J101" s="291" t="s">
        <v>292</v>
      </c>
      <c r="K101" s="293" t="s">
        <v>872</v>
      </c>
      <c r="L101" s="320" t="str">
        <f>"INSERT INTO Product (CMMF,Model,BarCode,Capacity,[Type],Product,[Range],[ModelName],[Color],[Status]) VALUES
('"&amp;A101&amp;"','"&amp;B101&amp;"','"&amp;D101&amp;"','"&amp;E101&amp;"','"&amp;F101&amp;"','"&amp;G101&amp;"',N'"&amp;H101&amp;"',N'"&amp;I101&amp;"',N'"&amp;J101&amp;"','"&amp;K101&amp;"')"</f>
        <v>INSERT INTO Product (CMMF,Model,BarCode,Capacity,[Type],Product,[Range],[ModelName],[Color],[Status]) VALUES
('7115900215','H07011-4','8936042291156','40 cm','CW','Supor',N'Chảo Xào',N'Spear',N'Đen','On going')</v>
      </c>
      <c r="M101" s="292" t="s">
        <v>877</v>
      </c>
      <c r="N101" s="292" t="s">
        <v>683</v>
      </c>
      <c r="O101" s="292" t="s">
        <v>1488</v>
      </c>
      <c r="P101" s="292" t="str">
        <f>"INSERT INTO ProductByAccount
( ProductId,AccountId)VALUES
("&amp;C101&amp;",1029)"</f>
        <v>INSERT INTO ProductByAccount
( ProductId,AccountId)VALUES
(435,1029)</v>
      </c>
      <c r="Q101" s="292" t="s">
        <v>872</v>
      </c>
      <c r="R101" s="292" t="str">
        <f>"INSERT INTO ProductByAccount
( ProductId,AccountId)VALUES
("&amp;C101&amp;",1030)"</f>
        <v>INSERT INTO ProductByAccount
( ProductId,AccountId)VALUES
(435,1030)</v>
      </c>
      <c r="S101" s="292" t="s">
        <v>1485</v>
      </c>
      <c r="T101" s="292" t="str">
        <f>"INSERT INTO ProductByAccount
( ProductId,AccountId)VALUES
("&amp;C101&amp;",1031)"</f>
        <v>INSERT INTO ProductByAccount
( ProductId,AccountId)VALUES
(435,1031)</v>
      </c>
      <c r="U101" s="292"/>
      <c r="V101" s="292"/>
      <c r="W101" s="292"/>
      <c r="X101" s="292"/>
      <c r="Y101" s="292" t="s">
        <v>872</v>
      </c>
      <c r="Z101" s="292" t="str">
        <f>"INSERT INTO ProductByAccount
( ProductId,AccountId)VALUES
("&amp;C101&amp;",1034)"</f>
        <v>INSERT INTO ProductByAccount
( ProductId,AccountId)VALUES
(435,1034)</v>
      </c>
      <c r="AA101" s="292"/>
      <c r="AB101" s="292"/>
      <c r="AC101" s="292"/>
      <c r="AD101" s="292"/>
      <c r="AE101" s="292"/>
      <c r="AF101" s="292"/>
      <c r="AG101" s="292"/>
      <c r="AH101" s="292"/>
      <c r="AI101" s="292" t="s">
        <v>872</v>
      </c>
      <c r="AJ101" s="292" t="str">
        <f>"INSERT INTO ProductByAccount
( ProductId,AccountId)VALUES
("&amp;C101&amp;",1039)"</f>
        <v>INSERT INTO ProductByAccount
( ProductId,AccountId)VALUES
(435,1039)</v>
      </c>
      <c r="AK101" s="380">
        <v>504455</v>
      </c>
      <c r="AL101" s="381">
        <v>410000</v>
      </c>
      <c r="AM101" s="379" t="str">
        <f t="shared" si="8"/>
        <v>INSERT INTO ListedPrice
(ProductId,ActiveDate,Channel,Price)
VALUES(435,'2020-05-01','GT',410000)</v>
      </c>
      <c r="AN101" s="292"/>
      <c r="AO101" s="292"/>
    </row>
    <row r="102" spans="1:41" s="378" customFormat="1" ht="13.15">
      <c r="A102" s="376">
        <v>7115900499</v>
      </c>
      <c r="B102" s="314" t="s">
        <v>131</v>
      </c>
      <c r="C102" s="290">
        <f>VLOOKUP(B102,Sheet1!$B$17:$C$451,2,0)</f>
        <v>1</v>
      </c>
      <c r="D102" s="310" t="s">
        <v>1110</v>
      </c>
      <c r="E102" s="310" t="s">
        <v>617</v>
      </c>
      <c r="F102" s="310" t="s">
        <v>23</v>
      </c>
      <c r="G102" s="310" t="s">
        <v>562</v>
      </c>
      <c r="H102" s="310" t="s">
        <v>1372</v>
      </c>
      <c r="I102" s="310" t="s">
        <v>954</v>
      </c>
      <c r="J102" s="310" t="s">
        <v>292</v>
      </c>
      <c r="K102" s="320" t="s">
        <v>872</v>
      </c>
      <c r="L102" s="320" t="str">
        <f>"INSERT INTO Product (CMMF,Model,BarCode,Capacity,[Type],Product,[Range],[ModelName],[Color],[Status]) VALUES
('"&amp;A102&amp;"','"&amp;B102&amp;"','"&amp;D102&amp;"','"&amp;E102&amp;"','"&amp;F102&amp;"','"&amp;G102&amp;"',N'"&amp;H102&amp;"',N'"&amp;I102&amp;"',N'"&amp;J102&amp;"','"&amp;K102&amp;"')"</f>
        <v>INSERT INTO Product (CMMF,Model,BarCode,Capacity,[Type],Product,[Range],[ModelName],[Color],[Status]) VALUES
('7115900499','W06A32','8936042292665','32cm','CW','Supor',N'Chảo Xào',N'Comfort',N'Đen','On going')</v>
      </c>
      <c r="M102" s="333" t="s">
        <v>877</v>
      </c>
      <c r="N102" s="333" t="s">
        <v>683</v>
      </c>
      <c r="O102" s="333" t="s">
        <v>1488</v>
      </c>
      <c r="P102" s="292" t="str">
        <f>"INSERT INTO ProductByAccount
( ProductId,AccountId)VALUES
("&amp;C102&amp;",1029)"</f>
        <v>INSERT INTO ProductByAccount
( ProductId,AccountId)VALUES
(1,1029)</v>
      </c>
      <c r="Q102" s="377" t="s">
        <v>1442</v>
      </c>
      <c r="R102" s="292" t="str">
        <f>"INSERT INTO ProductByAccount
( ProductId,AccountId)VALUES
("&amp;C102&amp;",1030)"</f>
        <v>INSERT INTO ProductByAccount
( ProductId,AccountId)VALUES
(1,1030)</v>
      </c>
      <c r="S102" s="333"/>
      <c r="T102" s="333"/>
      <c r="U102" s="333" t="s">
        <v>1442</v>
      </c>
      <c r="V102" s="292" t="str">
        <f>"INSERT INTO ProductByAccount
( ProductId,AccountId)VALUES
("&amp;C102&amp;",1032)"</f>
        <v>INSERT INTO ProductByAccount
( ProductId,AccountId)VALUES
(1,1032)</v>
      </c>
      <c r="W102" s="333"/>
      <c r="X102" s="333"/>
      <c r="Y102" s="333"/>
      <c r="Z102" s="333"/>
      <c r="AA102" s="333"/>
      <c r="AB102" s="333"/>
      <c r="AC102" s="333"/>
      <c r="AD102" s="333"/>
      <c r="AE102" s="333"/>
      <c r="AF102" s="333"/>
      <c r="AG102" s="333"/>
      <c r="AH102" s="333"/>
      <c r="AI102" s="333"/>
      <c r="AJ102" s="333"/>
      <c r="AK102" s="382">
        <v>333546</v>
      </c>
      <c r="AL102" s="384">
        <v>267273</v>
      </c>
      <c r="AM102" s="379" t="str">
        <f t="shared" si="8"/>
        <v>INSERT INTO ListedPrice
(ProductId,ActiveDate,Channel,Price)
VALUES(1,'2020-05-01','GT',267273)</v>
      </c>
      <c r="AN102" s="333"/>
      <c r="AO102" s="333"/>
    </row>
    <row r="103" spans="1:41">
      <c r="A103" s="335">
        <v>7115900500</v>
      </c>
      <c r="B103" s="290" t="s">
        <v>132</v>
      </c>
      <c r="C103" s="290">
        <f>VLOOKUP(B103,Sheet1!$B$17:$C$451,2,0)</f>
        <v>2</v>
      </c>
      <c r="D103" s="291" t="s">
        <v>1111</v>
      </c>
      <c r="E103" s="291" t="s">
        <v>619</v>
      </c>
      <c r="F103" s="291" t="s">
        <v>23</v>
      </c>
      <c r="G103" s="291" t="s">
        <v>562</v>
      </c>
      <c r="H103" s="291" t="s">
        <v>1372</v>
      </c>
      <c r="I103" s="291" t="s">
        <v>954</v>
      </c>
      <c r="J103" s="291" t="s">
        <v>292</v>
      </c>
      <c r="K103" s="293" t="s">
        <v>872</v>
      </c>
      <c r="L103" s="293" t="str">
        <f t="shared" ref="L103:L166" si="9">"INSERT INTO Product (CMMF,Model,BarCode,Capacity,[Type],Product,[Range],[ModelName],[Color],[Status]) VALUES
('"&amp;A103&amp;"','"&amp;B103&amp;"','"&amp;D103&amp;"','"&amp;E103&amp;"','"&amp;F103&amp;"','"&amp;G103&amp;"',N'"&amp;H103&amp;"',N'"&amp;I103&amp;"',N'"&amp;J103&amp;"','"&amp;K103&amp;"')"</f>
        <v>INSERT INTO Product (CMMF,Model,BarCode,Capacity,[Type],Product,[Range],[ModelName],[Color],[Status]) VALUES
('7115900500','W06A36','8936042292672','36cm','CW','Supor',N'Chảo Xào',N'Comfort',N'Đen','On going')</v>
      </c>
      <c r="M103" s="292" t="s">
        <v>877</v>
      </c>
      <c r="N103" s="292" t="s">
        <v>683</v>
      </c>
      <c r="O103" s="292" t="s">
        <v>1488</v>
      </c>
      <c r="P103" s="292" t="str">
        <f>"INSERT INTO ProductByAccount
( ProductId,AccountId)VALUES
("&amp;C103&amp;",1029)"</f>
        <v>INSERT INTO ProductByAccount
( ProductId,AccountId)VALUES
(2,1029)</v>
      </c>
      <c r="Q103" s="292" t="s">
        <v>872</v>
      </c>
      <c r="R103" s="292" t="str">
        <f>"INSERT INTO ProductByAccount
( ProductId,AccountId)VALUES
("&amp;C103&amp;",1030)"</f>
        <v>INSERT INTO ProductByAccount
( ProductId,AccountId)VALUES
(2,1030)</v>
      </c>
      <c r="S103" s="292"/>
      <c r="T103" s="292"/>
      <c r="U103" s="292" t="s">
        <v>872</v>
      </c>
      <c r="V103" s="292" t="str">
        <f>"INSERT INTO ProductByAccount
( ProductId,AccountId)VALUES
("&amp;C103&amp;",1032)"</f>
        <v>INSERT INTO ProductByAccount
( ProductId,AccountId)VALUES
(2,1032)</v>
      </c>
      <c r="W103" s="292"/>
      <c r="X103" s="292"/>
      <c r="Y103" s="292" t="s">
        <v>872</v>
      </c>
      <c r="Z103" s="292" t="str">
        <f>"INSERT INTO ProductByAccount
( ProductId,AccountId)VALUES
("&amp;C103&amp;",1034)"</f>
        <v>INSERT INTO ProductByAccount
( ProductId,AccountId)VALUES
(2,1034)</v>
      </c>
      <c r="AA103" s="292"/>
      <c r="AB103" s="292"/>
      <c r="AC103" s="292"/>
      <c r="AD103" s="292"/>
      <c r="AE103" s="292"/>
      <c r="AF103" s="292"/>
      <c r="AG103" s="292"/>
      <c r="AH103" s="292"/>
      <c r="AI103" s="292"/>
      <c r="AJ103" s="292"/>
      <c r="AK103" s="380">
        <v>417182</v>
      </c>
      <c r="AL103" s="381">
        <v>333636</v>
      </c>
      <c r="AM103" s="379" t="str">
        <f t="shared" si="8"/>
        <v>INSERT INTO ListedPrice
(ProductId,ActiveDate,Channel,Price)
VALUES(2,'2020-05-01','GT',333636)</v>
      </c>
      <c r="AN103" s="292"/>
      <c r="AO103" s="292"/>
    </row>
    <row r="104" spans="1:41" s="285" customFormat="1">
      <c r="A104" s="336">
        <v>7115900697</v>
      </c>
      <c r="B104" s="294" t="s">
        <v>613</v>
      </c>
      <c r="C104" s="290">
        <f>VLOOKUP(B104,Sheet1!$B$17:$C$451,2,0)</f>
        <v>3</v>
      </c>
      <c r="D104" s="291" t="s">
        <v>1112</v>
      </c>
      <c r="E104" s="291" t="s">
        <v>464</v>
      </c>
      <c r="F104" s="295" t="s">
        <v>23</v>
      </c>
      <c r="G104" s="295" t="s">
        <v>562</v>
      </c>
      <c r="H104" s="291" t="s">
        <v>1372</v>
      </c>
      <c r="I104" s="291" t="s">
        <v>954</v>
      </c>
      <c r="J104" s="295" t="s">
        <v>1416</v>
      </c>
      <c r="K104" s="297" t="s">
        <v>623</v>
      </c>
      <c r="L104" s="293" t="str">
        <f t="shared" si="9"/>
        <v>INSERT INTO Product (CMMF,Model,BarCode,Capacity,[Type],Product,[Range],[ModelName],[Color],[Status]) VALUES
('7115900697','W07A30-C','8936042292924','30cm','CW','Supor',N'Chảo Xào',N'Comfort',N'Xanh Lá','Discontinued')</v>
      </c>
      <c r="M104" s="293"/>
      <c r="N104" s="292" t="s">
        <v>683</v>
      </c>
      <c r="O104" s="292"/>
      <c r="P104" s="292"/>
      <c r="Q104" s="292"/>
      <c r="R104" s="292"/>
      <c r="S104" s="292"/>
      <c r="T104" s="292"/>
      <c r="U104" s="292"/>
      <c r="V104" s="292"/>
      <c r="W104" s="292"/>
      <c r="X104" s="292"/>
      <c r="Y104" s="292"/>
      <c r="Z104" s="292"/>
      <c r="AA104" s="292"/>
      <c r="AB104" s="292"/>
      <c r="AC104" s="292"/>
      <c r="AD104" s="292"/>
      <c r="AE104" s="292"/>
      <c r="AF104" s="292"/>
      <c r="AG104" s="292"/>
      <c r="AH104" s="292"/>
      <c r="AI104" s="292"/>
      <c r="AJ104" s="292"/>
      <c r="AK104" s="380">
        <v>197100</v>
      </c>
      <c r="AL104" s="381">
        <v>160000</v>
      </c>
      <c r="AM104" s="379" t="str">
        <f t="shared" si="8"/>
        <v>INSERT INTO ListedPrice
(ProductId,ActiveDate,Channel,Price)
VALUES(3,'2020-05-01','GT',160000)</v>
      </c>
      <c r="AN104" s="292"/>
      <c r="AO104" s="292"/>
    </row>
    <row r="105" spans="1:41" s="285" customFormat="1">
      <c r="A105" s="347">
        <v>7115900694</v>
      </c>
      <c r="B105" s="294" t="s">
        <v>610</v>
      </c>
      <c r="C105" s="290">
        <f>VLOOKUP(B105,Sheet1!$B$17:$C$451,2,0)</f>
        <v>4</v>
      </c>
      <c r="D105" s="291"/>
      <c r="E105" s="291" t="s">
        <v>618</v>
      </c>
      <c r="F105" s="295" t="s">
        <v>23</v>
      </c>
      <c r="G105" s="295" t="s">
        <v>562</v>
      </c>
      <c r="H105" s="291" t="s">
        <v>1372</v>
      </c>
      <c r="I105" s="291" t="s">
        <v>954</v>
      </c>
      <c r="J105" s="295" t="s">
        <v>1416</v>
      </c>
      <c r="K105" s="297" t="s">
        <v>623</v>
      </c>
      <c r="L105" s="293" t="str">
        <f t="shared" si="9"/>
        <v>INSERT INTO Product (CMMF,Model,BarCode,Capacity,[Type],Product,[Range],[ModelName],[Color],[Status]) VALUES
('7115900694','W07A34','','34cm','CW','Supor',N'Chảo Xào',N'Comfort',N'Xanh Lá','Discontinued')</v>
      </c>
      <c r="M105" s="293"/>
      <c r="N105" s="292" t="s">
        <v>683</v>
      </c>
      <c r="O105" s="292"/>
      <c r="P105" s="292"/>
      <c r="Q105" s="292"/>
      <c r="R105" s="292"/>
      <c r="S105" s="292"/>
      <c r="T105" s="292"/>
      <c r="U105" s="292"/>
      <c r="V105" s="292"/>
      <c r="W105" s="292"/>
      <c r="X105" s="292"/>
      <c r="Y105" s="292"/>
      <c r="Z105" s="292"/>
      <c r="AA105" s="292"/>
      <c r="AB105" s="292"/>
      <c r="AC105" s="292"/>
      <c r="AD105" s="292"/>
      <c r="AE105" s="292"/>
      <c r="AF105" s="292"/>
      <c r="AG105" s="292"/>
      <c r="AH105" s="292"/>
      <c r="AI105" s="292"/>
      <c r="AJ105" s="292"/>
      <c r="AK105" s="380">
        <v>197100</v>
      </c>
      <c r="AL105" s="381">
        <v>160000</v>
      </c>
      <c r="AM105" s="379" t="str">
        <f t="shared" si="8"/>
        <v>INSERT INTO ListedPrice
(ProductId,ActiveDate,Channel,Price)
VALUES(4,'2020-05-01','GT',160000)</v>
      </c>
      <c r="AN105" s="292"/>
      <c r="AO105" s="292"/>
    </row>
    <row r="106" spans="1:41">
      <c r="A106" s="335">
        <v>7212000157</v>
      </c>
      <c r="B106" s="290" t="s">
        <v>743</v>
      </c>
      <c r="C106" s="290">
        <f>VLOOKUP(B106,Sheet1!$B$17:$C$451,2,0)</f>
        <v>5</v>
      </c>
      <c r="D106" s="291" t="s">
        <v>1154</v>
      </c>
      <c r="E106" s="291" t="s">
        <v>972</v>
      </c>
      <c r="F106" s="291" t="s">
        <v>40</v>
      </c>
      <c r="G106" s="291" t="s">
        <v>562</v>
      </c>
      <c r="H106" s="291" t="s">
        <v>1370</v>
      </c>
      <c r="I106" s="291"/>
      <c r="J106" s="290" t="s">
        <v>327</v>
      </c>
      <c r="K106" s="293" t="s">
        <v>872</v>
      </c>
      <c r="L106" s="293" t="str">
        <f t="shared" si="9"/>
        <v>INSERT INTO Product (CMMF,Model,BarCode,Capacity,[Type],Product,[Range],[ModelName],[Color],[Status]) VALUES
('7212000157','16YB3VN-36','6950609401064','0.8L','SDA','Supor',N'Nồi Cơm Điện',N'',N'Trắng','On going')</v>
      </c>
      <c r="M106" s="293"/>
      <c r="N106" s="292" t="s">
        <v>683</v>
      </c>
      <c r="O106" s="292" t="s">
        <v>1488</v>
      </c>
      <c r="P106" s="292" t="str">
        <f>"INSERT INTO ProductByAccount
( ProductId,AccountId)VALUES
("&amp;C106&amp;",1029)"</f>
        <v>INSERT INTO ProductByAccount
( ProductId,AccountId)VALUES
(5,1029)</v>
      </c>
      <c r="Q106" s="292"/>
      <c r="R106" s="292"/>
      <c r="S106" s="292"/>
      <c r="T106" s="292"/>
      <c r="U106" s="292"/>
      <c r="V106" s="292"/>
      <c r="W106" s="292"/>
      <c r="X106" s="292"/>
      <c r="Y106" s="292"/>
      <c r="Z106" s="292"/>
      <c r="AA106" s="292"/>
      <c r="AB106" s="292"/>
      <c r="AC106" s="292"/>
      <c r="AD106" s="292"/>
      <c r="AE106" s="292"/>
      <c r="AF106" s="292"/>
      <c r="AG106" s="292"/>
      <c r="AH106" s="292"/>
      <c r="AI106" s="292"/>
      <c r="AJ106" s="292"/>
      <c r="AK106" s="380">
        <v>599091</v>
      </c>
      <c r="AL106" s="381">
        <v>480000</v>
      </c>
      <c r="AM106" s="379" t="str">
        <f t="shared" si="8"/>
        <v>INSERT INTO ListedPrice
(ProductId,ActiveDate,Channel,Price)
VALUES(5,'2020-05-01','GT',480000)</v>
      </c>
      <c r="AN106" s="292"/>
      <c r="AO106" s="292"/>
    </row>
    <row r="107" spans="1:41">
      <c r="A107" s="335">
        <v>7211003281</v>
      </c>
      <c r="B107" s="290" t="s">
        <v>736</v>
      </c>
      <c r="C107" s="290">
        <f>VLOOKUP(B107,Sheet1!$B$17:$C$451,2,0)</f>
        <v>6</v>
      </c>
      <c r="D107" s="291" t="s">
        <v>1155</v>
      </c>
      <c r="E107" s="291" t="s">
        <v>972</v>
      </c>
      <c r="F107" s="291" t="s">
        <v>40</v>
      </c>
      <c r="G107" s="291" t="s">
        <v>562</v>
      </c>
      <c r="H107" s="291" t="s">
        <v>1370</v>
      </c>
      <c r="I107" s="291"/>
      <c r="J107" s="290" t="s">
        <v>327</v>
      </c>
      <c r="K107" s="293" t="s">
        <v>872</v>
      </c>
      <c r="L107" s="293" t="str">
        <f t="shared" si="9"/>
        <v>INSERT INTO Product (CMMF,Model,BarCode,Capacity,[Type],Product,[Range],[ModelName],[Color],[Status]) VALUES
('7211003281','16YB3VN-WH','6950609405581','0.8L','SDA','Supor',N'Nồi Cơm Điện',N'',N'Trắng','On going')</v>
      </c>
      <c r="M107" s="292" t="s">
        <v>877</v>
      </c>
      <c r="N107" s="292" t="s">
        <v>683</v>
      </c>
      <c r="O107" s="292"/>
      <c r="P107" s="292"/>
      <c r="Q107" s="292"/>
      <c r="R107" s="292"/>
      <c r="S107" s="292"/>
      <c r="T107" s="292"/>
      <c r="U107" s="292"/>
      <c r="V107" s="292"/>
      <c r="W107" s="292"/>
      <c r="X107" s="292"/>
      <c r="Y107" s="292"/>
      <c r="Z107" s="292"/>
      <c r="AA107" s="292"/>
      <c r="AB107" s="292"/>
      <c r="AC107" s="292"/>
      <c r="AD107" s="292"/>
      <c r="AE107" s="292"/>
      <c r="AF107" s="292"/>
      <c r="AG107" s="292"/>
      <c r="AH107" s="292"/>
      <c r="AI107" s="292"/>
      <c r="AJ107" s="292"/>
      <c r="AK107" s="380">
        <v>599091</v>
      </c>
      <c r="AL107" s="381">
        <v>480000</v>
      </c>
      <c r="AM107" s="379" t="str">
        <f t="shared" si="8"/>
        <v>INSERT INTO ListedPrice
(ProductId,ActiveDate,Channel,Price)
VALUES(6,'2020-05-01','GT',480000)</v>
      </c>
      <c r="AN107" s="292"/>
      <c r="AO107" s="292"/>
    </row>
    <row r="108" spans="1:41" ht="13.15">
      <c r="A108" s="335">
        <v>7211003059</v>
      </c>
      <c r="B108" s="290" t="s">
        <v>731</v>
      </c>
      <c r="C108" s="290">
        <f>VLOOKUP(B108,Sheet1!$B$17:$C$451,2,0)</f>
        <v>7</v>
      </c>
      <c r="D108" s="291" t="s">
        <v>1156</v>
      </c>
      <c r="E108" s="291" t="s">
        <v>972</v>
      </c>
      <c r="F108" s="291" t="s">
        <v>40</v>
      </c>
      <c r="G108" s="291" t="s">
        <v>562</v>
      </c>
      <c r="H108" s="291" t="s">
        <v>1370</v>
      </c>
      <c r="I108" s="291"/>
      <c r="J108" s="290"/>
      <c r="K108" s="293" t="s">
        <v>872</v>
      </c>
      <c r="L108" s="293" t="str">
        <f t="shared" si="9"/>
        <v>INSERT INTO Product (CMMF,Model,BarCode,Capacity,[Type],Product,[Range],[ModelName],[Color],[Status]) VALUES
('7211003059','20FC17A-35','6950609405383','0.8L','SDA','Supor',N'Nồi Cơm Điện',N'',N'','On going')</v>
      </c>
      <c r="M108" s="292" t="s">
        <v>877</v>
      </c>
      <c r="N108" s="292" t="s">
        <v>683</v>
      </c>
      <c r="O108" s="292" t="s">
        <v>1488</v>
      </c>
      <c r="P108" s="292" t="str">
        <f>"INSERT INTO ProductByAccount
( ProductId,AccountId)VALUES
("&amp;C108&amp;",1029)"</f>
        <v>INSERT INTO ProductByAccount
( ProductId,AccountId)VALUES
(7,1029)</v>
      </c>
      <c r="Q108" s="354" t="s">
        <v>1442</v>
      </c>
      <c r="R108" s="292" t="str">
        <f>"INSERT INTO ProductByAccount
( ProductId,AccountId)VALUES
("&amp;C108&amp;",1030)"</f>
        <v>INSERT INTO ProductByAccount
( ProductId,AccountId)VALUES
(7,1030)</v>
      </c>
      <c r="S108" s="292"/>
      <c r="T108" s="292"/>
      <c r="U108" s="292"/>
      <c r="V108" s="292"/>
      <c r="W108" s="292"/>
      <c r="X108" s="292"/>
      <c r="Y108" s="292"/>
      <c r="Z108" s="292"/>
      <c r="AA108" s="292" t="s">
        <v>872</v>
      </c>
      <c r="AB108" s="292" t="str">
        <f>"INSERT INTO ProductByAccount
( ProductId,AccountId)VALUES
("&amp;C108&amp;",1035)"</f>
        <v>INSERT INTO ProductByAccount
( ProductId,AccountId)VALUES
(7,1035)</v>
      </c>
      <c r="AC108" s="292"/>
      <c r="AD108" s="292"/>
      <c r="AE108" s="292"/>
      <c r="AF108" s="292"/>
      <c r="AG108" s="292"/>
      <c r="AH108" s="292"/>
      <c r="AI108" s="292"/>
      <c r="AJ108" s="292"/>
      <c r="AK108" s="380">
        <v>900000</v>
      </c>
      <c r="AL108" s="381">
        <v>720000</v>
      </c>
      <c r="AM108" s="379" t="str">
        <f t="shared" si="8"/>
        <v>INSERT INTO ListedPrice
(ProductId,ActiveDate,Channel,Price)
VALUES(7,'2020-05-01','GT',720000)</v>
      </c>
      <c r="AN108" s="292"/>
      <c r="AO108" s="292"/>
    </row>
    <row r="109" spans="1:41">
      <c r="A109" s="335">
        <v>7211003665</v>
      </c>
      <c r="B109" s="290" t="s">
        <v>539</v>
      </c>
      <c r="C109" s="290">
        <f>VLOOKUP(B109,Sheet1!$B$17:$C$451,2,0)</f>
        <v>8</v>
      </c>
      <c r="D109" s="291" t="s">
        <v>1175</v>
      </c>
      <c r="E109" s="291" t="s">
        <v>975</v>
      </c>
      <c r="F109" s="291" t="s">
        <v>40</v>
      </c>
      <c r="G109" s="291" t="s">
        <v>562</v>
      </c>
      <c r="H109" s="291" t="s">
        <v>1370</v>
      </c>
      <c r="I109" s="291"/>
      <c r="J109" s="290"/>
      <c r="K109" s="293" t="s">
        <v>872</v>
      </c>
      <c r="L109" s="293" t="str">
        <f t="shared" si="9"/>
        <v>INSERT INTO Product (CMMF,Model,BarCode,Capacity,[Type],Product,[Range],[ModelName],[Color],[Status]) VALUES
('7211003665','SRC810VN','6950610217678','1.2L','SDA','Supor',N'Nồi Cơm Điện',N'',N'','On going')</v>
      </c>
      <c r="M109" s="292" t="s">
        <v>877</v>
      </c>
      <c r="N109" s="292" t="s">
        <v>683</v>
      </c>
      <c r="O109" s="292"/>
      <c r="P109" s="292"/>
      <c r="Q109" s="292"/>
      <c r="R109" s="292"/>
      <c r="S109" s="292" t="s">
        <v>872</v>
      </c>
      <c r="T109" s="292" t="str">
        <f>"INSERT INTO ProductByAccount
( ProductId,AccountId)VALUES
("&amp;C109&amp;",1031)"</f>
        <v>INSERT INTO ProductByAccount
( ProductId,AccountId)VALUES
(8,1031)</v>
      </c>
      <c r="U109" s="292"/>
      <c r="V109" s="292"/>
      <c r="W109" s="292" t="s">
        <v>1486</v>
      </c>
      <c r="X109" s="292" t="str">
        <f>"INSERT INTO ProductByAccount
( ProductId,AccountId)VALUES
("&amp;C109&amp;",1033)"</f>
        <v>INSERT INTO ProductByAccount
( ProductId,AccountId)VALUES
(8,1033)</v>
      </c>
      <c r="Y109" s="292" t="s">
        <v>872</v>
      </c>
      <c r="Z109" s="292" t="str">
        <f>"INSERT INTO ProductByAccount
( ProductId,AccountId)VALUES
("&amp;C109&amp;",1034)"</f>
        <v>INSERT INTO ProductByAccount
( ProductId,AccountId)VALUES
(8,1034)</v>
      </c>
      <c r="AA109" s="292"/>
      <c r="AB109" s="292"/>
      <c r="AC109" s="292"/>
      <c r="AD109" s="292"/>
      <c r="AE109" s="292"/>
      <c r="AF109" s="292"/>
      <c r="AG109" s="292"/>
      <c r="AH109" s="292"/>
      <c r="AI109" s="292"/>
      <c r="AJ109" s="292"/>
      <c r="AK109" s="380">
        <v>635454.54545454541</v>
      </c>
      <c r="AL109" s="381">
        <v>509091</v>
      </c>
      <c r="AM109" s="379" t="str">
        <f t="shared" si="8"/>
        <v>INSERT INTO ListedPrice
(ProductId,ActiveDate,Channel,Price)
VALUES(8,'2020-05-01','GT',509091)</v>
      </c>
      <c r="AN109" s="292"/>
      <c r="AO109" s="292"/>
    </row>
    <row r="110" spans="1:41" s="287" customFormat="1">
      <c r="A110" s="338">
        <v>7211003666</v>
      </c>
      <c r="B110" s="301" t="s">
        <v>540</v>
      </c>
      <c r="C110" s="290">
        <f>VLOOKUP(B110,Sheet1!$B$17:$C$451,2,0)</f>
        <v>9</v>
      </c>
      <c r="D110" s="291" t="s">
        <v>1176</v>
      </c>
      <c r="E110" s="291" t="s">
        <v>975</v>
      </c>
      <c r="F110" s="302" t="s">
        <v>40</v>
      </c>
      <c r="G110" s="302" t="s">
        <v>562</v>
      </c>
      <c r="H110" s="291" t="s">
        <v>1370</v>
      </c>
      <c r="I110" s="291"/>
      <c r="J110" s="301"/>
      <c r="K110" s="303" t="s">
        <v>516</v>
      </c>
      <c r="L110" s="293" t="str">
        <f t="shared" si="9"/>
        <v>INSERT INTO Product (CMMF,Model,BarCode,Capacity,[Type],Product,[Range],[ModelName],[Color],[Status]) VALUES
('7211003666','SRC811VN','6950610217685','1.2L','SDA','Supor',N'Nồi Cơm Điện',N'',N'','New')</v>
      </c>
      <c r="M110" s="292" t="s">
        <v>877</v>
      </c>
      <c r="N110" s="292" t="s">
        <v>683</v>
      </c>
      <c r="O110" s="292"/>
      <c r="P110" s="292"/>
      <c r="Q110" s="292"/>
      <c r="R110" s="292"/>
      <c r="S110" s="292" t="s">
        <v>872</v>
      </c>
      <c r="T110" s="292" t="str">
        <f>"INSERT INTO ProductByAccount
( ProductId,AccountId)VALUES
("&amp;C110&amp;",1031)"</f>
        <v>INSERT INTO ProductByAccount
( ProductId,AccountId)VALUES
(9,1031)</v>
      </c>
      <c r="U110" s="292" t="s">
        <v>872</v>
      </c>
      <c r="V110" s="292" t="str">
        <f>"INSERT INTO ProductByAccount
( ProductId,AccountId)VALUES
("&amp;C110&amp;",1032)"</f>
        <v>INSERT INTO ProductByAccount
( ProductId,AccountId)VALUES
(9,1032)</v>
      </c>
      <c r="W110" s="292"/>
      <c r="X110" s="292"/>
      <c r="Y110" s="292" t="s">
        <v>872</v>
      </c>
      <c r="Z110" s="292" t="str">
        <f>"INSERT INTO ProductByAccount
( ProductId,AccountId)VALUES
("&amp;C110&amp;",1034)"</f>
        <v>INSERT INTO ProductByAccount
( ProductId,AccountId)VALUES
(9,1034)</v>
      </c>
      <c r="AA110" s="292"/>
      <c r="AB110" s="292"/>
      <c r="AC110" s="292"/>
      <c r="AD110" s="292"/>
      <c r="AE110" s="292"/>
      <c r="AF110" s="292"/>
      <c r="AG110" s="292"/>
      <c r="AH110" s="292"/>
      <c r="AI110" s="292"/>
      <c r="AJ110" s="292"/>
      <c r="AK110" s="380">
        <v>635454.54545454541</v>
      </c>
      <c r="AL110" s="381">
        <v>509091</v>
      </c>
      <c r="AM110" s="379" t="str">
        <f t="shared" si="8"/>
        <v>INSERT INTO ListedPrice
(ProductId,ActiveDate,Channel,Price)
VALUES(9,'2020-05-01','GT',509091)</v>
      </c>
      <c r="AN110" s="292"/>
      <c r="AO110" s="292"/>
    </row>
    <row r="111" spans="1:41">
      <c r="A111" s="335">
        <v>7212000261</v>
      </c>
      <c r="B111" s="290" t="s">
        <v>741</v>
      </c>
      <c r="C111" s="290">
        <f>VLOOKUP(B111,Sheet1!$B$17:$C$451,2,0)</f>
        <v>10</v>
      </c>
      <c r="D111" s="291" t="s">
        <v>1157</v>
      </c>
      <c r="E111" s="291" t="s">
        <v>969</v>
      </c>
      <c r="F111" s="291" t="s">
        <v>40</v>
      </c>
      <c r="G111" s="291" t="s">
        <v>562</v>
      </c>
      <c r="H111" s="291" t="s">
        <v>1370</v>
      </c>
      <c r="I111" s="291" t="s">
        <v>1443</v>
      </c>
      <c r="J111" s="290"/>
      <c r="K111" s="293" t="s">
        <v>872</v>
      </c>
      <c r="L111" s="293" t="str">
        <f t="shared" si="9"/>
        <v>INSERT INTO Product (CMMF,Model,BarCode,Capacity,[Type],Product,[Range],[ModelName],[Color],[Status]) VALUES
('7212000261','40FC33VN-75','6950609404287','1.5L','SDA','Supor',N'Nồi Cơm Điện',N'E-Spherical',N'','On going')</v>
      </c>
      <c r="M111" s="292" t="s">
        <v>877</v>
      </c>
      <c r="N111" s="292" t="s">
        <v>683</v>
      </c>
      <c r="O111" s="292"/>
      <c r="P111" s="292"/>
      <c r="Q111" s="292" t="s">
        <v>872</v>
      </c>
      <c r="R111" s="292" t="str">
        <f>"INSERT INTO ProductByAccount
( ProductId,AccountId)VALUES
("&amp;C111&amp;",1030)"</f>
        <v>INSERT INTO ProductByAccount
( ProductId,AccountId)VALUES
(10,1030)</v>
      </c>
      <c r="S111" s="292"/>
      <c r="T111" s="292"/>
      <c r="U111" s="292"/>
      <c r="V111" s="292"/>
      <c r="W111" s="292"/>
      <c r="X111" s="292"/>
      <c r="Y111" s="292"/>
      <c r="Z111" s="292"/>
      <c r="AA111" s="292"/>
      <c r="AB111" s="292"/>
      <c r="AC111" s="349" t="s">
        <v>1442</v>
      </c>
      <c r="AD111" s="292" t="str">
        <f>"INSERT INTO ProductByAccount
( ProductId,AccountId)VALUES
("&amp;C111&amp;",1036)"</f>
        <v>INSERT INTO ProductByAccount
( ProductId,AccountId)VALUES
(10,1036)</v>
      </c>
      <c r="AE111" s="292"/>
      <c r="AF111" s="292"/>
      <c r="AG111" s="292"/>
      <c r="AH111" s="292"/>
      <c r="AI111" s="292"/>
      <c r="AJ111" s="292"/>
      <c r="AK111" s="380">
        <v>1435455</v>
      </c>
      <c r="AL111" s="381">
        <v>1149091</v>
      </c>
      <c r="AM111" s="379" t="str">
        <f t="shared" si="8"/>
        <v>INSERT INTO ListedPrice
(ProductId,ActiveDate,Channel,Price)
VALUES(10,'2020-05-01','GT',1149091)</v>
      </c>
      <c r="AN111" s="292"/>
      <c r="AO111" s="292"/>
    </row>
    <row r="112" spans="1:41">
      <c r="A112" s="335">
        <v>7212000236</v>
      </c>
      <c r="B112" s="290" t="s">
        <v>742</v>
      </c>
      <c r="C112" s="290">
        <f>VLOOKUP(B112,Sheet1!$B$17:$C$451,2,0)</f>
        <v>11</v>
      </c>
      <c r="D112" s="291" t="s">
        <v>1158</v>
      </c>
      <c r="E112" s="291" t="s">
        <v>971</v>
      </c>
      <c r="F112" s="291" t="s">
        <v>40</v>
      </c>
      <c r="G112" s="291" t="s">
        <v>562</v>
      </c>
      <c r="H112" s="291" t="s">
        <v>1370</v>
      </c>
      <c r="I112" s="291" t="s">
        <v>1443</v>
      </c>
      <c r="J112" s="290"/>
      <c r="K112" s="293" t="s">
        <v>872</v>
      </c>
      <c r="L112" s="293" t="str">
        <f t="shared" si="9"/>
        <v>INSERT INTO Product (CMMF,Model,BarCode,Capacity,[Type],Product,[Range],[ModelName],[Color],[Status]) VALUES
('7212000236','50FC29VN-75','6950609403990','1.8L','SDA','Supor',N'Nồi Cơm Điện',N'E-Spherical',N'','On going')</v>
      </c>
      <c r="M112" s="292" t="s">
        <v>877</v>
      </c>
      <c r="N112" s="292" t="s">
        <v>683</v>
      </c>
      <c r="O112" s="292"/>
      <c r="P112" s="292"/>
      <c r="Q112" s="292" t="s">
        <v>872</v>
      </c>
      <c r="R112" s="292" t="str">
        <f>"INSERT INTO ProductByAccount
( ProductId,AccountId)VALUES
("&amp;C112&amp;",1030)"</f>
        <v>INSERT INTO ProductByAccount
( ProductId,AccountId)VALUES
(11,1030)</v>
      </c>
      <c r="S112" s="292"/>
      <c r="T112" s="292"/>
      <c r="U112" s="292"/>
      <c r="V112" s="292"/>
      <c r="W112" s="292"/>
      <c r="X112" s="292"/>
      <c r="Y112" s="292"/>
      <c r="Z112" s="292"/>
      <c r="AA112" s="292"/>
      <c r="AB112" s="292"/>
      <c r="AC112" s="349" t="s">
        <v>1442</v>
      </c>
      <c r="AD112" s="292" t="str">
        <f>"INSERT INTO ProductByAccount
( ProductId,AccountId)VALUES
("&amp;C112&amp;",1036)"</f>
        <v>INSERT INTO ProductByAccount
( ProductId,AccountId)VALUES
(11,1036)</v>
      </c>
      <c r="AE112" s="292"/>
      <c r="AF112" s="292"/>
      <c r="AG112" s="292"/>
      <c r="AH112" s="292"/>
      <c r="AI112" s="292"/>
      <c r="AJ112" s="292"/>
      <c r="AK112" s="380">
        <v>1162728</v>
      </c>
      <c r="AL112" s="381">
        <v>930000</v>
      </c>
      <c r="AM112" s="379" t="str">
        <f t="shared" si="8"/>
        <v>INSERT INTO ListedPrice
(ProductId,ActiveDate,Channel,Price)
VALUES(11,'2020-05-01','GT',930000)</v>
      </c>
      <c r="AN112" s="292"/>
      <c r="AO112" s="292"/>
    </row>
    <row r="113" spans="1:41" ht="13.15">
      <c r="A113" s="335">
        <v>7212000233</v>
      </c>
      <c r="B113" s="290" t="s">
        <v>732</v>
      </c>
      <c r="C113" s="290">
        <f>VLOOKUP(B113,Sheet1!$B$17:$C$451,2,0)</f>
        <v>12</v>
      </c>
      <c r="D113" s="291" t="s">
        <v>1159</v>
      </c>
      <c r="E113" s="291" t="s">
        <v>971</v>
      </c>
      <c r="F113" s="291" t="s">
        <v>40</v>
      </c>
      <c r="G113" s="291" t="s">
        <v>562</v>
      </c>
      <c r="H113" s="291" t="s">
        <v>1370</v>
      </c>
      <c r="I113" s="291"/>
      <c r="J113" s="290"/>
      <c r="K113" s="293" t="s">
        <v>872</v>
      </c>
      <c r="L113" s="293" t="str">
        <f t="shared" si="9"/>
        <v>INSERT INTO Product (CMMF,Model,BarCode,Capacity,[Type],Product,[Range],[ModelName],[Color],[Status]) VALUES
('7212000233','50FC33VN-75','6950609403853','1.8L','SDA','Supor',N'Nồi Cơm Điện',N'',N'','On going')</v>
      </c>
      <c r="M113" s="292" t="s">
        <v>877</v>
      </c>
      <c r="N113" s="292" t="s">
        <v>683</v>
      </c>
      <c r="O113" s="292" t="s">
        <v>1488</v>
      </c>
      <c r="P113" s="292" t="str">
        <f>"INSERT INTO ProductByAccount
( ProductId,AccountId)VALUES
("&amp;C113&amp;",1029)"</f>
        <v>INSERT INTO ProductByAccount
( ProductId,AccountId)VALUES
(12,1029)</v>
      </c>
      <c r="Q113" s="354" t="s">
        <v>1442</v>
      </c>
      <c r="R113" s="292" t="str">
        <f>"INSERT INTO ProductByAccount
( ProductId,AccountId)VALUES
("&amp;C113&amp;",1030)"</f>
        <v>INSERT INTO ProductByAccount
( ProductId,AccountId)VALUES
(12,1030)</v>
      </c>
      <c r="S113" s="292"/>
      <c r="T113" s="292"/>
      <c r="U113" s="292"/>
      <c r="V113" s="292"/>
      <c r="W113" s="292"/>
      <c r="X113" s="292"/>
      <c r="Y113" s="292"/>
      <c r="Z113" s="292"/>
      <c r="AA113" s="292"/>
      <c r="AB113" s="292"/>
      <c r="AC113" s="292"/>
      <c r="AD113" s="292"/>
      <c r="AE113" s="292"/>
      <c r="AF113" s="292"/>
      <c r="AG113" s="292"/>
      <c r="AH113" s="292"/>
      <c r="AI113" s="292"/>
      <c r="AJ113" s="292"/>
      <c r="AK113" s="380">
        <v>1626364</v>
      </c>
      <c r="AL113" s="381">
        <v>1300000</v>
      </c>
      <c r="AM113" s="379" t="str">
        <f t="shared" si="8"/>
        <v>INSERT INTO ListedPrice
(ProductId,ActiveDate,Channel,Price)
VALUES(12,'2020-05-01','GT',1300000)</v>
      </c>
      <c r="AN113" s="292"/>
      <c r="AO113" s="292"/>
    </row>
    <row r="114" spans="1:41">
      <c r="A114" s="335">
        <v>7212000263</v>
      </c>
      <c r="B114" s="290" t="s">
        <v>740</v>
      </c>
      <c r="C114" s="290">
        <f>VLOOKUP(B114,Sheet1!$B$17:$C$451,2,0)</f>
        <v>13</v>
      </c>
      <c r="D114" s="291" t="s">
        <v>1160</v>
      </c>
      <c r="E114" s="291" t="s">
        <v>971</v>
      </c>
      <c r="F114" s="291" t="s">
        <v>40</v>
      </c>
      <c r="G114" s="291" t="s">
        <v>562</v>
      </c>
      <c r="H114" s="291" t="s">
        <v>1370</v>
      </c>
      <c r="I114" s="291"/>
      <c r="J114" s="290"/>
      <c r="K114" s="293" t="s">
        <v>872</v>
      </c>
      <c r="L114" s="293" t="str">
        <f t="shared" si="9"/>
        <v>INSERT INTO Product (CMMF,Model,BarCode,Capacity,[Type],Product,[Range],[ModelName],[Color],[Status]) VALUES
('7212000263','50HC12VN-120','6950609404737','1.8L','SDA','Supor',N'Nồi Cơm Điện',N'',N'','On going')</v>
      </c>
      <c r="M114" s="292" t="s">
        <v>877</v>
      </c>
      <c r="N114" s="292" t="s">
        <v>683</v>
      </c>
      <c r="O114" s="292" t="s">
        <v>1488</v>
      </c>
      <c r="P114" s="292" t="str">
        <f>"INSERT INTO ProductByAccount
( ProductId,AccountId)VALUES
("&amp;C114&amp;",1029)"</f>
        <v>INSERT INTO ProductByAccount
( ProductId,AccountId)VALUES
(13,1029)</v>
      </c>
      <c r="Q114" s="292"/>
      <c r="R114" s="292"/>
      <c r="S114" s="292"/>
      <c r="T114" s="292"/>
      <c r="U114" s="292"/>
      <c r="V114" s="292"/>
      <c r="W114" s="292"/>
      <c r="X114" s="292"/>
      <c r="Y114" s="292"/>
      <c r="Z114" s="292"/>
      <c r="AA114" s="292"/>
      <c r="AB114" s="292"/>
      <c r="AC114" s="292"/>
      <c r="AD114" s="292"/>
      <c r="AE114" s="292"/>
      <c r="AF114" s="292"/>
      <c r="AG114" s="292"/>
      <c r="AH114" s="292"/>
      <c r="AI114" s="292"/>
      <c r="AJ114" s="292"/>
      <c r="AK114" s="380">
        <v>2526364</v>
      </c>
      <c r="AL114" s="381">
        <v>2021818</v>
      </c>
      <c r="AM114" s="379" t="str">
        <f t="shared" si="8"/>
        <v>INSERT INTO ListedPrice
(ProductId,ActiveDate,Channel,Price)
VALUES(13,'2020-05-01','GT',2021818)</v>
      </c>
      <c r="AN114" s="292"/>
      <c r="AO114" s="292"/>
    </row>
    <row r="115" spans="1:41">
      <c r="A115" s="335">
        <v>7212000245</v>
      </c>
      <c r="B115" s="290" t="s">
        <v>733</v>
      </c>
      <c r="C115" s="290">
        <f>VLOOKUP(B115,Sheet1!$B$17:$C$451,2,0)</f>
        <v>14</v>
      </c>
      <c r="D115" s="291" t="s">
        <v>1161</v>
      </c>
      <c r="E115" s="291" t="s">
        <v>971</v>
      </c>
      <c r="F115" s="291" t="s">
        <v>40</v>
      </c>
      <c r="G115" s="291" t="s">
        <v>562</v>
      </c>
      <c r="H115" s="291" t="s">
        <v>1370</v>
      </c>
      <c r="I115" s="291"/>
      <c r="J115" s="290"/>
      <c r="K115" s="293" t="s">
        <v>872</v>
      </c>
      <c r="L115" s="293" t="str">
        <f t="shared" si="9"/>
        <v>INSERT INTO Product (CMMF,Model,BarCode,Capacity,[Type],Product,[Range],[ModelName],[Color],[Status]) VALUES
('7212000245','50YB13VN-50','6950609404164','1.8L','SDA','Supor',N'Nồi Cơm Điện',N'',N'','On going')</v>
      </c>
      <c r="M115" s="292" t="s">
        <v>877</v>
      </c>
      <c r="N115" s="292" t="s">
        <v>683</v>
      </c>
      <c r="O115" s="292" t="s">
        <v>1488</v>
      </c>
      <c r="P115" s="292" t="str">
        <f>"INSERT INTO ProductByAccount
( ProductId,AccountId)VALUES
("&amp;C115&amp;",1029)"</f>
        <v>INSERT INTO ProductByAccount
( ProductId,AccountId)VALUES
(14,1029)</v>
      </c>
      <c r="Q115" s="292"/>
      <c r="R115" s="292"/>
      <c r="S115" s="292"/>
      <c r="T115" s="292"/>
      <c r="U115" s="292"/>
      <c r="V115" s="292"/>
      <c r="W115" s="292"/>
      <c r="X115" s="292"/>
      <c r="Y115" s="292"/>
      <c r="Z115" s="292"/>
      <c r="AA115" s="292"/>
      <c r="AB115" s="292"/>
      <c r="AC115" s="292"/>
      <c r="AD115" s="292"/>
      <c r="AE115" s="292"/>
      <c r="AF115" s="292"/>
      <c r="AG115" s="292"/>
      <c r="AH115" s="292"/>
      <c r="AI115" s="292"/>
      <c r="AJ115" s="292"/>
      <c r="AK115" s="380">
        <v>999091</v>
      </c>
      <c r="AL115" s="381">
        <v>799091</v>
      </c>
      <c r="AM115" s="379" t="str">
        <f t="shared" si="8"/>
        <v>INSERT INTO ListedPrice
(ProductId,ActiveDate,Channel,Price)
VALUES(14,'2020-05-01','GT',799091)</v>
      </c>
      <c r="AN115" s="292"/>
      <c r="AO115" s="292"/>
    </row>
    <row r="116" spans="1:41">
      <c r="A116" s="335">
        <v>7211003216</v>
      </c>
      <c r="B116" s="290" t="s">
        <v>735</v>
      </c>
      <c r="C116" s="290">
        <f>VLOOKUP(B116,Sheet1!$B$17:$C$451,2,0)</f>
        <v>15</v>
      </c>
      <c r="D116" s="291" t="s">
        <v>1162</v>
      </c>
      <c r="E116" s="291" t="s">
        <v>971</v>
      </c>
      <c r="F116" s="291" t="s">
        <v>40</v>
      </c>
      <c r="G116" s="291" t="s">
        <v>562</v>
      </c>
      <c r="H116" s="291" t="s">
        <v>1370</v>
      </c>
      <c r="I116" s="291"/>
      <c r="J116" s="290"/>
      <c r="K116" s="293" t="s">
        <v>872</v>
      </c>
      <c r="L116" s="293" t="str">
        <f t="shared" si="9"/>
        <v>INSERT INTO Product (CMMF,Model,BarCode,Capacity,[Type],Product,[Range],[ModelName],[Color],[Status]) VALUES
('7211003216','50YB13VN-CF','6950609405512','1.8L','SDA','Supor',N'Nồi Cơm Điện',N'',N'','On going')</v>
      </c>
      <c r="M116" s="292" t="s">
        <v>877</v>
      </c>
      <c r="N116" s="292" t="s">
        <v>683</v>
      </c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  <c r="Y116" s="292"/>
      <c r="Z116" s="292"/>
      <c r="AA116" s="292"/>
      <c r="AB116" s="292"/>
      <c r="AC116" s="292"/>
      <c r="AD116" s="292"/>
      <c r="AE116" s="292" t="s">
        <v>872</v>
      </c>
      <c r="AF116" s="292" t="str">
        <f>"INSERT INTO ProductByAccount
( ProductId,AccountId)VALUES
("&amp;C116&amp;",1037)"</f>
        <v>INSERT INTO ProductByAccount
( ProductId,AccountId)VALUES
(15,1037)</v>
      </c>
      <c r="AG116" s="292"/>
      <c r="AH116" s="292"/>
      <c r="AI116" s="292"/>
      <c r="AJ116" s="292"/>
      <c r="AK116" s="380">
        <v>1117273</v>
      </c>
      <c r="AL116" s="381">
        <v>899091</v>
      </c>
      <c r="AM116" s="379" t="str">
        <f t="shared" si="8"/>
        <v>INSERT INTO ListedPrice
(ProductId,ActiveDate,Channel,Price)
VALUES(15,'2020-05-01','GT',899091)</v>
      </c>
      <c r="AN116" s="292"/>
      <c r="AO116" s="292"/>
    </row>
    <row r="117" spans="1:41">
      <c r="A117" s="335">
        <v>7211003215</v>
      </c>
      <c r="B117" s="290" t="s">
        <v>734</v>
      </c>
      <c r="C117" s="290">
        <f>VLOOKUP(B117,Sheet1!$B$17:$C$451,2,0)</f>
        <v>16</v>
      </c>
      <c r="D117" s="291" t="s">
        <v>1163</v>
      </c>
      <c r="E117" s="291" t="s">
        <v>971</v>
      </c>
      <c r="F117" s="291" t="s">
        <v>40</v>
      </c>
      <c r="G117" s="291" t="s">
        <v>562</v>
      </c>
      <c r="H117" s="291" t="s">
        <v>1370</v>
      </c>
      <c r="I117" s="291"/>
      <c r="J117" s="290"/>
      <c r="K117" s="293" t="s">
        <v>872</v>
      </c>
      <c r="L117" s="293" t="str">
        <f t="shared" si="9"/>
        <v>INSERT INTO Product (CMMF,Model,BarCode,Capacity,[Type],Product,[Range],[ModelName],[Color],[Status]) VALUES
('7211003215','50YB13VN-RD','6950609405505','1.8L','SDA','Supor',N'Nồi Cơm Điện',N'',N'','On going')</v>
      </c>
      <c r="M117" s="292" t="s">
        <v>877</v>
      </c>
      <c r="N117" s="292" t="s">
        <v>683</v>
      </c>
      <c r="O117" s="292"/>
      <c r="P117" s="292"/>
      <c r="Q117" s="292"/>
      <c r="R117" s="292"/>
      <c r="S117" s="292"/>
      <c r="T117" s="292"/>
      <c r="U117" s="292"/>
      <c r="V117" s="292"/>
      <c r="W117" s="292"/>
      <c r="X117" s="292"/>
      <c r="Y117" s="292"/>
      <c r="Z117" s="292"/>
      <c r="AA117" s="292"/>
      <c r="AB117" s="292"/>
      <c r="AC117" s="292"/>
      <c r="AD117" s="292"/>
      <c r="AE117" s="292"/>
      <c r="AF117" s="292"/>
      <c r="AG117" s="292"/>
      <c r="AH117" s="292"/>
      <c r="AI117" s="292"/>
      <c r="AJ117" s="292"/>
      <c r="AK117" s="380">
        <v>1117273</v>
      </c>
      <c r="AL117" s="381">
        <v>899091</v>
      </c>
      <c r="AM117" s="379" t="str">
        <f t="shared" si="8"/>
        <v>INSERT INTO ListedPrice
(ProductId,ActiveDate,Channel,Price)
VALUES(16,'2020-05-01','GT',899091)</v>
      </c>
      <c r="AN117" s="292"/>
      <c r="AO117" s="292"/>
    </row>
    <row r="118" spans="1:41">
      <c r="A118" s="335">
        <v>7211003278</v>
      </c>
      <c r="B118" s="290" t="s">
        <v>737</v>
      </c>
      <c r="C118" s="290">
        <f>VLOOKUP(B118,Sheet1!$B$17:$C$451,2,0)</f>
        <v>17</v>
      </c>
      <c r="D118" s="291" t="s">
        <v>1164</v>
      </c>
      <c r="E118" s="291" t="s">
        <v>971</v>
      </c>
      <c r="F118" s="291" t="s">
        <v>40</v>
      </c>
      <c r="G118" s="291" t="s">
        <v>562</v>
      </c>
      <c r="H118" s="291" t="s">
        <v>1370</v>
      </c>
      <c r="I118" s="291"/>
      <c r="J118" s="290"/>
      <c r="K118" s="293" t="s">
        <v>872</v>
      </c>
      <c r="L118" s="293" t="str">
        <f t="shared" si="9"/>
        <v>INSERT INTO Product (CMMF,Model,BarCode,Capacity,[Type],Product,[Range],[ModelName],[Color],[Status]) VALUES
('7211003278','50YB19VN-GR','6950609405550','1.8L','SDA','Supor',N'Nồi Cơm Điện',N'',N'','On going')</v>
      </c>
      <c r="M118" s="292" t="s">
        <v>877</v>
      </c>
      <c r="N118" s="292" t="s">
        <v>683</v>
      </c>
      <c r="O118" s="292" t="s">
        <v>1488</v>
      </c>
      <c r="P118" s="292" t="str">
        <f>"INSERT INTO ProductByAccount
( ProductId,AccountId)VALUES
("&amp;C118&amp;",1029)"</f>
        <v>INSERT INTO ProductByAccount
( ProductId,AccountId)VALUES
(17,1029)</v>
      </c>
      <c r="Q118" s="292" t="s">
        <v>872</v>
      </c>
      <c r="R118" s="292" t="str">
        <f>"INSERT INTO ProductByAccount
( ProductId,AccountId)VALUES
("&amp;C118&amp;",1030)"</f>
        <v>INSERT INTO ProductByAccount
( ProductId,AccountId)VALUES
(17,1030)</v>
      </c>
      <c r="S118" s="292"/>
      <c r="T118" s="292"/>
      <c r="U118" s="292"/>
      <c r="V118" s="292"/>
      <c r="W118" s="292"/>
      <c r="X118" s="292"/>
      <c r="Y118" s="292"/>
      <c r="Z118" s="292"/>
      <c r="AA118" s="292"/>
      <c r="AB118" s="292"/>
      <c r="AC118" s="292"/>
      <c r="AD118" s="292"/>
      <c r="AE118" s="292"/>
      <c r="AF118" s="292"/>
      <c r="AG118" s="292"/>
      <c r="AH118" s="292"/>
      <c r="AI118" s="292"/>
      <c r="AJ118" s="292"/>
      <c r="AK118" s="380">
        <v>999091</v>
      </c>
      <c r="AL118" s="381">
        <v>799091</v>
      </c>
      <c r="AM118" s="379" t="str">
        <f t="shared" si="8"/>
        <v>INSERT INTO ListedPrice
(ProductId,ActiveDate,Channel,Price)
VALUES(17,'2020-05-01','GT',799091)</v>
      </c>
      <c r="AN118" s="292"/>
      <c r="AO118" s="292"/>
    </row>
    <row r="119" spans="1:41">
      <c r="A119" s="335">
        <v>7211003279</v>
      </c>
      <c r="B119" s="290" t="s">
        <v>738</v>
      </c>
      <c r="C119" s="290">
        <f>VLOOKUP(B119,Sheet1!$B$17:$C$451,2,0)</f>
        <v>18</v>
      </c>
      <c r="D119" s="291" t="s">
        <v>1165</v>
      </c>
      <c r="E119" s="291" t="s">
        <v>971</v>
      </c>
      <c r="F119" s="291" t="s">
        <v>40</v>
      </c>
      <c r="G119" s="291" t="s">
        <v>562</v>
      </c>
      <c r="H119" s="291" t="s">
        <v>1370</v>
      </c>
      <c r="I119" s="291"/>
      <c r="J119" s="290"/>
      <c r="K119" s="293" t="s">
        <v>872</v>
      </c>
      <c r="L119" s="293" t="str">
        <f t="shared" si="9"/>
        <v>INSERT INTO Product (CMMF,Model,BarCode,Capacity,[Type],Product,[Range],[ModelName],[Color],[Status]) VALUES
('7211003279','50YB19VN-PK','6950609405567','1.8L','SDA','Supor',N'Nồi Cơm Điện',N'',N'','On going')</v>
      </c>
      <c r="M119" s="293"/>
      <c r="N119" s="292" t="s">
        <v>683</v>
      </c>
      <c r="O119" s="292"/>
      <c r="P119" s="292"/>
      <c r="Q119" s="292"/>
      <c r="R119" s="292"/>
      <c r="S119" s="292"/>
      <c r="T119" s="292"/>
      <c r="U119" s="292"/>
      <c r="V119" s="292"/>
      <c r="W119" s="292"/>
      <c r="X119" s="292"/>
      <c r="Y119" s="292"/>
      <c r="Z119" s="292"/>
      <c r="AA119" s="292"/>
      <c r="AB119" s="292"/>
      <c r="AC119" s="292"/>
      <c r="AD119" s="292"/>
      <c r="AE119" s="292"/>
      <c r="AF119" s="292"/>
      <c r="AG119" s="292"/>
      <c r="AH119" s="292"/>
      <c r="AI119" s="292"/>
      <c r="AJ119" s="292"/>
      <c r="AK119" s="380">
        <v>999091</v>
      </c>
      <c r="AL119" s="381">
        <v>799091</v>
      </c>
      <c r="AM119" s="379" t="str">
        <f t="shared" si="8"/>
        <v>INSERT INTO ListedPrice
(ProductId,ActiveDate,Channel,Price)
VALUES(18,'2020-05-01','GT',799091)</v>
      </c>
      <c r="AN119" s="292"/>
      <c r="AO119" s="292"/>
    </row>
    <row r="120" spans="1:41">
      <c r="A120" s="335">
        <v>7211003280</v>
      </c>
      <c r="B120" s="290" t="s">
        <v>739</v>
      </c>
      <c r="C120" s="290">
        <f>VLOOKUP(B120,Sheet1!$B$17:$C$451,2,0)</f>
        <v>19</v>
      </c>
      <c r="D120" s="291" t="s">
        <v>1166</v>
      </c>
      <c r="E120" s="291" t="s">
        <v>971</v>
      </c>
      <c r="F120" s="291" t="s">
        <v>40</v>
      </c>
      <c r="G120" s="291" t="s">
        <v>562</v>
      </c>
      <c r="H120" s="291" t="s">
        <v>1370</v>
      </c>
      <c r="I120" s="291"/>
      <c r="J120" s="290"/>
      <c r="K120" s="293" t="s">
        <v>872</v>
      </c>
      <c r="L120" s="293" t="str">
        <f t="shared" si="9"/>
        <v>INSERT INTO Product (CMMF,Model,BarCode,Capacity,[Type],Product,[Range],[ModelName],[Color],[Status]) VALUES
('7211003280','50YB19VN-YL','6950609405574','1.8L','SDA','Supor',N'Nồi Cơm Điện',N'',N'','On going')</v>
      </c>
      <c r="M120" s="292" t="s">
        <v>877</v>
      </c>
      <c r="N120" s="292" t="s">
        <v>683</v>
      </c>
      <c r="O120" s="292" t="s">
        <v>1488</v>
      </c>
      <c r="P120" s="292" t="str">
        <f>"INSERT INTO ProductByAccount
( ProductId,AccountId)VALUES
("&amp;C120&amp;",1029)"</f>
        <v>INSERT INTO ProductByAccount
( ProductId,AccountId)VALUES
(19,1029)</v>
      </c>
      <c r="Q120" s="292"/>
      <c r="R120" s="292"/>
      <c r="S120" s="292"/>
      <c r="T120" s="292"/>
      <c r="U120" s="292"/>
      <c r="V120" s="292"/>
      <c r="W120" s="292"/>
      <c r="X120" s="292"/>
      <c r="Y120" s="292"/>
      <c r="Z120" s="292"/>
      <c r="AA120" s="292"/>
      <c r="AB120" s="292"/>
      <c r="AC120" s="292"/>
      <c r="AD120" s="292"/>
      <c r="AE120" s="292"/>
      <c r="AF120" s="292"/>
      <c r="AG120" s="292"/>
      <c r="AH120" s="292"/>
      <c r="AI120" s="292"/>
      <c r="AJ120" s="292"/>
      <c r="AK120" s="380">
        <v>999091</v>
      </c>
      <c r="AL120" s="381">
        <v>799091</v>
      </c>
      <c r="AM120" s="379" t="str">
        <f t="shared" si="8"/>
        <v>INSERT INTO ListedPrice
(ProductId,ActiveDate,Channel,Price)
VALUES(19,'2020-05-01','GT',799091)</v>
      </c>
      <c r="AN120" s="292"/>
      <c r="AO120" s="292"/>
    </row>
    <row r="121" spans="1:41">
      <c r="A121" s="335">
        <v>7211003430</v>
      </c>
      <c r="B121" s="290" t="s">
        <v>1383</v>
      </c>
      <c r="C121" s="290">
        <f>VLOOKUP(B121,Sheet1!$B$17:$C$451,2,0)</f>
        <v>20</v>
      </c>
      <c r="D121" s="291" t="s">
        <v>1167</v>
      </c>
      <c r="E121" s="291" t="s">
        <v>971</v>
      </c>
      <c r="F121" s="291" t="s">
        <v>40</v>
      </c>
      <c r="G121" s="291" t="s">
        <v>562</v>
      </c>
      <c r="H121" s="291" t="s">
        <v>1370</v>
      </c>
      <c r="I121" s="291"/>
      <c r="J121" s="290"/>
      <c r="K121" s="297" t="s">
        <v>872</v>
      </c>
      <c r="L121" s="293" t="str">
        <f t="shared" si="9"/>
        <v>INSERT INTO Product (CMMF,Model,BarCode,Capacity,[Type],Product,[Range],[ModelName],[Color],[Status]) VALUES
('7211003430','50FC533VN-75','6950609405758','1.8L','SDA','Supor',N'Nồi Cơm Điện',N'',N'','On going')</v>
      </c>
      <c r="M121" s="292" t="s">
        <v>877</v>
      </c>
      <c r="N121" s="292" t="s">
        <v>683</v>
      </c>
      <c r="O121" s="292"/>
      <c r="P121" s="292"/>
      <c r="Q121" s="292"/>
      <c r="R121" s="292"/>
      <c r="S121" s="292"/>
      <c r="T121" s="292"/>
      <c r="U121" s="292"/>
      <c r="V121" s="292"/>
      <c r="W121" s="292"/>
      <c r="X121" s="292"/>
      <c r="Y121" s="292"/>
      <c r="Z121" s="292"/>
      <c r="AA121" s="292"/>
      <c r="AB121" s="292"/>
      <c r="AC121" s="292"/>
      <c r="AD121" s="292"/>
      <c r="AE121" s="292" t="s">
        <v>1485</v>
      </c>
      <c r="AF121" s="292" t="str">
        <f>"INSERT INTO ProductByAccount
( ProductId,AccountId)VALUES
("&amp;C121&amp;",1037)"</f>
        <v>INSERT INTO ProductByAccount
( ProductId,AccountId)VALUES
(20,1037)</v>
      </c>
      <c r="AG121" s="292"/>
      <c r="AH121" s="292"/>
      <c r="AI121" s="292"/>
      <c r="AJ121" s="292"/>
      <c r="AK121" s="380">
        <v>1626363.6363636362</v>
      </c>
      <c r="AL121" s="381">
        <v>1300000</v>
      </c>
      <c r="AM121" s="379" t="str">
        <f t="shared" si="8"/>
        <v>INSERT INTO ListedPrice
(ProductId,ActiveDate,Channel,Price)
VALUES(20,'2020-05-01','GT',1300000)</v>
      </c>
      <c r="AN121" s="292"/>
      <c r="AO121" s="292"/>
    </row>
    <row r="122" spans="1:41" s="285" customFormat="1">
      <c r="A122" s="336">
        <v>7212000224</v>
      </c>
      <c r="B122" s="294" t="s">
        <v>122</v>
      </c>
      <c r="C122" s="290">
        <f>VLOOKUP(B122,Sheet1!$B$17:$C$451,2,0)</f>
        <v>21</v>
      </c>
      <c r="D122" s="291" t="s">
        <v>1174</v>
      </c>
      <c r="E122" s="291" t="s">
        <v>971</v>
      </c>
      <c r="F122" s="295" t="s">
        <v>40</v>
      </c>
      <c r="G122" s="295" t="s">
        <v>562</v>
      </c>
      <c r="H122" s="291" t="s">
        <v>1370</v>
      </c>
      <c r="I122" s="291"/>
      <c r="J122" s="294"/>
      <c r="K122" s="297" t="s">
        <v>623</v>
      </c>
      <c r="L122" s="293" t="str">
        <f t="shared" si="9"/>
        <v>INSERT INTO Product (CMMF,Model,BarCode,Capacity,[Type],Product,[Range],[ModelName],[Color],[Status]) VALUES
('7212000224','SRC741','6950609402504','1.8L','SDA','Supor',N'Nồi Cơm Điện',N'',N'','Discontinued')</v>
      </c>
      <c r="M122" s="333" t="s">
        <v>877</v>
      </c>
      <c r="N122" s="333" t="s">
        <v>683</v>
      </c>
      <c r="O122" s="292"/>
      <c r="P122" s="292"/>
      <c r="Q122" s="292"/>
      <c r="R122" s="292"/>
      <c r="S122" s="292"/>
      <c r="T122" s="292"/>
      <c r="U122" s="292"/>
      <c r="V122" s="292"/>
      <c r="W122" s="292"/>
      <c r="X122" s="292"/>
      <c r="Y122" s="292"/>
      <c r="Z122" s="292"/>
      <c r="AA122" s="292"/>
      <c r="AB122" s="292"/>
      <c r="AC122" s="292"/>
      <c r="AD122" s="292"/>
      <c r="AE122" s="292"/>
      <c r="AF122" s="292"/>
      <c r="AG122" s="292"/>
      <c r="AH122" s="292"/>
      <c r="AI122" s="292"/>
      <c r="AJ122" s="292"/>
      <c r="AK122" s="380">
        <v>617273</v>
      </c>
      <c r="AL122" s="381"/>
      <c r="AM122" s="379" t="str">
        <f>"INSERT INTO ListedPrice
(ProductId,ActiveDate,Channel,Price)
VALUES("&amp;C122&amp;",'2020-05-01','MT',"&amp;AK122&amp;")"</f>
        <v>INSERT INTO ListedPrice
(ProductId,ActiveDate,Channel,Price)
VALUES(21,'2020-05-01','MT',617273)</v>
      </c>
      <c r="AN122" s="292"/>
      <c r="AO122" s="292"/>
    </row>
    <row r="123" spans="1:41" s="287" customFormat="1">
      <c r="A123" s="338">
        <v>7211003667</v>
      </c>
      <c r="B123" s="301" t="s">
        <v>538</v>
      </c>
      <c r="C123" s="290">
        <f>VLOOKUP(B123,Sheet1!$B$17:$C$451,2,0)</f>
        <v>22</v>
      </c>
      <c r="D123" s="291" t="s">
        <v>1177</v>
      </c>
      <c r="E123" s="291" t="s">
        <v>971</v>
      </c>
      <c r="F123" s="302" t="s">
        <v>40</v>
      </c>
      <c r="G123" s="302" t="s">
        <v>562</v>
      </c>
      <c r="H123" s="291" t="s">
        <v>1370</v>
      </c>
      <c r="I123" s="291"/>
      <c r="J123" s="301"/>
      <c r="K123" s="303" t="s">
        <v>516</v>
      </c>
      <c r="L123" s="293" t="str">
        <f t="shared" si="9"/>
        <v>INSERT INTO Product (CMMF,Model,BarCode,Capacity,[Type],Product,[Range],[ModelName],[Color],[Status]) VALUES
('7211003667','SRC818VN','6950610217692','1.8L','SDA','Supor',N'Nồi Cơm Điện',N'',N'','New')</v>
      </c>
      <c r="M123" s="292" t="s">
        <v>877</v>
      </c>
      <c r="N123" s="292" t="s">
        <v>683</v>
      </c>
      <c r="O123" s="292"/>
      <c r="P123" s="292"/>
      <c r="Q123" s="292"/>
      <c r="R123" s="292"/>
      <c r="S123" s="292"/>
      <c r="T123" s="292"/>
      <c r="U123" s="292"/>
      <c r="V123" s="292"/>
      <c r="W123" s="292"/>
      <c r="X123" s="292"/>
      <c r="Y123" s="292"/>
      <c r="Z123" s="292"/>
      <c r="AA123" s="292"/>
      <c r="AB123" s="292"/>
      <c r="AC123" s="292"/>
      <c r="AD123" s="292"/>
      <c r="AE123" s="292"/>
      <c r="AF123" s="292"/>
      <c r="AG123" s="292"/>
      <c r="AH123" s="292"/>
      <c r="AI123" s="292"/>
      <c r="AJ123" s="292"/>
      <c r="AK123" s="380">
        <v>719100</v>
      </c>
      <c r="AL123" s="381">
        <v>581818</v>
      </c>
      <c r="AM123" s="379" t="str">
        <f t="shared" ref="AM123:AM182" si="10">"INSERT INTO ListedPrice
(ProductId,ActiveDate,Channel,Price)
VALUES("&amp;C123&amp;",'2020-05-01','GT',"&amp;AL123&amp;")"</f>
        <v>INSERT INTO ListedPrice
(ProductId,ActiveDate,Channel,Price)
VALUES(22,'2020-05-01','GT',581818)</v>
      </c>
      <c r="AN123" s="292"/>
      <c r="AO123" s="292"/>
    </row>
    <row r="124" spans="1:41" s="286" customFormat="1">
      <c r="A124" s="337">
        <v>7211003668</v>
      </c>
      <c r="B124" s="298" t="s">
        <v>453</v>
      </c>
      <c r="C124" s="290">
        <f>VLOOKUP(B124,Sheet1!$B$17:$C$451,2,0)</f>
        <v>23</v>
      </c>
      <c r="D124" s="291" t="s">
        <v>1178</v>
      </c>
      <c r="E124" s="291" t="s">
        <v>971</v>
      </c>
      <c r="F124" s="299" t="s">
        <v>40</v>
      </c>
      <c r="G124" s="299" t="s">
        <v>562</v>
      </c>
      <c r="H124" s="291" t="s">
        <v>1370</v>
      </c>
      <c r="I124" s="291"/>
      <c r="J124" s="298"/>
      <c r="K124" s="300" t="s">
        <v>873</v>
      </c>
      <c r="L124" s="293" t="str">
        <f t="shared" si="9"/>
        <v>INSERT INTO Product (CMMF,Model,BarCode,Capacity,[Type],Product,[Range],[ModelName],[Color],[Status]) VALUES
('7211003668','SRC819VN','6950610217708','1.8L','SDA','Supor',N'Nồi Cơm Điện',N'',N'','To be discontinued')</v>
      </c>
      <c r="M124" s="292" t="s">
        <v>877</v>
      </c>
      <c r="N124" s="292" t="s">
        <v>683</v>
      </c>
      <c r="O124" s="292"/>
      <c r="P124" s="292"/>
      <c r="Q124" s="292"/>
      <c r="R124" s="292"/>
      <c r="S124" s="292"/>
      <c r="T124" s="292"/>
      <c r="U124" s="292"/>
      <c r="V124" s="292"/>
      <c r="W124" s="292"/>
      <c r="X124" s="292"/>
      <c r="Y124" s="292" t="s">
        <v>872</v>
      </c>
      <c r="Z124" s="292" t="str">
        <f>"INSERT INTO ProductByAccount
( ProductId,AccountId)VALUES
("&amp;C124&amp;",1034)"</f>
        <v>INSERT INTO ProductByAccount
( ProductId,AccountId)VALUES
(23,1034)</v>
      </c>
      <c r="AA124" s="292"/>
      <c r="AB124" s="292"/>
      <c r="AC124" s="292"/>
      <c r="AD124" s="292"/>
      <c r="AE124" s="292"/>
      <c r="AF124" s="292"/>
      <c r="AG124" s="292"/>
      <c r="AH124" s="292"/>
      <c r="AI124" s="292"/>
      <c r="AJ124" s="292"/>
      <c r="AK124" s="380">
        <v>719100</v>
      </c>
      <c r="AL124" s="381">
        <v>581818</v>
      </c>
      <c r="AM124" s="379" t="str">
        <f t="shared" si="10"/>
        <v>INSERT INTO ListedPrice
(ProductId,ActiveDate,Channel,Price)
VALUES(23,'2020-05-01','GT',581818)</v>
      </c>
      <c r="AN124" s="292"/>
      <c r="AO124" s="292"/>
    </row>
    <row r="125" spans="1:41">
      <c r="A125" s="335">
        <v>7212000170</v>
      </c>
      <c r="B125" s="290" t="s">
        <v>717</v>
      </c>
      <c r="C125" s="290">
        <f>VLOOKUP(B125,Sheet1!$B$17:$C$451,2,0)</f>
        <v>24</v>
      </c>
      <c r="D125" s="291" t="s">
        <v>1131</v>
      </c>
      <c r="E125" s="291" t="s">
        <v>967</v>
      </c>
      <c r="F125" s="291" t="s">
        <v>40</v>
      </c>
      <c r="G125" s="291" t="s">
        <v>562</v>
      </c>
      <c r="H125" s="290" t="s">
        <v>1369</v>
      </c>
      <c r="I125" s="291"/>
      <c r="J125" s="290"/>
      <c r="K125" s="293" t="s">
        <v>872</v>
      </c>
      <c r="L125" s="293" t="str">
        <f t="shared" si="9"/>
        <v>INSERT INTO Product (CMMF,Model,BarCode,Capacity,[Type],Product,[Range],[ModelName],[Color],[Status]) VALUES
('7212000170','50YA10VN-100','6950610202544','5L','SDA','Supor',N'Nồi ASĐ',N'',N'','On going')</v>
      </c>
      <c r="M125" s="292" t="s">
        <v>877</v>
      </c>
      <c r="N125" s="292" t="s">
        <v>683</v>
      </c>
      <c r="O125" s="292" t="s">
        <v>1488</v>
      </c>
      <c r="P125" s="292" t="str">
        <f>"INSERT INTO ProductByAccount
( ProductId,AccountId)VALUES
("&amp;C125&amp;",1029)"</f>
        <v>INSERT INTO ProductByAccount
( ProductId,AccountId)VALUES
(24,1029)</v>
      </c>
      <c r="Q125" s="292" t="s">
        <v>872</v>
      </c>
      <c r="R125" s="292" t="str">
        <f>"INSERT INTO ProductByAccount
( ProductId,AccountId)VALUES
("&amp;C125&amp;",1030)"</f>
        <v>INSERT INTO ProductByAccount
( ProductId,AccountId)VALUES
(24,1030)</v>
      </c>
      <c r="S125" s="292"/>
      <c r="T125" s="292"/>
      <c r="U125" s="292"/>
      <c r="V125" s="292"/>
      <c r="W125" s="292"/>
      <c r="X125" s="292"/>
      <c r="Y125" s="292"/>
      <c r="Z125" s="292"/>
      <c r="AA125" s="292"/>
      <c r="AB125" s="292"/>
      <c r="AC125" s="292"/>
      <c r="AD125" s="292"/>
      <c r="AE125" s="292"/>
      <c r="AF125" s="292"/>
      <c r="AG125" s="292"/>
      <c r="AH125" s="292"/>
      <c r="AI125" s="292"/>
      <c r="AJ125" s="292"/>
      <c r="AK125" s="380">
        <v>1335455</v>
      </c>
      <c r="AL125" s="381">
        <v>1069091</v>
      </c>
      <c r="AM125" s="379" t="str">
        <f t="shared" si="10"/>
        <v>INSERT INTO ListedPrice
(ProductId,ActiveDate,Channel,Price)
VALUES(24,'2020-05-01','GT',1069091)</v>
      </c>
      <c r="AN125" s="292"/>
      <c r="AO125" s="292"/>
    </row>
    <row r="126" spans="1:41">
      <c r="A126" s="335">
        <v>7212000220</v>
      </c>
      <c r="B126" s="290" t="s">
        <v>720</v>
      </c>
      <c r="C126" s="290">
        <f>VLOOKUP(B126,Sheet1!$B$17:$C$451,2,0)</f>
        <v>25</v>
      </c>
      <c r="D126" s="291" t="s">
        <v>1132</v>
      </c>
      <c r="E126" s="291" t="s">
        <v>967</v>
      </c>
      <c r="F126" s="291" t="s">
        <v>40</v>
      </c>
      <c r="G126" s="291" t="s">
        <v>562</v>
      </c>
      <c r="H126" s="290" t="s">
        <v>1369</v>
      </c>
      <c r="I126" s="291"/>
      <c r="J126" s="290"/>
      <c r="K126" s="293" t="s">
        <v>872</v>
      </c>
      <c r="L126" s="293" t="str">
        <f t="shared" si="9"/>
        <v>INSERT INTO Product (CMMF,Model,BarCode,Capacity,[Type],Product,[Range],[ModelName],[Color],[Status]) VALUES
('7212000220','50YA310VN','6950610204678','5L','SDA','Supor',N'Nồi ASĐ',N'',N'','On going')</v>
      </c>
      <c r="M126" s="292" t="s">
        <v>877</v>
      </c>
      <c r="N126" s="292" t="s">
        <v>683</v>
      </c>
      <c r="O126" s="292"/>
      <c r="P126" s="292"/>
      <c r="Q126" s="292"/>
      <c r="R126" s="292"/>
      <c r="S126" s="292"/>
      <c r="T126" s="292"/>
      <c r="U126" s="292"/>
      <c r="V126" s="292"/>
      <c r="W126" s="292"/>
      <c r="X126" s="292"/>
      <c r="Y126" s="292"/>
      <c r="Z126" s="292"/>
      <c r="AA126" s="292"/>
      <c r="AB126" s="292"/>
      <c r="AC126" s="292"/>
      <c r="AD126" s="292"/>
      <c r="AE126" s="292" t="s">
        <v>872</v>
      </c>
      <c r="AF126" s="292" t="str">
        <f>"INSERT INTO ProductByAccount
( ProductId,AccountId)VALUES
("&amp;C126&amp;",1037)"</f>
        <v>INSERT INTO ProductByAccount
( ProductId,AccountId)VALUES
(25,1037)</v>
      </c>
      <c r="AG126" s="292"/>
      <c r="AH126" s="292"/>
      <c r="AI126" s="292"/>
      <c r="AJ126" s="292"/>
      <c r="AK126" s="380">
        <v>1144546</v>
      </c>
      <c r="AL126" s="381">
        <v>1069091</v>
      </c>
      <c r="AM126" s="379" t="str">
        <f t="shared" si="10"/>
        <v>INSERT INTO ListedPrice
(ProductId,ActiveDate,Channel,Price)
VALUES(25,'2020-05-01','GT',1069091)</v>
      </c>
      <c r="AN126" s="292"/>
      <c r="AO126" s="292"/>
    </row>
    <row r="127" spans="1:41">
      <c r="A127" s="335">
        <v>7212000238</v>
      </c>
      <c r="B127" s="290" t="s">
        <v>719</v>
      </c>
      <c r="C127" s="290">
        <f>VLOOKUP(B127,Sheet1!$B$17:$C$451,2,0)</f>
        <v>26</v>
      </c>
      <c r="D127" s="291" t="s">
        <v>1133</v>
      </c>
      <c r="E127" s="291" t="s">
        <v>967</v>
      </c>
      <c r="F127" s="291" t="s">
        <v>40</v>
      </c>
      <c r="G127" s="291" t="s">
        <v>562</v>
      </c>
      <c r="H127" s="290" t="s">
        <v>1369</v>
      </c>
      <c r="I127" s="291"/>
      <c r="J127" s="290"/>
      <c r="K127" s="293" t="s">
        <v>872</v>
      </c>
      <c r="L127" s="293" t="str">
        <f t="shared" si="9"/>
        <v>INSERT INTO Product (CMMF,Model,BarCode,Capacity,[Type],Product,[Range],[ModelName],[Color],[Status]) VALUES
('7212000238','50YC10DVN-100','6950610208638','5L','SDA','Supor',N'Nồi ASĐ',N'',N'','On going')</v>
      </c>
      <c r="M127" s="292" t="s">
        <v>877</v>
      </c>
      <c r="N127" s="292" t="s">
        <v>683</v>
      </c>
      <c r="O127" s="292" t="s">
        <v>1488</v>
      </c>
      <c r="P127" s="292" t="str">
        <f>"INSERT INTO ProductByAccount
( ProductId,AccountId)VALUES
("&amp;C127&amp;",1029)"</f>
        <v>INSERT INTO ProductByAccount
( ProductId,AccountId)VALUES
(26,1029)</v>
      </c>
      <c r="Q127" s="292"/>
      <c r="R127" s="292"/>
      <c r="S127" s="292"/>
      <c r="T127" s="292"/>
      <c r="U127" s="292"/>
      <c r="V127" s="292"/>
      <c r="W127" s="292"/>
      <c r="X127" s="292"/>
      <c r="Y127" s="292"/>
      <c r="Z127" s="292"/>
      <c r="AA127" s="292"/>
      <c r="AB127" s="292"/>
      <c r="AC127" s="292"/>
      <c r="AD127" s="292"/>
      <c r="AE127" s="292" t="s">
        <v>872</v>
      </c>
      <c r="AF127" s="292" t="str">
        <f>"INSERT INTO ProductByAccount
( ProductId,AccountId)VALUES
("&amp;C127&amp;",1037)"</f>
        <v>INSERT INTO ProductByAccount
( ProductId,AccountId)VALUES
(26,1037)</v>
      </c>
      <c r="AG127" s="292"/>
      <c r="AH127" s="292"/>
      <c r="AI127" s="292"/>
      <c r="AJ127" s="292"/>
      <c r="AK127" s="380">
        <v>1580910</v>
      </c>
      <c r="AL127" s="381">
        <v>1265455</v>
      </c>
      <c r="AM127" s="379" t="str">
        <f t="shared" si="10"/>
        <v>INSERT INTO ListedPrice
(ProductId,ActiveDate,Channel,Price)
VALUES(26,'2020-05-01','GT',1265455)</v>
      </c>
      <c r="AN127" s="292"/>
      <c r="AO127" s="292"/>
    </row>
    <row r="128" spans="1:41">
      <c r="A128" s="335">
        <v>7212000246</v>
      </c>
      <c r="B128" s="290" t="s">
        <v>718</v>
      </c>
      <c r="C128" s="290">
        <f>VLOOKUP(B128,Sheet1!$B$17:$C$451,2,0)</f>
        <v>27</v>
      </c>
      <c r="D128" s="291" t="s">
        <v>1134</v>
      </c>
      <c r="E128" s="291" t="s">
        <v>967</v>
      </c>
      <c r="F128" s="291" t="s">
        <v>40</v>
      </c>
      <c r="G128" s="291" t="s">
        <v>562</v>
      </c>
      <c r="H128" s="290" t="s">
        <v>1369</v>
      </c>
      <c r="I128" s="291"/>
      <c r="J128" s="290"/>
      <c r="K128" s="293" t="s">
        <v>872</v>
      </c>
      <c r="L128" s="293" t="str">
        <f t="shared" si="9"/>
        <v>INSERT INTO Product (CMMF,Model,BarCode,Capacity,[Type],Product,[Range],[ModelName],[Color],[Status]) VALUES
('7212000246','520QVN-100','6950610209468','5L','SDA','Supor',N'Nồi ASĐ',N'',N'','On going')</v>
      </c>
      <c r="M128" s="292" t="s">
        <v>877</v>
      </c>
      <c r="N128" s="292" t="s">
        <v>683</v>
      </c>
      <c r="O128" s="292" t="s">
        <v>1488</v>
      </c>
      <c r="P128" s="292" t="str">
        <f>"INSERT INTO ProductByAccount
( ProductId,AccountId)VALUES
("&amp;C128&amp;",1029)"</f>
        <v>INSERT INTO ProductByAccount
( ProductId,AccountId)VALUES
(27,1029)</v>
      </c>
      <c r="Q128" s="292" t="s">
        <v>872</v>
      </c>
      <c r="R128" s="292" t="str">
        <f>"INSERT INTO ProductByAccount
( ProductId,AccountId)VALUES
("&amp;C128&amp;",1030)"</f>
        <v>INSERT INTO ProductByAccount
( ProductId,AccountId)VALUES
(27,1030)</v>
      </c>
      <c r="S128" s="292"/>
      <c r="T128" s="292"/>
      <c r="U128" s="292"/>
      <c r="V128" s="292"/>
      <c r="W128" s="292"/>
      <c r="X128" s="292"/>
      <c r="Y128" s="292"/>
      <c r="Z128" s="292"/>
      <c r="AA128" s="292"/>
      <c r="AB128" s="292"/>
      <c r="AC128" s="292"/>
      <c r="AD128" s="292"/>
      <c r="AE128" s="292"/>
      <c r="AF128" s="292"/>
      <c r="AG128" s="292"/>
      <c r="AH128" s="292"/>
      <c r="AI128" s="292"/>
      <c r="AJ128" s="292"/>
      <c r="AK128" s="380">
        <v>1726364</v>
      </c>
      <c r="AL128" s="381">
        <v>1381818</v>
      </c>
      <c r="AM128" s="379" t="str">
        <f t="shared" si="10"/>
        <v>INSERT INTO ListedPrice
(ProductId,ActiveDate,Channel,Price)
VALUES(27,'2020-05-01','GT',1381818)</v>
      </c>
      <c r="AN128" s="292"/>
      <c r="AO128" s="292"/>
    </row>
    <row r="129" spans="1:41">
      <c r="A129" s="335">
        <v>7211003300</v>
      </c>
      <c r="B129" s="290" t="s">
        <v>435</v>
      </c>
      <c r="C129" s="290">
        <f>VLOOKUP(B129,Sheet1!$B$17:$C$451,2,0)</f>
        <v>28</v>
      </c>
      <c r="D129" s="291" t="s">
        <v>1126</v>
      </c>
      <c r="E129" s="291" t="s">
        <v>967</v>
      </c>
      <c r="F129" s="291" t="s">
        <v>40</v>
      </c>
      <c r="G129" s="291" t="s">
        <v>562</v>
      </c>
      <c r="H129" s="291" t="s">
        <v>1365</v>
      </c>
      <c r="I129" s="291"/>
      <c r="J129" s="290"/>
      <c r="K129" s="293" t="s">
        <v>872</v>
      </c>
      <c r="L129" s="293" t="str">
        <f t="shared" si="9"/>
        <v>INSERT INTO Product (CMMF,Model,BarCode,Capacity,[Type],Product,[Range],[ModelName],[Color],[Status]) VALUES
('7211003300','H30FK802VN-136','0072110033001','5L','SDA','Supor',N'Nồi Lẩu',N'',N'','On going')</v>
      </c>
      <c r="M129" s="292" t="s">
        <v>877</v>
      </c>
      <c r="N129" s="292" t="s">
        <v>683</v>
      </c>
      <c r="O129" s="292"/>
      <c r="P129" s="292"/>
      <c r="Q129" s="292" t="s">
        <v>872</v>
      </c>
      <c r="R129" s="292" t="str">
        <f>"INSERT INTO ProductByAccount
( ProductId,AccountId)VALUES
("&amp;C129&amp;",1030)"</f>
        <v>INSERT INTO ProductByAccount
( ProductId,AccountId)VALUES
(28,1030)</v>
      </c>
      <c r="S129" s="292" t="s">
        <v>872</v>
      </c>
      <c r="T129" s="292" t="str">
        <f>"INSERT INTO ProductByAccount
( ProductId,AccountId)VALUES
("&amp;C129&amp;",1031)"</f>
        <v>INSERT INTO ProductByAccount
( ProductId,AccountId)VALUES
(28,1031)</v>
      </c>
      <c r="U129" s="292" t="s">
        <v>1442</v>
      </c>
      <c r="V129" s="292" t="str">
        <f>"INSERT INTO ProductByAccount
( ProductId,AccountId)VALUES
("&amp;C129&amp;",1032)"</f>
        <v>INSERT INTO ProductByAccount
( ProductId,AccountId)VALUES
(28,1032)</v>
      </c>
      <c r="W129" s="292"/>
      <c r="X129" s="292"/>
      <c r="Y129" s="292" t="s">
        <v>872</v>
      </c>
      <c r="Z129" s="292" t="str">
        <f>"INSERT INTO ProductByAccount
( ProductId,AccountId)VALUES
("&amp;C129&amp;",1034)"</f>
        <v>INSERT INTO ProductByAccount
( ProductId,AccountId)VALUES
(28,1034)</v>
      </c>
      <c r="AA129" s="300" t="s">
        <v>873</v>
      </c>
      <c r="AB129" s="292" t="str">
        <f>"INSERT INTO ProductByAccount
( ProductId,AccountId)VALUES
("&amp;C129&amp;",1035)"</f>
        <v>INSERT INTO ProductByAccount
( ProductId,AccountId)VALUES
(28,1035)</v>
      </c>
      <c r="AC129" s="292"/>
      <c r="AD129" s="292"/>
      <c r="AE129" s="292" t="s">
        <v>872</v>
      </c>
      <c r="AF129" s="292" t="str">
        <f>"INSERT INTO ProductByAccount
( ProductId,AccountId)VALUES
("&amp;C129&amp;",1037)"</f>
        <v>INSERT INTO ProductByAccount
( ProductId,AccountId)VALUES
(28,1037)</v>
      </c>
      <c r="AG129" s="292"/>
      <c r="AH129" s="292"/>
      <c r="AI129" s="292"/>
      <c r="AJ129" s="292"/>
      <c r="AK129" s="380">
        <v>635455</v>
      </c>
      <c r="AL129" s="381">
        <v>509091</v>
      </c>
      <c r="AM129" s="379" t="str">
        <f t="shared" si="10"/>
        <v>INSERT INTO ListedPrice
(ProductId,ActiveDate,Channel,Price)
VALUES(28,'2020-05-01','GT',509091)</v>
      </c>
      <c r="AN129" s="292"/>
      <c r="AO129" s="292"/>
    </row>
    <row r="130" spans="1:41">
      <c r="A130" s="335">
        <v>7211003299</v>
      </c>
      <c r="B130" s="290" t="s">
        <v>716</v>
      </c>
      <c r="C130" s="290">
        <f>VLOOKUP(B130,Sheet1!$B$17:$C$451,2,0)</f>
        <v>29</v>
      </c>
      <c r="D130" s="291" t="s">
        <v>1127</v>
      </c>
      <c r="E130" s="291" t="s">
        <v>968</v>
      </c>
      <c r="F130" s="291" t="s">
        <v>40</v>
      </c>
      <c r="G130" s="291" t="s">
        <v>562</v>
      </c>
      <c r="H130" s="291" t="s">
        <v>1365</v>
      </c>
      <c r="I130" s="291"/>
      <c r="J130" s="290"/>
      <c r="K130" s="293" t="s">
        <v>872</v>
      </c>
      <c r="L130" s="293" t="str">
        <f t="shared" si="9"/>
        <v>INSERT INTO Product (CMMF,Model,BarCode,Capacity,[Type],Product,[Range],[ModelName],[Color],[Status]) VALUES
('7211003299','HFK26EVN-130','0072110032998','4L','SDA','Supor',N'Nồi Lẩu',N'',N'','On going')</v>
      </c>
      <c r="M130" s="293"/>
      <c r="N130" s="292" t="s">
        <v>683</v>
      </c>
      <c r="O130" s="292"/>
      <c r="P130" s="292"/>
      <c r="Q130" s="292"/>
      <c r="R130" s="292"/>
      <c r="S130" s="292"/>
      <c r="T130" s="292"/>
      <c r="U130" s="292"/>
      <c r="V130" s="292"/>
      <c r="W130" s="292"/>
      <c r="X130" s="292"/>
      <c r="Y130" s="292"/>
      <c r="Z130" s="292"/>
      <c r="AA130" s="292" t="s">
        <v>872</v>
      </c>
      <c r="AB130" s="292" t="str">
        <f>"INSERT INTO ProductByAccount
( ProductId,AccountId)VALUES
("&amp;C130&amp;",1035)"</f>
        <v>INSERT INTO ProductByAccount
( ProductId,AccountId)VALUES
(29,1035)</v>
      </c>
      <c r="AC130" s="292"/>
      <c r="AD130" s="292"/>
      <c r="AE130" s="292" t="s">
        <v>872</v>
      </c>
      <c r="AF130" s="292" t="str">
        <f>"INSERT INTO ProductByAccount
( ProductId,AccountId)VALUES
("&amp;C130&amp;",1037)"</f>
        <v>INSERT INTO ProductByAccount
( ProductId,AccountId)VALUES
(29,1037)</v>
      </c>
      <c r="AG130" s="292"/>
      <c r="AH130" s="292"/>
      <c r="AI130" s="292"/>
      <c r="AJ130" s="292"/>
      <c r="AK130" s="380">
        <v>580909</v>
      </c>
      <c r="AL130" s="381">
        <v>465455</v>
      </c>
      <c r="AM130" s="379" t="str">
        <f t="shared" si="10"/>
        <v>INSERT INTO ListedPrice
(ProductId,ActiveDate,Channel,Price)
VALUES(29,'2020-05-01','GT',465455)</v>
      </c>
      <c r="AN130" s="292"/>
      <c r="AO130" s="292"/>
    </row>
    <row r="131" spans="1:41">
      <c r="A131" s="335">
        <v>7212000254</v>
      </c>
      <c r="B131" s="290" t="s">
        <v>721</v>
      </c>
      <c r="C131" s="290">
        <f>VLOOKUP(B131,Sheet1!$B$17:$C$451,2,0)</f>
        <v>30</v>
      </c>
      <c r="D131" s="291" t="s">
        <v>1142</v>
      </c>
      <c r="E131" s="291"/>
      <c r="F131" s="291" t="s">
        <v>40</v>
      </c>
      <c r="G131" s="291" t="s">
        <v>562</v>
      </c>
      <c r="H131" s="290" t="s">
        <v>1371</v>
      </c>
      <c r="I131" s="291" t="s">
        <v>1444</v>
      </c>
      <c r="J131" s="290"/>
      <c r="K131" s="293" t="s">
        <v>872</v>
      </c>
      <c r="L131" s="293" t="str">
        <f t="shared" si="9"/>
        <v>INSERT INTO Product (CMMF,Model,BarCode,Capacity,[Type],Product,[Range],[ModelName],[Color],[Status]) VALUES
('7212000254','CB36VN','6950610210310','','SDA','Supor',N'Bếp Điện Từ',N'Easy Cooking',N'','On going')</v>
      </c>
      <c r="M131" s="292" t="s">
        <v>877</v>
      </c>
      <c r="N131" s="292" t="s">
        <v>683</v>
      </c>
      <c r="O131" s="292"/>
      <c r="P131" s="292"/>
      <c r="Q131" s="292" t="s">
        <v>872</v>
      </c>
      <c r="R131" s="292" t="str">
        <f>"INSERT INTO ProductByAccount
( ProductId,AccountId)VALUES
("&amp;C131&amp;",1030)"</f>
        <v>INSERT INTO ProductByAccount
( ProductId,AccountId)VALUES
(30,1030)</v>
      </c>
      <c r="S131" s="292"/>
      <c r="T131" s="292"/>
      <c r="U131" s="292"/>
      <c r="V131" s="292"/>
      <c r="W131" s="292"/>
      <c r="X131" s="292"/>
      <c r="Y131" s="292"/>
      <c r="Z131" s="292"/>
      <c r="AA131" s="292"/>
      <c r="AB131" s="292"/>
      <c r="AC131" s="292" t="s">
        <v>872</v>
      </c>
      <c r="AD131" s="292" t="str">
        <f>"INSERT INTO ProductByAccount
( ProductId,AccountId)VALUES
("&amp;C131&amp;",1036)"</f>
        <v>INSERT INTO ProductByAccount
( ProductId,AccountId)VALUES
(30,1036)</v>
      </c>
      <c r="AE131" s="292"/>
      <c r="AF131" s="292"/>
      <c r="AG131" s="292"/>
      <c r="AH131" s="292"/>
      <c r="AI131" s="292"/>
      <c r="AJ131" s="292"/>
      <c r="AK131" s="380">
        <v>799091</v>
      </c>
      <c r="AL131" s="381">
        <v>639091</v>
      </c>
      <c r="AM131" s="379" t="str">
        <f t="shared" si="10"/>
        <v>INSERT INTO ListedPrice
(ProductId,ActiveDate,Channel,Price)
VALUES(30,'2020-05-01','GT',639091)</v>
      </c>
      <c r="AN131" s="292"/>
      <c r="AO131" s="292"/>
    </row>
    <row r="132" spans="1:41">
      <c r="A132" s="341">
        <v>7212000247</v>
      </c>
      <c r="B132" s="290" t="s">
        <v>722</v>
      </c>
      <c r="C132" s="290">
        <f>VLOOKUP(B132,Sheet1!$B$17:$C$451,2,0)</f>
        <v>31</v>
      </c>
      <c r="D132" s="291" t="s">
        <v>1143</v>
      </c>
      <c r="E132" s="291"/>
      <c r="F132" s="291" t="s">
        <v>40</v>
      </c>
      <c r="G132" s="291" t="s">
        <v>562</v>
      </c>
      <c r="H132" s="290" t="s">
        <v>1371</v>
      </c>
      <c r="I132" s="291"/>
      <c r="J132" s="290"/>
      <c r="K132" s="293" t="s">
        <v>872</v>
      </c>
      <c r="L132" s="293" t="str">
        <f t="shared" si="9"/>
        <v>INSERT INTO Product (CMMF,Model,BarCode,Capacity,[Type],Product,[Range],[ModelName],[Color],[Status]) VALUES
('7212000247','CB45VN-210','8936042294218','','SDA','Supor',N'Bếp Điện Từ',N'',N'','On going')</v>
      </c>
      <c r="M132" s="292" t="s">
        <v>877</v>
      </c>
      <c r="N132" s="292" t="s">
        <v>683</v>
      </c>
      <c r="O132" s="292"/>
      <c r="P132" s="292"/>
      <c r="Q132" s="292" t="s">
        <v>872</v>
      </c>
      <c r="R132" s="292" t="str">
        <f>"INSERT INTO ProductByAccount
( ProductId,AccountId)VALUES
("&amp;C132&amp;",1030)"</f>
        <v>INSERT INTO ProductByAccount
( ProductId,AccountId)VALUES
(31,1030)</v>
      </c>
      <c r="S132" s="292"/>
      <c r="T132" s="292"/>
      <c r="U132" s="292"/>
      <c r="V132" s="292"/>
      <c r="W132" s="292"/>
      <c r="X132" s="292"/>
      <c r="Y132" s="292"/>
      <c r="Z132" s="292"/>
      <c r="AA132" s="292"/>
      <c r="AB132" s="292"/>
      <c r="AC132" s="292"/>
      <c r="AD132" s="292"/>
      <c r="AE132" s="292"/>
      <c r="AF132" s="292"/>
      <c r="AG132" s="292"/>
      <c r="AH132" s="292"/>
      <c r="AI132" s="292"/>
      <c r="AJ132" s="292"/>
      <c r="AK132" s="380">
        <v>899091</v>
      </c>
      <c r="AL132" s="381">
        <v>719091</v>
      </c>
      <c r="AM132" s="379" t="str">
        <f t="shared" si="10"/>
        <v>INSERT INTO ListedPrice
(ProductId,ActiveDate,Channel,Price)
VALUES(31,'2020-05-01','GT',719091)</v>
      </c>
      <c r="AN132" s="292"/>
      <c r="AO132" s="292"/>
    </row>
    <row r="133" spans="1:41">
      <c r="A133" s="335">
        <v>7211003302</v>
      </c>
      <c r="B133" s="290" t="s">
        <v>724</v>
      </c>
      <c r="C133" s="290">
        <f>VLOOKUP(B133,Sheet1!$B$17:$C$451,2,0)</f>
        <v>32</v>
      </c>
      <c r="D133" s="291" t="s">
        <v>1144</v>
      </c>
      <c r="E133" s="291"/>
      <c r="F133" s="291" t="s">
        <v>40</v>
      </c>
      <c r="G133" s="291" t="s">
        <v>562</v>
      </c>
      <c r="H133" s="290" t="s">
        <v>1371</v>
      </c>
      <c r="I133" s="291"/>
      <c r="J133" s="290"/>
      <c r="K133" s="293" t="s">
        <v>872</v>
      </c>
      <c r="L133" s="293" t="str">
        <f t="shared" si="9"/>
        <v>INSERT INTO Product (CMMF,Model,BarCode,Capacity,[Type],Product,[Range],[ModelName],[Color],[Status]) VALUES
('7211003302','SDHCB11TVN-GR','6950610215292','','SDA','Supor',N'Bếp Điện Từ',N'',N'','On going')</v>
      </c>
      <c r="M133" s="293"/>
      <c r="N133" s="292" t="s">
        <v>683</v>
      </c>
      <c r="O133" s="292"/>
      <c r="P133" s="292"/>
      <c r="Q133" s="292"/>
      <c r="R133" s="292"/>
      <c r="S133" s="292"/>
      <c r="T133" s="292"/>
      <c r="U133" s="292"/>
      <c r="V133" s="292"/>
      <c r="W133" s="292"/>
      <c r="X133" s="292"/>
      <c r="Y133" s="292"/>
      <c r="Z133" s="292"/>
      <c r="AA133" s="292"/>
      <c r="AB133" s="292"/>
      <c r="AC133" s="292"/>
      <c r="AD133" s="292"/>
      <c r="AE133" s="292"/>
      <c r="AF133" s="292"/>
      <c r="AG133" s="292"/>
      <c r="AH133" s="292"/>
      <c r="AI133" s="292"/>
      <c r="AJ133" s="292"/>
      <c r="AK133" s="380">
        <v>1090000</v>
      </c>
      <c r="AL133" s="381">
        <v>871818</v>
      </c>
      <c r="AM133" s="379" t="str">
        <f t="shared" si="10"/>
        <v>INSERT INTO ListedPrice
(ProductId,ActiveDate,Channel,Price)
VALUES(32,'2020-05-01','GT',871818)</v>
      </c>
      <c r="AN133" s="292"/>
      <c r="AO133" s="292"/>
    </row>
    <row r="134" spans="1:41">
      <c r="A134" s="335">
        <v>7211003301</v>
      </c>
      <c r="B134" s="290" t="s">
        <v>723</v>
      </c>
      <c r="C134" s="290">
        <f>VLOOKUP(B134,Sheet1!$B$17:$C$451,2,0)</f>
        <v>33</v>
      </c>
      <c r="D134" s="291" t="s">
        <v>1144</v>
      </c>
      <c r="E134" s="291"/>
      <c r="F134" s="291" t="s">
        <v>40</v>
      </c>
      <c r="G134" s="291" t="s">
        <v>562</v>
      </c>
      <c r="H134" s="290" t="s">
        <v>1371</v>
      </c>
      <c r="I134" s="291"/>
      <c r="J134" s="290"/>
      <c r="K134" s="293" t="s">
        <v>872</v>
      </c>
      <c r="L134" s="293" t="str">
        <f t="shared" si="9"/>
        <v>INSERT INTO Product (CMMF,Model,BarCode,Capacity,[Type],Product,[Range],[ModelName],[Color],[Status]) VALUES
('7211003301','SDHCB11TVN-YL','6950610215292','','SDA','Supor',N'Bếp Điện Từ',N'',N'','On going')</v>
      </c>
      <c r="M134" s="292" t="s">
        <v>877</v>
      </c>
      <c r="N134" s="292" t="s">
        <v>683</v>
      </c>
      <c r="O134" s="292"/>
      <c r="P134" s="292"/>
      <c r="Q134" s="292"/>
      <c r="R134" s="292"/>
      <c r="S134" s="292"/>
      <c r="T134" s="292"/>
      <c r="U134" s="292"/>
      <c r="V134" s="292"/>
      <c r="W134" s="292"/>
      <c r="X134" s="292"/>
      <c r="Y134" s="292"/>
      <c r="Z134" s="292"/>
      <c r="AA134" s="292"/>
      <c r="AB134" s="292"/>
      <c r="AC134" s="292"/>
      <c r="AD134" s="292"/>
      <c r="AE134" s="292"/>
      <c r="AF134" s="292"/>
      <c r="AG134" s="292"/>
      <c r="AH134" s="292"/>
      <c r="AI134" s="292"/>
      <c r="AJ134" s="292"/>
      <c r="AK134" s="380">
        <v>1090000</v>
      </c>
      <c r="AL134" s="381">
        <v>871818</v>
      </c>
      <c r="AM134" s="379" t="str">
        <f t="shared" si="10"/>
        <v>INSERT INTO ListedPrice
(ProductId,ActiveDate,Channel,Price)
VALUES(33,'2020-05-01','GT',871818)</v>
      </c>
      <c r="AN134" s="292"/>
      <c r="AO134" s="292"/>
    </row>
    <row r="135" spans="1:41">
      <c r="A135" s="335">
        <v>7212000239</v>
      </c>
      <c r="B135" s="290" t="s">
        <v>725</v>
      </c>
      <c r="C135" s="290">
        <f>VLOOKUP(B135,Sheet1!$B$17:$C$451,2,0)</f>
        <v>34</v>
      </c>
      <c r="D135" s="291" t="s">
        <v>1145</v>
      </c>
      <c r="E135" s="291" t="s">
        <v>969</v>
      </c>
      <c r="F135" s="291" t="s">
        <v>40</v>
      </c>
      <c r="G135" s="291" t="s">
        <v>562</v>
      </c>
      <c r="H135" s="290" t="s">
        <v>356</v>
      </c>
      <c r="I135" s="291"/>
      <c r="J135" s="290"/>
      <c r="K135" s="293" t="s">
        <v>872</v>
      </c>
      <c r="L135" s="293" t="str">
        <f t="shared" si="9"/>
        <v>INSERT INTO Product (CMMF,Model,BarCode,Capacity,[Type],Product,[Range],[ModelName],[Color],[Status]) VALUES
('7212000239','15S06AVN','8936042294195','1.5L','SDA','Supor',N'Bình đun',N'',N'','On going')</v>
      </c>
      <c r="M135" s="292" t="s">
        <v>877</v>
      </c>
      <c r="N135" s="292" t="s">
        <v>683</v>
      </c>
      <c r="O135" s="292" t="s">
        <v>1488</v>
      </c>
      <c r="P135" s="292" t="str">
        <f>"INSERT INTO ProductByAccount
( ProductId,AccountId)VALUES
("&amp;C135&amp;",1029)"</f>
        <v>INSERT INTO ProductByAccount
( ProductId,AccountId)VALUES
(34,1029)</v>
      </c>
      <c r="Q135" s="292"/>
      <c r="R135" s="292"/>
      <c r="S135" s="292"/>
      <c r="T135" s="292"/>
      <c r="U135" s="292"/>
      <c r="V135" s="292"/>
      <c r="W135" s="292"/>
      <c r="X135" s="292"/>
      <c r="Y135" s="292"/>
      <c r="Z135" s="292"/>
      <c r="AA135" s="292"/>
      <c r="AB135" s="292"/>
      <c r="AC135" s="292"/>
      <c r="AD135" s="292"/>
      <c r="AE135" s="292"/>
      <c r="AF135" s="292"/>
      <c r="AG135" s="292"/>
      <c r="AH135" s="292"/>
      <c r="AI135" s="292"/>
      <c r="AJ135" s="292"/>
      <c r="AK135" s="380">
        <v>544546</v>
      </c>
      <c r="AL135" s="381">
        <v>436364</v>
      </c>
      <c r="AM135" s="379" t="str">
        <f t="shared" si="10"/>
        <v>INSERT INTO ListedPrice
(ProductId,ActiveDate,Channel,Price)
VALUES(34,'2020-05-01','GT',436364)</v>
      </c>
      <c r="AN135" s="292"/>
      <c r="AO135" s="292"/>
    </row>
    <row r="136" spans="1:41">
      <c r="A136" s="335">
        <v>7212000240</v>
      </c>
      <c r="B136" s="290" t="s">
        <v>726</v>
      </c>
      <c r="C136" s="290">
        <f>VLOOKUP(B136,Sheet1!$B$17:$C$451,2,0)</f>
        <v>35</v>
      </c>
      <c r="D136" s="291" t="s">
        <v>1146</v>
      </c>
      <c r="E136" s="291" t="s">
        <v>970</v>
      </c>
      <c r="F136" s="291" t="s">
        <v>40</v>
      </c>
      <c r="G136" s="291" t="s">
        <v>562</v>
      </c>
      <c r="H136" s="290" t="s">
        <v>356</v>
      </c>
      <c r="I136" s="291"/>
      <c r="J136" s="290"/>
      <c r="K136" s="293" t="s">
        <v>872</v>
      </c>
      <c r="L136" s="293" t="str">
        <f t="shared" si="9"/>
        <v>INSERT INTO Product (CMMF,Model,BarCode,Capacity,[Type],Product,[Range],[ModelName],[Color],[Status]) VALUES
('7212000240','17S18AVN','8936042294201','1.7L','SDA','Supor',N'Bình đun',N'',N'','On going')</v>
      </c>
      <c r="M136" s="292" t="s">
        <v>877</v>
      </c>
      <c r="N136" s="292" t="s">
        <v>683</v>
      </c>
      <c r="O136" s="292"/>
      <c r="P136" s="292"/>
      <c r="Q136" s="292" t="s">
        <v>872</v>
      </c>
      <c r="R136" s="292" t="str">
        <f>"INSERT INTO ProductByAccount
( ProductId,AccountId)VALUES
("&amp;C136&amp;",1030)"</f>
        <v>INSERT INTO ProductByAccount
( ProductId,AccountId)VALUES
(35,1030)</v>
      </c>
      <c r="S136" s="292"/>
      <c r="T136" s="292"/>
      <c r="U136" s="292"/>
      <c r="V136" s="292"/>
      <c r="W136" s="292"/>
      <c r="X136" s="292"/>
      <c r="Y136" s="292"/>
      <c r="Z136" s="292"/>
      <c r="AA136" s="292"/>
      <c r="AB136" s="292"/>
      <c r="AC136" s="292"/>
      <c r="AD136" s="292"/>
      <c r="AE136" s="292"/>
      <c r="AF136" s="292"/>
      <c r="AG136" s="292"/>
      <c r="AH136" s="292"/>
      <c r="AI136" s="292"/>
      <c r="AJ136" s="292"/>
      <c r="AK136" s="380">
        <v>599091</v>
      </c>
      <c r="AL136" s="381">
        <v>480000</v>
      </c>
      <c r="AM136" s="379" t="str">
        <f t="shared" si="10"/>
        <v>INSERT INTO ListedPrice
(ProductId,ActiveDate,Channel,Price)
VALUES(35,'2020-05-01','GT',480000)</v>
      </c>
      <c r="AN136" s="292"/>
      <c r="AO136" s="292"/>
    </row>
    <row r="137" spans="1:41">
      <c r="A137" s="335">
        <v>7212000259</v>
      </c>
      <c r="B137" s="290" t="s">
        <v>729</v>
      </c>
      <c r="C137" s="290">
        <f>VLOOKUP(B137,Sheet1!$B$17:$C$451,2,0)</f>
        <v>36</v>
      </c>
      <c r="D137" s="291" t="s">
        <v>1147</v>
      </c>
      <c r="E137" s="291" t="s">
        <v>970</v>
      </c>
      <c r="F137" s="291" t="s">
        <v>40</v>
      </c>
      <c r="G137" s="291" t="s">
        <v>562</v>
      </c>
      <c r="H137" s="290" t="s">
        <v>356</v>
      </c>
      <c r="I137" s="291"/>
      <c r="J137" s="290"/>
      <c r="K137" s="293" t="s">
        <v>872</v>
      </c>
      <c r="L137" s="293" t="str">
        <f t="shared" si="9"/>
        <v>INSERT INTO Product (CMMF,Model,BarCode,Capacity,[Type],Product,[Range],[ModelName],[Color],[Status]) VALUES
('7212000259','17S18BVN','8936042294232','1.7L','SDA','Supor',N'Bình đun',N'',N'','On going')</v>
      </c>
      <c r="M137" s="292" t="s">
        <v>877</v>
      </c>
      <c r="N137" s="292" t="s">
        <v>683</v>
      </c>
      <c r="O137" s="292"/>
      <c r="P137" s="292"/>
      <c r="Q137" s="292"/>
      <c r="R137" s="292"/>
      <c r="S137" s="292"/>
      <c r="T137" s="292"/>
      <c r="U137" s="292"/>
      <c r="V137" s="292"/>
      <c r="W137" s="292"/>
      <c r="X137" s="292"/>
      <c r="Y137" s="292"/>
      <c r="Z137" s="292"/>
      <c r="AA137" s="292"/>
      <c r="AB137" s="292"/>
      <c r="AC137" s="292"/>
      <c r="AD137" s="292"/>
      <c r="AE137" s="292"/>
      <c r="AF137" s="292"/>
      <c r="AG137" s="292"/>
      <c r="AH137" s="292"/>
      <c r="AI137" s="292"/>
      <c r="AJ137" s="292"/>
      <c r="AK137" s="380">
        <v>599091</v>
      </c>
      <c r="AL137" s="381">
        <v>480000</v>
      </c>
      <c r="AM137" s="379" t="str">
        <f t="shared" si="10"/>
        <v>INSERT INTO ListedPrice
(ProductId,ActiveDate,Channel,Price)
VALUES(36,'2020-05-01','GT',480000)</v>
      </c>
      <c r="AN137" s="292"/>
      <c r="AO137" s="292"/>
    </row>
    <row r="138" spans="1:41">
      <c r="A138" s="335">
        <v>7212000262</v>
      </c>
      <c r="B138" s="290" t="s">
        <v>727</v>
      </c>
      <c r="C138" s="290">
        <f>VLOOKUP(B138,Sheet1!$B$17:$C$451,2,0)</f>
        <v>37</v>
      </c>
      <c r="D138" s="291" t="s">
        <v>1148</v>
      </c>
      <c r="E138" s="291" t="s">
        <v>970</v>
      </c>
      <c r="F138" s="291" t="s">
        <v>40</v>
      </c>
      <c r="G138" s="291" t="s">
        <v>562</v>
      </c>
      <c r="H138" s="290" t="s">
        <v>356</v>
      </c>
      <c r="I138" s="291"/>
      <c r="J138" s="290"/>
      <c r="K138" s="293" t="s">
        <v>872</v>
      </c>
      <c r="L138" s="293" t="str">
        <f t="shared" si="9"/>
        <v>INSERT INTO Product (CMMF,Model,BarCode,Capacity,[Type],Product,[Range],[ModelName],[Color],[Status]) VALUES
('7212000262','17S20AVN','6950610210594','1.7L','SDA','Supor',N'Bình đun',N'',N'','On going')</v>
      </c>
      <c r="M138" s="292" t="s">
        <v>877</v>
      </c>
      <c r="N138" s="292" t="s">
        <v>683</v>
      </c>
      <c r="O138" s="292" t="s">
        <v>1488</v>
      </c>
      <c r="P138" s="292" t="str">
        <f>"INSERT INTO ProductByAccount
( ProductId,AccountId)VALUES
("&amp;C138&amp;",1029)"</f>
        <v>INSERT INTO ProductByAccount
( ProductId,AccountId)VALUES
(37,1029)</v>
      </c>
      <c r="Q138" s="292"/>
      <c r="R138" s="292"/>
      <c r="S138" s="292"/>
      <c r="T138" s="292"/>
      <c r="U138" s="292"/>
      <c r="V138" s="292"/>
      <c r="W138" s="292"/>
      <c r="X138" s="292"/>
      <c r="Y138" s="292"/>
      <c r="Z138" s="292"/>
      <c r="AA138" s="292"/>
      <c r="AB138" s="292"/>
      <c r="AC138" s="292"/>
      <c r="AD138" s="292"/>
      <c r="AE138" s="292" t="s">
        <v>1485</v>
      </c>
      <c r="AF138" s="292" t="str">
        <f>"INSERT INTO ProductByAccount
( ProductId,AccountId)VALUES
("&amp;C138&amp;",1037)"</f>
        <v>INSERT INTO ProductByAccount
( ProductId,AccountId)VALUES
(37,1037)</v>
      </c>
      <c r="AG138" s="292"/>
      <c r="AH138" s="292"/>
      <c r="AI138" s="292"/>
      <c r="AJ138" s="292"/>
      <c r="AK138" s="380">
        <v>699091</v>
      </c>
      <c r="AL138" s="381">
        <v>560000</v>
      </c>
      <c r="AM138" s="379" t="str">
        <f t="shared" si="10"/>
        <v>INSERT INTO ListedPrice
(ProductId,ActiveDate,Channel,Price)
VALUES(37,'2020-05-01','GT',560000)</v>
      </c>
      <c r="AN138" s="292"/>
      <c r="AO138" s="292"/>
    </row>
    <row r="139" spans="1:41">
      <c r="A139" s="335">
        <v>7212000256</v>
      </c>
      <c r="B139" s="290" t="s">
        <v>952</v>
      </c>
      <c r="C139" s="290">
        <f>VLOOKUP(B139,Sheet1!$B$17:$C$451,2,0)</f>
        <v>38</v>
      </c>
      <c r="D139" s="291" t="s">
        <v>1149</v>
      </c>
      <c r="E139" s="291" t="s">
        <v>971</v>
      </c>
      <c r="F139" s="291" t="s">
        <v>40</v>
      </c>
      <c r="G139" s="291" t="s">
        <v>562</v>
      </c>
      <c r="H139" s="290" t="s">
        <v>356</v>
      </c>
      <c r="I139" s="291"/>
      <c r="J139" s="290"/>
      <c r="K139" s="293" t="s">
        <v>872</v>
      </c>
      <c r="L139" s="293" t="str">
        <f t="shared" si="9"/>
        <v>INSERT INTO Product (CMMF,Model,BarCode,Capacity,[Type],Product,[Range],[ModelName],[Color],[Status]) VALUES
('7212000256','18S09AVN','6950610210389','1.8L','SDA','Supor',N'Bình đun',N'',N'','On going')</v>
      </c>
      <c r="M139" s="292" t="s">
        <v>877</v>
      </c>
      <c r="N139" s="292" t="s">
        <v>683</v>
      </c>
      <c r="O139" s="292" t="s">
        <v>1488</v>
      </c>
      <c r="P139" s="292" t="str">
        <f>"INSERT INTO ProductByAccount
( ProductId,AccountId)VALUES
("&amp;C139&amp;",1029)"</f>
        <v>INSERT INTO ProductByAccount
( ProductId,AccountId)VALUES
(38,1029)</v>
      </c>
      <c r="Q139" s="292"/>
      <c r="R139" s="292"/>
      <c r="S139" s="292"/>
      <c r="T139" s="292"/>
      <c r="U139" s="292"/>
      <c r="V139" s="292"/>
      <c r="W139" s="292"/>
      <c r="X139" s="292"/>
      <c r="Y139" s="292"/>
      <c r="Z139" s="292"/>
      <c r="AA139" s="292"/>
      <c r="AB139" s="292"/>
      <c r="AC139" s="292"/>
      <c r="AD139" s="292"/>
      <c r="AE139" s="292"/>
      <c r="AF139" s="292"/>
      <c r="AG139" s="292"/>
      <c r="AH139" s="292"/>
      <c r="AI139" s="292"/>
      <c r="AJ139" s="292"/>
      <c r="AK139" s="380">
        <v>626364</v>
      </c>
      <c r="AL139" s="381">
        <v>501818</v>
      </c>
      <c r="AM139" s="379" t="str">
        <f t="shared" si="10"/>
        <v>INSERT INTO ListedPrice
(ProductId,ActiveDate,Channel,Price)
VALUES(38,'2020-05-01','GT',501818)</v>
      </c>
      <c r="AN139" s="292"/>
      <c r="AO139" s="292"/>
    </row>
    <row r="140" spans="1:41">
      <c r="A140" s="335">
        <v>7211003296</v>
      </c>
      <c r="B140" s="290" t="s">
        <v>730</v>
      </c>
      <c r="C140" s="290">
        <f>VLOOKUP(B140,Sheet1!$B$17:$C$451,2,0)</f>
        <v>39</v>
      </c>
      <c r="D140" s="291" t="s">
        <v>1152</v>
      </c>
      <c r="E140" s="291" t="s">
        <v>969</v>
      </c>
      <c r="F140" s="291" t="s">
        <v>40</v>
      </c>
      <c r="G140" s="291" t="s">
        <v>562</v>
      </c>
      <c r="H140" s="290" t="s">
        <v>356</v>
      </c>
      <c r="I140" s="291"/>
      <c r="J140" s="290"/>
      <c r="K140" s="293" t="s">
        <v>872</v>
      </c>
      <c r="L140" s="293" t="str">
        <f t="shared" si="9"/>
        <v>INSERT INTO Product (CMMF,Model,BarCode,Capacity,[Type],Product,[Range],[ModelName],[Color],[Status]) VALUES
('7211003296','SW-1513AVN','6950610214356','1.5L','SDA','Supor',N'Bình đun',N'',N'','On going')</v>
      </c>
      <c r="M140" s="292" t="s">
        <v>877</v>
      </c>
      <c r="N140" s="292" t="s">
        <v>683</v>
      </c>
      <c r="O140" s="292" t="s">
        <v>1488</v>
      </c>
      <c r="P140" s="292" t="str">
        <f>"INSERT INTO ProductByAccount
( ProductId,AccountId)VALUES
("&amp;C140&amp;",1029)"</f>
        <v>INSERT INTO ProductByAccount
( ProductId,AccountId)VALUES
(39,1029)</v>
      </c>
      <c r="Q140" s="292"/>
      <c r="R140" s="292"/>
      <c r="S140" s="292"/>
      <c r="T140" s="292"/>
      <c r="U140" s="292"/>
      <c r="V140" s="292"/>
      <c r="W140" s="292"/>
      <c r="X140" s="292"/>
      <c r="Y140" s="292"/>
      <c r="Z140" s="292"/>
      <c r="AA140" s="292"/>
      <c r="AB140" s="292"/>
      <c r="AC140" s="292"/>
      <c r="AD140" s="292"/>
      <c r="AE140" s="292"/>
      <c r="AF140" s="292"/>
      <c r="AG140" s="292"/>
      <c r="AH140" s="292"/>
      <c r="AI140" s="292"/>
      <c r="AJ140" s="292"/>
      <c r="AK140" s="380">
        <v>363636</v>
      </c>
      <c r="AL140" s="381">
        <v>290000</v>
      </c>
      <c r="AM140" s="379" t="str">
        <f t="shared" si="10"/>
        <v>INSERT INTO ListedPrice
(ProductId,ActiveDate,Channel,Price)
VALUES(39,'2020-05-01','GT',290000)</v>
      </c>
      <c r="AN140" s="292"/>
      <c r="AO140" s="292"/>
    </row>
    <row r="141" spans="1:41">
      <c r="A141" s="335">
        <v>7211003295</v>
      </c>
      <c r="B141" s="290" t="s">
        <v>728</v>
      </c>
      <c r="C141" s="290">
        <f>VLOOKUP(B141,Sheet1!$B$17:$C$451,2,0)</f>
        <v>40</v>
      </c>
      <c r="D141" s="291" t="s">
        <v>1153</v>
      </c>
      <c r="E141" s="291" t="s">
        <v>971</v>
      </c>
      <c r="F141" s="291" t="s">
        <v>40</v>
      </c>
      <c r="G141" s="291" t="s">
        <v>562</v>
      </c>
      <c r="H141" s="290" t="s">
        <v>356</v>
      </c>
      <c r="I141" s="291"/>
      <c r="J141" s="290"/>
      <c r="K141" s="293" t="s">
        <v>872</v>
      </c>
      <c r="L141" s="293" t="str">
        <f t="shared" si="9"/>
        <v>INSERT INTO Product (CMMF,Model,BarCode,Capacity,[Type],Product,[Range],[ModelName],[Color],[Status]) VALUES
('7211003295','SW-1815VN','6950610214943','1.8L','SDA','Supor',N'Bình đun',N'',N'','On going')</v>
      </c>
      <c r="M141" s="292" t="s">
        <v>877</v>
      </c>
      <c r="N141" s="292" t="s">
        <v>683</v>
      </c>
      <c r="O141" s="292" t="s">
        <v>1488</v>
      </c>
      <c r="P141" s="292" t="str">
        <f>"INSERT INTO ProductByAccount
( ProductId,AccountId)VALUES
("&amp;C141&amp;",1029)"</f>
        <v>INSERT INTO ProductByAccount
( ProductId,AccountId)VALUES
(40,1029)</v>
      </c>
      <c r="Q141" s="292"/>
      <c r="R141" s="292"/>
      <c r="S141" s="292"/>
      <c r="T141" s="292"/>
      <c r="U141" s="292"/>
      <c r="V141" s="292"/>
      <c r="W141" s="292"/>
      <c r="X141" s="292"/>
      <c r="Y141" s="292"/>
      <c r="Z141" s="292"/>
      <c r="AA141" s="292"/>
      <c r="AB141" s="292"/>
      <c r="AC141" s="292"/>
      <c r="AD141" s="292"/>
      <c r="AE141" s="292"/>
      <c r="AF141" s="292"/>
      <c r="AG141" s="292"/>
      <c r="AH141" s="292"/>
      <c r="AI141" s="292"/>
      <c r="AJ141" s="292"/>
      <c r="AK141" s="380">
        <v>409091</v>
      </c>
      <c r="AL141" s="381">
        <v>328182</v>
      </c>
      <c r="AM141" s="379" t="str">
        <f t="shared" si="10"/>
        <v>INSERT INTO ListedPrice
(ProductId,ActiveDate,Channel,Price)
VALUES(40,'2020-05-01','GT',328182)</v>
      </c>
      <c r="AN141" s="292"/>
      <c r="AO141" s="292"/>
    </row>
    <row r="142" spans="1:41" s="286" customFormat="1">
      <c r="A142" s="337">
        <v>2100088986</v>
      </c>
      <c r="B142" s="298" t="s">
        <v>414</v>
      </c>
      <c r="C142" s="290">
        <f>VLOOKUP(B142,Sheet1!$B$17:$C$451,2,0)</f>
        <v>41</v>
      </c>
      <c r="D142" s="291" t="s">
        <v>1002</v>
      </c>
      <c r="E142" s="291" t="s">
        <v>476</v>
      </c>
      <c r="F142" s="299" t="s">
        <v>23</v>
      </c>
      <c r="G142" s="299" t="s">
        <v>563</v>
      </c>
      <c r="H142" s="299" t="s">
        <v>1350</v>
      </c>
      <c r="I142" s="299" t="s">
        <v>544</v>
      </c>
      <c r="J142" s="299" t="s">
        <v>292</v>
      </c>
      <c r="K142" s="300" t="s">
        <v>873</v>
      </c>
      <c r="L142" s="293" t="str">
        <f t="shared" si="9"/>
        <v>INSERT INTO Product (CMMF,Model,BarCode,Capacity,[Type],Product,[Range],[ModelName],[Color],[Status]) VALUES
('2100088986','C6202272','3168430224759','16cm','CW','Tefal',N'Nồi Canh',N'EXPERTISE',N'Đen','To be discontinued')</v>
      </c>
      <c r="M142" s="292" t="s">
        <v>877</v>
      </c>
      <c r="N142" s="292" t="s">
        <v>683</v>
      </c>
      <c r="O142" s="292"/>
      <c r="P142" s="292"/>
      <c r="Q142" s="292"/>
      <c r="R142" s="292"/>
      <c r="S142" s="292"/>
      <c r="T142" s="292"/>
      <c r="U142" s="292"/>
      <c r="V142" s="292"/>
      <c r="W142" s="292"/>
      <c r="X142" s="292"/>
      <c r="Y142" s="292"/>
      <c r="Z142" s="292"/>
      <c r="AA142" s="292"/>
      <c r="AB142" s="292"/>
      <c r="AC142" s="292"/>
      <c r="AD142" s="292"/>
      <c r="AE142" s="292" t="s">
        <v>1485</v>
      </c>
      <c r="AF142" s="292" t="str">
        <f>"INSERT INTO ProductByAccount
( ProductId,AccountId)VALUES
("&amp;C142&amp;",1037)"</f>
        <v>INSERT INTO ProductByAccount
( ProductId,AccountId)VALUES
(41,1037)</v>
      </c>
      <c r="AG142" s="292"/>
      <c r="AH142" s="292"/>
      <c r="AI142" s="292"/>
      <c r="AJ142" s="292"/>
      <c r="AK142" s="380">
        <v>917273</v>
      </c>
      <c r="AL142" s="381">
        <v>733636</v>
      </c>
      <c r="AM142" s="379" t="str">
        <f t="shared" si="10"/>
        <v>INSERT INTO ListedPrice
(ProductId,ActiveDate,Channel,Price)
VALUES(41,'2020-05-01','GT',733636)</v>
      </c>
      <c r="AN142" s="292"/>
      <c r="AO142" s="292"/>
    </row>
    <row r="143" spans="1:41" s="286" customFormat="1">
      <c r="A143" s="337">
        <v>2100088994</v>
      </c>
      <c r="B143" s="298" t="s">
        <v>415</v>
      </c>
      <c r="C143" s="290">
        <f>VLOOKUP(B143,Sheet1!$B$17:$C$451,2,0)</f>
        <v>42</v>
      </c>
      <c r="D143" s="291" t="s">
        <v>1003</v>
      </c>
      <c r="E143" s="291" t="s">
        <v>461</v>
      </c>
      <c r="F143" s="299" t="s">
        <v>23</v>
      </c>
      <c r="G143" s="299" t="s">
        <v>563</v>
      </c>
      <c r="H143" s="299" t="s">
        <v>1350</v>
      </c>
      <c r="I143" s="299" t="s">
        <v>544</v>
      </c>
      <c r="J143" s="299" t="s">
        <v>292</v>
      </c>
      <c r="K143" s="300" t="s">
        <v>873</v>
      </c>
      <c r="L143" s="293" t="str">
        <f t="shared" si="9"/>
        <v>INSERT INTO Product (CMMF,Model,BarCode,Capacity,[Type],Product,[Range],[ModelName],[Color],[Status]) VALUES
('2100088994','C6203272','3168430224827','24cm','CW','Tefal',N'Nồi Canh',N'EXPERTISE',N'Đen','To be discontinued')</v>
      </c>
      <c r="M143" s="292" t="s">
        <v>877</v>
      </c>
      <c r="N143" s="292" t="s">
        <v>683</v>
      </c>
      <c r="O143" s="292"/>
      <c r="P143" s="292"/>
      <c r="Q143" s="292"/>
      <c r="R143" s="292"/>
      <c r="S143" s="292"/>
      <c r="T143" s="292"/>
      <c r="U143" s="292"/>
      <c r="V143" s="292"/>
      <c r="W143" s="292"/>
      <c r="X143" s="292"/>
      <c r="Y143" s="292"/>
      <c r="Z143" s="292"/>
      <c r="AA143" s="292"/>
      <c r="AB143" s="292"/>
      <c r="AC143" s="292"/>
      <c r="AD143" s="292"/>
      <c r="AE143" s="292" t="s">
        <v>1485</v>
      </c>
      <c r="AF143" s="292" t="str">
        <f>"INSERT INTO ProductByAccount
( ProductId,AccountId)VALUES
("&amp;C143&amp;",1037)"</f>
        <v>INSERT INTO ProductByAccount
( ProductId,AccountId)VALUES
(42,1037)</v>
      </c>
      <c r="AG143" s="292"/>
      <c r="AH143" s="292"/>
      <c r="AI143" s="292"/>
      <c r="AJ143" s="292"/>
      <c r="AK143" s="380">
        <v>1345455</v>
      </c>
      <c r="AL143" s="381">
        <v>1076364</v>
      </c>
      <c r="AM143" s="379" t="str">
        <f t="shared" si="10"/>
        <v>INSERT INTO ListedPrice
(ProductId,ActiveDate,Channel,Price)
VALUES(42,'2020-05-01','GT',1076364)</v>
      </c>
      <c r="AN143" s="292"/>
      <c r="AO143" s="292"/>
    </row>
    <row r="144" spans="1:41" s="286" customFormat="1">
      <c r="A144" s="337">
        <v>2100089957</v>
      </c>
      <c r="B144" s="298" t="s">
        <v>417</v>
      </c>
      <c r="C144" s="290">
        <f>VLOOKUP(B144,Sheet1!$B$17:$C$451,2,0)</f>
        <v>43</v>
      </c>
      <c r="D144" s="291" t="s">
        <v>1004</v>
      </c>
      <c r="E144" s="291" t="s">
        <v>461</v>
      </c>
      <c r="F144" s="299" t="s">
        <v>23</v>
      </c>
      <c r="G144" s="299" t="s">
        <v>563</v>
      </c>
      <c r="H144" s="299" t="s">
        <v>1350</v>
      </c>
      <c r="I144" s="299" t="s">
        <v>544</v>
      </c>
      <c r="J144" s="299" t="s">
        <v>292</v>
      </c>
      <c r="K144" s="300" t="s">
        <v>873</v>
      </c>
      <c r="L144" s="293" t="str">
        <f t="shared" si="9"/>
        <v>INSERT INTO Product (CMMF,Model,BarCode,Capacity,[Type],Product,[Range],[ModelName],[Color],[Status]) VALUES
('2100089957','C6204672','3168430226920','24cm','CW','Tefal',N'Nồi Canh',N'EXPERTISE',N'Đen','To be discontinued')</v>
      </c>
      <c r="M144" s="292" t="s">
        <v>877</v>
      </c>
      <c r="N144" s="292" t="s">
        <v>683</v>
      </c>
      <c r="O144" s="292"/>
      <c r="P144" s="292"/>
      <c r="Q144" s="292"/>
      <c r="R144" s="292"/>
      <c r="S144" s="292"/>
      <c r="T144" s="292"/>
      <c r="U144" s="292"/>
      <c r="V144" s="292"/>
      <c r="W144" s="292"/>
      <c r="X144" s="292"/>
      <c r="Y144" s="292"/>
      <c r="Z144" s="292"/>
      <c r="AA144" s="292"/>
      <c r="AB144" s="292"/>
      <c r="AC144" s="300" t="s">
        <v>873</v>
      </c>
      <c r="AD144" s="292" t="str">
        <f>"INSERT INTO ProductByAccount
( ProductId,AccountId)VALUES
("&amp;C144&amp;",1036)"</f>
        <v>INSERT INTO ProductByAccount
( ProductId,AccountId)VALUES
(43,1036)</v>
      </c>
      <c r="AE144" s="292" t="s">
        <v>872</v>
      </c>
      <c r="AF144" s="292" t="str">
        <f>"INSERT INTO ProductByAccount
( ProductId,AccountId)VALUES
("&amp;C144&amp;",1037)"</f>
        <v>INSERT INTO ProductByAccount
( ProductId,AccountId)VALUES
(43,1037)</v>
      </c>
      <c r="AG144" s="292"/>
      <c r="AH144" s="292"/>
      <c r="AI144" s="292"/>
      <c r="AJ144" s="292"/>
      <c r="AK144" s="380">
        <v>1254546</v>
      </c>
      <c r="AL144" s="381">
        <v>999091</v>
      </c>
      <c r="AM144" s="379" t="str">
        <f t="shared" si="10"/>
        <v>INSERT INTO ListedPrice
(ProductId,ActiveDate,Channel,Price)
VALUES(43,'2020-05-01','GT',999091)</v>
      </c>
      <c r="AN144" s="292"/>
      <c r="AO144" s="292"/>
    </row>
    <row r="145" spans="1:41" s="286" customFormat="1">
      <c r="A145" s="337">
        <v>2100089958</v>
      </c>
      <c r="B145" s="298" t="s">
        <v>416</v>
      </c>
      <c r="C145" s="290">
        <f>VLOOKUP(B145,Sheet1!$B$17:$C$451,2,0)</f>
        <v>44</v>
      </c>
      <c r="D145" s="291" t="s">
        <v>1005</v>
      </c>
      <c r="E145" s="291" t="s">
        <v>463</v>
      </c>
      <c r="F145" s="299" t="s">
        <v>23</v>
      </c>
      <c r="G145" s="299" t="s">
        <v>563</v>
      </c>
      <c r="H145" s="299" t="s">
        <v>1350</v>
      </c>
      <c r="I145" s="299" t="s">
        <v>544</v>
      </c>
      <c r="J145" s="299" t="s">
        <v>292</v>
      </c>
      <c r="K145" s="300" t="s">
        <v>873</v>
      </c>
      <c r="L145" s="293" t="str">
        <f t="shared" si="9"/>
        <v>INSERT INTO Product (CMMF,Model,BarCode,Capacity,[Type],Product,[Range],[ModelName],[Color],[Status]) VALUES
('2100089958','C6207172','3168430226937','26cm','CW','Tefal',N'Nồi Canh',N'EXPERTISE',N'Đen','To be discontinued')</v>
      </c>
      <c r="M145" s="292" t="s">
        <v>877</v>
      </c>
      <c r="N145" s="292" t="s">
        <v>683</v>
      </c>
      <c r="O145" s="292"/>
      <c r="P145" s="292"/>
      <c r="Q145" s="292"/>
      <c r="R145" s="292"/>
      <c r="S145" s="292"/>
      <c r="T145" s="292"/>
      <c r="U145" s="292"/>
      <c r="V145" s="292"/>
      <c r="W145" s="292"/>
      <c r="X145" s="292"/>
      <c r="Y145" s="292"/>
      <c r="Z145" s="292"/>
      <c r="AA145" s="292"/>
      <c r="AB145" s="292"/>
      <c r="AC145" s="292"/>
      <c r="AD145" s="292"/>
      <c r="AE145" s="292" t="s">
        <v>1485</v>
      </c>
      <c r="AF145" s="292" t="str">
        <f>"INSERT INTO ProductByAccount
( ProductId,AccountId)VALUES
("&amp;C145&amp;",1037)"</f>
        <v>INSERT INTO ProductByAccount
( ProductId,AccountId)VALUES
(44,1037)</v>
      </c>
      <c r="AG145" s="292"/>
      <c r="AH145" s="292"/>
      <c r="AI145" s="292"/>
      <c r="AJ145" s="292"/>
      <c r="AK145" s="380">
        <v>1136364</v>
      </c>
      <c r="AL145" s="381">
        <v>910000</v>
      </c>
      <c r="AM145" s="379" t="str">
        <f t="shared" si="10"/>
        <v>INSERT INTO ListedPrice
(ProductId,ActiveDate,Channel,Price)
VALUES(44,'2020-05-01','GT',910000)</v>
      </c>
      <c r="AN145" s="292"/>
      <c r="AO145" s="292"/>
    </row>
    <row r="146" spans="1:41" s="286" customFormat="1">
      <c r="A146" s="337">
        <v>2100108073</v>
      </c>
      <c r="B146" s="298" t="s">
        <v>468</v>
      </c>
      <c r="C146" s="290">
        <f>VLOOKUP(B146,Sheet1!$B$17:$C$451,2,0)</f>
        <v>45</v>
      </c>
      <c r="D146" s="291" t="s">
        <v>1006</v>
      </c>
      <c r="E146" s="291" t="s">
        <v>469</v>
      </c>
      <c r="F146" s="299" t="s">
        <v>23</v>
      </c>
      <c r="G146" s="299" t="s">
        <v>563</v>
      </c>
      <c r="H146" s="299" t="s">
        <v>1350</v>
      </c>
      <c r="I146" s="299" t="s">
        <v>549</v>
      </c>
      <c r="J146" s="299" t="s">
        <v>905</v>
      </c>
      <c r="K146" s="300" t="s">
        <v>873</v>
      </c>
      <c r="L146" s="293" t="str">
        <f t="shared" si="9"/>
        <v>INSERT INTO Product (CMMF,Model,BarCode,Capacity,[Type],Product,[Range],[ModelName],[Color],[Status]) VALUES
('2100108073','C6422314','3168430276130','18cm','CW','Tefal',N'Nồi Canh',N'Pure Chef PLUS',N'Red','To be discontinued')</v>
      </c>
      <c r="M146" s="292" t="s">
        <v>877</v>
      </c>
      <c r="N146" s="292" t="s">
        <v>683</v>
      </c>
      <c r="O146" s="292"/>
      <c r="P146" s="292"/>
      <c r="Q146" s="292"/>
      <c r="R146" s="292"/>
      <c r="S146" s="292"/>
      <c r="T146" s="292"/>
      <c r="U146" s="292"/>
      <c r="V146" s="292"/>
      <c r="W146" s="292"/>
      <c r="X146" s="292"/>
      <c r="Y146" s="292"/>
      <c r="Z146" s="292"/>
      <c r="AA146" s="292"/>
      <c r="AB146" s="292"/>
      <c r="AC146" s="300" t="s">
        <v>873</v>
      </c>
      <c r="AD146" s="292" t="str">
        <f>"INSERT INTO ProductByAccount
( ProductId,AccountId)VALUES
("&amp;C146&amp;",1036)"</f>
        <v>INSERT INTO ProductByAccount
( ProductId,AccountId)VALUES
(45,1036)</v>
      </c>
      <c r="AE146" s="292"/>
      <c r="AF146" s="292"/>
      <c r="AG146" s="292"/>
      <c r="AH146" s="292"/>
      <c r="AI146" s="292"/>
      <c r="AJ146" s="292"/>
      <c r="AK146" s="380">
        <v>350000</v>
      </c>
      <c r="AL146" s="381">
        <v>280000</v>
      </c>
      <c r="AM146" s="379" t="str">
        <f t="shared" si="10"/>
        <v>INSERT INTO ListedPrice
(ProductId,ActiveDate,Channel,Price)
VALUES(45,'2020-05-01','GT',280000)</v>
      </c>
      <c r="AN146" s="292"/>
      <c r="AO146" s="292"/>
    </row>
    <row r="147" spans="1:41" s="286" customFormat="1">
      <c r="A147" s="337">
        <v>2100108126</v>
      </c>
      <c r="B147" s="298" t="s">
        <v>470</v>
      </c>
      <c r="C147" s="290">
        <f>VLOOKUP(B147,Sheet1!$B$17:$C$451,2,0)</f>
        <v>46</v>
      </c>
      <c r="D147" s="291" t="s">
        <v>1007</v>
      </c>
      <c r="E147" s="291" t="s">
        <v>471</v>
      </c>
      <c r="F147" s="299" t="s">
        <v>23</v>
      </c>
      <c r="G147" s="299" t="s">
        <v>563</v>
      </c>
      <c r="H147" s="299" t="s">
        <v>1350</v>
      </c>
      <c r="I147" s="299" t="s">
        <v>549</v>
      </c>
      <c r="J147" s="299" t="s">
        <v>905</v>
      </c>
      <c r="K147" s="300" t="s">
        <v>873</v>
      </c>
      <c r="L147" s="293" t="str">
        <f t="shared" si="9"/>
        <v>INSERT INTO Product (CMMF,Model,BarCode,Capacity,[Type],Product,[Range],[ModelName],[Color],[Status]) VALUES
('2100108126','C6427914','3168430285415','22cm','CW','Tefal',N'Nồi Canh',N'Pure Chef PLUS',N'Red','To be discontinued')</v>
      </c>
      <c r="M147" s="292" t="s">
        <v>877</v>
      </c>
      <c r="N147" s="292" t="s">
        <v>683</v>
      </c>
      <c r="O147" s="292"/>
      <c r="P147" s="292"/>
      <c r="Q147" s="292"/>
      <c r="R147" s="292"/>
      <c r="S147" s="292"/>
      <c r="T147" s="292"/>
      <c r="U147" s="292"/>
      <c r="V147" s="292"/>
      <c r="W147" s="292"/>
      <c r="X147" s="292"/>
      <c r="Y147" s="292"/>
      <c r="Z147" s="292"/>
      <c r="AA147" s="292"/>
      <c r="AB147" s="292"/>
      <c r="AC147" s="300" t="s">
        <v>873</v>
      </c>
      <c r="AD147" s="292" t="str">
        <f>"INSERT INTO ProductByAccount
( ProductId,AccountId)VALUES
("&amp;C147&amp;",1036)"</f>
        <v>INSERT INTO ProductByAccount
( ProductId,AccountId)VALUES
(46,1036)</v>
      </c>
      <c r="AE147" s="292"/>
      <c r="AF147" s="292"/>
      <c r="AG147" s="292"/>
      <c r="AH147" s="292"/>
      <c r="AI147" s="292"/>
      <c r="AJ147" s="292"/>
      <c r="AK147" s="380">
        <v>495454.54545454541</v>
      </c>
      <c r="AL147" s="381">
        <v>396364</v>
      </c>
      <c r="AM147" s="379" t="str">
        <f t="shared" si="10"/>
        <v>INSERT INTO ListedPrice
(ProductId,ActiveDate,Channel,Price)
VALUES(46,'2020-05-01','GT',396364)</v>
      </c>
      <c r="AN147" s="292"/>
      <c r="AO147" s="292"/>
    </row>
    <row r="148" spans="1:41" s="285" customFormat="1">
      <c r="A148" s="336">
        <v>2100090221</v>
      </c>
      <c r="B148" s="294" t="s">
        <v>412</v>
      </c>
      <c r="C148" s="290">
        <f>VLOOKUP(B148,Sheet1!$B$17:$C$451,2,0)</f>
        <v>47</v>
      </c>
      <c r="D148" s="291" t="s">
        <v>1015</v>
      </c>
      <c r="E148" s="291" t="s">
        <v>475</v>
      </c>
      <c r="F148" s="295" t="s">
        <v>23</v>
      </c>
      <c r="G148" s="295" t="s">
        <v>563</v>
      </c>
      <c r="H148" s="291" t="s">
        <v>1350</v>
      </c>
      <c r="I148" s="295" t="s">
        <v>543</v>
      </c>
      <c r="J148" s="295" t="s">
        <v>905</v>
      </c>
      <c r="K148" s="297" t="s">
        <v>623</v>
      </c>
      <c r="L148" s="293" t="str">
        <f t="shared" si="9"/>
        <v>INSERT INTO Product (CMMF,Model,BarCode,Capacity,[Type],Product,[Range],[ModelName],[Color],[Status]) VALUES
('2100090221','C6822472','3168430228283','20cm','CW','Tefal',N'Nồi Canh',N'CHARACTER',N'Red','Discontinued')</v>
      </c>
      <c r="M148" s="292" t="s">
        <v>877</v>
      </c>
      <c r="N148" s="292" t="s">
        <v>683</v>
      </c>
      <c r="O148" s="292"/>
      <c r="P148" s="292"/>
      <c r="Q148" s="292"/>
      <c r="R148" s="292"/>
      <c r="S148" s="292"/>
      <c r="T148" s="292"/>
      <c r="U148" s="292"/>
      <c r="V148" s="292"/>
      <c r="W148" s="292"/>
      <c r="X148" s="292"/>
      <c r="Y148" s="292"/>
      <c r="Z148" s="292"/>
      <c r="AA148" s="292"/>
      <c r="AB148" s="292"/>
      <c r="AC148" s="292"/>
      <c r="AD148" s="292"/>
      <c r="AE148" s="292" t="s">
        <v>1485</v>
      </c>
      <c r="AF148" s="292" t="str">
        <f>"INSERT INTO ProductByAccount
( ProductId,AccountId)VALUES
("&amp;C148&amp;",1037)"</f>
        <v>INSERT INTO ProductByAccount
( ProductId,AccountId)VALUES
(47,1037)</v>
      </c>
      <c r="AG148" s="292"/>
      <c r="AH148" s="292"/>
      <c r="AI148" s="292"/>
      <c r="AJ148" s="292"/>
      <c r="AK148" s="380">
        <v>971819</v>
      </c>
      <c r="AL148" s="381">
        <v>780000</v>
      </c>
      <c r="AM148" s="379" t="str">
        <f t="shared" si="10"/>
        <v>INSERT INTO ListedPrice
(ProductId,ActiveDate,Channel,Price)
VALUES(47,'2020-05-01','GT',780000)</v>
      </c>
      <c r="AN148" s="292"/>
      <c r="AO148" s="292"/>
    </row>
    <row r="149" spans="1:41" s="285" customFormat="1">
      <c r="A149" s="336">
        <v>2100090223</v>
      </c>
      <c r="B149" s="294" t="s">
        <v>413</v>
      </c>
      <c r="C149" s="290">
        <f>VLOOKUP(B149,Sheet1!$B$17:$C$451,2,0)</f>
        <v>48</v>
      </c>
      <c r="D149" s="291" t="s">
        <v>1016</v>
      </c>
      <c r="E149" s="291" t="s">
        <v>461</v>
      </c>
      <c r="F149" s="295" t="s">
        <v>23</v>
      </c>
      <c r="G149" s="295" t="s">
        <v>563</v>
      </c>
      <c r="H149" s="291" t="s">
        <v>1350</v>
      </c>
      <c r="I149" s="295" t="s">
        <v>543</v>
      </c>
      <c r="J149" s="295" t="s">
        <v>905</v>
      </c>
      <c r="K149" s="297" t="s">
        <v>623</v>
      </c>
      <c r="L149" s="293" t="str">
        <f t="shared" si="9"/>
        <v>INSERT INTO Product (CMMF,Model,BarCode,Capacity,[Type],Product,[Range],[ModelName],[Color],[Status]) VALUES
('2100090223','C6824672','3168430228306','24cm','CW','Tefal',N'Nồi Canh',N'CHARACTER',N'Red','Discontinued')</v>
      </c>
      <c r="M149" s="293"/>
      <c r="N149" s="292" t="s">
        <v>683</v>
      </c>
      <c r="O149" s="292"/>
      <c r="P149" s="292"/>
      <c r="Q149" s="292"/>
      <c r="R149" s="292"/>
      <c r="S149" s="292"/>
      <c r="T149" s="292"/>
      <c r="U149" s="292"/>
      <c r="V149" s="292"/>
      <c r="W149" s="292"/>
      <c r="X149" s="292"/>
      <c r="Y149" s="292"/>
      <c r="Z149" s="292"/>
      <c r="AA149" s="292"/>
      <c r="AB149" s="292"/>
      <c r="AC149" s="292"/>
      <c r="AD149" s="292"/>
      <c r="AE149" s="292" t="s">
        <v>1485</v>
      </c>
      <c r="AF149" s="292" t="str">
        <f>"INSERT INTO ProductByAccount
( ProductId,AccountId)VALUES
("&amp;C149&amp;",1037)"</f>
        <v>INSERT INTO ProductByAccount
( ProductId,AccountId)VALUES
(48,1037)</v>
      </c>
      <c r="AG149" s="292"/>
      <c r="AH149" s="292"/>
      <c r="AI149" s="292"/>
      <c r="AJ149" s="292"/>
      <c r="AK149" s="380">
        <v>1116000</v>
      </c>
      <c r="AL149" s="381">
        <v>900000</v>
      </c>
      <c r="AM149" s="379" t="str">
        <f t="shared" si="10"/>
        <v>INSERT INTO ListedPrice
(ProductId,ActiveDate,Channel,Price)
VALUES(48,'2020-05-01','GT',900000)</v>
      </c>
      <c r="AN149" s="292"/>
      <c r="AO149" s="292"/>
    </row>
    <row r="150" spans="1:41" s="287" customFormat="1">
      <c r="A150" s="338">
        <v>2100112230</v>
      </c>
      <c r="B150" s="301" t="s">
        <v>636</v>
      </c>
      <c r="C150" s="290">
        <f>VLOOKUP(B150,Sheet1!$B$17:$C$451,2,0)</f>
        <v>49</v>
      </c>
      <c r="D150" s="291" t="s">
        <v>1020</v>
      </c>
      <c r="E150" s="291" t="s">
        <v>469</v>
      </c>
      <c r="F150" s="302" t="s">
        <v>23</v>
      </c>
      <c r="G150" s="302" t="s">
        <v>563</v>
      </c>
      <c r="H150" s="291" t="s">
        <v>1350</v>
      </c>
      <c r="I150" s="302" t="s">
        <v>643</v>
      </c>
      <c r="J150" s="302" t="s">
        <v>905</v>
      </c>
      <c r="K150" s="303" t="s">
        <v>516</v>
      </c>
      <c r="L150" s="293" t="str">
        <f t="shared" si="9"/>
        <v>INSERT INTO Product (CMMF,Model,BarCode,Capacity,[Type],Product,[Range],[ModelName],[Color],[Status]) VALUES
('2100112230','G1352395','3168430297272','18cm','CW','Tefal',N'Nồi Canh',N'So Chef',N'Red','New')</v>
      </c>
      <c r="M150" s="292" t="s">
        <v>877</v>
      </c>
      <c r="N150" s="292" t="s">
        <v>683</v>
      </c>
      <c r="O150" s="292" t="s">
        <v>1487</v>
      </c>
      <c r="P150" s="292" t="str">
        <f>"INSERT INTO ProductByAccount
( ProductId,AccountId)VALUES
("&amp;C150&amp;",1029)"</f>
        <v>INSERT INTO ProductByAccount
( ProductId,AccountId)VALUES
(49,1029)</v>
      </c>
      <c r="Q150" s="292"/>
      <c r="R150" s="292"/>
      <c r="S150" s="292" t="s">
        <v>872</v>
      </c>
      <c r="T150" s="292" t="str">
        <f>"INSERT INTO ProductByAccount
( ProductId,AccountId)VALUES
("&amp;C150&amp;",1031)"</f>
        <v>INSERT INTO ProductByAccount
( ProductId,AccountId)VALUES
(49,1031)</v>
      </c>
      <c r="U150" s="292" t="s">
        <v>872</v>
      </c>
      <c r="V150" s="292" t="str">
        <f>"INSERT INTO ProductByAccount
( ProductId,AccountId)VALUES
("&amp;C150&amp;",1032)"</f>
        <v>INSERT INTO ProductByAccount
( ProductId,AccountId)VALUES
(49,1032)</v>
      </c>
      <c r="W150" s="292"/>
      <c r="X150" s="292"/>
      <c r="Y150" s="292"/>
      <c r="Z150" s="292"/>
      <c r="AA150" s="292"/>
      <c r="AB150" s="292"/>
      <c r="AC150" s="292"/>
      <c r="AD150" s="292"/>
      <c r="AE150" s="292"/>
      <c r="AF150" s="292"/>
      <c r="AG150" s="292"/>
      <c r="AH150" s="292"/>
      <c r="AI150" s="292"/>
      <c r="AJ150" s="292"/>
      <c r="AK150" s="380">
        <v>346500</v>
      </c>
      <c r="AL150" s="381">
        <v>280000</v>
      </c>
      <c r="AM150" s="379" t="str">
        <f t="shared" si="10"/>
        <v>INSERT INTO ListedPrice
(ProductId,ActiveDate,Channel,Price)
VALUES(49,'2020-05-01','GT',280000)</v>
      </c>
      <c r="AN150" s="292"/>
      <c r="AO150" s="292"/>
    </row>
    <row r="151" spans="1:41" s="287" customFormat="1">
      <c r="A151" s="338">
        <v>2100112231</v>
      </c>
      <c r="B151" s="301" t="s">
        <v>637</v>
      </c>
      <c r="C151" s="290">
        <f>VLOOKUP(B151,Sheet1!$B$17:$C$451,2,0)</f>
        <v>50</v>
      </c>
      <c r="D151" s="291" t="s">
        <v>1021</v>
      </c>
      <c r="E151" s="291" t="s">
        <v>471</v>
      </c>
      <c r="F151" s="302" t="s">
        <v>23</v>
      </c>
      <c r="G151" s="302" t="s">
        <v>563</v>
      </c>
      <c r="H151" s="291" t="s">
        <v>1350</v>
      </c>
      <c r="I151" s="302" t="s">
        <v>643</v>
      </c>
      <c r="J151" s="302" t="s">
        <v>905</v>
      </c>
      <c r="K151" s="303" t="s">
        <v>516</v>
      </c>
      <c r="L151" s="293" t="str">
        <f t="shared" si="9"/>
        <v>INSERT INTO Product (CMMF,Model,BarCode,Capacity,[Type],Product,[Range],[ModelName],[Color],[Status]) VALUES
('2100112231','G1354595','3168430297289','22cm','CW','Tefal',N'Nồi Canh',N'So Chef',N'Red','New')</v>
      </c>
      <c r="M151" s="292" t="s">
        <v>877</v>
      </c>
      <c r="N151" s="292" t="s">
        <v>683</v>
      </c>
      <c r="O151" s="292" t="s">
        <v>1487</v>
      </c>
      <c r="P151" s="292" t="str">
        <f>"INSERT INTO ProductByAccount
( ProductId,AccountId)VALUES
("&amp;C151&amp;",1029)"</f>
        <v>INSERT INTO ProductByAccount
( ProductId,AccountId)VALUES
(50,1029)</v>
      </c>
      <c r="Q151" s="292"/>
      <c r="R151" s="292"/>
      <c r="S151" s="292" t="s">
        <v>872</v>
      </c>
      <c r="T151" s="292" t="str">
        <f>"INSERT INTO ProductByAccount
( ProductId,AccountId)VALUES
("&amp;C151&amp;",1031)"</f>
        <v>INSERT INTO ProductByAccount
( ProductId,AccountId)VALUES
(50,1031)</v>
      </c>
      <c r="U151" s="292" t="s">
        <v>872</v>
      </c>
      <c r="V151" s="292" t="str">
        <f>"INSERT INTO ProductByAccount
( ProductId,AccountId)VALUES
("&amp;C151&amp;",1032)"</f>
        <v>INSERT INTO ProductByAccount
( ProductId,AccountId)VALUES
(50,1032)</v>
      </c>
      <c r="W151" s="292"/>
      <c r="X151" s="292"/>
      <c r="Y151" s="292"/>
      <c r="Z151" s="292"/>
      <c r="AA151" s="292"/>
      <c r="AB151" s="292"/>
      <c r="AC151" s="292"/>
      <c r="AD151" s="292"/>
      <c r="AE151" s="292"/>
      <c r="AF151" s="292"/>
      <c r="AG151" s="292"/>
      <c r="AH151" s="292"/>
      <c r="AI151" s="292"/>
      <c r="AJ151" s="292"/>
      <c r="AK151" s="380">
        <v>490500</v>
      </c>
      <c r="AL151" s="381">
        <v>396364</v>
      </c>
      <c r="AM151" s="379" t="str">
        <f t="shared" si="10"/>
        <v>INSERT INTO ListedPrice
(ProductId,ActiveDate,Channel,Price)
VALUES(50,'2020-05-01','GT',396364)</v>
      </c>
      <c r="AN151" s="292"/>
      <c r="AO151" s="292"/>
    </row>
    <row r="152" spans="1:41" s="287" customFormat="1">
      <c r="A152" s="338">
        <v>2100110225</v>
      </c>
      <c r="B152" s="301" t="s">
        <v>472</v>
      </c>
      <c r="C152" s="290">
        <f>VLOOKUP(B152,Sheet1!$B$17:$C$451,2,0)</f>
        <v>51</v>
      </c>
      <c r="D152" s="291" t="s">
        <v>1027</v>
      </c>
      <c r="E152" s="291" t="s">
        <v>469</v>
      </c>
      <c r="F152" s="302" t="s">
        <v>23</v>
      </c>
      <c r="G152" s="302" t="s">
        <v>563</v>
      </c>
      <c r="H152" s="291" t="s">
        <v>1350</v>
      </c>
      <c r="I152" s="302" t="s">
        <v>541</v>
      </c>
      <c r="J152" s="302" t="s">
        <v>957</v>
      </c>
      <c r="K152" s="303" t="s">
        <v>516</v>
      </c>
      <c r="L152" s="293" t="str">
        <f t="shared" si="9"/>
        <v>INSERT INTO Product (CMMF,Model,BarCode,Capacity,[Type],Product,[Range],[ModelName],[Color],[Status]) VALUES
('2100110225','H9104314','3168430289802','18cm','CW','Tefal',N'Nồi Canh',N'SENSATION',N'Copper','New')</v>
      </c>
      <c r="M152" s="292" t="s">
        <v>877</v>
      </c>
      <c r="N152" s="292" t="s">
        <v>683</v>
      </c>
      <c r="O152" s="292"/>
      <c r="P152" s="292"/>
      <c r="Q152" s="292"/>
      <c r="R152" s="292"/>
      <c r="S152" s="292"/>
      <c r="T152" s="292"/>
      <c r="U152" s="292" t="s">
        <v>872</v>
      </c>
      <c r="V152" s="292" t="str">
        <f>"INSERT INTO ProductByAccount
( ProductId,AccountId)VALUES
("&amp;C152&amp;",1032)"</f>
        <v>INSERT INTO ProductByAccount
( ProductId,AccountId)VALUES
(51,1032)</v>
      </c>
      <c r="W152" s="292"/>
      <c r="X152" s="292"/>
      <c r="Y152" s="292"/>
      <c r="Z152" s="292"/>
      <c r="AA152" s="292"/>
      <c r="AB152" s="292"/>
      <c r="AC152" s="292"/>
      <c r="AD152" s="292"/>
      <c r="AE152" s="292" t="s">
        <v>1485</v>
      </c>
      <c r="AF152" s="292" t="str">
        <f>"INSERT INTO ProductByAccount
( ProductId,AccountId)VALUES
("&amp;C152&amp;",1037)"</f>
        <v>INSERT INTO ProductByAccount
( ProductId,AccountId)VALUES
(51,1037)</v>
      </c>
      <c r="AG152" s="292"/>
      <c r="AH152" s="292"/>
      <c r="AI152" s="292"/>
      <c r="AJ152" s="292"/>
      <c r="AK152" s="380">
        <v>353636.36363636359</v>
      </c>
      <c r="AL152" s="381">
        <v>282727</v>
      </c>
      <c r="AM152" s="379" t="str">
        <f t="shared" si="10"/>
        <v>INSERT INTO ListedPrice
(ProductId,ActiveDate,Channel,Price)
VALUES(51,'2020-05-01','GT',282727)</v>
      </c>
      <c r="AN152" s="292"/>
      <c r="AO152" s="292"/>
    </row>
    <row r="153" spans="1:41" s="287" customFormat="1">
      <c r="A153" s="338">
        <v>2100110226</v>
      </c>
      <c r="B153" s="301" t="s">
        <v>473</v>
      </c>
      <c r="C153" s="290">
        <f>VLOOKUP(B153,Sheet1!$B$17:$C$451,2,0)</f>
        <v>52</v>
      </c>
      <c r="D153" s="291" t="s">
        <v>1028</v>
      </c>
      <c r="E153" s="291" t="s">
        <v>475</v>
      </c>
      <c r="F153" s="302" t="s">
        <v>23</v>
      </c>
      <c r="G153" s="302" t="s">
        <v>563</v>
      </c>
      <c r="H153" s="291" t="s">
        <v>1350</v>
      </c>
      <c r="I153" s="302" t="s">
        <v>541</v>
      </c>
      <c r="J153" s="302" t="s">
        <v>957</v>
      </c>
      <c r="K153" s="303" t="s">
        <v>516</v>
      </c>
      <c r="L153" s="293" t="str">
        <f t="shared" si="9"/>
        <v>INSERT INTO Product (CMMF,Model,BarCode,Capacity,[Type],Product,[Range],[ModelName],[Color],[Status]) VALUES
('2100110226','H9104414','3168430289819','20cm','CW','Tefal',N'Nồi Canh',N'SENSATION',N'Copper','New')</v>
      </c>
      <c r="M153" s="292" t="s">
        <v>877</v>
      </c>
      <c r="N153" s="292" t="s">
        <v>683</v>
      </c>
      <c r="O153" s="292"/>
      <c r="P153" s="292"/>
      <c r="Q153" s="292"/>
      <c r="R153" s="292"/>
      <c r="S153" s="292"/>
      <c r="T153" s="292"/>
      <c r="U153" s="292"/>
      <c r="V153" s="292"/>
      <c r="W153" s="292"/>
      <c r="X153" s="292"/>
      <c r="Y153" s="292"/>
      <c r="Z153" s="292"/>
      <c r="AA153" s="292"/>
      <c r="AB153" s="292"/>
      <c r="AC153" s="292" t="s">
        <v>872</v>
      </c>
      <c r="AD153" s="292" t="str">
        <f>"INSERT INTO ProductByAccount
( ProductId,AccountId)VALUES
("&amp;C153&amp;",1036)"</f>
        <v>INSERT INTO ProductByAccount
( ProductId,AccountId)VALUES
(52,1036)</v>
      </c>
      <c r="AE153" s="292" t="s">
        <v>1485</v>
      </c>
      <c r="AF153" s="292" t="str">
        <f>"INSERT INTO ProductByAccount
( ProductId,AccountId)VALUES
("&amp;C153&amp;",1037)"</f>
        <v>INSERT INTO ProductByAccount
( ProductId,AccountId)VALUES
(52,1037)</v>
      </c>
      <c r="AG153" s="292"/>
      <c r="AH153" s="292"/>
      <c r="AI153" s="292"/>
      <c r="AJ153" s="292"/>
      <c r="AK153" s="380">
        <v>399090.90909090906</v>
      </c>
      <c r="AL153" s="381">
        <v>319091</v>
      </c>
      <c r="AM153" s="379" t="str">
        <f t="shared" si="10"/>
        <v>INSERT INTO ListedPrice
(ProductId,ActiveDate,Channel,Price)
VALUES(52,'2020-05-01','GT',319091)</v>
      </c>
      <c r="AN153" s="292"/>
      <c r="AO153" s="292"/>
    </row>
    <row r="154" spans="1:41" s="287" customFormat="1">
      <c r="A154" s="338">
        <v>2100110227</v>
      </c>
      <c r="B154" s="301" t="s">
        <v>474</v>
      </c>
      <c r="C154" s="290">
        <f>VLOOKUP(B154,Sheet1!$B$17:$C$451,2,0)</f>
        <v>53</v>
      </c>
      <c r="D154" s="291" t="s">
        <v>1029</v>
      </c>
      <c r="E154" s="291" t="s">
        <v>461</v>
      </c>
      <c r="F154" s="302" t="s">
        <v>23</v>
      </c>
      <c r="G154" s="302" t="s">
        <v>563</v>
      </c>
      <c r="H154" s="291" t="s">
        <v>1350</v>
      </c>
      <c r="I154" s="302" t="s">
        <v>541</v>
      </c>
      <c r="J154" s="302" t="s">
        <v>957</v>
      </c>
      <c r="K154" s="303" t="s">
        <v>516</v>
      </c>
      <c r="L154" s="293" t="str">
        <f t="shared" si="9"/>
        <v>INSERT INTO Product (CMMF,Model,BarCode,Capacity,[Type],Product,[Range],[ModelName],[Color],[Status]) VALUES
('2100110227','H9104614','3168430289826','24cm','CW','Tefal',N'Nồi Canh',N'SENSATION',N'Copper','New')</v>
      </c>
      <c r="M154" s="292" t="s">
        <v>877</v>
      </c>
      <c r="N154" s="292" t="s">
        <v>683</v>
      </c>
      <c r="O154" s="292"/>
      <c r="P154" s="292"/>
      <c r="Q154" s="292"/>
      <c r="R154" s="292"/>
      <c r="S154" s="292"/>
      <c r="T154" s="292"/>
      <c r="U154" s="292"/>
      <c r="V154" s="292"/>
      <c r="W154" s="292"/>
      <c r="X154" s="292"/>
      <c r="Y154" s="292"/>
      <c r="Z154" s="292"/>
      <c r="AA154" s="292"/>
      <c r="AB154" s="292"/>
      <c r="AC154" s="292"/>
      <c r="AD154" s="292"/>
      <c r="AE154" s="292" t="s">
        <v>1485</v>
      </c>
      <c r="AF154" s="292" t="str">
        <f>"INSERT INTO ProductByAccount
( ProductId,AccountId)VALUES
("&amp;C154&amp;",1037)"</f>
        <v>INSERT INTO ProductByAccount
( ProductId,AccountId)VALUES
(53,1037)</v>
      </c>
      <c r="AG154" s="292"/>
      <c r="AH154" s="292"/>
      <c r="AI154" s="292"/>
      <c r="AJ154" s="292"/>
      <c r="AK154" s="380">
        <v>453636.36363636359</v>
      </c>
      <c r="AL154" s="381">
        <v>362727</v>
      </c>
      <c r="AM154" s="379" t="str">
        <f t="shared" si="10"/>
        <v>INSERT INTO ListedPrice
(ProductId,ActiveDate,Channel,Price)
VALUES(53,'2020-05-01','GT',362727)</v>
      </c>
      <c r="AN154" s="292"/>
      <c r="AO154" s="292"/>
    </row>
    <row r="155" spans="1:41" s="287" customFormat="1">
      <c r="A155" s="338">
        <v>2100114151</v>
      </c>
      <c r="B155" s="301" t="s">
        <v>625</v>
      </c>
      <c r="C155" s="290">
        <f>VLOOKUP(B155,Sheet1!$B$17:$C$451,2,0)</f>
        <v>54</v>
      </c>
      <c r="D155" s="291" t="s">
        <v>1095</v>
      </c>
      <c r="E155" s="291" t="s">
        <v>469</v>
      </c>
      <c r="F155" s="302" t="s">
        <v>23</v>
      </c>
      <c r="G155" s="302" t="s">
        <v>563</v>
      </c>
      <c r="H155" s="291" t="s">
        <v>1350</v>
      </c>
      <c r="I155" s="291" t="s">
        <v>624</v>
      </c>
      <c r="J155" s="302" t="s">
        <v>327</v>
      </c>
      <c r="K155" s="303" t="s">
        <v>516</v>
      </c>
      <c r="L155" s="293" t="str">
        <f t="shared" si="9"/>
        <v>INSERT INTO Product (CMMF,Model,BarCode,Capacity,[Type],Product,[Range],[ModelName],[Color],[Status]) VALUES
('2100114151','B9052395','3168430301740','18cm','CW','Tefal',N'Nồi Canh',N'Simpleo',N'Trắng','New')</v>
      </c>
      <c r="M155" s="293"/>
      <c r="N155" s="292" t="s">
        <v>683</v>
      </c>
      <c r="O155" s="292"/>
      <c r="P155" s="292"/>
      <c r="Q155" s="292"/>
      <c r="R155" s="292"/>
      <c r="S155" s="292" t="s">
        <v>872</v>
      </c>
      <c r="T155" s="292" t="str">
        <f>"INSERT INTO ProductByAccount
( ProductId,AccountId)VALUES
("&amp;C155&amp;",1031)"</f>
        <v>INSERT INTO ProductByAccount
( ProductId,AccountId)VALUES
(54,1031)</v>
      </c>
      <c r="U155" s="292" t="s">
        <v>872</v>
      </c>
      <c r="V155" s="292" t="str">
        <f t="shared" ref="V155:V160" si="11">"INSERT INTO ProductByAccount
( ProductId,AccountId)VALUES
("&amp;C155&amp;",1032)"</f>
        <v>INSERT INTO ProductByAccount
( ProductId,AccountId)VALUES
(54,1032)</v>
      </c>
      <c r="W155" s="292" t="s">
        <v>872</v>
      </c>
      <c r="X155" s="292" t="str">
        <f>"INSERT INTO ProductByAccount
( ProductId,AccountId)VALUES
("&amp;C155&amp;",1033)"</f>
        <v>INSERT INTO ProductByAccount
( ProductId,AccountId)VALUES
(54,1033)</v>
      </c>
      <c r="Y155" s="292"/>
      <c r="Z155" s="292"/>
      <c r="AA155" s="292"/>
      <c r="AB155" s="292"/>
      <c r="AC155" s="292"/>
      <c r="AD155" s="292"/>
      <c r="AE155" s="292"/>
      <c r="AF155" s="292"/>
      <c r="AG155" s="292"/>
      <c r="AH155" s="292"/>
      <c r="AI155" s="292"/>
      <c r="AJ155" s="292"/>
      <c r="AK155" s="380">
        <v>444545</v>
      </c>
      <c r="AL155" s="381">
        <v>356364</v>
      </c>
      <c r="AM155" s="379" t="str">
        <f t="shared" si="10"/>
        <v>INSERT INTO ListedPrice
(ProductId,ActiveDate,Channel,Price)
VALUES(54,'2020-05-01','GT',356364)</v>
      </c>
      <c r="AN155" s="292"/>
      <c r="AO155" s="292"/>
    </row>
    <row r="156" spans="1:41" s="287" customFormat="1">
      <c r="A156" s="338">
        <v>2100114152</v>
      </c>
      <c r="B156" s="301" t="s">
        <v>626</v>
      </c>
      <c r="C156" s="290">
        <f>VLOOKUP(B156,Sheet1!$B$17:$C$451,2,0)</f>
        <v>55</v>
      </c>
      <c r="D156" s="291" t="s">
        <v>1096</v>
      </c>
      <c r="E156" s="291" t="s">
        <v>475</v>
      </c>
      <c r="F156" s="302" t="s">
        <v>23</v>
      </c>
      <c r="G156" s="302" t="s">
        <v>563</v>
      </c>
      <c r="H156" s="291" t="s">
        <v>1350</v>
      </c>
      <c r="I156" s="291" t="s">
        <v>624</v>
      </c>
      <c r="J156" s="302" t="s">
        <v>327</v>
      </c>
      <c r="K156" s="303" t="s">
        <v>516</v>
      </c>
      <c r="L156" s="293" t="str">
        <f t="shared" si="9"/>
        <v>INSERT INTO Product (CMMF,Model,BarCode,Capacity,[Type],Product,[Range],[ModelName],[Color],[Status]) VALUES
('2100114152','B9054495','3168430301757','20cm','CW','Tefal',N'Nồi Canh',N'Simpleo',N'Trắng','New')</v>
      </c>
      <c r="M156" s="293"/>
      <c r="N156" s="292" t="s">
        <v>683</v>
      </c>
      <c r="O156" s="292"/>
      <c r="P156" s="292"/>
      <c r="Q156" s="292"/>
      <c r="R156" s="292"/>
      <c r="S156" s="292" t="s">
        <v>872</v>
      </c>
      <c r="T156" s="292" t="str">
        <f>"INSERT INTO ProductByAccount
( ProductId,AccountId)VALUES
("&amp;C156&amp;",1031)"</f>
        <v>INSERT INTO ProductByAccount
( ProductId,AccountId)VALUES
(55,1031)</v>
      </c>
      <c r="U156" s="292" t="s">
        <v>872</v>
      </c>
      <c r="V156" s="292" t="str">
        <f t="shared" si="11"/>
        <v>INSERT INTO ProductByAccount
( ProductId,AccountId)VALUES
(55,1032)</v>
      </c>
      <c r="W156" s="292" t="s">
        <v>872</v>
      </c>
      <c r="X156" s="292" t="str">
        <f>"INSERT INTO ProductByAccount
( ProductId,AccountId)VALUES
("&amp;C156&amp;",1033)"</f>
        <v>INSERT INTO ProductByAccount
( ProductId,AccountId)VALUES
(55,1033)</v>
      </c>
      <c r="Y156" s="292"/>
      <c r="Z156" s="292"/>
      <c r="AA156" s="292"/>
      <c r="AB156" s="292"/>
      <c r="AC156" s="292"/>
      <c r="AD156" s="292"/>
      <c r="AE156" s="292"/>
      <c r="AF156" s="292"/>
      <c r="AG156" s="292"/>
      <c r="AH156" s="292"/>
      <c r="AI156" s="292"/>
      <c r="AJ156" s="292"/>
      <c r="AK156" s="380">
        <v>453636</v>
      </c>
      <c r="AL156" s="381">
        <v>362727</v>
      </c>
      <c r="AM156" s="379" t="str">
        <f t="shared" si="10"/>
        <v>INSERT INTO ListedPrice
(ProductId,ActiveDate,Channel,Price)
VALUES(55,'2020-05-01','GT',362727)</v>
      </c>
      <c r="AN156" s="292"/>
      <c r="AO156" s="292"/>
    </row>
    <row r="157" spans="1:41" s="287" customFormat="1">
      <c r="A157" s="338">
        <v>2100114153</v>
      </c>
      <c r="B157" s="301" t="s">
        <v>627</v>
      </c>
      <c r="C157" s="290">
        <f>VLOOKUP(B157,Sheet1!$B$17:$C$451,2,0)</f>
        <v>56</v>
      </c>
      <c r="D157" s="291" t="s">
        <v>1097</v>
      </c>
      <c r="E157" s="291" t="s">
        <v>461</v>
      </c>
      <c r="F157" s="302" t="s">
        <v>23</v>
      </c>
      <c r="G157" s="302" t="s">
        <v>563</v>
      </c>
      <c r="H157" s="291" t="s">
        <v>1350</v>
      </c>
      <c r="I157" s="291" t="s">
        <v>624</v>
      </c>
      <c r="J157" s="302" t="s">
        <v>327</v>
      </c>
      <c r="K157" s="303" t="s">
        <v>516</v>
      </c>
      <c r="L157" s="293" t="str">
        <f t="shared" si="9"/>
        <v>INSERT INTO Product (CMMF,Model,BarCode,Capacity,[Type],Product,[Range],[ModelName],[Color],[Status]) VALUES
('2100114153','B9054695','3168430301764','24cm','CW','Tefal',N'Nồi Canh',N'Simpleo',N'Trắng','New')</v>
      </c>
      <c r="M157" s="293"/>
      <c r="N157" s="292" t="s">
        <v>683</v>
      </c>
      <c r="O157" s="333" t="s">
        <v>1487</v>
      </c>
      <c r="P157" s="292" t="str">
        <f>"INSERT INTO ProductByAccount
( ProductId,AccountId)VALUES
("&amp;C157&amp;",1029)"</f>
        <v>INSERT INTO ProductByAccount
( ProductId,AccountId)VALUES
(56,1029)</v>
      </c>
      <c r="Q157" s="292"/>
      <c r="R157" s="292"/>
      <c r="S157" s="292" t="s">
        <v>872</v>
      </c>
      <c r="T157" s="292" t="str">
        <f>"INSERT INTO ProductByAccount
( ProductId,AccountId)VALUES
("&amp;C157&amp;",1031)"</f>
        <v>INSERT INTO ProductByAccount
( ProductId,AccountId)VALUES
(56,1031)</v>
      </c>
      <c r="U157" s="292" t="s">
        <v>872</v>
      </c>
      <c r="V157" s="292" t="str">
        <f t="shared" si="11"/>
        <v>INSERT INTO ProductByAccount
( ProductId,AccountId)VALUES
(56,1032)</v>
      </c>
      <c r="W157" s="292" t="s">
        <v>872</v>
      </c>
      <c r="X157" s="292" t="str">
        <f>"INSERT INTO ProductByAccount
( ProductId,AccountId)VALUES
("&amp;C157&amp;",1033)"</f>
        <v>INSERT INTO ProductByAccount
( ProductId,AccountId)VALUES
(56,1033)</v>
      </c>
      <c r="Y157" s="292"/>
      <c r="Z157" s="292"/>
      <c r="AA157" s="292"/>
      <c r="AB157" s="292"/>
      <c r="AC157" s="292"/>
      <c r="AD157" s="292"/>
      <c r="AE157" s="292"/>
      <c r="AF157" s="292"/>
      <c r="AG157" s="292"/>
      <c r="AH157" s="292"/>
      <c r="AI157" s="292"/>
      <c r="AJ157" s="292"/>
      <c r="AK157" s="380">
        <v>526364</v>
      </c>
      <c r="AL157" s="381">
        <v>421818</v>
      </c>
      <c r="AM157" s="379" t="str">
        <f t="shared" si="10"/>
        <v>INSERT INTO ListedPrice
(ProductId,ActiveDate,Channel,Price)
VALUES(56,'2020-05-01','GT',421818)</v>
      </c>
      <c r="AN157" s="292"/>
      <c r="AO157" s="292"/>
    </row>
    <row r="158" spans="1:41" s="287" customFormat="1">
      <c r="A158" s="338">
        <v>2100114154</v>
      </c>
      <c r="B158" s="301" t="s">
        <v>628</v>
      </c>
      <c r="C158" s="290">
        <f>VLOOKUP(B158,Sheet1!$B$17:$C$451,2,0)</f>
        <v>57</v>
      </c>
      <c r="D158" s="291" t="s">
        <v>1098</v>
      </c>
      <c r="E158" s="291" t="s">
        <v>961</v>
      </c>
      <c r="F158" s="302" t="s">
        <v>23</v>
      </c>
      <c r="G158" s="302" t="s">
        <v>563</v>
      </c>
      <c r="H158" s="302" t="s">
        <v>1367</v>
      </c>
      <c r="I158" s="291" t="s">
        <v>624</v>
      </c>
      <c r="J158" s="302" t="s">
        <v>327</v>
      </c>
      <c r="K158" s="303" t="s">
        <v>516</v>
      </c>
      <c r="L158" s="293" t="str">
        <f t="shared" si="9"/>
        <v>INSERT INTO Product (CMMF,Model,BarCode,Capacity,[Type],Product,[Range],[ModelName],[Color],[Status]) VALUES
('2100114154','B907S644','3168430301207','16/20/24 cm','CW','Tefal',N'Bộ Nồi',N'Simpleo',N'Trắng','New')</v>
      </c>
      <c r="M158" s="293"/>
      <c r="N158" s="292" t="s">
        <v>683</v>
      </c>
      <c r="O158" s="292"/>
      <c r="P158" s="292"/>
      <c r="Q158" s="292"/>
      <c r="R158" s="292"/>
      <c r="S158" s="292" t="s">
        <v>872</v>
      </c>
      <c r="T158" s="292" t="str">
        <f>"INSERT INTO ProductByAccount
( ProductId,AccountId)VALUES
("&amp;C158&amp;",1031)"</f>
        <v>INSERT INTO ProductByAccount
( ProductId,AccountId)VALUES
(57,1031)</v>
      </c>
      <c r="U158" s="292" t="s">
        <v>872</v>
      </c>
      <c r="V158" s="292" t="str">
        <f t="shared" si="11"/>
        <v>INSERT INTO ProductByAccount
( ProductId,AccountId)VALUES
(57,1032)</v>
      </c>
      <c r="W158" s="292" t="s">
        <v>872</v>
      </c>
      <c r="X158" s="292" t="str">
        <f>"INSERT INTO ProductByAccount
( ProductId,AccountId)VALUES
("&amp;C158&amp;",1033)"</f>
        <v>INSERT INTO ProductByAccount
( ProductId,AccountId)VALUES
(57,1033)</v>
      </c>
      <c r="Y158" s="292"/>
      <c r="Z158" s="292"/>
      <c r="AA158" s="292"/>
      <c r="AB158" s="292"/>
      <c r="AC158" s="292"/>
      <c r="AD158" s="292"/>
      <c r="AE158" s="292"/>
      <c r="AF158" s="292"/>
      <c r="AG158" s="292"/>
      <c r="AH158" s="292"/>
      <c r="AI158" s="292"/>
      <c r="AJ158" s="292"/>
      <c r="AK158" s="380">
        <v>1180909</v>
      </c>
      <c r="AL158" s="381">
        <v>945455</v>
      </c>
      <c r="AM158" s="379" t="str">
        <f t="shared" si="10"/>
        <v>INSERT INTO ListedPrice
(ProductId,ActiveDate,Channel,Price)
VALUES(57,'2020-05-01','GT',945455)</v>
      </c>
      <c r="AN158" s="292"/>
      <c r="AO158" s="292"/>
    </row>
    <row r="159" spans="1:41" s="286" customFormat="1">
      <c r="A159" s="337">
        <v>2100088988</v>
      </c>
      <c r="B159" s="298" t="s">
        <v>405</v>
      </c>
      <c r="C159" s="290">
        <f>VLOOKUP(B159,Sheet1!$B$17:$C$451,2,0)</f>
        <v>58</v>
      </c>
      <c r="D159" s="291" t="s">
        <v>997</v>
      </c>
      <c r="E159" s="291" t="s">
        <v>460</v>
      </c>
      <c r="F159" s="299" t="s">
        <v>23</v>
      </c>
      <c r="G159" s="299" t="s">
        <v>563</v>
      </c>
      <c r="H159" s="299" t="s">
        <v>1351</v>
      </c>
      <c r="I159" s="299" t="s">
        <v>544</v>
      </c>
      <c r="J159" s="299" t="s">
        <v>292</v>
      </c>
      <c r="K159" s="300" t="s">
        <v>873</v>
      </c>
      <c r="L159" s="293" t="str">
        <f t="shared" si="9"/>
        <v>INSERT INTO Product (CMMF,Model,BarCode,Capacity,[Type],Product,[Range],[ModelName],[Color],[Status]) VALUES
('2100088988','C6200272','3168430224773','21cm','CW','Tefal',N'Chảo Chiên',N'EXPERTISE',N'Đen','To be discontinued')</v>
      </c>
      <c r="M159" s="292" t="s">
        <v>877</v>
      </c>
      <c r="N159" s="292" t="s">
        <v>683</v>
      </c>
      <c r="O159" s="292"/>
      <c r="P159" s="292"/>
      <c r="Q159" s="292"/>
      <c r="R159" s="292"/>
      <c r="S159" s="292"/>
      <c r="T159" s="292"/>
      <c r="U159" s="292" t="s">
        <v>872</v>
      </c>
      <c r="V159" s="292" t="str">
        <f t="shared" si="11"/>
        <v>INSERT INTO ProductByAccount
( ProductId,AccountId)VALUES
(58,1032)</v>
      </c>
      <c r="W159" s="292"/>
      <c r="X159" s="292"/>
      <c r="Y159" s="292"/>
      <c r="Z159" s="292"/>
      <c r="AA159" s="292"/>
      <c r="AB159" s="292"/>
      <c r="AC159" s="292"/>
      <c r="AD159" s="292"/>
      <c r="AE159" s="292" t="s">
        <v>1485</v>
      </c>
      <c r="AF159" s="292" t="str">
        <f t="shared" ref="AF159:AF170" si="12">"INSERT INTO ProductByAccount
( ProductId,AccountId)VALUES
("&amp;C159&amp;",1037)"</f>
        <v>INSERT INTO ProductByAccount
( ProductId,AccountId)VALUES
(58,1037)</v>
      </c>
      <c r="AG159" s="292"/>
      <c r="AH159" s="292"/>
      <c r="AI159" s="292"/>
      <c r="AJ159" s="292"/>
      <c r="AK159" s="380">
        <v>690000</v>
      </c>
      <c r="AL159" s="381">
        <v>551818</v>
      </c>
      <c r="AM159" s="379" t="str">
        <f t="shared" si="10"/>
        <v>INSERT INTO ListedPrice
(ProductId,ActiveDate,Channel,Price)
VALUES(58,'2020-05-01','GT',551818)</v>
      </c>
      <c r="AN159" s="292"/>
      <c r="AO159" s="292"/>
    </row>
    <row r="160" spans="1:41" s="286" customFormat="1">
      <c r="A160" s="337">
        <v>2100088989</v>
      </c>
      <c r="B160" s="298" t="s">
        <v>407</v>
      </c>
      <c r="C160" s="290">
        <f>VLOOKUP(B160,Sheet1!$B$17:$C$451,2,0)</f>
        <v>59</v>
      </c>
      <c r="D160" s="291" t="s">
        <v>998</v>
      </c>
      <c r="E160" s="291" t="s">
        <v>461</v>
      </c>
      <c r="F160" s="299" t="s">
        <v>23</v>
      </c>
      <c r="G160" s="299" t="s">
        <v>563</v>
      </c>
      <c r="H160" s="299" t="s">
        <v>1351</v>
      </c>
      <c r="I160" s="299" t="s">
        <v>544</v>
      </c>
      <c r="J160" s="299" t="s">
        <v>292</v>
      </c>
      <c r="K160" s="300" t="s">
        <v>873</v>
      </c>
      <c r="L160" s="293" t="str">
        <f t="shared" si="9"/>
        <v>INSERT INTO Product (CMMF,Model,BarCode,Capacity,[Type],Product,[Range],[ModelName],[Color],[Status]) VALUES
('2100088989','C6200472','3168430224780','24cm','CW','Tefal',N'Chảo Chiên',N'EXPERTISE',N'Đen','To be discontinued')</v>
      </c>
      <c r="M160" s="292" t="s">
        <v>877</v>
      </c>
      <c r="N160" s="292" t="s">
        <v>683</v>
      </c>
      <c r="O160" s="292"/>
      <c r="P160" s="292"/>
      <c r="Q160" s="292"/>
      <c r="R160" s="292"/>
      <c r="S160" s="292"/>
      <c r="T160" s="292"/>
      <c r="U160" s="292" t="s">
        <v>872</v>
      </c>
      <c r="V160" s="292" t="str">
        <f t="shared" si="11"/>
        <v>INSERT INTO ProductByAccount
( ProductId,AccountId)VALUES
(59,1032)</v>
      </c>
      <c r="W160" s="292"/>
      <c r="X160" s="292"/>
      <c r="Y160" s="292"/>
      <c r="Z160" s="292"/>
      <c r="AA160" s="292"/>
      <c r="AB160" s="292"/>
      <c r="AC160" s="300" t="s">
        <v>873</v>
      </c>
      <c r="AD160" s="292" t="str">
        <f>"INSERT INTO ProductByAccount
( ProductId,AccountId)VALUES
("&amp;C160&amp;",1036)"</f>
        <v>INSERT INTO ProductByAccount
( ProductId,AccountId)VALUES
(59,1036)</v>
      </c>
      <c r="AE160" s="292" t="s">
        <v>1485</v>
      </c>
      <c r="AF160" s="292" t="str">
        <f t="shared" si="12"/>
        <v>INSERT INTO ProductByAccount
( ProductId,AccountId)VALUES
(59,1037)</v>
      </c>
      <c r="AG160" s="292"/>
      <c r="AH160" s="292"/>
      <c r="AI160" s="292"/>
      <c r="AJ160" s="292"/>
      <c r="AK160" s="380">
        <v>717273</v>
      </c>
      <c r="AL160" s="381">
        <v>573636</v>
      </c>
      <c r="AM160" s="379" t="str">
        <f t="shared" si="10"/>
        <v>INSERT INTO ListedPrice
(ProductId,ActiveDate,Channel,Price)
VALUES(59,'2020-05-01','GT',573636)</v>
      </c>
      <c r="AN160" s="292"/>
      <c r="AO160" s="292"/>
    </row>
    <row r="161" spans="1:41" s="286" customFormat="1">
      <c r="A161" s="353">
        <v>2100088990</v>
      </c>
      <c r="B161" s="298" t="s">
        <v>408</v>
      </c>
      <c r="C161" s="290">
        <f>VLOOKUP(B161,Sheet1!$B$17:$C$451,2,0)</f>
        <v>60</v>
      </c>
      <c r="D161" s="291" t="s">
        <v>999</v>
      </c>
      <c r="E161" s="291" t="s">
        <v>463</v>
      </c>
      <c r="F161" s="299" t="s">
        <v>23</v>
      </c>
      <c r="G161" s="299" t="s">
        <v>563</v>
      </c>
      <c r="H161" s="299" t="s">
        <v>1351</v>
      </c>
      <c r="I161" s="299" t="s">
        <v>544</v>
      </c>
      <c r="J161" s="299" t="s">
        <v>292</v>
      </c>
      <c r="K161" s="300" t="s">
        <v>873</v>
      </c>
      <c r="L161" s="293" t="str">
        <f t="shared" si="9"/>
        <v>INSERT INTO Product (CMMF,Model,BarCode,Capacity,[Type],Product,[Range],[ModelName],[Color],[Status]) VALUES
('2100088990','C6200572','3168430224797','26cm','CW','Tefal',N'Chảo Chiên',N'EXPERTISE',N'Đen','To be discontinued')</v>
      </c>
      <c r="M161" s="292" t="s">
        <v>877</v>
      </c>
      <c r="N161" s="292" t="s">
        <v>683</v>
      </c>
      <c r="O161" s="292"/>
      <c r="P161" s="292"/>
      <c r="Q161" s="292"/>
      <c r="R161" s="292"/>
      <c r="S161" s="292"/>
      <c r="T161" s="292"/>
      <c r="U161" s="292"/>
      <c r="V161" s="292"/>
      <c r="W161" s="292"/>
      <c r="X161" s="292"/>
      <c r="Y161" s="292"/>
      <c r="Z161" s="292"/>
      <c r="AA161" s="292"/>
      <c r="AB161" s="292"/>
      <c r="AC161" s="292"/>
      <c r="AD161" s="292"/>
      <c r="AE161" s="292" t="s">
        <v>1485</v>
      </c>
      <c r="AF161" s="292" t="str">
        <f t="shared" si="12"/>
        <v>INSERT INTO ProductByAccount
( ProductId,AccountId)VALUES
(60,1037)</v>
      </c>
      <c r="AG161" s="292"/>
      <c r="AH161" s="292"/>
      <c r="AI161" s="292"/>
      <c r="AJ161" s="292"/>
      <c r="AK161" s="380">
        <v>744546</v>
      </c>
      <c r="AL161" s="381">
        <v>596364</v>
      </c>
      <c r="AM161" s="379" t="str">
        <f t="shared" si="10"/>
        <v>INSERT INTO ListedPrice
(ProductId,ActiveDate,Channel,Price)
VALUES(60,'2020-05-01','GT',596364)</v>
      </c>
      <c r="AN161" s="292"/>
      <c r="AO161" s="292"/>
    </row>
    <row r="162" spans="1:41" s="286" customFormat="1">
      <c r="A162" s="337">
        <v>2100088991</v>
      </c>
      <c r="B162" s="298" t="s">
        <v>409</v>
      </c>
      <c r="C162" s="290">
        <f>VLOOKUP(B162,Sheet1!$B$17:$C$451,2,0)</f>
        <v>61</v>
      </c>
      <c r="D162" s="291" t="s">
        <v>1000</v>
      </c>
      <c r="E162" s="291" t="s">
        <v>462</v>
      </c>
      <c r="F162" s="299" t="s">
        <v>23</v>
      </c>
      <c r="G162" s="299" t="s">
        <v>563</v>
      </c>
      <c r="H162" s="299" t="s">
        <v>1351</v>
      </c>
      <c r="I162" s="299" t="s">
        <v>544</v>
      </c>
      <c r="J162" s="299" t="s">
        <v>292</v>
      </c>
      <c r="K162" s="300" t="s">
        <v>873</v>
      </c>
      <c r="L162" s="293" t="str">
        <f t="shared" si="9"/>
        <v>INSERT INTO Product (CMMF,Model,BarCode,Capacity,[Type],Product,[Range],[ModelName],[Color],[Status]) VALUES
('2100088991','C6200672','3168430224803','28cm','CW','Tefal',N'Chảo Chiên',N'EXPERTISE',N'Đen','To be discontinued')</v>
      </c>
      <c r="M162" s="292" t="s">
        <v>877</v>
      </c>
      <c r="N162" s="292" t="s">
        <v>683</v>
      </c>
      <c r="O162" s="292"/>
      <c r="P162" s="292"/>
      <c r="Q162" s="292"/>
      <c r="R162" s="292"/>
      <c r="S162" s="292"/>
      <c r="T162" s="292"/>
      <c r="U162" s="292"/>
      <c r="V162" s="292"/>
      <c r="W162" s="292"/>
      <c r="X162" s="292"/>
      <c r="Y162" s="292"/>
      <c r="Z162" s="292"/>
      <c r="AA162" s="292"/>
      <c r="AB162" s="292"/>
      <c r="AC162" s="300" t="s">
        <v>873</v>
      </c>
      <c r="AD162" s="292" t="str">
        <f>"INSERT INTO ProductByAccount
( ProductId,AccountId)VALUES
("&amp;C162&amp;",1036)"</f>
        <v>INSERT INTO ProductByAccount
( ProductId,AccountId)VALUES
(61,1036)</v>
      </c>
      <c r="AE162" s="292" t="s">
        <v>1485</v>
      </c>
      <c r="AF162" s="292" t="str">
        <f t="shared" si="12"/>
        <v>INSERT INTO ProductByAccount
( ProductId,AccountId)VALUES
(61,1037)</v>
      </c>
      <c r="AG162" s="292"/>
      <c r="AH162" s="292"/>
      <c r="AI162" s="292"/>
      <c r="AJ162" s="292"/>
      <c r="AK162" s="380">
        <v>826364</v>
      </c>
      <c r="AL162" s="381">
        <v>661818</v>
      </c>
      <c r="AM162" s="379" t="str">
        <f t="shared" si="10"/>
        <v>INSERT INTO ListedPrice
(ProductId,ActiveDate,Channel,Price)
VALUES(61,'2020-05-01','GT',661818)</v>
      </c>
      <c r="AN162" s="292"/>
      <c r="AO162" s="292"/>
    </row>
    <row r="163" spans="1:41" s="286" customFormat="1">
      <c r="A163" s="337">
        <v>2100088993</v>
      </c>
      <c r="B163" s="298" t="s">
        <v>410</v>
      </c>
      <c r="C163" s="290">
        <f>VLOOKUP(B163,Sheet1!$B$17:$C$451,2,0)</f>
        <v>62</v>
      </c>
      <c r="D163" s="291" t="s">
        <v>1001</v>
      </c>
      <c r="E163" s="291" t="s">
        <v>462</v>
      </c>
      <c r="F163" s="299" t="s">
        <v>23</v>
      </c>
      <c r="G163" s="299" t="s">
        <v>563</v>
      </c>
      <c r="H163" s="299" t="s">
        <v>1352</v>
      </c>
      <c r="I163" s="299" t="s">
        <v>544</v>
      </c>
      <c r="J163" s="299" t="s">
        <v>292</v>
      </c>
      <c r="K163" s="300" t="s">
        <v>873</v>
      </c>
      <c r="L163" s="293" t="str">
        <f t="shared" si="9"/>
        <v>INSERT INTO Product (CMMF,Model,BarCode,Capacity,[Type],Product,[Range],[ModelName],[Color],[Status]) VALUES
('2100088993','C6201972','3168430224834','28cm','CW','Tefal',N'Chảo chiên sâu',N'EXPERTISE',N'Đen','To be discontinued')</v>
      </c>
      <c r="M163" s="292" t="s">
        <v>877</v>
      </c>
      <c r="N163" s="292" t="s">
        <v>683</v>
      </c>
      <c r="O163" s="292"/>
      <c r="P163" s="292"/>
      <c r="Q163" s="292"/>
      <c r="R163" s="292"/>
      <c r="S163" s="292"/>
      <c r="T163" s="292"/>
      <c r="U163" s="292"/>
      <c r="V163" s="292"/>
      <c r="W163" s="292"/>
      <c r="X163" s="292"/>
      <c r="Y163" s="292"/>
      <c r="Z163" s="292"/>
      <c r="AA163" s="292"/>
      <c r="AB163" s="292"/>
      <c r="AC163" s="292"/>
      <c r="AD163" s="292"/>
      <c r="AE163" s="292" t="s">
        <v>1485</v>
      </c>
      <c r="AF163" s="292" t="str">
        <f t="shared" si="12"/>
        <v>INSERT INTO ProductByAccount
( ProductId,AccountId)VALUES
(62,1037)</v>
      </c>
      <c r="AG163" s="292"/>
      <c r="AH163" s="292"/>
      <c r="AI163" s="292"/>
      <c r="AJ163" s="292"/>
      <c r="AK163" s="380">
        <v>862728</v>
      </c>
      <c r="AL163" s="381">
        <v>690000</v>
      </c>
      <c r="AM163" s="379" t="str">
        <f t="shared" si="10"/>
        <v>INSERT INTO ListedPrice
(ProductId,ActiveDate,Channel,Price)
VALUES(62,'2020-05-01','GT',690000)</v>
      </c>
      <c r="AN163" s="292"/>
      <c r="AO163" s="292"/>
    </row>
    <row r="164" spans="1:41" s="285" customFormat="1">
      <c r="A164" s="336">
        <v>2100108075</v>
      </c>
      <c r="B164" s="294" t="s">
        <v>465</v>
      </c>
      <c r="C164" s="290">
        <f>VLOOKUP(B164,Sheet1!$B$17:$C$451,2,0)</f>
        <v>63</v>
      </c>
      <c r="D164" s="291" t="s">
        <v>1008</v>
      </c>
      <c r="E164" s="291" t="s">
        <v>461</v>
      </c>
      <c r="F164" s="295" t="s">
        <v>23</v>
      </c>
      <c r="G164" s="295" t="s">
        <v>563</v>
      </c>
      <c r="H164" s="295" t="s">
        <v>1363</v>
      </c>
      <c r="I164" s="295" t="s">
        <v>549</v>
      </c>
      <c r="J164" s="295" t="s">
        <v>905</v>
      </c>
      <c r="K164" s="297" t="s">
        <v>623</v>
      </c>
      <c r="L164" s="293" t="str">
        <f t="shared" si="9"/>
        <v>INSERT INTO Product (CMMF,Model,BarCode,Capacity,[Type],Product,[Range],[ModelName],[Color],[Status]) VALUES
('2100108075','C6428414','3168430246409','24cm','CW','Tefal',N'Chảo Chiên Sâu',N'Pure Chef PLUS',N'Red','Discontinued')</v>
      </c>
      <c r="M164" s="292" t="s">
        <v>877</v>
      </c>
      <c r="N164" s="292" t="s">
        <v>683</v>
      </c>
      <c r="O164" s="292"/>
      <c r="P164" s="292"/>
      <c r="Q164" s="292"/>
      <c r="R164" s="292"/>
      <c r="S164" s="292"/>
      <c r="T164" s="292"/>
      <c r="U164" s="292"/>
      <c r="V164" s="292"/>
      <c r="W164" s="292"/>
      <c r="X164" s="292"/>
      <c r="Y164" s="292"/>
      <c r="Z164" s="292"/>
      <c r="AA164" s="292"/>
      <c r="AB164" s="292"/>
      <c r="AC164" s="292"/>
      <c r="AD164" s="292"/>
      <c r="AE164" s="292" t="s">
        <v>1485</v>
      </c>
      <c r="AF164" s="292" t="str">
        <f t="shared" si="12"/>
        <v>INSERT INTO ProductByAccount
( ProductId,AccountId)VALUES
(63,1037)</v>
      </c>
      <c r="AG164" s="292"/>
      <c r="AH164" s="292"/>
      <c r="AI164" s="292"/>
      <c r="AJ164" s="292"/>
      <c r="AK164" s="380">
        <v>322727.27272727271</v>
      </c>
      <c r="AL164" s="381">
        <v>259091</v>
      </c>
      <c r="AM164" s="379" t="str">
        <f t="shared" si="10"/>
        <v>INSERT INTO ListedPrice
(ProductId,ActiveDate,Channel,Price)
VALUES(63,'2020-05-01','GT',259091)</v>
      </c>
      <c r="AN164" s="292"/>
      <c r="AO164" s="292"/>
    </row>
    <row r="165" spans="1:41" s="286" customFormat="1">
      <c r="A165" s="337">
        <v>2100108076</v>
      </c>
      <c r="B165" s="298" t="s">
        <v>466</v>
      </c>
      <c r="C165" s="290">
        <f>VLOOKUP(B165,Sheet1!$B$17:$C$451,2,0)</f>
        <v>64</v>
      </c>
      <c r="D165" s="291" t="s">
        <v>1009</v>
      </c>
      <c r="E165" s="291" t="s">
        <v>462</v>
      </c>
      <c r="F165" s="299" t="s">
        <v>23</v>
      </c>
      <c r="G165" s="299" t="s">
        <v>563</v>
      </c>
      <c r="H165" s="295" t="s">
        <v>1363</v>
      </c>
      <c r="I165" s="299" t="s">
        <v>549</v>
      </c>
      <c r="J165" s="299" t="s">
        <v>905</v>
      </c>
      <c r="K165" s="297" t="s">
        <v>623</v>
      </c>
      <c r="L165" s="293" t="str">
        <f t="shared" si="9"/>
        <v>INSERT INTO Product (CMMF,Model,BarCode,Capacity,[Type],Product,[Range],[ModelName],[Color],[Status]) VALUES
('2100108076','C6428614','3168430246416','28cm','CW','Tefal',N'Chảo Chiên Sâu',N'Pure Chef PLUS',N'Red','Discontinued')</v>
      </c>
      <c r="M165" s="292" t="s">
        <v>877</v>
      </c>
      <c r="N165" s="292" t="s">
        <v>683</v>
      </c>
      <c r="O165" s="292"/>
      <c r="P165" s="292"/>
      <c r="Q165" s="292"/>
      <c r="R165" s="292"/>
      <c r="S165" s="292"/>
      <c r="T165" s="292"/>
      <c r="U165" s="292"/>
      <c r="V165" s="292"/>
      <c r="W165" s="292"/>
      <c r="X165" s="292"/>
      <c r="Y165" s="292"/>
      <c r="Z165" s="292"/>
      <c r="AA165" s="292"/>
      <c r="AB165" s="292"/>
      <c r="AC165" s="292"/>
      <c r="AD165" s="292"/>
      <c r="AE165" s="292" t="s">
        <v>1485</v>
      </c>
      <c r="AF165" s="292" t="str">
        <f t="shared" si="12"/>
        <v>INSERT INTO ProductByAccount
( ProductId,AccountId)VALUES
(64,1037)</v>
      </c>
      <c r="AG165" s="292"/>
      <c r="AH165" s="292"/>
      <c r="AI165" s="292"/>
      <c r="AJ165" s="292"/>
      <c r="AK165" s="380">
        <v>440909.09090909088</v>
      </c>
      <c r="AL165" s="381">
        <v>352727</v>
      </c>
      <c r="AM165" s="379" t="str">
        <f t="shared" si="10"/>
        <v>INSERT INTO ListedPrice
(ProductId,ActiveDate,Channel,Price)
VALUES(64,'2020-05-01','GT',352727)</v>
      </c>
      <c r="AN165" s="292"/>
      <c r="AO165" s="292"/>
    </row>
    <row r="166" spans="1:41" s="286" customFormat="1">
      <c r="A166" s="337">
        <v>2100090225</v>
      </c>
      <c r="B166" s="298" t="s">
        <v>398</v>
      </c>
      <c r="C166" s="290">
        <f>VLOOKUP(B166,Sheet1!$B$17:$C$451,2,0)</f>
        <v>65</v>
      </c>
      <c r="D166" s="291" t="s">
        <v>1010</v>
      </c>
      <c r="E166" s="291" t="s">
        <v>460</v>
      </c>
      <c r="F166" s="299" t="s">
        <v>23</v>
      </c>
      <c r="G166" s="299" t="s">
        <v>563</v>
      </c>
      <c r="H166" s="295" t="s">
        <v>1351</v>
      </c>
      <c r="I166" s="299" t="s">
        <v>543</v>
      </c>
      <c r="J166" s="299" t="s">
        <v>905</v>
      </c>
      <c r="K166" s="300" t="s">
        <v>873</v>
      </c>
      <c r="L166" s="293" t="str">
        <f t="shared" si="9"/>
        <v>INSERT INTO Product (CMMF,Model,BarCode,Capacity,[Type],Product,[Range],[ModelName],[Color],[Status]) VALUES
('2100090225','C6820275','3168430228191','21cm','CW','Tefal',N'Chảo Chiên',N'CHARACTER',N'Red','To be discontinued')</v>
      </c>
      <c r="M166" s="292" t="s">
        <v>877</v>
      </c>
      <c r="N166" s="292" t="s">
        <v>683</v>
      </c>
      <c r="O166" s="292"/>
      <c r="P166" s="292"/>
      <c r="Q166" s="292"/>
      <c r="R166" s="292"/>
      <c r="S166" s="292"/>
      <c r="T166" s="292"/>
      <c r="U166" s="292"/>
      <c r="V166" s="292"/>
      <c r="W166" s="292"/>
      <c r="X166" s="292"/>
      <c r="Y166" s="292"/>
      <c r="Z166" s="292"/>
      <c r="AA166" s="292"/>
      <c r="AB166" s="292"/>
      <c r="AC166" s="300" t="s">
        <v>873</v>
      </c>
      <c r="AD166" s="292" t="str">
        <f>"INSERT INTO ProductByAccount
( ProductId,AccountId)VALUES
("&amp;C166&amp;",1036)"</f>
        <v>INSERT INTO ProductByAccount
( ProductId,AccountId)VALUES
(65,1036)</v>
      </c>
      <c r="AE166" s="292" t="s">
        <v>1485</v>
      </c>
      <c r="AF166" s="292" t="str">
        <f t="shared" si="12"/>
        <v>INSERT INTO ProductByAccount
( ProductId,AccountId)VALUES
(65,1037)</v>
      </c>
      <c r="AG166" s="292"/>
      <c r="AH166" s="292"/>
      <c r="AI166" s="292"/>
      <c r="AJ166" s="292"/>
      <c r="AK166" s="380">
        <v>647100</v>
      </c>
      <c r="AL166" s="381">
        <v>522727</v>
      </c>
      <c r="AM166" s="379" t="str">
        <f t="shared" si="10"/>
        <v>INSERT INTO ListedPrice
(ProductId,ActiveDate,Channel,Price)
VALUES(65,'2020-05-01','GT',522727)</v>
      </c>
      <c r="AN166" s="292"/>
      <c r="AO166" s="292"/>
    </row>
    <row r="167" spans="1:41" s="286" customFormat="1">
      <c r="A167" s="337">
        <v>2100090215</v>
      </c>
      <c r="B167" s="298" t="s">
        <v>399</v>
      </c>
      <c r="C167" s="290">
        <f>VLOOKUP(B167,Sheet1!$B$17:$C$451,2,0)</f>
        <v>66</v>
      </c>
      <c r="D167" s="291" t="s">
        <v>1011</v>
      </c>
      <c r="E167" s="291" t="s">
        <v>461</v>
      </c>
      <c r="F167" s="299" t="s">
        <v>23</v>
      </c>
      <c r="G167" s="299" t="s">
        <v>563</v>
      </c>
      <c r="H167" s="295" t="s">
        <v>1351</v>
      </c>
      <c r="I167" s="299" t="s">
        <v>543</v>
      </c>
      <c r="J167" s="299" t="s">
        <v>905</v>
      </c>
      <c r="K167" s="300" t="s">
        <v>873</v>
      </c>
      <c r="L167" s="293" t="str">
        <f t="shared" ref="L167:L230" si="13">"INSERT INTO Product (CMMF,Model,BarCode,Capacity,[Type],Product,[Range],[ModelName],[Color],[Status]) VALUES
('"&amp;A167&amp;"','"&amp;B167&amp;"','"&amp;D167&amp;"','"&amp;E167&amp;"','"&amp;F167&amp;"','"&amp;G167&amp;"',N'"&amp;H167&amp;"',N'"&amp;I167&amp;"',N'"&amp;J167&amp;"','"&amp;K167&amp;"')"</f>
        <v>INSERT INTO Product (CMMF,Model,BarCode,Capacity,[Type],Product,[Range],[ModelName],[Color],[Status]) VALUES
('2100090215','C6820472','3168430228207','24cm','CW','Tefal',N'Chảo Chiên',N'CHARACTER',N'Red','To be discontinued')</v>
      </c>
      <c r="M167" s="292" t="s">
        <v>877</v>
      </c>
      <c r="N167" s="292" t="s">
        <v>683</v>
      </c>
      <c r="O167" s="292"/>
      <c r="P167" s="292"/>
      <c r="Q167" s="292"/>
      <c r="R167" s="292"/>
      <c r="S167" s="292"/>
      <c r="T167" s="292"/>
      <c r="U167" s="292"/>
      <c r="V167" s="292"/>
      <c r="W167" s="292"/>
      <c r="X167" s="292"/>
      <c r="Y167" s="292"/>
      <c r="Z167" s="292"/>
      <c r="AA167" s="292"/>
      <c r="AB167" s="292"/>
      <c r="AC167" s="300" t="s">
        <v>873</v>
      </c>
      <c r="AD167" s="292" t="str">
        <f>"INSERT INTO ProductByAccount
( ProductId,AccountId)VALUES
("&amp;C167&amp;",1036)"</f>
        <v>INSERT INTO ProductByAccount
( ProductId,AccountId)VALUES
(66,1036)</v>
      </c>
      <c r="AE167" s="292" t="s">
        <v>1485</v>
      </c>
      <c r="AF167" s="292" t="str">
        <f t="shared" si="12"/>
        <v>INSERT INTO ProductByAccount
( ProductId,AccountId)VALUES
(66,1037)</v>
      </c>
      <c r="AG167" s="292"/>
      <c r="AH167" s="292"/>
      <c r="AI167" s="292"/>
      <c r="AJ167" s="292"/>
      <c r="AK167" s="380">
        <v>674100</v>
      </c>
      <c r="AL167" s="381">
        <v>545455</v>
      </c>
      <c r="AM167" s="379" t="str">
        <f t="shared" si="10"/>
        <v>INSERT INTO ListedPrice
(ProductId,ActiveDate,Channel,Price)
VALUES(66,'2020-05-01','GT',545455)</v>
      </c>
      <c r="AN167" s="292"/>
      <c r="AO167" s="292"/>
    </row>
    <row r="168" spans="1:41" s="286" customFormat="1">
      <c r="A168" s="337">
        <v>2100090216</v>
      </c>
      <c r="B168" s="298" t="s">
        <v>400</v>
      </c>
      <c r="C168" s="290">
        <f>VLOOKUP(B168,Sheet1!$B$17:$C$451,2,0)</f>
        <v>67</v>
      </c>
      <c r="D168" s="291" t="s">
        <v>1012</v>
      </c>
      <c r="E168" s="291" t="s">
        <v>462</v>
      </c>
      <c r="F168" s="299" t="s">
        <v>23</v>
      </c>
      <c r="G168" s="299" t="s">
        <v>563</v>
      </c>
      <c r="H168" s="295" t="s">
        <v>1351</v>
      </c>
      <c r="I168" s="299" t="s">
        <v>543</v>
      </c>
      <c r="J168" s="299" t="s">
        <v>905</v>
      </c>
      <c r="K168" s="300" t="s">
        <v>873</v>
      </c>
      <c r="L168" s="293" t="str">
        <f t="shared" si="13"/>
        <v>INSERT INTO Product (CMMF,Model,BarCode,Capacity,[Type],Product,[Range],[ModelName],[Color],[Status]) VALUES
('2100090216','C6820672','3168430228221','28cm','CW','Tefal',N'Chảo Chiên',N'CHARACTER',N'Red','To be discontinued')</v>
      </c>
      <c r="M168" s="292" t="s">
        <v>877</v>
      </c>
      <c r="N168" s="292" t="s">
        <v>683</v>
      </c>
      <c r="O168" s="292"/>
      <c r="P168" s="292"/>
      <c r="Q168" s="292"/>
      <c r="R168" s="292"/>
      <c r="S168" s="292"/>
      <c r="T168" s="292"/>
      <c r="U168" s="292"/>
      <c r="V168" s="292"/>
      <c r="W168" s="292"/>
      <c r="X168" s="292"/>
      <c r="Y168" s="292"/>
      <c r="Z168" s="292"/>
      <c r="AA168" s="292"/>
      <c r="AB168" s="292"/>
      <c r="AC168" s="300" t="s">
        <v>873</v>
      </c>
      <c r="AD168" s="292" t="str">
        <f>"INSERT INTO ProductByAccount
( ProductId,AccountId)VALUES
("&amp;C168&amp;",1036)"</f>
        <v>INSERT INTO ProductByAccount
( ProductId,AccountId)VALUES
(67,1036)</v>
      </c>
      <c r="AE168" s="292" t="s">
        <v>1485</v>
      </c>
      <c r="AF168" s="292" t="str">
        <f t="shared" si="12"/>
        <v>INSERT INTO ProductByAccount
( ProductId,AccountId)VALUES
(67,1037)</v>
      </c>
      <c r="AG168" s="292"/>
      <c r="AH168" s="292"/>
      <c r="AI168" s="292"/>
      <c r="AJ168" s="292"/>
      <c r="AK168" s="380">
        <v>701100</v>
      </c>
      <c r="AL168" s="381">
        <v>566364</v>
      </c>
      <c r="AM168" s="379" t="str">
        <f t="shared" si="10"/>
        <v>INSERT INTO ListedPrice
(ProductId,ActiveDate,Channel,Price)
VALUES(67,'2020-05-01','GT',566364)</v>
      </c>
      <c r="AN168" s="292"/>
      <c r="AO168" s="292"/>
    </row>
    <row r="169" spans="1:41" s="286" customFormat="1">
      <c r="A169" s="337">
        <v>2100090217</v>
      </c>
      <c r="B169" s="298" t="s">
        <v>401</v>
      </c>
      <c r="C169" s="290">
        <f>VLOOKUP(B169,Sheet1!$B$17:$C$451,2,0)</f>
        <v>68</v>
      </c>
      <c r="D169" s="291" t="s">
        <v>1013</v>
      </c>
      <c r="E169" s="291" t="s">
        <v>464</v>
      </c>
      <c r="F169" s="299" t="s">
        <v>23</v>
      </c>
      <c r="G169" s="299" t="s">
        <v>563</v>
      </c>
      <c r="H169" s="295" t="s">
        <v>1351</v>
      </c>
      <c r="I169" s="299" t="s">
        <v>543</v>
      </c>
      <c r="J169" s="299" t="s">
        <v>905</v>
      </c>
      <c r="K169" s="300" t="s">
        <v>873</v>
      </c>
      <c r="L169" s="293" t="str">
        <f t="shared" si="13"/>
        <v>INSERT INTO Product (CMMF,Model,BarCode,Capacity,[Type],Product,[Range],[ModelName],[Color],[Status]) VALUES
('2100090217','C6820772','3168430228252','30cm','CW','Tefal',N'Chảo Chiên',N'CHARACTER',N'Red','To be discontinued')</v>
      </c>
      <c r="M169" s="292" t="s">
        <v>877</v>
      </c>
      <c r="N169" s="292" t="s">
        <v>683</v>
      </c>
      <c r="O169" s="292"/>
      <c r="P169" s="292"/>
      <c r="Q169" s="292"/>
      <c r="R169" s="292"/>
      <c r="S169" s="292"/>
      <c r="T169" s="292"/>
      <c r="U169" s="292"/>
      <c r="V169" s="292"/>
      <c r="W169" s="292"/>
      <c r="X169" s="292"/>
      <c r="Y169" s="292"/>
      <c r="Z169" s="292"/>
      <c r="AA169" s="292"/>
      <c r="AB169" s="292"/>
      <c r="AC169" s="300" t="s">
        <v>873</v>
      </c>
      <c r="AD169" s="292" t="str">
        <f>"INSERT INTO ProductByAccount
( ProductId,AccountId)VALUES
("&amp;C169&amp;",1036)"</f>
        <v>INSERT INTO ProductByAccount
( ProductId,AccountId)VALUES
(68,1036)</v>
      </c>
      <c r="AE169" s="292" t="s">
        <v>1485</v>
      </c>
      <c r="AF169" s="292" t="str">
        <f t="shared" si="12"/>
        <v>INSERT INTO ProductByAccount
( ProductId,AccountId)VALUES
(68,1037)</v>
      </c>
      <c r="AG169" s="292"/>
      <c r="AH169" s="292"/>
      <c r="AI169" s="292"/>
      <c r="AJ169" s="292"/>
      <c r="AK169" s="380">
        <v>959000</v>
      </c>
      <c r="AL169" s="381">
        <v>698182</v>
      </c>
      <c r="AM169" s="379" t="str">
        <f t="shared" si="10"/>
        <v>INSERT INTO ListedPrice
(ProductId,ActiveDate,Channel,Price)
VALUES(68,'2020-05-01','GT',698182)</v>
      </c>
      <c r="AN169" s="292"/>
      <c r="AO169" s="292"/>
    </row>
    <row r="170" spans="1:41" s="286" customFormat="1">
      <c r="A170" s="337">
        <v>2100090218</v>
      </c>
      <c r="B170" s="298" t="s">
        <v>402</v>
      </c>
      <c r="C170" s="290">
        <f>VLOOKUP(B170,Sheet1!$B$17:$C$451,2,0)</f>
        <v>69</v>
      </c>
      <c r="D170" s="291" t="s">
        <v>1014</v>
      </c>
      <c r="E170" s="291" t="s">
        <v>462</v>
      </c>
      <c r="F170" s="299" t="s">
        <v>23</v>
      </c>
      <c r="G170" s="299" t="s">
        <v>563</v>
      </c>
      <c r="H170" s="295" t="s">
        <v>1363</v>
      </c>
      <c r="I170" s="299" t="s">
        <v>543</v>
      </c>
      <c r="J170" s="299" t="s">
        <v>905</v>
      </c>
      <c r="K170" s="300" t="s">
        <v>873</v>
      </c>
      <c r="L170" s="293" t="str">
        <f t="shared" si="13"/>
        <v>INSERT INTO Product (CMMF,Model,BarCode,Capacity,[Type],Product,[Range],[ModelName],[Color],[Status]) VALUES
('2100090218','C6821972','3168430228238','28cm','CW','Tefal',N'Chảo Chiên Sâu',N'CHARACTER',N'Red','To be discontinued')</v>
      </c>
      <c r="M170" s="292" t="s">
        <v>877</v>
      </c>
      <c r="N170" s="292" t="s">
        <v>683</v>
      </c>
      <c r="O170" s="292"/>
      <c r="P170" s="292"/>
      <c r="Q170" s="292"/>
      <c r="R170" s="292"/>
      <c r="S170" s="292"/>
      <c r="T170" s="292"/>
      <c r="U170" s="292"/>
      <c r="V170" s="292"/>
      <c r="W170" s="292"/>
      <c r="X170" s="292"/>
      <c r="Y170" s="292"/>
      <c r="Z170" s="292"/>
      <c r="AA170" s="292"/>
      <c r="AB170" s="292"/>
      <c r="AC170" s="292"/>
      <c r="AD170" s="292"/>
      <c r="AE170" s="292" t="s">
        <v>1485</v>
      </c>
      <c r="AF170" s="292" t="str">
        <f t="shared" si="12"/>
        <v>INSERT INTO ProductByAccount
( ProductId,AccountId)VALUES
(69,1037)</v>
      </c>
      <c r="AG170" s="292"/>
      <c r="AH170" s="292"/>
      <c r="AI170" s="292"/>
      <c r="AJ170" s="292"/>
      <c r="AK170" s="380">
        <v>989000</v>
      </c>
      <c r="AL170" s="381">
        <v>719091</v>
      </c>
      <c r="AM170" s="379" t="str">
        <f t="shared" si="10"/>
        <v>INSERT INTO ListedPrice
(ProductId,ActiveDate,Channel,Price)
VALUES(69,'2020-05-01','GT',719091)</v>
      </c>
      <c r="AN170" s="292"/>
      <c r="AO170" s="292"/>
    </row>
    <row r="171" spans="1:41" s="287" customFormat="1">
      <c r="A171" s="338">
        <v>2100112236</v>
      </c>
      <c r="B171" s="301" t="s">
        <v>640</v>
      </c>
      <c r="C171" s="290">
        <f>VLOOKUP(B171,Sheet1!$B$17:$C$451,2,0)</f>
        <v>70</v>
      </c>
      <c r="D171" s="291" t="s">
        <v>1017</v>
      </c>
      <c r="E171" s="291" t="s">
        <v>460</v>
      </c>
      <c r="F171" s="302" t="s">
        <v>23</v>
      </c>
      <c r="G171" s="302" t="s">
        <v>563</v>
      </c>
      <c r="H171" s="295" t="s">
        <v>1351</v>
      </c>
      <c r="I171" s="302" t="s">
        <v>643</v>
      </c>
      <c r="J171" s="302" t="s">
        <v>905</v>
      </c>
      <c r="K171" s="303" t="s">
        <v>516</v>
      </c>
      <c r="L171" s="293" t="str">
        <f t="shared" si="13"/>
        <v>INSERT INTO Product (CMMF,Model,BarCode,Capacity,[Type],Product,[Range],[ModelName],[Color],[Status]) VALUES
('2100112236','G1350295','3168430297517','21cm','CW','Tefal',N'Chảo Chiên',N'So Chef',N'Red','New')</v>
      </c>
      <c r="M171" s="292" t="s">
        <v>877</v>
      </c>
      <c r="N171" s="292" t="s">
        <v>683</v>
      </c>
      <c r="O171" s="292" t="s">
        <v>1487</v>
      </c>
      <c r="P171" s="292" t="str">
        <f>"INSERT INTO ProductByAccount
( ProductId,AccountId)VALUES
("&amp;C171&amp;",1029)"</f>
        <v>INSERT INTO ProductByAccount
( ProductId,AccountId)VALUES
(70,1029)</v>
      </c>
      <c r="Q171" s="292"/>
      <c r="R171" s="292"/>
      <c r="S171" s="292" t="s">
        <v>872</v>
      </c>
      <c r="T171" s="292" t="str">
        <f>"INSERT INTO ProductByAccount
( ProductId,AccountId)VALUES
("&amp;C171&amp;",1031)"</f>
        <v>INSERT INTO ProductByAccount
( ProductId,AccountId)VALUES
(70,1031)</v>
      </c>
      <c r="U171" s="292" t="s">
        <v>1442</v>
      </c>
      <c r="V171" s="292" t="str">
        <f t="shared" ref="V171:V178" si="14">"INSERT INTO ProductByAccount
( ProductId,AccountId)VALUES
("&amp;C171&amp;",1032)"</f>
        <v>INSERT INTO ProductByAccount
( ProductId,AccountId)VALUES
(70,1032)</v>
      </c>
      <c r="W171" s="292"/>
      <c r="X171" s="292"/>
      <c r="Y171" s="292"/>
      <c r="Z171" s="292"/>
      <c r="AA171" s="292"/>
      <c r="AB171" s="292"/>
      <c r="AC171" s="292"/>
      <c r="AD171" s="292"/>
      <c r="AE171" s="292"/>
      <c r="AF171" s="292"/>
      <c r="AG171" s="292"/>
      <c r="AH171" s="292"/>
      <c r="AI171" s="292"/>
      <c r="AJ171" s="292"/>
      <c r="AK171" s="380">
        <v>269100</v>
      </c>
      <c r="AL171" s="381">
        <v>217273</v>
      </c>
      <c r="AM171" s="379" t="str">
        <f t="shared" si="10"/>
        <v>INSERT INTO ListedPrice
(ProductId,ActiveDate,Channel,Price)
VALUES(70,'2020-05-01','GT',217273)</v>
      </c>
      <c r="AN171" s="292"/>
      <c r="AO171" s="292"/>
    </row>
    <row r="172" spans="1:41" s="287" customFormat="1">
      <c r="A172" s="338">
        <v>2100112237</v>
      </c>
      <c r="B172" s="301" t="s">
        <v>641</v>
      </c>
      <c r="C172" s="290">
        <f>VLOOKUP(B172,Sheet1!$B$17:$C$451,2,0)</f>
        <v>71</v>
      </c>
      <c r="D172" s="291" t="s">
        <v>1018</v>
      </c>
      <c r="E172" s="291" t="s">
        <v>461</v>
      </c>
      <c r="F172" s="302" t="s">
        <v>23</v>
      </c>
      <c r="G172" s="302" t="s">
        <v>563</v>
      </c>
      <c r="H172" s="295" t="s">
        <v>1351</v>
      </c>
      <c r="I172" s="302" t="s">
        <v>643</v>
      </c>
      <c r="J172" s="302" t="s">
        <v>905</v>
      </c>
      <c r="K172" s="303" t="s">
        <v>516</v>
      </c>
      <c r="L172" s="293" t="str">
        <f t="shared" si="13"/>
        <v>INSERT INTO Product (CMMF,Model,BarCode,Capacity,[Type],Product,[Range],[ModelName],[Color],[Status]) VALUES
('2100112237','G1350495','3168430297524','24cm','CW','Tefal',N'Chảo Chiên',N'So Chef',N'Red','New')</v>
      </c>
      <c r="M172" s="292" t="s">
        <v>877</v>
      </c>
      <c r="N172" s="292" t="s">
        <v>683</v>
      </c>
      <c r="O172" s="292" t="s">
        <v>1487</v>
      </c>
      <c r="P172" s="292" t="str">
        <f>"INSERT INTO ProductByAccount
( ProductId,AccountId)VALUES
("&amp;C172&amp;",1029)"</f>
        <v>INSERT INTO ProductByAccount
( ProductId,AccountId)VALUES
(71,1029)</v>
      </c>
      <c r="Q172" s="292"/>
      <c r="R172" s="292"/>
      <c r="S172" s="292" t="s">
        <v>872</v>
      </c>
      <c r="T172" s="292" t="str">
        <f>"INSERT INTO ProductByAccount
( ProductId,AccountId)VALUES
("&amp;C172&amp;",1031)"</f>
        <v>INSERT INTO ProductByAccount
( ProductId,AccountId)VALUES
(71,1031)</v>
      </c>
      <c r="U172" s="292" t="s">
        <v>1442</v>
      </c>
      <c r="V172" s="292" t="str">
        <f t="shared" si="14"/>
        <v>INSERT INTO ProductByAccount
( ProductId,AccountId)VALUES
(71,1032)</v>
      </c>
      <c r="W172" s="292"/>
      <c r="X172" s="292"/>
      <c r="Y172" s="292"/>
      <c r="Z172" s="292"/>
      <c r="AA172" s="292"/>
      <c r="AB172" s="292"/>
      <c r="AC172" s="292"/>
      <c r="AD172" s="292"/>
      <c r="AE172" s="292"/>
      <c r="AF172" s="292"/>
      <c r="AG172" s="292"/>
      <c r="AH172" s="292"/>
      <c r="AI172" s="292"/>
      <c r="AJ172" s="292"/>
      <c r="AK172" s="380">
        <v>346500</v>
      </c>
      <c r="AL172" s="381">
        <v>280000</v>
      </c>
      <c r="AM172" s="379" t="str">
        <f t="shared" si="10"/>
        <v>INSERT INTO ListedPrice
(ProductId,ActiveDate,Channel,Price)
VALUES(71,'2020-05-01','GT',280000)</v>
      </c>
      <c r="AN172" s="292"/>
      <c r="AO172" s="292"/>
    </row>
    <row r="173" spans="1:41" s="287" customFormat="1">
      <c r="A173" s="338">
        <v>2100112238</v>
      </c>
      <c r="B173" s="301" t="s">
        <v>642</v>
      </c>
      <c r="C173" s="290">
        <f>VLOOKUP(B173,Sheet1!$B$17:$C$451,2,0)</f>
        <v>72</v>
      </c>
      <c r="D173" s="291" t="s">
        <v>1019</v>
      </c>
      <c r="E173" s="291" t="s">
        <v>462</v>
      </c>
      <c r="F173" s="302" t="s">
        <v>23</v>
      </c>
      <c r="G173" s="302" t="s">
        <v>563</v>
      </c>
      <c r="H173" s="295" t="s">
        <v>1351</v>
      </c>
      <c r="I173" s="302" t="s">
        <v>643</v>
      </c>
      <c r="J173" s="302" t="s">
        <v>905</v>
      </c>
      <c r="K173" s="303" t="s">
        <v>516</v>
      </c>
      <c r="L173" s="293" t="str">
        <f t="shared" si="13"/>
        <v>INSERT INTO Product (CMMF,Model,BarCode,Capacity,[Type],Product,[Range],[ModelName],[Color],[Status]) VALUES
('2100112238','G1350695','3168430297548','28cm','CW','Tefal',N'Chảo Chiên',N'So Chef',N'Red','New')</v>
      </c>
      <c r="M173" s="292" t="s">
        <v>877</v>
      </c>
      <c r="N173" s="292" t="s">
        <v>683</v>
      </c>
      <c r="O173" s="292" t="s">
        <v>1487</v>
      </c>
      <c r="P173" s="292" t="str">
        <f>"INSERT INTO ProductByAccount
( ProductId,AccountId)VALUES
("&amp;C173&amp;",1029)"</f>
        <v>INSERT INTO ProductByAccount
( ProductId,AccountId)VALUES
(72,1029)</v>
      </c>
      <c r="Q173" s="292"/>
      <c r="R173" s="292"/>
      <c r="S173" s="292" t="s">
        <v>872</v>
      </c>
      <c r="T173" s="292" t="str">
        <f>"INSERT INTO ProductByAccount
( ProductId,AccountId)VALUES
("&amp;C173&amp;",1031)"</f>
        <v>INSERT INTO ProductByAccount
( ProductId,AccountId)VALUES
(72,1031)</v>
      </c>
      <c r="U173" s="292" t="s">
        <v>872</v>
      </c>
      <c r="V173" s="292" t="str">
        <f t="shared" si="14"/>
        <v>INSERT INTO ProductByAccount
( ProductId,AccountId)VALUES
(72,1032)</v>
      </c>
      <c r="W173" s="292"/>
      <c r="X173" s="292"/>
      <c r="Y173" s="292"/>
      <c r="Z173" s="292"/>
      <c r="AA173" s="292"/>
      <c r="AB173" s="292"/>
      <c r="AC173" s="292"/>
      <c r="AD173" s="292"/>
      <c r="AE173" s="292"/>
      <c r="AF173" s="292"/>
      <c r="AG173" s="292"/>
      <c r="AH173" s="292"/>
      <c r="AI173" s="292"/>
      <c r="AJ173" s="292"/>
      <c r="AK173" s="380">
        <v>418500</v>
      </c>
      <c r="AL173" s="381">
        <v>338182</v>
      </c>
      <c r="AM173" s="379" t="str">
        <f t="shared" si="10"/>
        <v>INSERT INTO ListedPrice
(ProductId,ActiveDate,Channel,Price)
VALUES(72,'2020-05-01','GT',338182)</v>
      </c>
      <c r="AN173" s="292"/>
      <c r="AO173" s="292"/>
    </row>
    <row r="174" spans="1:41" s="287" customFormat="1">
      <c r="A174" s="338">
        <v>2100112232</v>
      </c>
      <c r="B174" s="301" t="s">
        <v>638</v>
      </c>
      <c r="C174" s="290">
        <f>VLOOKUP(B174,Sheet1!$B$17:$C$451,2,0)</f>
        <v>73</v>
      </c>
      <c r="D174" s="291" t="s">
        <v>1022</v>
      </c>
      <c r="E174" s="291" t="s">
        <v>461</v>
      </c>
      <c r="F174" s="302" t="s">
        <v>23</v>
      </c>
      <c r="G174" s="302" t="s">
        <v>563</v>
      </c>
      <c r="H174" s="295" t="s">
        <v>1363</v>
      </c>
      <c r="I174" s="302" t="s">
        <v>643</v>
      </c>
      <c r="J174" s="302" t="s">
        <v>905</v>
      </c>
      <c r="K174" s="303" t="s">
        <v>516</v>
      </c>
      <c r="L174" s="293" t="str">
        <f t="shared" si="13"/>
        <v>INSERT INTO Product (CMMF,Model,BarCode,Capacity,[Type],Product,[Range],[ModelName],[Color],[Status]) VALUES
('2100112232','G1358495','3168430297296','24cm','CW','Tefal',N'Chảo Chiên Sâu',N'So Chef',N'Red','New')</v>
      </c>
      <c r="M174" s="292" t="s">
        <v>877</v>
      </c>
      <c r="N174" s="292" t="s">
        <v>683</v>
      </c>
      <c r="O174" s="292" t="s">
        <v>1487</v>
      </c>
      <c r="P174" s="292" t="str">
        <f>"INSERT INTO ProductByAccount
( ProductId,AccountId)VALUES
("&amp;C174&amp;",1029)"</f>
        <v>INSERT INTO ProductByAccount
( ProductId,AccountId)VALUES
(73,1029)</v>
      </c>
      <c r="Q174" s="292"/>
      <c r="R174" s="292"/>
      <c r="S174" s="292" t="s">
        <v>872</v>
      </c>
      <c r="T174" s="292" t="str">
        <f>"INSERT INTO ProductByAccount
( ProductId,AccountId)VALUES
("&amp;C174&amp;",1031)"</f>
        <v>INSERT INTO ProductByAccount
( ProductId,AccountId)VALUES
(73,1031)</v>
      </c>
      <c r="U174" s="292" t="s">
        <v>1442</v>
      </c>
      <c r="V174" s="292" t="str">
        <f t="shared" si="14"/>
        <v>INSERT INTO ProductByAccount
( ProductId,AccountId)VALUES
(73,1032)</v>
      </c>
      <c r="W174" s="292"/>
      <c r="X174" s="292"/>
      <c r="Y174" s="292"/>
      <c r="Z174" s="292"/>
      <c r="AA174" s="292"/>
      <c r="AB174" s="292"/>
      <c r="AC174" s="292"/>
      <c r="AD174" s="292"/>
      <c r="AE174" s="292"/>
      <c r="AF174" s="292"/>
      <c r="AG174" s="292"/>
      <c r="AH174" s="292"/>
      <c r="AI174" s="292"/>
      <c r="AJ174" s="292"/>
      <c r="AK174" s="380">
        <v>319500</v>
      </c>
      <c r="AL174" s="381">
        <v>258182</v>
      </c>
      <c r="AM174" s="379" t="str">
        <f t="shared" si="10"/>
        <v>INSERT INTO ListedPrice
(ProductId,ActiveDate,Channel,Price)
VALUES(73,'2020-05-01','GT',258182)</v>
      </c>
      <c r="AN174" s="292"/>
      <c r="AO174" s="292"/>
    </row>
    <row r="175" spans="1:41" s="287" customFormat="1">
      <c r="A175" s="338">
        <v>2100112233</v>
      </c>
      <c r="B175" s="301" t="s">
        <v>639</v>
      </c>
      <c r="C175" s="290">
        <f>VLOOKUP(B175,Sheet1!$B$17:$C$451,2,0)</f>
        <v>74</v>
      </c>
      <c r="D175" s="291" t="s">
        <v>1023</v>
      </c>
      <c r="E175" s="291" t="s">
        <v>462</v>
      </c>
      <c r="F175" s="302" t="s">
        <v>23</v>
      </c>
      <c r="G175" s="302" t="s">
        <v>563</v>
      </c>
      <c r="H175" s="295" t="s">
        <v>1363</v>
      </c>
      <c r="I175" s="302" t="s">
        <v>643</v>
      </c>
      <c r="J175" s="302" t="s">
        <v>905</v>
      </c>
      <c r="K175" s="303" t="s">
        <v>516</v>
      </c>
      <c r="L175" s="293" t="str">
        <f t="shared" si="13"/>
        <v>INSERT INTO Product (CMMF,Model,BarCode,Capacity,[Type],Product,[Range],[ModelName],[Color],[Status]) VALUES
('2100112233','G1358695','3168430297302','28cm','CW','Tefal',N'Chảo Chiên Sâu',N'So Chef',N'Red','New')</v>
      </c>
      <c r="M175" s="292" t="s">
        <v>877</v>
      </c>
      <c r="N175" s="292" t="s">
        <v>683</v>
      </c>
      <c r="O175" s="292" t="s">
        <v>1487</v>
      </c>
      <c r="P175" s="292" t="str">
        <f>"INSERT INTO ProductByAccount
( ProductId,AccountId)VALUES
("&amp;C175&amp;",1029)"</f>
        <v>INSERT INTO ProductByAccount
( ProductId,AccountId)VALUES
(74,1029)</v>
      </c>
      <c r="Q175" s="292"/>
      <c r="R175" s="292"/>
      <c r="S175" s="292" t="s">
        <v>872</v>
      </c>
      <c r="T175" s="292" t="str">
        <f>"INSERT INTO ProductByAccount
( ProductId,AccountId)VALUES
("&amp;C175&amp;",1031)"</f>
        <v>INSERT INTO ProductByAccount
( ProductId,AccountId)VALUES
(74,1031)</v>
      </c>
      <c r="U175" s="292" t="s">
        <v>1442</v>
      </c>
      <c r="V175" s="292" t="str">
        <f t="shared" si="14"/>
        <v>INSERT INTO ProductByAccount
( ProductId,AccountId)VALUES
(74,1032)</v>
      </c>
      <c r="W175" s="292"/>
      <c r="X175" s="292"/>
      <c r="Y175" s="292"/>
      <c r="Z175" s="292"/>
      <c r="AA175" s="292"/>
      <c r="AB175" s="292"/>
      <c r="AC175" s="292"/>
      <c r="AD175" s="292"/>
      <c r="AE175" s="292"/>
      <c r="AF175" s="292"/>
      <c r="AG175" s="292"/>
      <c r="AH175" s="292"/>
      <c r="AI175" s="292"/>
      <c r="AJ175" s="292"/>
      <c r="AK175" s="380">
        <v>436500</v>
      </c>
      <c r="AL175" s="381">
        <v>352727</v>
      </c>
      <c r="AM175" s="379" t="str">
        <f t="shared" si="10"/>
        <v>INSERT INTO ListedPrice
(ProductId,ActiveDate,Channel,Price)
VALUES(74,'2020-05-01','GT',352727)</v>
      </c>
      <c r="AN175" s="292"/>
      <c r="AO175" s="292"/>
    </row>
    <row r="176" spans="1:41" s="287" customFormat="1">
      <c r="A176" s="338">
        <v>2100110229</v>
      </c>
      <c r="B176" s="301" t="s">
        <v>457</v>
      </c>
      <c r="C176" s="290">
        <f>VLOOKUP(B176,Sheet1!$B$17:$C$451,2,0)</f>
        <v>75</v>
      </c>
      <c r="D176" s="291" t="s">
        <v>1024</v>
      </c>
      <c r="E176" s="291" t="s">
        <v>461</v>
      </c>
      <c r="F176" s="302" t="s">
        <v>23</v>
      </c>
      <c r="G176" s="302" t="s">
        <v>563</v>
      </c>
      <c r="H176" s="295" t="s">
        <v>1351</v>
      </c>
      <c r="I176" s="302" t="s">
        <v>541</v>
      </c>
      <c r="J176" s="302" t="s">
        <v>957</v>
      </c>
      <c r="K176" s="303" t="s">
        <v>516</v>
      </c>
      <c r="L176" s="293" t="str">
        <f t="shared" si="13"/>
        <v>INSERT INTO Product (CMMF,Model,BarCode,Capacity,[Type],Product,[Range],[ModelName],[Color],[Status]) VALUES
('2100110229','H9100414','3168430289840','24cm','CW','Tefal',N'Chảo Chiên',N'SENSATION',N'Copper','New')</v>
      </c>
      <c r="M176" s="292" t="s">
        <v>877</v>
      </c>
      <c r="N176" s="292" t="s">
        <v>683</v>
      </c>
      <c r="O176" s="292"/>
      <c r="P176" s="292"/>
      <c r="Q176" s="292"/>
      <c r="R176" s="292"/>
      <c r="S176" s="292"/>
      <c r="T176" s="292"/>
      <c r="U176" s="292" t="s">
        <v>872</v>
      </c>
      <c r="V176" s="292" t="str">
        <f t="shared" si="14"/>
        <v>INSERT INTO ProductByAccount
( ProductId,AccountId)VALUES
(75,1032)</v>
      </c>
      <c r="W176" s="292"/>
      <c r="X176" s="292"/>
      <c r="Y176" s="292"/>
      <c r="Z176" s="292"/>
      <c r="AA176" s="292"/>
      <c r="AB176" s="292"/>
      <c r="AC176" s="292"/>
      <c r="AD176" s="292"/>
      <c r="AE176" s="292" t="s">
        <v>872</v>
      </c>
      <c r="AF176" s="292" t="str">
        <f>"INSERT INTO ProductByAccount
( ProductId,AccountId)VALUES
("&amp;C176&amp;",1037)"</f>
        <v>INSERT INTO ProductByAccount
( ProductId,AccountId)VALUES
(75,1037)</v>
      </c>
      <c r="AG176" s="292"/>
      <c r="AH176" s="292"/>
      <c r="AI176" s="292"/>
      <c r="AJ176" s="292"/>
      <c r="AK176" s="380">
        <v>353636.36363636359</v>
      </c>
      <c r="AL176" s="381">
        <v>282727</v>
      </c>
      <c r="AM176" s="379" t="str">
        <f t="shared" si="10"/>
        <v>INSERT INTO ListedPrice
(ProductId,ActiveDate,Channel,Price)
VALUES(75,'2020-05-01','GT',282727)</v>
      </c>
      <c r="AN176" s="292"/>
      <c r="AO176" s="292"/>
    </row>
    <row r="177" spans="1:41" s="287" customFormat="1">
      <c r="A177" s="338">
        <v>2100110230</v>
      </c>
      <c r="B177" s="301" t="s">
        <v>458</v>
      </c>
      <c r="C177" s="290">
        <f>VLOOKUP(B177,Sheet1!$B$17:$C$451,2,0)</f>
        <v>76</v>
      </c>
      <c r="D177" s="291" t="s">
        <v>1025</v>
      </c>
      <c r="E177" s="291" t="s">
        <v>463</v>
      </c>
      <c r="F177" s="302" t="s">
        <v>23</v>
      </c>
      <c r="G177" s="302" t="s">
        <v>563</v>
      </c>
      <c r="H177" s="295" t="s">
        <v>1351</v>
      </c>
      <c r="I177" s="302" t="s">
        <v>541</v>
      </c>
      <c r="J177" s="302" t="s">
        <v>957</v>
      </c>
      <c r="K177" s="303" t="s">
        <v>516</v>
      </c>
      <c r="L177" s="293" t="str">
        <f t="shared" si="13"/>
        <v>INSERT INTO Product (CMMF,Model,BarCode,Capacity,[Type],Product,[Range],[ModelName],[Color],[Status]) VALUES
('2100110230','H9100514','3168430289857','26cm','CW','Tefal',N'Chảo Chiên',N'SENSATION',N'Copper','New')</v>
      </c>
      <c r="M177" s="292" t="s">
        <v>877</v>
      </c>
      <c r="N177" s="292" t="s">
        <v>683</v>
      </c>
      <c r="O177" s="292"/>
      <c r="P177" s="292"/>
      <c r="Q177" s="292"/>
      <c r="R177" s="292"/>
      <c r="S177" s="292"/>
      <c r="T177" s="292"/>
      <c r="U177" s="292" t="s">
        <v>1442</v>
      </c>
      <c r="V177" s="292" t="str">
        <f t="shared" si="14"/>
        <v>INSERT INTO ProductByAccount
( ProductId,AccountId)VALUES
(76,1032)</v>
      </c>
      <c r="W177" s="292"/>
      <c r="X177" s="292"/>
      <c r="Y177" s="292"/>
      <c r="Z177" s="292"/>
      <c r="AA177" s="292"/>
      <c r="AB177" s="292"/>
      <c r="AC177" s="292" t="s">
        <v>872</v>
      </c>
      <c r="AD177" s="292" t="str">
        <f>"INSERT INTO ProductByAccount
( ProductId,AccountId)VALUES
("&amp;C177&amp;",1036)"</f>
        <v>INSERT INTO ProductByAccount
( ProductId,AccountId)VALUES
(76,1036)</v>
      </c>
      <c r="AE177" s="292"/>
      <c r="AF177" s="292"/>
      <c r="AG177" s="292"/>
      <c r="AH177" s="292"/>
      <c r="AI177" s="292"/>
      <c r="AJ177" s="292"/>
      <c r="AK177" s="380">
        <v>389999.99999999994</v>
      </c>
      <c r="AL177" s="381">
        <v>311818</v>
      </c>
      <c r="AM177" s="379" t="str">
        <f t="shared" si="10"/>
        <v>INSERT INTO ListedPrice
(ProductId,ActiveDate,Channel,Price)
VALUES(76,'2020-05-01','GT',311818)</v>
      </c>
      <c r="AN177" s="292"/>
      <c r="AO177" s="292"/>
    </row>
    <row r="178" spans="1:41" s="287" customFormat="1">
      <c r="A178" s="338">
        <v>2100110231</v>
      </c>
      <c r="B178" s="301" t="s">
        <v>459</v>
      </c>
      <c r="C178" s="290">
        <f>VLOOKUP(B178,Sheet1!$B$17:$C$451,2,0)</f>
        <v>77</v>
      </c>
      <c r="D178" s="291" t="s">
        <v>1026</v>
      </c>
      <c r="E178" s="291" t="s">
        <v>462</v>
      </c>
      <c r="F178" s="302" t="s">
        <v>23</v>
      </c>
      <c r="G178" s="302" t="s">
        <v>563</v>
      </c>
      <c r="H178" s="295" t="s">
        <v>1351</v>
      </c>
      <c r="I178" s="302" t="s">
        <v>541</v>
      </c>
      <c r="J178" s="302" t="s">
        <v>957</v>
      </c>
      <c r="K178" s="303" t="s">
        <v>516</v>
      </c>
      <c r="L178" s="293" t="str">
        <f t="shared" si="13"/>
        <v>INSERT INTO Product (CMMF,Model,BarCode,Capacity,[Type],Product,[Range],[ModelName],[Color],[Status]) VALUES
('2100110231','H9100614','3168430289864','28cm','CW','Tefal',N'Chảo Chiên',N'SENSATION',N'Copper','New')</v>
      </c>
      <c r="M178" s="292" t="s">
        <v>877</v>
      </c>
      <c r="N178" s="292" t="s">
        <v>683</v>
      </c>
      <c r="O178" s="292"/>
      <c r="P178" s="292"/>
      <c r="Q178" s="292"/>
      <c r="R178" s="292"/>
      <c r="S178" s="292"/>
      <c r="T178" s="292"/>
      <c r="U178" s="292" t="s">
        <v>872</v>
      </c>
      <c r="V178" s="292" t="str">
        <f t="shared" si="14"/>
        <v>INSERT INTO ProductByAccount
( ProductId,AccountId)VALUES
(77,1032)</v>
      </c>
      <c r="W178" s="292"/>
      <c r="X178" s="292"/>
      <c r="Y178" s="292"/>
      <c r="Z178" s="292"/>
      <c r="AA178" s="292"/>
      <c r="AB178" s="292"/>
      <c r="AC178" s="292" t="s">
        <v>872</v>
      </c>
      <c r="AD178" s="292" t="str">
        <f>"INSERT INTO ProductByAccount
( ProductId,AccountId)VALUES
("&amp;C178&amp;",1036)"</f>
        <v>INSERT INTO ProductByAccount
( ProductId,AccountId)VALUES
(77,1036)</v>
      </c>
      <c r="AE178" s="292" t="s">
        <v>872</v>
      </c>
      <c r="AF178" s="292" t="str">
        <f>"INSERT INTO ProductByAccount
( ProductId,AccountId)VALUES
("&amp;C178&amp;",1037)"</f>
        <v>INSERT INTO ProductByAccount
( ProductId,AccountId)VALUES
(77,1037)</v>
      </c>
      <c r="AG178" s="292"/>
      <c r="AH178" s="292"/>
      <c r="AI178" s="292"/>
      <c r="AJ178" s="292"/>
      <c r="AK178" s="380">
        <v>444545.45454545453</v>
      </c>
      <c r="AL178" s="381">
        <v>356364</v>
      </c>
      <c r="AM178" s="379" t="str">
        <f t="shared" si="10"/>
        <v>INSERT INTO ListedPrice
(ProductId,ActiveDate,Channel,Price)
VALUES(77,'2020-05-01','GT',356364)</v>
      </c>
      <c r="AN178" s="292"/>
      <c r="AO178" s="292"/>
    </row>
    <row r="179" spans="1:41" s="287" customFormat="1">
      <c r="A179" s="338">
        <v>2100110228</v>
      </c>
      <c r="B179" s="301" t="s">
        <v>467</v>
      </c>
      <c r="C179" s="290">
        <f>VLOOKUP(B179,Sheet1!$B$17:$C$451,2,0)</f>
        <v>78</v>
      </c>
      <c r="D179" s="291" t="s">
        <v>1030</v>
      </c>
      <c r="E179" s="291" t="s">
        <v>462</v>
      </c>
      <c r="F179" s="302" t="s">
        <v>23</v>
      </c>
      <c r="G179" s="302" t="s">
        <v>563</v>
      </c>
      <c r="H179" s="295" t="s">
        <v>1363</v>
      </c>
      <c r="I179" s="302" t="s">
        <v>541</v>
      </c>
      <c r="J179" s="302" t="s">
        <v>957</v>
      </c>
      <c r="K179" s="303" t="s">
        <v>516</v>
      </c>
      <c r="L179" s="293" t="str">
        <f t="shared" si="13"/>
        <v>INSERT INTO Product (CMMF,Model,BarCode,Capacity,[Type],Product,[Range],[ModelName],[Color],[Status]) VALUES
('2100110228','H9109014','3168430289833','28cm','CW','Tefal',N'Chảo Chiên Sâu',N'SENSATION',N'Copper','New')</v>
      </c>
      <c r="M179" s="292" t="s">
        <v>877</v>
      </c>
      <c r="N179" s="292" t="s">
        <v>683</v>
      </c>
      <c r="O179" s="292"/>
      <c r="P179" s="292"/>
      <c r="Q179" s="292"/>
      <c r="R179" s="292"/>
      <c r="S179" s="292"/>
      <c r="T179" s="292"/>
      <c r="U179" s="292"/>
      <c r="V179" s="292"/>
      <c r="W179" s="292"/>
      <c r="X179" s="292"/>
      <c r="Y179" s="292"/>
      <c r="Z179" s="292"/>
      <c r="AA179" s="292"/>
      <c r="AB179" s="292"/>
      <c r="AC179" s="292" t="s">
        <v>872</v>
      </c>
      <c r="AD179" s="292" t="str">
        <f>"INSERT INTO ProductByAccount
( ProductId,AccountId)VALUES
("&amp;C179&amp;",1036)"</f>
        <v>INSERT INTO ProductByAccount
( ProductId,AccountId)VALUES
(78,1036)</v>
      </c>
      <c r="AE179" s="292"/>
      <c r="AF179" s="292"/>
      <c r="AG179" s="292"/>
      <c r="AH179" s="292"/>
      <c r="AI179" s="292"/>
      <c r="AJ179" s="292"/>
      <c r="AK179" s="380">
        <v>508181.81818181812</v>
      </c>
      <c r="AL179" s="381">
        <v>410000</v>
      </c>
      <c r="AM179" s="379" t="str">
        <f t="shared" si="10"/>
        <v>INSERT INTO ListedPrice
(ProductId,ActiveDate,Channel,Price)
VALUES(78,'2020-05-01','GT',410000)</v>
      </c>
      <c r="AN179" s="292"/>
      <c r="AO179" s="292"/>
    </row>
    <row r="180" spans="1:41">
      <c r="A180" s="335">
        <v>7211003293</v>
      </c>
      <c r="B180" s="290" t="s">
        <v>444</v>
      </c>
      <c r="C180" s="290">
        <f>VLOOKUP(B180,Sheet1!$B$17:$C$451,2,0)</f>
        <v>79</v>
      </c>
      <c r="D180" s="291" t="s">
        <v>1168</v>
      </c>
      <c r="E180" s="291" t="s">
        <v>973</v>
      </c>
      <c r="F180" s="291" t="s">
        <v>40</v>
      </c>
      <c r="G180" s="291" t="s">
        <v>563</v>
      </c>
      <c r="H180" s="291" t="s">
        <v>1370</v>
      </c>
      <c r="I180" s="291" t="s">
        <v>658</v>
      </c>
      <c r="J180" s="290"/>
      <c r="K180" s="293" t="s">
        <v>872</v>
      </c>
      <c r="L180" s="293" t="str">
        <f t="shared" si="13"/>
        <v>INSERT INTO Product (CMMF,Model,BarCode,Capacity,[Type],Product,[Range],[ModelName],[Color],[Status]) VALUES
('7211003293','RK604165','3016661153112','0.7L','SDA','Tefal',N'Nồi Cơm Điện',N'Mini Pro',N'','On going')</v>
      </c>
      <c r="M180" s="292" t="s">
        <v>877</v>
      </c>
      <c r="N180" s="292" t="s">
        <v>683</v>
      </c>
      <c r="O180" s="284" t="s">
        <v>1487</v>
      </c>
      <c r="P180" s="292" t="str">
        <f>"INSERT INTO ProductByAccount
( ProductId,AccountId)VALUES
("&amp;C180&amp;",1029)"</f>
        <v>INSERT INTO ProductByAccount
( ProductId,AccountId)VALUES
(79,1029)</v>
      </c>
      <c r="Q180" s="292" t="s">
        <v>872</v>
      </c>
      <c r="R180" s="292" t="str">
        <f>"INSERT INTO ProductByAccount
( ProductId,AccountId)VALUES
("&amp;C180&amp;",1030)"</f>
        <v>INSERT INTO ProductByAccount
( ProductId,AccountId)VALUES
(79,1030)</v>
      </c>
      <c r="S180" s="292" t="s">
        <v>872</v>
      </c>
      <c r="T180" s="292" t="str">
        <f>"INSERT INTO ProductByAccount
( ProductId,AccountId)VALUES
("&amp;C180&amp;",1031)"</f>
        <v>INSERT INTO ProductByAccount
( ProductId,AccountId)VALUES
(79,1031)</v>
      </c>
      <c r="U180" s="292" t="s">
        <v>872</v>
      </c>
      <c r="V180" s="292" t="str">
        <f>"INSERT INTO ProductByAccount
( ProductId,AccountId)VALUES
("&amp;C180&amp;",1032)"</f>
        <v>INSERT INTO ProductByAccount
( ProductId,AccountId)VALUES
(79,1032)</v>
      </c>
      <c r="W180" s="292"/>
      <c r="X180" s="292"/>
      <c r="Y180" s="292"/>
      <c r="Z180" s="292"/>
      <c r="AA180" s="292"/>
      <c r="AB180" s="292"/>
      <c r="AC180" s="292"/>
      <c r="AD180" s="292"/>
      <c r="AE180" s="292" t="s">
        <v>872</v>
      </c>
      <c r="AF180" s="292" t="str">
        <f>"INSERT INTO ProductByAccount
( ProductId,AccountId)VALUES
("&amp;C180&amp;",1037)"</f>
        <v>INSERT INTO ProductByAccount
( ProductId,AccountId)VALUES
(79,1037)</v>
      </c>
      <c r="AG180" s="292" t="s">
        <v>872</v>
      </c>
      <c r="AH180" s="292" t="str">
        <f>"INSERT INTO ProductByAccount
( ProductId,AccountId)VALUES
("&amp;C180&amp;",1038)"</f>
        <v>INSERT INTO ProductByAccount
( ProductId,AccountId)VALUES
(79,1038)</v>
      </c>
      <c r="AI180" s="292"/>
      <c r="AJ180" s="292"/>
      <c r="AK180" s="380">
        <v>2263636.3636363633</v>
      </c>
      <c r="AL180" s="381">
        <v>1810000</v>
      </c>
      <c r="AM180" s="379" t="str">
        <f t="shared" si="10"/>
        <v>INSERT INTO ListedPrice
(ProductId,ActiveDate,Channel,Price)
VALUES(79,'2020-05-01','GT',1810000)</v>
      </c>
      <c r="AN180" s="292"/>
      <c r="AO180" s="292"/>
    </row>
    <row r="181" spans="1:41">
      <c r="A181" s="335">
        <v>7211003008</v>
      </c>
      <c r="B181" s="290" t="s">
        <v>445</v>
      </c>
      <c r="C181" s="290">
        <f>VLOOKUP(B181,Sheet1!$B$17:$C$451,2,0)</f>
        <v>80</v>
      </c>
      <c r="D181" s="291" t="s">
        <v>1169</v>
      </c>
      <c r="E181" s="291" t="s">
        <v>974</v>
      </c>
      <c r="F181" s="291" t="s">
        <v>40</v>
      </c>
      <c r="G181" s="291" t="s">
        <v>563</v>
      </c>
      <c r="H181" s="291" t="s">
        <v>1370</v>
      </c>
      <c r="I181" s="291" t="s">
        <v>660</v>
      </c>
      <c r="J181" s="290"/>
      <c r="K181" s="293" t="s">
        <v>872</v>
      </c>
      <c r="L181" s="293" t="str">
        <f t="shared" si="13"/>
        <v>INSERT INTO Product (CMMF,Model,BarCode,Capacity,[Type],Product,[Range],[ModelName],[Color],[Status]) VALUES
('7211003008','RK803565','3016661151453','1.0L','SDA','Tefal',N'Nồi Cơm Điện',N'Compact Pro',N'','On going')</v>
      </c>
      <c r="M181" s="292" t="s">
        <v>877</v>
      </c>
      <c r="N181" s="292" t="s">
        <v>683</v>
      </c>
      <c r="O181" s="292"/>
      <c r="P181" s="292"/>
      <c r="Q181" s="292" t="s">
        <v>872</v>
      </c>
      <c r="R181" s="292" t="str">
        <f>"INSERT INTO ProductByAccount
( ProductId,AccountId)VALUES
("&amp;C181&amp;",1030)"</f>
        <v>INSERT INTO ProductByAccount
( ProductId,AccountId)VALUES
(80,1030)</v>
      </c>
      <c r="S181" s="292" t="s">
        <v>872</v>
      </c>
      <c r="T181" s="292" t="str">
        <f>"INSERT INTO ProductByAccount
( ProductId,AccountId)VALUES
("&amp;C181&amp;",1031)"</f>
        <v>INSERT INTO ProductByAccount
( ProductId,AccountId)VALUES
(80,1031)</v>
      </c>
      <c r="U181" s="292" t="s">
        <v>1442</v>
      </c>
      <c r="V181" s="292" t="str">
        <f>"INSERT INTO ProductByAccount
( ProductId,AccountId)VALUES
("&amp;C181&amp;",1032)"</f>
        <v>INSERT INTO ProductByAccount
( ProductId,AccountId)VALUES
(80,1032)</v>
      </c>
      <c r="W181" s="292" t="s">
        <v>872</v>
      </c>
      <c r="X181" s="292" t="str">
        <f>"INSERT INTO ProductByAccount
( ProductId,AccountId)VALUES
("&amp;C181&amp;",1033)"</f>
        <v>INSERT INTO ProductByAccount
( ProductId,AccountId)VALUES
(80,1033)</v>
      </c>
      <c r="Y181" s="292"/>
      <c r="Z181" s="292"/>
      <c r="AA181" s="292"/>
      <c r="AB181" s="292"/>
      <c r="AC181" s="292"/>
      <c r="AD181" s="292"/>
      <c r="AE181" s="292" t="s">
        <v>1485</v>
      </c>
      <c r="AF181" s="292" t="str">
        <f>"INSERT INTO ProductByAccount
( ProductId,AccountId)VALUES
("&amp;C181&amp;",1037)"</f>
        <v>INSERT INTO ProductByAccount
( ProductId,AccountId)VALUES
(80,1037)</v>
      </c>
      <c r="AG181" s="292" t="s">
        <v>872</v>
      </c>
      <c r="AH181" s="292" t="str">
        <f>"INSERT INTO ProductByAccount
( ProductId,AccountId)VALUES
("&amp;C181&amp;",1038)"</f>
        <v>INSERT INTO ProductByAccount
( ProductId,AccountId)VALUES
(80,1038)</v>
      </c>
      <c r="AI181" s="292"/>
      <c r="AJ181" s="292"/>
      <c r="AK181" s="380">
        <v>2718181.8181818179</v>
      </c>
      <c r="AL181" s="381">
        <v>2175455</v>
      </c>
      <c r="AM181" s="379" t="str">
        <f t="shared" si="10"/>
        <v>INSERT INTO ListedPrice
(ProductId,ActiveDate,Channel,Price)
VALUES(80,'2020-05-01','GT',2175455)</v>
      </c>
      <c r="AN181" s="292"/>
      <c r="AO181" s="292"/>
    </row>
    <row r="182" spans="1:41">
      <c r="A182" s="335">
        <v>7211002122</v>
      </c>
      <c r="B182" s="290" t="s">
        <v>446</v>
      </c>
      <c r="C182" s="290">
        <f>VLOOKUP(B182,Sheet1!$B$17:$C$451,2,0)</f>
        <v>81</v>
      </c>
      <c r="D182" s="291" t="s">
        <v>1170</v>
      </c>
      <c r="E182" s="291" t="s">
        <v>971</v>
      </c>
      <c r="F182" s="291" t="s">
        <v>40</v>
      </c>
      <c r="G182" s="291" t="s">
        <v>563</v>
      </c>
      <c r="H182" s="291" t="s">
        <v>1370</v>
      </c>
      <c r="I182" s="291" t="s">
        <v>660</v>
      </c>
      <c r="J182" s="290"/>
      <c r="K182" s="293" t="s">
        <v>872</v>
      </c>
      <c r="L182" s="293" t="str">
        <f t="shared" si="13"/>
        <v>INSERT INTO Product (CMMF,Model,BarCode,Capacity,[Type],Product,[Range],[ModelName],[Color],[Status]) VALUES
('7211002122','RK805565','3045386372225','1.8L','SDA','Tefal',N'Nồi Cơm Điện',N'Compact Pro',N'','On going')</v>
      </c>
      <c r="M182" s="292" t="s">
        <v>877</v>
      </c>
      <c r="N182" s="292" t="s">
        <v>683</v>
      </c>
      <c r="O182" s="284" t="s">
        <v>1487</v>
      </c>
      <c r="P182" s="292" t="str">
        <f>"INSERT INTO ProductByAccount
( ProductId,AccountId)VALUES
("&amp;C182&amp;",1029)"</f>
        <v>INSERT INTO ProductByAccount
( ProductId,AccountId)VALUES
(81,1029)</v>
      </c>
      <c r="Q182" s="292" t="s">
        <v>872</v>
      </c>
      <c r="R182" s="292" t="str">
        <f>"INSERT INTO ProductByAccount
( ProductId,AccountId)VALUES
("&amp;C182&amp;",1030)"</f>
        <v>INSERT INTO ProductByAccount
( ProductId,AccountId)VALUES
(81,1030)</v>
      </c>
      <c r="S182" s="292" t="s">
        <v>872</v>
      </c>
      <c r="T182" s="292" t="str">
        <f>"INSERT INTO ProductByAccount
( ProductId,AccountId)VALUES
("&amp;C182&amp;",1031)"</f>
        <v>INSERT INTO ProductByAccount
( ProductId,AccountId)VALUES
(81,1031)</v>
      </c>
      <c r="U182" s="292" t="s">
        <v>872</v>
      </c>
      <c r="V182" s="292" t="str">
        <f>"INSERT INTO ProductByAccount
( ProductId,AccountId)VALUES
("&amp;C182&amp;",1032)"</f>
        <v>INSERT INTO ProductByAccount
( ProductId,AccountId)VALUES
(81,1032)</v>
      </c>
      <c r="W182" s="292" t="s">
        <v>872</v>
      </c>
      <c r="X182" s="292" t="str">
        <f>"INSERT INTO ProductByAccount
( ProductId,AccountId)VALUES
("&amp;C182&amp;",1033)"</f>
        <v>INSERT INTO ProductByAccount
( ProductId,AccountId)VALUES
(81,1033)</v>
      </c>
      <c r="Y182" s="292"/>
      <c r="Z182" s="292"/>
      <c r="AA182" s="292"/>
      <c r="AB182" s="292"/>
      <c r="AC182" s="292"/>
      <c r="AD182" s="292"/>
      <c r="AE182" s="292" t="s">
        <v>1485</v>
      </c>
      <c r="AF182" s="292" t="str">
        <f>"INSERT INTO ProductByAccount
( ProductId,AccountId)VALUES
("&amp;C182&amp;",1037)"</f>
        <v>INSERT INTO ProductByAccount
( ProductId,AccountId)VALUES
(81,1037)</v>
      </c>
      <c r="AG182" s="292" t="s">
        <v>872</v>
      </c>
      <c r="AH182" s="292" t="str">
        <f>"INSERT INTO ProductByAccount
( ProductId,AccountId)VALUES
("&amp;C182&amp;",1038)"</f>
        <v>INSERT INTO ProductByAccount
( ProductId,AccountId)VALUES
(81,1038)</v>
      </c>
      <c r="AI182" s="292"/>
      <c r="AJ182" s="292"/>
      <c r="AK182" s="380">
        <v>3081818.1818181816</v>
      </c>
      <c r="AL182" s="381">
        <v>2466364</v>
      </c>
      <c r="AM182" s="379" t="str">
        <f t="shared" si="10"/>
        <v>INSERT INTO ListedPrice
(ProductId,ActiveDate,Channel,Price)
VALUES(81,'2020-05-01','GT',2466364)</v>
      </c>
      <c r="AN182" s="292"/>
      <c r="AO182" s="292"/>
    </row>
    <row r="183" spans="1:41" s="287" customFormat="1">
      <c r="A183" s="338">
        <v>7211004184</v>
      </c>
      <c r="B183" s="301" t="s">
        <v>744</v>
      </c>
      <c r="C183" s="290">
        <f>VLOOKUP(B183,Sheet1!$B$17:$C$451,2,0)</f>
        <v>82</v>
      </c>
      <c r="D183" s="291" t="s">
        <v>1171</v>
      </c>
      <c r="E183" s="291"/>
      <c r="F183" s="302" t="s">
        <v>40</v>
      </c>
      <c r="G183" s="302" t="s">
        <v>563</v>
      </c>
      <c r="H183" s="291" t="s">
        <v>1370</v>
      </c>
      <c r="I183" s="291" t="s">
        <v>978</v>
      </c>
      <c r="J183" s="301"/>
      <c r="K183" s="303" t="s">
        <v>516</v>
      </c>
      <c r="L183" s="293" t="str">
        <f t="shared" si="13"/>
        <v>INSERT INTO Product (CMMF,Model,BarCode,Capacity,[Type],Product,[Range],[ModelName],[Color],[Status]) VALUES
('7211004184','RK732168','3045387241841','','SDA','Tefal',N'Nồi Cơm Điện',N'Easy Rice',N'','New')</v>
      </c>
      <c r="M183" s="292" t="s">
        <v>877</v>
      </c>
      <c r="N183" s="292" t="s">
        <v>683</v>
      </c>
      <c r="O183" s="292"/>
      <c r="P183" s="292"/>
      <c r="Q183" s="292"/>
      <c r="R183" s="292"/>
      <c r="S183" s="292"/>
      <c r="T183" s="292"/>
      <c r="U183" s="292"/>
      <c r="V183" s="292"/>
      <c r="W183" s="292"/>
      <c r="X183" s="292"/>
      <c r="Y183" s="292"/>
      <c r="Z183" s="292"/>
      <c r="AA183" s="292"/>
      <c r="AB183" s="292"/>
      <c r="AC183" s="292"/>
      <c r="AD183" s="292"/>
      <c r="AE183" s="292"/>
      <c r="AF183" s="292"/>
      <c r="AG183" s="292"/>
      <c r="AH183" s="292"/>
      <c r="AI183" s="292"/>
      <c r="AJ183" s="292"/>
      <c r="AK183" s="329"/>
      <c r="AL183" s="381">
        <v>0</v>
      </c>
      <c r="AM183" s="379" t="str">
        <f t="shared" ref="AM183:AM188" si="15">"INSERT INTO ListedPrice
(ProductId,ActiveDate,Channel,Price)
VALUES("&amp;C183&amp;",'2020-05-01','MT',"&amp;AK183&amp;")"</f>
        <v>INSERT INTO ListedPrice
(ProductId,ActiveDate,Channel,Price)
VALUES(82,'2020-05-01','MT',)</v>
      </c>
      <c r="AN183" s="292"/>
      <c r="AO183" s="292"/>
    </row>
    <row r="184" spans="1:41" s="287" customFormat="1">
      <c r="A184" s="342">
        <v>7211004185</v>
      </c>
      <c r="B184" s="309" t="s">
        <v>745</v>
      </c>
      <c r="C184" s="290">
        <f>VLOOKUP(B184,Sheet1!$B$17:$C$451,2,0)</f>
        <v>83</v>
      </c>
      <c r="D184" s="291" t="s">
        <v>1344</v>
      </c>
      <c r="E184" s="310"/>
      <c r="F184" s="311" t="s">
        <v>40</v>
      </c>
      <c r="G184" s="311" t="s">
        <v>563</v>
      </c>
      <c r="H184" s="291" t="s">
        <v>1370</v>
      </c>
      <c r="I184" s="310"/>
      <c r="J184" s="309"/>
      <c r="K184" s="312" t="s">
        <v>516</v>
      </c>
      <c r="L184" s="293" t="str">
        <f t="shared" si="13"/>
        <v>INSERT INTO Product (CMMF,Model,BarCode,Capacity,[Type],Product,[Range],[ModelName],[Color],[Status]) VALUES
('7211004185','RK733168','Update','','SDA','Tefal',N'Nồi Cơm Điện',N'',N'','New')</v>
      </c>
      <c r="M184" s="333" t="s">
        <v>877</v>
      </c>
      <c r="N184" s="333" t="s">
        <v>683</v>
      </c>
      <c r="O184" s="292"/>
      <c r="P184" s="292"/>
      <c r="Q184" s="292"/>
      <c r="R184" s="292"/>
      <c r="S184" s="292"/>
      <c r="T184" s="292"/>
      <c r="U184" s="292"/>
      <c r="V184" s="292"/>
      <c r="W184" s="292"/>
      <c r="X184" s="292"/>
      <c r="Y184" s="292"/>
      <c r="Z184" s="292"/>
      <c r="AA184" s="292"/>
      <c r="AB184" s="292"/>
      <c r="AC184" s="292"/>
      <c r="AD184" s="292"/>
      <c r="AE184" s="333"/>
      <c r="AF184" s="333"/>
      <c r="AG184" s="292"/>
      <c r="AH184" s="292"/>
      <c r="AI184" s="292"/>
      <c r="AJ184" s="292"/>
      <c r="AK184" s="330"/>
      <c r="AL184" s="381">
        <v>0</v>
      </c>
      <c r="AM184" s="379" t="str">
        <f t="shared" si="15"/>
        <v>INSERT INTO ListedPrice
(ProductId,ActiveDate,Channel,Price)
VALUES(83,'2020-05-01','MT',)</v>
      </c>
      <c r="AN184" s="292"/>
      <c r="AO184" s="292"/>
    </row>
    <row r="185" spans="1:41" s="287" customFormat="1">
      <c r="A185" s="342">
        <v>7211004172</v>
      </c>
      <c r="B185" s="309" t="s">
        <v>746</v>
      </c>
      <c r="C185" s="290">
        <f>VLOOKUP(B185,Sheet1!$B$17:$C$451,2,0)</f>
        <v>84</v>
      </c>
      <c r="D185" s="291" t="s">
        <v>1344</v>
      </c>
      <c r="E185" s="310"/>
      <c r="F185" s="311" t="s">
        <v>40</v>
      </c>
      <c r="G185" s="311" t="s">
        <v>563</v>
      </c>
      <c r="H185" s="291" t="s">
        <v>1370</v>
      </c>
      <c r="I185" s="310"/>
      <c r="J185" s="309"/>
      <c r="K185" s="312" t="s">
        <v>516</v>
      </c>
      <c r="L185" s="293" t="str">
        <f t="shared" si="13"/>
        <v>INSERT INTO Product (CMMF,Model,BarCode,Capacity,[Type],Product,[Range],[ModelName],[Color],[Status]) VALUES
('7211004172','RK762168','Update','','SDA','Tefal',N'Nồi Cơm Điện',N'',N'','New')</v>
      </c>
      <c r="M185" s="333" t="s">
        <v>877</v>
      </c>
      <c r="N185" s="333" t="s">
        <v>683</v>
      </c>
      <c r="O185" s="292"/>
      <c r="P185" s="292"/>
      <c r="Q185" s="292"/>
      <c r="R185" s="292"/>
      <c r="S185" s="292"/>
      <c r="T185" s="292"/>
      <c r="U185" s="292"/>
      <c r="V185" s="292"/>
      <c r="W185" s="292"/>
      <c r="X185" s="292"/>
      <c r="Y185" s="292"/>
      <c r="Z185" s="292"/>
      <c r="AA185" s="292"/>
      <c r="AB185" s="292"/>
      <c r="AC185" s="292"/>
      <c r="AD185" s="292"/>
      <c r="AE185" s="333"/>
      <c r="AF185" s="333"/>
      <c r="AG185" s="292"/>
      <c r="AH185" s="292"/>
      <c r="AI185" s="292"/>
      <c r="AJ185" s="292"/>
      <c r="AK185" s="382">
        <f>2990000*0.9</f>
        <v>2691000</v>
      </c>
      <c r="AL185" s="381">
        <v>0</v>
      </c>
      <c r="AM185" s="379" t="str">
        <f t="shared" si="15"/>
        <v>INSERT INTO ListedPrice
(ProductId,ActiveDate,Channel,Price)
VALUES(84,'2020-05-01','MT',2691000)</v>
      </c>
      <c r="AN185" s="292"/>
      <c r="AO185" s="292"/>
    </row>
    <row r="186" spans="1:41" s="287" customFormat="1">
      <c r="A186" s="342">
        <v>7211004175</v>
      </c>
      <c r="B186" s="309" t="s">
        <v>747</v>
      </c>
      <c r="C186" s="290">
        <f>VLOOKUP(B186,Sheet1!$B$17:$C$451,2,0)</f>
        <v>85</v>
      </c>
      <c r="D186" s="291" t="s">
        <v>1344</v>
      </c>
      <c r="E186" s="310"/>
      <c r="F186" s="311" t="s">
        <v>40</v>
      </c>
      <c r="G186" s="311" t="s">
        <v>563</v>
      </c>
      <c r="H186" s="291" t="s">
        <v>1370</v>
      </c>
      <c r="I186" s="310"/>
      <c r="J186" s="309"/>
      <c r="K186" s="312" t="s">
        <v>516</v>
      </c>
      <c r="L186" s="293" t="str">
        <f t="shared" si="13"/>
        <v>INSERT INTO Product (CMMF,Model,BarCode,Capacity,[Type],Product,[Range],[ModelName],[Color],[Status]) VALUES
('7211004175','RK224168','Update','','SDA','Tefal',N'Nồi Cơm Điện',N'',N'','New')</v>
      </c>
      <c r="M186" s="333" t="s">
        <v>877</v>
      </c>
      <c r="N186" s="333" t="s">
        <v>683</v>
      </c>
      <c r="O186" s="292"/>
      <c r="P186" s="292"/>
      <c r="Q186" s="292"/>
      <c r="R186" s="292"/>
      <c r="S186" s="292"/>
      <c r="T186" s="292"/>
      <c r="U186" s="292"/>
      <c r="V186" s="292"/>
      <c r="W186" s="292"/>
      <c r="X186" s="292"/>
      <c r="Y186" s="292"/>
      <c r="Z186" s="292"/>
      <c r="AA186" s="292"/>
      <c r="AB186" s="292"/>
      <c r="AC186" s="292"/>
      <c r="AD186" s="292"/>
      <c r="AE186" s="333"/>
      <c r="AF186" s="333"/>
      <c r="AG186" s="292"/>
      <c r="AH186" s="292"/>
      <c r="AI186" s="292"/>
      <c r="AJ186" s="292"/>
      <c r="AK186" s="330"/>
      <c r="AL186" s="381">
        <v>0</v>
      </c>
      <c r="AM186" s="379" t="str">
        <f t="shared" si="15"/>
        <v>INSERT INTO ListedPrice
(ProductId,ActiveDate,Channel,Price)
VALUES(85,'2020-05-01','MT',)</v>
      </c>
      <c r="AN186" s="292"/>
      <c r="AO186" s="292"/>
    </row>
    <row r="187" spans="1:41" s="287" customFormat="1">
      <c r="A187" s="338">
        <v>7211004195</v>
      </c>
      <c r="B187" s="301" t="s">
        <v>748</v>
      </c>
      <c r="C187" s="290">
        <f>VLOOKUP(B187,Sheet1!$B$17:$C$451,2,0)</f>
        <v>86</v>
      </c>
      <c r="D187" s="291" t="s">
        <v>1172</v>
      </c>
      <c r="E187" s="291"/>
      <c r="F187" s="302" t="s">
        <v>40</v>
      </c>
      <c r="G187" s="302" t="s">
        <v>563</v>
      </c>
      <c r="H187" s="291" t="s">
        <v>1370</v>
      </c>
      <c r="I187" s="291"/>
      <c r="J187" s="301"/>
      <c r="K187" s="303" t="s">
        <v>516</v>
      </c>
      <c r="L187" s="293" t="str">
        <f t="shared" si="13"/>
        <v>INSERT INTO Product (CMMF,Model,BarCode,Capacity,[Type],Product,[Range],[ModelName],[Color],[Status]) VALUES
('7211004195','RK808168','3045387241957','','SDA','Tefal',N'Nồi Cơm Điện',N'',N'','New')</v>
      </c>
      <c r="M187" s="292" t="s">
        <v>877</v>
      </c>
      <c r="N187" s="292"/>
      <c r="O187" s="292"/>
      <c r="P187" s="292"/>
      <c r="Q187" s="292"/>
      <c r="R187" s="292"/>
      <c r="S187" s="292"/>
      <c r="T187" s="292"/>
      <c r="U187" s="292"/>
      <c r="V187" s="292"/>
      <c r="W187" s="292"/>
      <c r="X187" s="292"/>
      <c r="Y187" s="292"/>
      <c r="Z187" s="292"/>
      <c r="AA187" s="292"/>
      <c r="AB187" s="292"/>
      <c r="AC187" s="292"/>
      <c r="AD187" s="292"/>
      <c r="AE187" s="292"/>
      <c r="AF187" s="292"/>
      <c r="AG187" s="292"/>
      <c r="AH187" s="292"/>
      <c r="AI187" s="292"/>
      <c r="AJ187" s="292"/>
      <c r="AK187" s="380">
        <f>2490000*0.9</f>
        <v>2241000</v>
      </c>
      <c r="AL187" s="381">
        <v>0</v>
      </c>
      <c r="AM187" s="379" t="str">
        <f t="shared" si="15"/>
        <v>INSERT INTO ListedPrice
(ProductId,ActiveDate,Channel,Price)
VALUES(86,'2020-05-01','MT',2241000)</v>
      </c>
      <c r="AN187" s="292"/>
      <c r="AO187" s="292"/>
    </row>
    <row r="188" spans="1:41" s="287" customFormat="1">
      <c r="A188" s="338">
        <v>7211004194</v>
      </c>
      <c r="B188" s="301" t="s">
        <v>749</v>
      </c>
      <c r="C188" s="290">
        <f>VLOOKUP(B188,Sheet1!$B$17:$C$451,2,0)</f>
        <v>87</v>
      </c>
      <c r="D188" s="291" t="s">
        <v>1173</v>
      </c>
      <c r="E188" s="291"/>
      <c r="F188" s="302" t="s">
        <v>40</v>
      </c>
      <c r="G188" s="302" t="s">
        <v>563</v>
      </c>
      <c r="H188" s="291" t="s">
        <v>1370</v>
      </c>
      <c r="I188" s="291"/>
      <c r="J188" s="301"/>
      <c r="K188" s="303" t="s">
        <v>516</v>
      </c>
      <c r="L188" s="293" t="str">
        <f t="shared" si="13"/>
        <v>INSERT INTO Product (CMMF,Model,BarCode,Capacity,[Type],Product,[Range],[ModelName],[Color],[Status]) VALUES
('7211004194','RK752168','3045387241940','','SDA','Tefal',N'Nồi Cơm Điện',N'',N'','New')</v>
      </c>
      <c r="M188" s="292" t="s">
        <v>877</v>
      </c>
      <c r="N188" s="292" t="s">
        <v>683</v>
      </c>
      <c r="O188" s="292"/>
      <c r="P188" s="292"/>
      <c r="Q188" s="292"/>
      <c r="R188" s="292"/>
      <c r="S188" s="292"/>
      <c r="T188" s="292"/>
      <c r="U188" s="292"/>
      <c r="V188" s="292"/>
      <c r="W188" s="292"/>
      <c r="X188" s="292"/>
      <c r="Y188" s="292"/>
      <c r="Z188" s="292"/>
      <c r="AA188" s="292"/>
      <c r="AB188" s="292"/>
      <c r="AC188" s="292"/>
      <c r="AD188" s="292"/>
      <c r="AE188" s="292"/>
      <c r="AF188" s="292"/>
      <c r="AG188" s="292"/>
      <c r="AH188" s="292"/>
      <c r="AI188" s="292"/>
      <c r="AJ188" s="292"/>
      <c r="AK188" s="380">
        <f>1749000*0.9</f>
        <v>1574100</v>
      </c>
      <c r="AL188" s="381">
        <v>0</v>
      </c>
      <c r="AM188" s="379" t="str">
        <f t="shared" si="15"/>
        <v>INSERT INTO ListedPrice
(ProductId,ActiveDate,Channel,Price)
VALUES(87,'2020-05-01','MT',1574100)</v>
      </c>
      <c r="AN188" s="292"/>
      <c r="AO188" s="292"/>
    </row>
    <row r="189" spans="1:41" s="286" customFormat="1">
      <c r="A189" s="337">
        <v>7211003437</v>
      </c>
      <c r="B189" s="298" t="s">
        <v>529</v>
      </c>
      <c r="C189" s="290">
        <f>VLOOKUP(B189,Sheet1!$B$17:$C$451,2,0)</f>
        <v>88</v>
      </c>
      <c r="D189" s="291" t="s">
        <v>1150</v>
      </c>
      <c r="E189" s="291" t="s">
        <v>969</v>
      </c>
      <c r="F189" s="299" t="s">
        <v>40</v>
      </c>
      <c r="G189" s="299" t="s">
        <v>563</v>
      </c>
      <c r="H189" s="290" t="s">
        <v>356</v>
      </c>
      <c r="I189" s="291" t="s">
        <v>662</v>
      </c>
      <c r="J189" s="298"/>
      <c r="K189" s="300" t="s">
        <v>873</v>
      </c>
      <c r="L189" s="293" t="str">
        <f t="shared" si="13"/>
        <v>INSERT INTO Product (CMMF,Model,BarCode,Capacity,[Type],Product,[Range],[ModelName],[Color],[Status]) VALUES
('7211003437','KI810D30','3045380034372','1.5L','SDA','Tefal',N'Bình đun',N'Theia',N'','To be discontinued')</v>
      </c>
      <c r="M189" s="292" t="s">
        <v>877</v>
      </c>
      <c r="N189" s="292" t="s">
        <v>683</v>
      </c>
      <c r="O189" s="292" t="s">
        <v>1487</v>
      </c>
      <c r="P189" s="292" t="str">
        <f>"INSERT INTO ProductByAccount
( ProductId,AccountId)VALUES
("&amp;C189&amp;",1029)"</f>
        <v>INSERT INTO ProductByAccount
( ProductId,AccountId)VALUES
(88,1029)</v>
      </c>
      <c r="Q189" s="292"/>
      <c r="R189" s="292"/>
      <c r="S189" s="292"/>
      <c r="T189" s="292"/>
      <c r="U189" s="292" t="s">
        <v>872</v>
      </c>
      <c r="V189" s="292" t="str">
        <f>"INSERT INTO ProductByAccount
( ProductId,AccountId)VALUES
("&amp;C189&amp;",1032)"</f>
        <v>INSERT INTO ProductByAccount
( ProductId,AccountId)VALUES
(88,1032)</v>
      </c>
      <c r="W189" s="292"/>
      <c r="X189" s="292"/>
      <c r="Y189" s="292"/>
      <c r="Z189" s="292"/>
      <c r="AA189" s="292"/>
      <c r="AB189" s="292"/>
      <c r="AC189" s="292"/>
      <c r="AD189" s="292"/>
      <c r="AE189" s="292"/>
      <c r="AF189" s="292"/>
      <c r="AG189" s="292"/>
      <c r="AH189" s="292"/>
      <c r="AI189" s="292"/>
      <c r="AJ189" s="292"/>
      <c r="AK189" s="380">
        <v>908181.81818181812</v>
      </c>
      <c r="AL189" s="381">
        <v>726364</v>
      </c>
      <c r="AM189" s="379" t="str">
        <f>"INSERT INTO ListedPrice
(ProductId,ActiveDate,Channel,Price)
VALUES("&amp;C189&amp;",'2020-05-01','GT',"&amp;AL189&amp;")"</f>
        <v>INSERT INTO ListedPrice
(ProductId,ActiveDate,Channel,Price)
VALUES(88,'2020-05-01','GT',726364)</v>
      </c>
      <c r="AN189" s="292"/>
      <c r="AO189" s="292"/>
    </row>
    <row r="190" spans="1:41" s="286" customFormat="1">
      <c r="A190" s="337">
        <v>7211003444</v>
      </c>
      <c r="B190" s="298" t="s">
        <v>517</v>
      </c>
      <c r="C190" s="290">
        <f>VLOOKUP(B190,Sheet1!$B$17:$C$451,2,0)</f>
        <v>89</v>
      </c>
      <c r="D190" s="291" t="s">
        <v>1151</v>
      </c>
      <c r="E190" s="291" t="s">
        <v>969</v>
      </c>
      <c r="F190" s="299" t="s">
        <v>40</v>
      </c>
      <c r="G190" s="299" t="s">
        <v>563</v>
      </c>
      <c r="H190" s="290" t="s">
        <v>356</v>
      </c>
      <c r="I190" s="291" t="s">
        <v>661</v>
      </c>
      <c r="J190" s="298"/>
      <c r="K190" s="300" t="s">
        <v>873</v>
      </c>
      <c r="L190" s="293" t="str">
        <f t="shared" si="13"/>
        <v>INSERT INTO Product (CMMF,Model,BarCode,Capacity,[Type],Product,[Range],[ModelName],[Color],[Status]) VALUES
('7211003444','KI820565','3045386380428','1.5L','SDA','Tefal',N'Bình đun',N'Theia Control',N'','To be discontinued')</v>
      </c>
      <c r="M190" s="292" t="s">
        <v>877</v>
      </c>
      <c r="N190" s="292" t="s">
        <v>683</v>
      </c>
      <c r="O190" s="292" t="s">
        <v>1487</v>
      </c>
      <c r="P190" s="292" t="str">
        <f>"INSERT INTO ProductByAccount
( ProductId,AccountId)VALUES
("&amp;C190&amp;",1029)"</f>
        <v>INSERT INTO ProductByAccount
( ProductId,AccountId)VALUES
(89,1029)</v>
      </c>
      <c r="Q190" s="292"/>
      <c r="R190" s="292"/>
      <c r="S190" s="292"/>
      <c r="T190" s="292"/>
      <c r="U190" s="292" t="s">
        <v>872</v>
      </c>
      <c r="V190" s="292" t="str">
        <f>"INSERT INTO ProductByAccount
( ProductId,AccountId)VALUES
("&amp;C190&amp;",1032)"</f>
        <v>INSERT INTO ProductByAccount
( ProductId,AccountId)VALUES
(89,1032)</v>
      </c>
      <c r="W190" s="292" t="s">
        <v>872</v>
      </c>
      <c r="X190" s="292" t="str">
        <f>"INSERT INTO ProductByAccount
( ProductId,AccountId)VALUES
("&amp;C190&amp;",1033)"</f>
        <v>INSERT INTO ProductByAccount
( ProductId,AccountId)VALUES
(89,1033)</v>
      </c>
      <c r="Y190" s="292"/>
      <c r="Z190" s="292"/>
      <c r="AA190" s="292"/>
      <c r="AB190" s="292"/>
      <c r="AC190" s="300" t="s">
        <v>873</v>
      </c>
      <c r="AD190" s="292" t="str">
        <f>"INSERT INTO ProductByAccount
( ProductId,AccountId)VALUES
("&amp;C190&amp;",1036)"</f>
        <v>INSERT INTO ProductByAccount
( ProductId,AccountId)VALUES
(89,1036)</v>
      </c>
      <c r="AE190" s="292"/>
      <c r="AF190" s="292"/>
      <c r="AG190" s="292"/>
      <c r="AH190" s="292"/>
      <c r="AI190" s="292"/>
      <c r="AJ190" s="292"/>
      <c r="AK190" s="380">
        <v>1253636.3636363635</v>
      </c>
      <c r="AL190" s="381">
        <v>999091</v>
      </c>
      <c r="AM190" s="379" t="str">
        <f>"INSERT INTO ListedPrice
(ProductId,ActiveDate,Channel,Price)
VALUES("&amp;C190&amp;",'2020-05-01','GT',"&amp;AL190&amp;")"</f>
        <v>INSERT INTO ListedPrice
(ProductId,ActiveDate,Channel,Price)
VALUES(89,'2020-05-01','GT',999091)</v>
      </c>
      <c r="AN190" s="292"/>
      <c r="AO190" s="292"/>
    </row>
    <row r="191" spans="1:41" s="285" customFormat="1">
      <c r="A191" s="347">
        <v>7211001702</v>
      </c>
      <c r="B191" s="294" t="s">
        <v>1412</v>
      </c>
      <c r="C191" s="290">
        <f>VLOOKUP(B191,Sheet1!$B$17:$C$451,2,0)</f>
        <v>90</v>
      </c>
      <c r="D191" s="295" t="s">
        <v>1413</v>
      </c>
      <c r="E191" s="295"/>
      <c r="F191" s="295" t="s">
        <v>40</v>
      </c>
      <c r="G191" s="295" t="s">
        <v>563</v>
      </c>
      <c r="H191" s="294" t="s">
        <v>356</v>
      </c>
      <c r="I191" s="295"/>
      <c r="J191" s="294"/>
      <c r="K191" s="296" t="s">
        <v>623</v>
      </c>
      <c r="L191" s="293" t="str">
        <f t="shared" si="13"/>
        <v>INSERT INTO Product (CMMF,Model,BarCode,Capacity,[Type],Product,[Range],[ModelName],[Color],[Status]) VALUES
('7211001702','KO370840','3045386369010','','SDA','Tefal',N'Bình đun',N'',N'','Discontinued')</v>
      </c>
      <c r="M191" s="333" t="s">
        <v>877</v>
      </c>
      <c r="N191" s="333" t="s">
        <v>683</v>
      </c>
      <c r="O191" s="292"/>
      <c r="P191" s="292"/>
      <c r="Q191" s="292"/>
      <c r="R191" s="292"/>
      <c r="S191" s="292"/>
      <c r="T191" s="292"/>
      <c r="U191" s="292"/>
      <c r="V191" s="292"/>
      <c r="W191" s="292"/>
      <c r="X191" s="292"/>
      <c r="Y191" s="292"/>
      <c r="Z191" s="292"/>
      <c r="AA191" s="292"/>
      <c r="AB191" s="292"/>
      <c r="AC191" s="292"/>
      <c r="AD191" s="292"/>
      <c r="AE191" s="296"/>
      <c r="AF191" s="296"/>
      <c r="AG191" s="292"/>
      <c r="AH191" s="292"/>
      <c r="AI191" s="292"/>
      <c r="AJ191" s="292"/>
      <c r="AK191" s="308"/>
      <c r="AL191" s="381"/>
      <c r="AM191" s="379" t="str">
        <f t="shared" ref="AM191:AM200" si="16">"INSERT INTO ListedPrice
(ProductId,ActiveDate,Channel,Price)
VALUES("&amp;C191&amp;",'2020-05-01','MT',"&amp;AK191&amp;")"</f>
        <v>INSERT INTO ListedPrice
(ProductId,ActiveDate,Channel,Price)
VALUES(90,'2020-05-01','MT',)</v>
      </c>
      <c r="AN191" s="296"/>
      <c r="AO191" s="296"/>
    </row>
    <row r="192" spans="1:41" s="285" customFormat="1">
      <c r="A192" s="347">
        <v>7211000490</v>
      </c>
      <c r="B192" s="294" t="s">
        <v>360</v>
      </c>
      <c r="C192" s="290">
        <f>VLOOKUP(B192,Sheet1!$B$17:$C$451,2,0)</f>
        <v>91</v>
      </c>
      <c r="D192" s="295" t="s">
        <v>1427</v>
      </c>
      <c r="E192" s="295" t="s">
        <v>970</v>
      </c>
      <c r="F192" s="295" t="s">
        <v>40</v>
      </c>
      <c r="G192" s="295" t="s">
        <v>563</v>
      </c>
      <c r="H192" s="294" t="s">
        <v>356</v>
      </c>
      <c r="I192" s="295"/>
      <c r="J192" s="294"/>
      <c r="K192" s="296" t="s">
        <v>623</v>
      </c>
      <c r="L192" s="293" t="str">
        <f t="shared" si="13"/>
        <v>INSERT INTO Product (CMMF,Model,BarCode,Capacity,[Type],Product,[Range],[ModelName],[Color],[Status]) VALUES
('7211000490','BF2731MS','3016661132278','1.7L','SDA','Tefal',N'Bình đun',N'',N'','Discontinued')</v>
      </c>
      <c r="M192" s="333" t="s">
        <v>877</v>
      </c>
      <c r="N192" s="333" t="s">
        <v>683</v>
      </c>
      <c r="O192" s="292"/>
      <c r="P192" s="292"/>
      <c r="Q192" s="292"/>
      <c r="R192" s="292"/>
      <c r="S192" s="292"/>
      <c r="T192" s="292"/>
      <c r="U192" s="292"/>
      <c r="V192" s="292"/>
      <c r="W192" s="292"/>
      <c r="X192" s="292"/>
      <c r="Y192" s="292"/>
      <c r="Z192" s="292"/>
      <c r="AA192" s="292"/>
      <c r="AB192" s="292"/>
      <c r="AC192" s="292"/>
      <c r="AD192" s="292"/>
      <c r="AE192" s="296"/>
      <c r="AF192" s="296"/>
      <c r="AG192" s="292"/>
      <c r="AH192" s="292"/>
      <c r="AI192" s="292"/>
      <c r="AJ192" s="292"/>
      <c r="AK192" s="308"/>
      <c r="AL192" s="381"/>
      <c r="AM192" s="379" t="str">
        <f t="shared" si="16"/>
        <v>INSERT INTO ListedPrice
(ProductId,ActiveDate,Channel,Price)
VALUES(91,'2020-05-01','MT',)</v>
      </c>
      <c r="AN192" s="296"/>
      <c r="AO192" s="296"/>
    </row>
    <row r="193" spans="1:41" s="287" customFormat="1">
      <c r="A193" s="338">
        <v>7211003326</v>
      </c>
      <c r="B193" s="301" t="s">
        <v>1342</v>
      </c>
      <c r="C193" s="290">
        <f>VLOOKUP(B193,Sheet1!$B$17:$C$451,2,0)</f>
        <v>92</v>
      </c>
      <c r="D193" s="291" t="s">
        <v>1343</v>
      </c>
      <c r="E193" s="291"/>
      <c r="F193" s="302" t="s">
        <v>40</v>
      </c>
      <c r="G193" s="302" t="s">
        <v>563</v>
      </c>
      <c r="H193" s="302" t="s">
        <v>1364</v>
      </c>
      <c r="I193" s="291"/>
      <c r="J193" s="301"/>
      <c r="K193" s="303" t="s">
        <v>516</v>
      </c>
      <c r="L193" s="293" t="str">
        <f t="shared" si="13"/>
        <v>INSERT INTO Product (CMMF,Model,BarCode,Capacity,[Type],Product,[Range],[ModelName],[Color],[Status]) VALUES
('7211003326','BL815EKR','3016661153297','','SDA','Tefal',N'Sinh Tố',N'',N'','New')</v>
      </c>
      <c r="M193" s="292" t="s">
        <v>877</v>
      </c>
      <c r="N193" s="292"/>
      <c r="O193" s="292"/>
      <c r="P193" s="292"/>
      <c r="Q193" s="292"/>
      <c r="R193" s="292"/>
      <c r="S193" s="292"/>
      <c r="T193" s="292"/>
      <c r="U193" s="292"/>
      <c r="V193" s="292"/>
      <c r="W193" s="292"/>
      <c r="X193" s="292"/>
      <c r="Y193" s="292"/>
      <c r="Z193" s="292"/>
      <c r="AA193" s="292"/>
      <c r="AB193" s="292"/>
      <c r="AC193" s="292"/>
      <c r="AD193" s="292"/>
      <c r="AE193" s="292"/>
      <c r="AF193" s="292"/>
      <c r="AG193" s="292"/>
      <c r="AH193" s="292"/>
      <c r="AI193" s="292"/>
      <c r="AJ193" s="292"/>
      <c r="AK193" s="380">
        <f>2989000*0.9</f>
        <v>2690100</v>
      </c>
      <c r="AL193" s="381">
        <v>0</v>
      </c>
      <c r="AM193" s="379" t="str">
        <f t="shared" si="16"/>
        <v>INSERT INTO ListedPrice
(ProductId,ActiveDate,Channel,Price)
VALUES(92,'2020-05-01','MT',2690100)</v>
      </c>
      <c r="AN193" s="292"/>
      <c r="AO193" s="292"/>
    </row>
    <row r="194" spans="1:41" s="287" customFormat="1">
      <c r="A194" s="338">
        <v>7211004136</v>
      </c>
      <c r="B194" s="301" t="s">
        <v>753</v>
      </c>
      <c r="C194" s="290">
        <f>VLOOKUP(B194,Sheet1!$B$17:$C$451,2,0)</f>
        <v>93</v>
      </c>
      <c r="D194" s="291" t="s">
        <v>1115</v>
      </c>
      <c r="E194" s="291"/>
      <c r="F194" s="302" t="s">
        <v>40</v>
      </c>
      <c r="G194" s="302" t="s">
        <v>563</v>
      </c>
      <c r="H194" s="302" t="s">
        <v>1364</v>
      </c>
      <c r="I194" s="291"/>
      <c r="J194" s="301"/>
      <c r="K194" s="303" t="s">
        <v>516</v>
      </c>
      <c r="L194" s="293" t="str">
        <f t="shared" si="13"/>
        <v>INSERT INTO Product (CMMF,Model,BarCode,Capacity,[Type],Product,[Range],[ModelName],[Color],[Status]) VALUES
('7211004136','BL967B66','3016661159343','','SDA','Tefal',N'Sinh Tố',N'',N'','New')</v>
      </c>
      <c r="M194" s="292" t="s">
        <v>877</v>
      </c>
      <c r="N194" s="292"/>
      <c r="O194" s="292"/>
      <c r="P194" s="292"/>
      <c r="Q194" s="292"/>
      <c r="R194" s="292"/>
      <c r="S194" s="292"/>
      <c r="T194" s="292"/>
      <c r="U194" s="292"/>
      <c r="V194" s="292"/>
      <c r="W194" s="292"/>
      <c r="X194" s="292"/>
      <c r="Y194" s="292"/>
      <c r="Z194" s="292"/>
      <c r="AA194" s="292"/>
      <c r="AB194" s="292"/>
      <c r="AC194" s="292"/>
      <c r="AD194" s="292"/>
      <c r="AE194" s="292"/>
      <c r="AF194" s="292"/>
      <c r="AG194" s="292"/>
      <c r="AH194" s="292"/>
      <c r="AI194" s="292"/>
      <c r="AJ194" s="292"/>
      <c r="AK194" s="380">
        <f>4329000*0.9</f>
        <v>3896100</v>
      </c>
      <c r="AL194" s="381">
        <v>0</v>
      </c>
      <c r="AM194" s="379" t="str">
        <f t="shared" si="16"/>
        <v>INSERT INTO ListedPrice
(ProductId,ActiveDate,Channel,Price)
VALUES(93,'2020-05-01','MT',3896100)</v>
      </c>
      <c r="AN194" s="292"/>
      <c r="AO194" s="292"/>
    </row>
    <row r="195" spans="1:41" s="287" customFormat="1">
      <c r="A195" s="338">
        <v>8010000553</v>
      </c>
      <c r="B195" s="301" t="s">
        <v>750</v>
      </c>
      <c r="C195" s="290">
        <f>VLOOKUP(B195,Sheet1!$B$17:$C$451,2,0)</f>
        <v>94</v>
      </c>
      <c r="D195" s="291" t="s">
        <v>1118</v>
      </c>
      <c r="E195" s="291"/>
      <c r="F195" s="302" t="s">
        <v>40</v>
      </c>
      <c r="G195" s="302" t="s">
        <v>563</v>
      </c>
      <c r="H195" s="302" t="s">
        <v>1364</v>
      </c>
      <c r="I195" s="291"/>
      <c r="J195" s="301"/>
      <c r="K195" s="303" t="s">
        <v>516</v>
      </c>
      <c r="L195" s="293" t="str">
        <f t="shared" si="13"/>
        <v>INSERT INTO Product (CMMF,Model,BarCode,Capacity,[Type],Product,[Range],[ModelName],[Color],[Status]) VALUES
('8010000553','BL2A1166','3016661154904','','SDA','Tefal',N'Sinh Tố',N'',N'','New')</v>
      </c>
      <c r="M195" s="292" t="s">
        <v>877</v>
      </c>
      <c r="N195" s="292"/>
      <c r="O195" s="292"/>
      <c r="P195" s="292"/>
      <c r="Q195" s="292"/>
      <c r="R195" s="292"/>
      <c r="S195" s="292"/>
      <c r="T195" s="292"/>
      <c r="U195" s="292"/>
      <c r="V195" s="292"/>
      <c r="W195" s="292"/>
      <c r="X195" s="292"/>
      <c r="Y195" s="292"/>
      <c r="Z195" s="292"/>
      <c r="AA195" s="292"/>
      <c r="AB195" s="292"/>
      <c r="AC195" s="292"/>
      <c r="AD195" s="292"/>
      <c r="AE195" s="292"/>
      <c r="AF195" s="292"/>
      <c r="AG195" s="292"/>
      <c r="AH195" s="292"/>
      <c r="AI195" s="292"/>
      <c r="AJ195" s="292"/>
      <c r="AK195" s="329"/>
      <c r="AL195" s="381">
        <v>0</v>
      </c>
      <c r="AM195" s="379" t="str">
        <f t="shared" si="16"/>
        <v>INSERT INTO ListedPrice
(ProductId,ActiveDate,Channel,Price)
VALUES(94,'2020-05-01','MT',)</v>
      </c>
      <c r="AN195" s="292"/>
      <c r="AO195" s="292"/>
    </row>
    <row r="196" spans="1:41" s="287" customFormat="1">
      <c r="A196" s="338">
        <v>7211004067</v>
      </c>
      <c r="B196" s="301" t="s">
        <v>752</v>
      </c>
      <c r="C196" s="290">
        <f>VLOOKUP(B196,Sheet1!$B$17:$C$451,2,0)</f>
        <v>95</v>
      </c>
      <c r="D196" s="291" t="s">
        <v>1123</v>
      </c>
      <c r="E196" s="291"/>
      <c r="F196" s="302" t="s">
        <v>40</v>
      </c>
      <c r="G196" s="302" t="s">
        <v>563</v>
      </c>
      <c r="H196" s="302" t="s">
        <v>1364</v>
      </c>
      <c r="I196" s="291"/>
      <c r="J196" s="301"/>
      <c r="K196" s="303" t="s">
        <v>516</v>
      </c>
      <c r="L196" s="293" t="str">
        <f t="shared" si="13"/>
        <v>INSERT INTO Product (CMMF,Model,BarCode,Capacity,[Type],Product,[Range],[ModelName],[Color],[Status]) VALUES
('7211004067','BL42Q166','3016661158551','','SDA','Tefal',N'Sinh Tố',N'',N'','New')</v>
      </c>
      <c r="M196" s="292" t="s">
        <v>877</v>
      </c>
      <c r="N196" s="292"/>
      <c r="O196" s="292"/>
      <c r="P196" s="292"/>
      <c r="Q196" s="292"/>
      <c r="R196" s="292"/>
      <c r="S196" s="292"/>
      <c r="T196" s="292"/>
      <c r="U196" s="292"/>
      <c r="V196" s="292"/>
      <c r="W196" s="292"/>
      <c r="X196" s="292"/>
      <c r="Y196" s="292"/>
      <c r="Z196" s="292"/>
      <c r="AA196" s="292"/>
      <c r="AB196" s="292"/>
      <c r="AC196" s="292"/>
      <c r="AD196" s="292"/>
      <c r="AE196" s="292"/>
      <c r="AF196" s="292"/>
      <c r="AG196" s="292"/>
      <c r="AH196" s="292"/>
      <c r="AI196" s="292"/>
      <c r="AJ196" s="292"/>
      <c r="AK196" s="380">
        <f>1690000*0.9</f>
        <v>1521000</v>
      </c>
      <c r="AL196" s="381">
        <v>0</v>
      </c>
      <c r="AM196" s="379" t="str">
        <f t="shared" si="16"/>
        <v>INSERT INTO ListedPrice
(ProductId,ActiveDate,Channel,Price)
VALUES(95,'2020-05-01','MT',1521000)</v>
      </c>
      <c r="AN196" s="292"/>
      <c r="AO196" s="292"/>
    </row>
    <row r="197" spans="1:41" s="287" customFormat="1">
      <c r="A197" s="338">
        <v>7211003692</v>
      </c>
      <c r="B197" s="301" t="s">
        <v>751</v>
      </c>
      <c r="C197" s="290">
        <f>VLOOKUP(B197,Sheet1!$B$17:$C$451,2,0)</f>
        <v>96</v>
      </c>
      <c r="D197" s="291" t="s">
        <v>1124</v>
      </c>
      <c r="E197" s="291"/>
      <c r="F197" s="302" t="s">
        <v>40</v>
      </c>
      <c r="G197" s="302" t="s">
        <v>563</v>
      </c>
      <c r="H197" s="302" t="s">
        <v>1364</v>
      </c>
      <c r="I197" s="291"/>
      <c r="J197" s="301"/>
      <c r="K197" s="303" t="s">
        <v>516</v>
      </c>
      <c r="L197" s="293" t="str">
        <f t="shared" si="13"/>
        <v>INSERT INTO Product (CMMF,Model,BarCode,Capacity,[Type],Product,[Range],[ModelName],[Color],[Status]) VALUES
('7211003692','BL42S166','3016661156151','','SDA','Tefal',N'Sinh Tố',N'',N'','New')</v>
      </c>
      <c r="M197" s="292" t="s">
        <v>877</v>
      </c>
      <c r="N197" s="292"/>
      <c r="O197" s="292"/>
      <c r="P197" s="292"/>
      <c r="Q197" s="292"/>
      <c r="R197" s="292"/>
      <c r="S197" s="292"/>
      <c r="T197" s="292"/>
      <c r="U197" s="292"/>
      <c r="V197" s="292"/>
      <c r="W197" s="292"/>
      <c r="X197" s="292"/>
      <c r="Y197" s="292"/>
      <c r="Z197" s="292"/>
      <c r="AA197" s="292"/>
      <c r="AB197" s="292"/>
      <c r="AC197" s="292"/>
      <c r="AD197" s="292"/>
      <c r="AE197" s="292"/>
      <c r="AF197" s="292"/>
      <c r="AG197" s="292"/>
      <c r="AH197" s="292"/>
      <c r="AI197" s="292"/>
      <c r="AJ197" s="292"/>
      <c r="AK197" s="329"/>
      <c r="AL197" s="381">
        <v>0</v>
      </c>
      <c r="AM197" s="379" t="str">
        <f t="shared" si="16"/>
        <v>INSERT INTO ListedPrice
(ProductId,ActiveDate,Channel,Price)
VALUES(96,'2020-05-01','MT',)</v>
      </c>
      <c r="AN197" s="292"/>
      <c r="AO197" s="292"/>
    </row>
    <row r="198" spans="1:41" s="286" customFormat="1">
      <c r="A198" s="353">
        <v>7211002427</v>
      </c>
      <c r="B198" s="298" t="s">
        <v>368</v>
      </c>
      <c r="C198" s="290">
        <f>VLOOKUP(B198,Sheet1!$B$17:$C$451,2,0)</f>
        <v>97</v>
      </c>
      <c r="D198" s="291" t="s">
        <v>1484</v>
      </c>
      <c r="E198" s="291"/>
      <c r="F198" s="299" t="s">
        <v>40</v>
      </c>
      <c r="G198" s="299" t="s">
        <v>563</v>
      </c>
      <c r="H198" s="302" t="s">
        <v>1364</v>
      </c>
      <c r="I198" s="291"/>
      <c r="J198" s="298"/>
      <c r="K198" s="297" t="s">
        <v>623</v>
      </c>
      <c r="L198" s="293" t="str">
        <f t="shared" si="13"/>
        <v>INSERT INTO Product (CMMF,Model,BarCode,Capacity,[Type],Product,[Range],[ModelName],[Color],[Status]) VALUES
('7211002427','BL307165','3016661147340','','SDA','Tefal',N'Sinh Tố',N'',N'','Discontinued')</v>
      </c>
      <c r="M198" s="333" t="s">
        <v>877</v>
      </c>
      <c r="N198" s="333" t="s">
        <v>683</v>
      </c>
      <c r="O198" s="292"/>
      <c r="P198" s="292"/>
      <c r="Q198" s="292"/>
      <c r="R198" s="292"/>
      <c r="S198" s="292"/>
      <c r="T198" s="292"/>
      <c r="U198" s="292"/>
      <c r="V198" s="292"/>
      <c r="W198" s="292"/>
      <c r="X198" s="292"/>
      <c r="Y198" s="292"/>
      <c r="Z198" s="292"/>
      <c r="AA198" s="292"/>
      <c r="AB198" s="292"/>
      <c r="AC198" s="292"/>
      <c r="AD198" s="292"/>
      <c r="AE198" s="292" t="s">
        <v>1485</v>
      </c>
      <c r="AF198" s="292" t="str">
        <f>"INSERT INTO ProductByAccount
( ProductId,AccountId)VALUES
("&amp;C198&amp;",1037)"</f>
        <v>INSERT INTO ProductByAccount
( ProductId,AccountId)VALUES
(97,1037)</v>
      </c>
      <c r="AG198" s="292"/>
      <c r="AH198" s="292"/>
      <c r="AI198" s="292"/>
      <c r="AJ198" s="292"/>
      <c r="AK198" s="329"/>
      <c r="AL198" s="381"/>
      <c r="AM198" s="379" t="str">
        <f t="shared" si="16"/>
        <v>INSERT INTO ListedPrice
(ProductId,ActiveDate,Channel,Price)
VALUES(97,'2020-05-01','MT',)</v>
      </c>
      <c r="AN198" s="292"/>
      <c r="AO198" s="292"/>
    </row>
    <row r="199" spans="1:41" s="285" customFormat="1">
      <c r="A199" s="339">
        <v>8000035779</v>
      </c>
      <c r="B199" s="297" t="s">
        <v>950</v>
      </c>
      <c r="C199" s="290">
        <f>VLOOKUP(B199,Sheet1!$B$17:$C$451,2,0)</f>
        <v>98</v>
      </c>
      <c r="D199" s="291" t="s">
        <v>1141</v>
      </c>
      <c r="E199" s="291"/>
      <c r="F199" s="296" t="s">
        <v>40</v>
      </c>
      <c r="G199" s="296" t="s">
        <v>563</v>
      </c>
      <c r="H199" s="295" t="s">
        <v>1375</v>
      </c>
      <c r="I199" s="291"/>
      <c r="J199" s="297" t="s">
        <v>951</v>
      </c>
      <c r="K199" s="297" t="s">
        <v>623</v>
      </c>
      <c r="L199" s="293" t="str">
        <f t="shared" si="13"/>
        <v>INSERT INTO Product (CMMF,Model,BarCode,Capacity,[Type],Product,[Range],[ModelName],[Color],[Status]) VALUES
('8000035779','HB833840','3016661147494','','SDA','Tefal',N'Sinh tố cầm tay',N'',N'HANDBLEND/STICK MIXR','Discontinued')</v>
      </c>
      <c r="M199" s="333" t="s">
        <v>877</v>
      </c>
      <c r="N199" s="333" t="s">
        <v>683</v>
      </c>
      <c r="O199" s="292"/>
      <c r="P199" s="292"/>
      <c r="Q199" s="292"/>
      <c r="R199" s="292"/>
      <c r="S199" s="292"/>
      <c r="T199" s="292"/>
      <c r="U199" s="292"/>
      <c r="V199" s="292"/>
      <c r="W199" s="292"/>
      <c r="X199" s="292"/>
      <c r="Y199" s="292"/>
      <c r="Z199" s="292"/>
      <c r="AA199" s="292"/>
      <c r="AB199" s="292"/>
      <c r="AC199" s="292"/>
      <c r="AD199" s="292"/>
      <c r="AE199" s="292"/>
      <c r="AF199" s="292"/>
      <c r="AG199" s="292"/>
      <c r="AH199" s="292"/>
      <c r="AI199" s="292"/>
      <c r="AJ199" s="292"/>
      <c r="AK199" s="380">
        <v>2473546</v>
      </c>
      <c r="AL199" s="381">
        <v>0</v>
      </c>
      <c r="AM199" s="379" t="str">
        <f t="shared" si="16"/>
        <v>INSERT INTO ListedPrice
(ProductId,ActiveDate,Channel,Price)
VALUES(98,'2020-05-01','MT',2473546)</v>
      </c>
      <c r="AN199" s="292"/>
      <c r="AO199" s="292"/>
    </row>
    <row r="200" spans="1:41" s="286" customFormat="1">
      <c r="A200" s="337">
        <v>7211002524</v>
      </c>
      <c r="B200" s="298" t="s">
        <v>447</v>
      </c>
      <c r="C200" s="290">
        <f>VLOOKUP(B200,Sheet1!$B$17:$C$451,2,0)</f>
        <v>99</v>
      </c>
      <c r="D200" s="291" t="s">
        <v>1113</v>
      </c>
      <c r="E200" s="291" t="s">
        <v>965</v>
      </c>
      <c r="F200" s="299" t="s">
        <v>40</v>
      </c>
      <c r="G200" s="299" t="s">
        <v>563</v>
      </c>
      <c r="H200" s="299" t="s">
        <v>1366</v>
      </c>
      <c r="I200" s="291" t="s">
        <v>648</v>
      </c>
      <c r="J200" s="298"/>
      <c r="K200" s="300" t="s">
        <v>873</v>
      </c>
      <c r="L200" s="293" t="str">
        <f t="shared" si="13"/>
        <v>INSERT INTO Product (CMMF,Model,BarCode,Capacity,[Type],Product,[Range],[ModelName],[Color],[Status]) VALUES
('7211002524','BL133AKR','3016661148248','0.6 L','SDA','Tefal',N'Máy Ép Trái Cây',N'Mix&amp;Drink',N'','To be discontinued')</v>
      </c>
      <c r="M200" s="292" t="s">
        <v>877</v>
      </c>
      <c r="N200" s="292"/>
      <c r="O200" s="292"/>
      <c r="P200" s="292"/>
      <c r="Q200" s="292"/>
      <c r="R200" s="292"/>
      <c r="S200" s="292" t="s">
        <v>872</v>
      </c>
      <c r="T200" s="292" t="str">
        <f>"INSERT INTO ProductByAccount
( ProductId,AccountId)VALUES
("&amp;C200&amp;",1031)"</f>
        <v>INSERT INTO ProductByAccount
( ProductId,AccountId)VALUES
(99,1031)</v>
      </c>
      <c r="U200" s="292"/>
      <c r="V200" s="292"/>
      <c r="W200" s="292" t="s">
        <v>1486</v>
      </c>
      <c r="X200" s="292" t="str">
        <f>"INSERT INTO ProductByAccount
( ProductId,AccountId)VALUES
("&amp;C200&amp;",1033)"</f>
        <v>INSERT INTO ProductByAccount
( ProductId,AccountId)VALUES
(99,1033)</v>
      </c>
      <c r="Y200" s="292" t="s">
        <v>872</v>
      </c>
      <c r="Z200" s="292" t="str">
        <f>"INSERT INTO ProductByAccount
( ProductId,AccountId)VALUES
("&amp;C200&amp;",1034)"</f>
        <v>INSERT INTO ProductByAccount
( ProductId,AccountId)VALUES
(99,1034)</v>
      </c>
      <c r="AA200" s="300" t="s">
        <v>873</v>
      </c>
      <c r="AB200" s="292" t="str">
        <f>"INSERT INTO ProductByAccount
( ProductId,AccountId)VALUES
("&amp;C200&amp;",1035)"</f>
        <v>INSERT INTO ProductByAccount
( ProductId,AccountId)VALUES
(99,1035)</v>
      </c>
      <c r="AC200" s="292"/>
      <c r="AD200" s="292"/>
      <c r="AE200" s="292"/>
      <c r="AF200" s="292"/>
      <c r="AG200" s="292"/>
      <c r="AH200" s="292"/>
      <c r="AI200" s="292"/>
      <c r="AJ200" s="292"/>
      <c r="AK200" s="380">
        <v>1026363.6363636362</v>
      </c>
      <c r="AL200" s="381">
        <v>0</v>
      </c>
      <c r="AM200" s="379" t="str">
        <f t="shared" si="16"/>
        <v>INSERT INTO ListedPrice
(ProductId,ActiveDate,Channel,Price)
VALUES(99,'2020-05-01','MT',1026363.63636364)</v>
      </c>
      <c r="AN200" s="292"/>
      <c r="AO200" s="292"/>
    </row>
    <row r="201" spans="1:41" s="286" customFormat="1">
      <c r="A201" s="340">
        <v>8010000165</v>
      </c>
      <c r="B201" s="305" t="s">
        <v>448</v>
      </c>
      <c r="C201" s="290">
        <f>VLOOKUP(B201,Sheet1!$B$17:$C$451,2,0)</f>
        <v>100</v>
      </c>
      <c r="D201" s="291" t="s">
        <v>1114</v>
      </c>
      <c r="E201" s="291"/>
      <c r="F201" s="299" t="s">
        <v>40</v>
      </c>
      <c r="G201" s="299" t="s">
        <v>563</v>
      </c>
      <c r="H201" s="299" t="s">
        <v>1366</v>
      </c>
      <c r="I201" s="291">
        <v>0</v>
      </c>
      <c r="J201" s="298"/>
      <c r="K201" s="300" t="s">
        <v>873</v>
      </c>
      <c r="L201" s="293" t="str">
        <f t="shared" si="13"/>
        <v>INSERT INTO Product (CMMF,Model,BarCode,Capacity,[Type],Product,[Range],[ModelName],[Color],[Status]) VALUES
('8010000165','BL1B1D39','3016661151897','','SDA','Tefal',N'Máy Ép Trái Cây',N'0',N'','To be discontinued')</v>
      </c>
      <c r="M201" s="292" t="s">
        <v>877</v>
      </c>
      <c r="N201" s="292" t="s">
        <v>683</v>
      </c>
      <c r="O201" s="292"/>
      <c r="P201" s="292"/>
      <c r="Q201" s="292"/>
      <c r="R201" s="292"/>
      <c r="S201" s="292" t="s">
        <v>872</v>
      </c>
      <c r="T201" s="292" t="str">
        <f>"INSERT INTO ProductByAccount
( ProductId,AccountId)VALUES
("&amp;C201&amp;",1031)"</f>
        <v>INSERT INTO ProductByAccount
( ProductId,AccountId)VALUES
(100,1031)</v>
      </c>
      <c r="U201" s="292" t="s">
        <v>872</v>
      </c>
      <c r="V201" s="292" t="str">
        <f>"INSERT INTO ProductByAccount
( ProductId,AccountId)VALUES
("&amp;C201&amp;",1032)"</f>
        <v>INSERT INTO ProductByAccount
( ProductId,AccountId)VALUES
(100,1032)</v>
      </c>
      <c r="W201" s="292" t="s">
        <v>872</v>
      </c>
      <c r="X201" s="292" t="str">
        <f>"INSERT INTO ProductByAccount
( ProductId,AccountId)VALUES
("&amp;C201&amp;",1033)"</f>
        <v>INSERT INTO ProductByAccount
( ProductId,AccountId)VALUES
(100,1033)</v>
      </c>
      <c r="Y201" s="292"/>
      <c r="Z201" s="292"/>
      <c r="AA201" s="292"/>
      <c r="AB201" s="292"/>
      <c r="AC201" s="292"/>
      <c r="AD201" s="292"/>
      <c r="AE201" s="292"/>
      <c r="AF201" s="292"/>
      <c r="AG201" s="292"/>
      <c r="AH201" s="292"/>
      <c r="AI201" s="292"/>
      <c r="AJ201" s="292"/>
      <c r="AK201" s="380">
        <v>1026363.6363636362</v>
      </c>
      <c r="AL201" s="381">
        <v>821818</v>
      </c>
      <c r="AM201" s="379" t="str">
        <f>"INSERT INTO ListedPrice
(ProductId,ActiveDate,Channel,Price)
VALUES("&amp;C201&amp;",'2020-05-01','GT',"&amp;AL201&amp;")"</f>
        <v>INSERT INTO ListedPrice
(ProductId,ActiveDate,Channel,Price)
VALUES(100,'2020-05-01','GT',821818)</v>
      </c>
      <c r="AN201" s="292"/>
      <c r="AO201" s="292"/>
    </row>
    <row r="202" spans="1:41" s="286" customFormat="1">
      <c r="A202" s="337">
        <v>7211001367</v>
      </c>
      <c r="B202" s="298" t="s">
        <v>442</v>
      </c>
      <c r="C202" s="290">
        <f>VLOOKUP(B202,Sheet1!$B$17:$C$451,2,0)</f>
        <v>101</v>
      </c>
      <c r="D202" s="291" t="s">
        <v>1116</v>
      </c>
      <c r="E202" s="291"/>
      <c r="F202" s="299" t="s">
        <v>40</v>
      </c>
      <c r="G202" s="299" t="s">
        <v>563</v>
      </c>
      <c r="H202" s="299" t="s">
        <v>1366</v>
      </c>
      <c r="I202" s="291">
        <v>0</v>
      </c>
      <c r="J202" s="298" t="s">
        <v>292</v>
      </c>
      <c r="K202" s="300" t="s">
        <v>873</v>
      </c>
      <c r="L202" s="293" t="str">
        <f t="shared" si="13"/>
        <v>INSERT INTO Product (CMMF,Model,BarCode,Capacity,[Type],Product,[Range],[ModelName],[Color],[Status]) VALUES
('7211001367','BL142A42','3016661142628','','SDA','Tefal',N'Máy Ép Trái Cây',N'0',N'Đen','To be discontinued')</v>
      </c>
      <c r="M202" s="292" t="s">
        <v>877</v>
      </c>
      <c r="N202" s="292" t="s">
        <v>683</v>
      </c>
      <c r="O202" s="292"/>
      <c r="P202" s="292"/>
      <c r="Q202" s="292"/>
      <c r="R202" s="292"/>
      <c r="S202" s="292" t="s">
        <v>1485</v>
      </c>
      <c r="T202" s="292" t="str">
        <f>"INSERT INTO ProductByAccount
( ProductId,AccountId)VALUES
("&amp;C202&amp;",1031)"</f>
        <v>INSERT INTO ProductByAccount
( ProductId,AccountId)VALUES
(101,1031)</v>
      </c>
      <c r="U202" s="292"/>
      <c r="V202" s="292"/>
      <c r="W202" s="292"/>
      <c r="X202" s="292"/>
      <c r="Y202" s="292"/>
      <c r="Z202" s="292"/>
      <c r="AA202" s="292"/>
      <c r="AB202" s="292"/>
      <c r="AC202" s="292"/>
      <c r="AD202" s="292"/>
      <c r="AE202" s="292" t="s">
        <v>1485</v>
      </c>
      <c r="AF202" s="292" t="str">
        <f>"INSERT INTO ProductByAccount
( ProductId,AccountId)VALUES
("&amp;C202&amp;",1037)"</f>
        <v>INSERT INTO ProductByAccount
( ProductId,AccountId)VALUES
(101,1037)</v>
      </c>
      <c r="AG202" s="292"/>
      <c r="AH202" s="292"/>
      <c r="AI202" s="292"/>
      <c r="AJ202" s="292"/>
      <c r="AK202" s="380">
        <v>1354546</v>
      </c>
      <c r="AL202" s="381">
        <v>1085455</v>
      </c>
      <c r="AM202" s="379" t="str">
        <f>"INSERT INTO ListedPrice
(ProductId,ActiveDate,Channel,Price)
VALUES("&amp;C202&amp;",'2020-05-01','GT',"&amp;AL202&amp;")"</f>
        <v>INSERT INTO ListedPrice
(ProductId,ActiveDate,Channel,Price)
VALUES(101,'2020-05-01','GT',1085455)</v>
      </c>
      <c r="AN202" s="292"/>
      <c r="AO202" s="292"/>
    </row>
    <row r="203" spans="1:41">
      <c r="A203" s="341">
        <v>8010000563</v>
      </c>
      <c r="B203" s="306" t="s">
        <v>450</v>
      </c>
      <c r="C203" s="290">
        <f>VLOOKUP(B203,Sheet1!$B$17:$C$451,2,0)</f>
        <v>102</v>
      </c>
      <c r="D203" s="291" t="s">
        <v>1117</v>
      </c>
      <c r="E203" s="291" t="s">
        <v>966</v>
      </c>
      <c r="F203" s="291" t="s">
        <v>40</v>
      </c>
      <c r="G203" s="291" t="s">
        <v>563</v>
      </c>
      <c r="H203" s="299" t="s">
        <v>1366</v>
      </c>
      <c r="I203" s="291" t="s">
        <v>649</v>
      </c>
      <c r="J203" s="290"/>
      <c r="K203" s="293" t="s">
        <v>872</v>
      </c>
      <c r="L203" s="293" t="str">
        <f t="shared" si="13"/>
        <v>INSERT INTO Product (CMMF,Model,BarCode,Capacity,[Type],Product,[Range],[ModelName],[Color],[Status]) VALUES
('8010000563','BL2A0166','3016661155055','1.25L','SDA','Tefal',N'Máy Ép Trái Cây',N'Blendeo',N'','On going')</v>
      </c>
      <c r="M203" s="292" t="s">
        <v>877</v>
      </c>
      <c r="N203" s="292" t="s">
        <v>683</v>
      </c>
      <c r="O203" s="292"/>
      <c r="P203" s="292"/>
      <c r="Q203" s="292"/>
      <c r="R203" s="292"/>
      <c r="S203" s="292" t="s">
        <v>872</v>
      </c>
      <c r="T203" s="292" t="str">
        <f>"INSERT INTO ProductByAccount
( ProductId,AccountId)VALUES
("&amp;C203&amp;",1031)"</f>
        <v>INSERT INTO ProductByAccount
( ProductId,AccountId)VALUES
(102,1031)</v>
      </c>
      <c r="U203" s="292"/>
      <c r="V203" s="292"/>
      <c r="W203" s="292" t="s">
        <v>1486</v>
      </c>
      <c r="X203" s="292" t="str">
        <f>"INSERT INTO ProductByAccount
( ProductId,AccountId)VALUES
("&amp;C203&amp;",1033)"</f>
        <v>INSERT INTO ProductByAccount
( ProductId,AccountId)VALUES
(102,1033)</v>
      </c>
      <c r="Y203" s="292"/>
      <c r="Z203" s="292"/>
      <c r="AA203" s="292"/>
      <c r="AB203" s="292"/>
      <c r="AC203" s="292"/>
      <c r="AD203" s="292"/>
      <c r="AE203" s="292"/>
      <c r="AF203" s="292"/>
      <c r="AG203" s="292"/>
      <c r="AH203" s="292"/>
      <c r="AI203" s="292"/>
      <c r="AJ203" s="292"/>
      <c r="AK203" s="380">
        <v>635454.54545454541</v>
      </c>
      <c r="AL203" s="381">
        <v>509091</v>
      </c>
      <c r="AM203" s="379" t="str">
        <f>"INSERT INTO ListedPrice
(ProductId,ActiveDate,Channel,Price)
VALUES("&amp;C203&amp;",'2020-05-01','GT',"&amp;AL203&amp;")"</f>
        <v>INSERT INTO ListedPrice
(ProductId,ActiveDate,Channel,Price)
VALUES(102,'2020-05-01','GT',509091)</v>
      </c>
      <c r="AN203" s="292"/>
      <c r="AO203" s="292"/>
    </row>
    <row r="204" spans="1:41" s="286" customFormat="1">
      <c r="A204" s="337">
        <v>7211000987</v>
      </c>
      <c r="B204" s="298" t="s">
        <v>449</v>
      </c>
      <c r="C204" s="290">
        <f>VLOOKUP(B204,Sheet1!$B$17:$C$451,2,0)</f>
        <v>103</v>
      </c>
      <c r="D204" s="291" t="s">
        <v>1119</v>
      </c>
      <c r="E204" s="291"/>
      <c r="F204" s="299" t="s">
        <v>40</v>
      </c>
      <c r="G204" s="299" t="s">
        <v>563</v>
      </c>
      <c r="H204" s="299" t="s">
        <v>1366</v>
      </c>
      <c r="I204" s="291">
        <v>0</v>
      </c>
      <c r="J204" s="298"/>
      <c r="K204" s="300" t="s">
        <v>873</v>
      </c>
      <c r="L204" s="293" t="str">
        <f t="shared" si="13"/>
        <v>INSERT INTO Product (CMMF,Model,BarCode,Capacity,[Type],Product,[Range],[ModelName],[Color],[Status]) VALUES
('7211000987','BL305840','3016661140600','','SDA','Tefal',N'Máy Ép Trái Cây',N'0',N'','To be discontinued')</v>
      </c>
      <c r="M204" s="292" t="s">
        <v>877</v>
      </c>
      <c r="N204" s="292"/>
      <c r="O204" s="292"/>
      <c r="P204" s="292"/>
      <c r="Q204" s="292"/>
      <c r="R204" s="292"/>
      <c r="S204" s="292"/>
      <c r="T204" s="292"/>
      <c r="U204" s="292"/>
      <c r="V204" s="292"/>
      <c r="W204" s="292"/>
      <c r="X204" s="292"/>
      <c r="Y204" s="292"/>
      <c r="Z204" s="292"/>
      <c r="AA204" s="292"/>
      <c r="AB204" s="292"/>
      <c r="AC204" s="292"/>
      <c r="AD204" s="292"/>
      <c r="AE204" s="292" t="s">
        <v>1485</v>
      </c>
      <c r="AF204" s="292" t="str">
        <f>"INSERT INTO ProductByAccount
( ProductId,AccountId)VALUES
("&amp;C204&amp;",1037)"</f>
        <v>INSERT INTO ProductByAccount
( ProductId,AccountId)VALUES
(103,1037)</v>
      </c>
      <c r="AG204" s="292"/>
      <c r="AH204" s="292"/>
      <c r="AI204" s="292"/>
      <c r="AJ204" s="292"/>
      <c r="AK204" s="380">
        <v>724410</v>
      </c>
      <c r="AL204" s="381"/>
      <c r="AM204" s="379" t="str">
        <f>"INSERT INTO ListedPrice
(ProductId,ActiveDate,Channel,Price)
VALUES("&amp;C204&amp;",'2020-05-01','MT',"&amp;AK204&amp;")"</f>
        <v>INSERT INTO ListedPrice
(ProductId,ActiveDate,Channel,Price)
VALUES(103,'2020-05-01','MT',724410)</v>
      </c>
      <c r="AN204" s="292"/>
      <c r="AO204" s="292"/>
    </row>
    <row r="205" spans="1:41" s="285" customFormat="1">
      <c r="A205" s="336">
        <v>7211002386</v>
      </c>
      <c r="B205" s="294" t="s">
        <v>527</v>
      </c>
      <c r="C205" s="290">
        <f>VLOOKUP(B205,Sheet1!$B$17:$C$451,2,0)</f>
        <v>104</v>
      </c>
      <c r="D205" s="291" t="s">
        <v>1120</v>
      </c>
      <c r="E205" s="291"/>
      <c r="F205" s="295" t="s">
        <v>40</v>
      </c>
      <c r="G205" s="295" t="s">
        <v>563</v>
      </c>
      <c r="H205" s="299" t="s">
        <v>1366</v>
      </c>
      <c r="I205" s="291">
        <v>0</v>
      </c>
      <c r="J205" s="294" t="s">
        <v>327</v>
      </c>
      <c r="K205" s="297" t="s">
        <v>623</v>
      </c>
      <c r="L205" s="293" t="str">
        <f t="shared" si="13"/>
        <v>INSERT INTO Product (CMMF,Model,BarCode,Capacity,[Type],Product,[Range],[ModelName],[Color],[Status]) VALUES
('7211002386','BL309166','3016661147210','','SDA','Tefal',N'Máy Ép Trái Cây',N'0',N'Trắng','Discontinued')</v>
      </c>
      <c r="M205" s="293"/>
      <c r="N205" s="292" t="s">
        <v>683</v>
      </c>
      <c r="O205" s="292"/>
      <c r="P205" s="292"/>
      <c r="Q205" s="292"/>
      <c r="R205" s="292"/>
      <c r="S205" s="292"/>
      <c r="T205" s="292"/>
      <c r="U205" s="292"/>
      <c r="V205" s="292"/>
      <c r="W205" s="292"/>
      <c r="X205" s="292"/>
      <c r="Y205" s="292"/>
      <c r="Z205" s="292"/>
      <c r="AA205" s="292"/>
      <c r="AB205" s="292"/>
      <c r="AC205" s="292"/>
      <c r="AD205" s="292"/>
      <c r="AE205" s="292" t="s">
        <v>872</v>
      </c>
      <c r="AF205" s="292" t="str">
        <f>"INSERT INTO ProductByAccount
( ProductId,AccountId)VALUES
("&amp;C205&amp;",1037)"</f>
        <v>INSERT INTO ProductByAccount
( ProductId,AccountId)VALUES
(104,1037)</v>
      </c>
      <c r="AG205" s="292"/>
      <c r="AH205" s="292"/>
      <c r="AI205" s="292"/>
      <c r="AJ205" s="292"/>
      <c r="AK205" s="380">
        <v>1791000</v>
      </c>
      <c r="AL205" s="381">
        <v>1449091</v>
      </c>
      <c r="AM205" s="379" t="str">
        <f t="shared" ref="AM205:AM211" si="17">"INSERT INTO ListedPrice
(ProductId,ActiveDate,Channel,Price)
VALUES("&amp;C205&amp;",'2020-05-01','GT',"&amp;AL205&amp;")"</f>
        <v>INSERT INTO ListedPrice
(ProductId,ActiveDate,Channel,Price)
VALUES(104,'2020-05-01','GT',1449091)</v>
      </c>
      <c r="AN205" s="292"/>
      <c r="AO205" s="292"/>
    </row>
    <row r="206" spans="1:41" s="285" customFormat="1">
      <c r="A206" s="336">
        <v>7211002429</v>
      </c>
      <c r="B206" s="294" t="s">
        <v>366</v>
      </c>
      <c r="C206" s="290">
        <f>VLOOKUP(B206,Sheet1!$B$17:$C$451,2,0)</f>
        <v>105</v>
      </c>
      <c r="D206" s="291" t="s">
        <v>1121</v>
      </c>
      <c r="E206" s="291"/>
      <c r="F206" s="295" t="s">
        <v>40</v>
      </c>
      <c r="G206" s="295" t="s">
        <v>563</v>
      </c>
      <c r="H206" s="299" t="s">
        <v>1366</v>
      </c>
      <c r="I206" s="291">
        <v>0</v>
      </c>
      <c r="J206" s="294" t="s">
        <v>327</v>
      </c>
      <c r="K206" s="297" t="s">
        <v>623</v>
      </c>
      <c r="L206" s="293" t="str">
        <f t="shared" si="13"/>
        <v>INSERT INTO Product (CMMF,Model,BarCode,Capacity,[Type],Product,[Range],[ModelName],[Color],[Status]) VALUES
('7211002429','BL30A165','3016661147357','','SDA','Tefal',N'Máy Ép Trái Cây',N'0',N'Trắng','Discontinued')</v>
      </c>
      <c r="M206" s="293"/>
      <c r="N206" s="292" t="s">
        <v>683</v>
      </c>
      <c r="O206" s="292"/>
      <c r="P206" s="292"/>
      <c r="Q206" s="292"/>
      <c r="R206" s="292"/>
      <c r="S206" s="292" t="s">
        <v>516</v>
      </c>
      <c r="T206" s="292" t="str">
        <f>"INSERT INTO ProductByAccount
( ProductId,AccountId)VALUES
("&amp;C206&amp;",1031)"</f>
        <v>INSERT INTO ProductByAccount
( ProductId,AccountId)VALUES
(105,1031)</v>
      </c>
      <c r="U206" s="292"/>
      <c r="V206" s="292"/>
      <c r="W206" s="292" t="s">
        <v>1486</v>
      </c>
      <c r="X206" s="292" t="str">
        <f>"INSERT INTO ProductByAccount
( ProductId,AccountId)VALUES
("&amp;C206&amp;",1033)"</f>
        <v>INSERT INTO ProductByAccount
( ProductId,AccountId)VALUES
(105,1033)</v>
      </c>
      <c r="Y206" s="292"/>
      <c r="Z206" s="292"/>
      <c r="AA206" s="292"/>
      <c r="AB206" s="292"/>
      <c r="AC206" s="292"/>
      <c r="AD206" s="292"/>
      <c r="AE206" s="292" t="s">
        <v>872</v>
      </c>
      <c r="AF206" s="292" t="str">
        <f>"INSERT INTO ProductByAccount
( ProductId,AccountId)VALUES
("&amp;C206&amp;",1037)"</f>
        <v>INSERT INTO ProductByAccount
( ProductId,AccountId)VALUES
(105,1037)</v>
      </c>
      <c r="AG206" s="292"/>
      <c r="AH206" s="292"/>
      <c r="AI206" s="292"/>
      <c r="AJ206" s="292"/>
      <c r="AK206" s="380">
        <v>1041728</v>
      </c>
      <c r="AL206" s="381">
        <v>833636</v>
      </c>
      <c r="AM206" s="379" t="str">
        <f t="shared" si="17"/>
        <v>INSERT INTO ListedPrice
(ProductId,ActiveDate,Channel,Price)
VALUES(105,'2020-05-01','GT',833636)</v>
      </c>
      <c r="AN206" s="292"/>
      <c r="AO206" s="292"/>
    </row>
    <row r="207" spans="1:41" s="286" customFormat="1">
      <c r="A207" s="337">
        <v>7211003136</v>
      </c>
      <c r="B207" s="298" t="s">
        <v>645</v>
      </c>
      <c r="C207" s="290">
        <f>VLOOKUP(B207,Sheet1!$B$17:$C$451,2,0)</f>
        <v>106</v>
      </c>
      <c r="D207" s="291" t="s">
        <v>1122</v>
      </c>
      <c r="E207" s="291"/>
      <c r="F207" s="299" t="s">
        <v>40</v>
      </c>
      <c r="G207" s="299" t="s">
        <v>563</v>
      </c>
      <c r="H207" s="299" t="s">
        <v>1366</v>
      </c>
      <c r="I207" s="291" t="s">
        <v>647</v>
      </c>
      <c r="J207" s="298"/>
      <c r="K207" s="300" t="s">
        <v>873</v>
      </c>
      <c r="L207" s="293" t="str">
        <f t="shared" si="13"/>
        <v>INSERT INTO Product (CMMF,Model,BarCode,Capacity,[Type],Product,[Range],[ModelName],[Color],[Status]) VALUES
('7211003136','BL427166','3016661151880','','SDA','Tefal',N'Máy Ép Trái Cây',N'Blendforce 2 Plastic',N'','To be discontinued')</v>
      </c>
      <c r="M207" s="292" t="s">
        <v>877</v>
      </c>
      <c r="N207" s="292" t="s">
        <v>683</v>
      </c>
      <c r="O207" s="292"/>
      <c r="P207" s="292"/>
      <c r="Q207" s="292"/>
      <c r="R207" s="292"/>
      <c r="S207" s="292" t="s">
        <v>872</v>
      </c>
      <c r="T207" s="292" t="str">
        <f>"INSERT INTO ProductByAccount
( ProductId,AccountId)VALUES
("&amp;C207&amp;",1031)"</f>
        <v>INSERT INTO ProductByAccount
( ProductId,AccountId)VALUES
(106,1031)</v>
      </c>
      <c r="U207" s="292" t="s">
        <v>872</v>
      </c>
      <c r="V207" s="292" t="str">
        <f>"INSERT INTO ProductByAccount
( ProductId,AccountId)VALUES
("&amp;C207&amp;",1032)"</f>
        <v>INSERT INTO ProductByAccount
( ProductId,AccountId)VALUES
(106,1032)</v>
      </c>
      <c r="W207" s="292"/>
      <c r="X207" s="292"/>
      <c r="Y207" s="292"/>
      <c r="Z207" s="292"/>
      <c r="AA207" s="292"/>
      <c r="AB207" s="292"/>
      <c r="AC207" s="292"/>
      <c r="AD207" s="292"/>
      <c r="AE207" s="292"/>
      <c r="AF207" s="292"/>
      <c r="AG207" s="292"/>
      <c r="AH207" s="292"/>
      <c r="AI207" s="292"/>
      <c r="AJ207" s="292"/>
      <c r="AK207" s="380">
        <v>1161000</v>
      </c>
      <c r="AL207" s="381">
        <v>939091</v>
      </c>
      <c r="AM207" s="379" t="str">
        <f t="shared" si="17"/>
        <v>INSERT INTO ListedPrice
(ProductId,ActiveDate,Channel,Price)
VALUES(106,'2020-05-01','GT',939091)</v>
      </c>
      <c r="AN207" s="292"/>
      <c r="AO207" s="292"/>
    </row>
    <row r="208" spans="1:41">
      <c r="A208" s="335">
        <v>7211003372</v>
      </c>
      <c r="B208" s="290" t="s">
        <v>528</v>
      </c>
      <c r="C208" s="290">
        <f>VLOOKUP(B208,Sheet1!$B$17:$C$451,2,0)</f>
        <v>107</v>
      </c>
      <c r="D208" s="291" t="s">
        <v>1125</v>
      </c>
      <c r="E208" s="291" t="s">
        <v>966</v>
      </c>
      <c r="F208" s="291" t="s">
        <v>40</v>
      </c>
      <c r="G208" s="291" t="s">
        <v>563</v>
      </c>
      <c r="H208" s="299" t="s">
        <v>1366</v>
      </c>
      <c r="I208" s="291" t="s">
        <v>646</v>
      </c>
      <c r="J208" s="290"/>
      <c r="K208" s="293" t="s">
        <v>872</v>
      </c>
      <c r="L208" s="293" t="str">
        <f t="shared" si="13"/>
        <v>INSERT INTO Product (CMMF,Model,BarCode,Capacity,[Type],Product,[Range],[ModelName],[Color],[Status]) VALUES
('7211003372','BL438166','3016661153716','1.25L','SDA','Tefal',N'Máy Ép Trái Cây',N'Blendforce 2 Glass',N'','On going')</v>
      </c>
      <c r="M208" s="292" t="s">
        <v>877</v>
      </c>
      <c r="N208" s="292" t="s">
        <v>683</v>
      </c>
      <c r="O208" s="292" t="s">
        <v>1487</v>
      </c>
      <c r="P208" s="292" t="str">
        <f>"INSERT INTO ProductByAccount
( ProductId,AccountId)VALUES
("&amp;C208&amp;",1029)"</f>
        <v>INSERT INTO ProductByAccount
( ProductId,AccountId)VALUES
(107,1029)</v>
      </c>
      <c r="Q208" s="292"/>
      <c r="R208" s="292"/>
      <c r="S208" s="292" t="s">
        <v>872</v>
      </c>
      <c r="T208" s="292" t="str">
        <f>"INSERT INTO ProductByAccount
( ProductId,AccountId)VALUES
("&amp;C208&amp;",1031)"</f>
        <v>INSERT INTO ProductByAccount
( ProductId,AccountId)VALUES
(107,1031)</v>
      </c>
      <c r="U208" s="292"/>
      <c r="V208" s="292"/>
      <c r="W208" s="292" t="s">
        <v>872</v>
      </c>
      <c r="X208" s="292" t="str">
        <f>"INSERT INTO ProductByAccount
( ProductId,AccountId)VALUES
("&amp;C208&amp;",1033)"</f>
        <v>INSERT INTO ProductByAccount
( ProductId,AccountId)VALUES
(107,1033)</v>
      </c>
      <c r="Y208" s="292"/>
      <c r="Z208" s="292"/>
      <c r="AA208" s="292"/>
      <c r="AB208" s="292"/>
      <c r="AC208" s="292"/>
      <c r="AD208" s="292"/>
      <c r="AE208" s="292" t="s">
        <v>1485</v>
      </c>
      <c r="AF208" s="292" t="str">
        <f>"INSERT INTO ProductByAccount
( ProductId,AccountId)VALUES
("&amp;C208&amp;",1037)"</f>
        <v>INSERT INTO ProductByAccount
( ProductId,AccountId)VALUES
(107,1037)</v>
      </c>
      <c r="AG208" s="292"/>
      <c r="AH208" s="292"/>
      <c r="AI208" s="292"/>
      <c r="AJ208" s="292"/>
      <c r="AK208" s="380">
        <v>1536363.6363636362</v>
      </c>
      <c r="AL208" s="381">
        <v>1229091</v>
      </c>
      <c r="AM208" s="379" t="str">
        <f t="shared" si="17"/>
        <v>INSERT INTO ListedPrice
(ProductId,ActiveDate,Channel,Price)
VALUES(107,'2020-05-01','GT',1229091)</v>
      </c>
      <c r="AN208" s="292"/>
      <c r="AO208" s="292"/>
    </row>
    <row r="209" spans="1:41">
      <c r="A209" s="335">
        <v>1830006116</v>
      </c>
      <c r="B209" s="290" t="s">
        <v>602</v>
      </c>
      <c r="C209" s="290">
        <f>VLOOKUP(B209,Sheet1!$B$17:$C$451,2,0)</f>
        <v>108</v>
      </c>
      <c r="D209" s="291" t="s">
        <v>1128</v>
      </c>
      <c r="E209" s="291"/>
      <c r="F209" s="295" t="s">
        <v>1423</v>
      </c>
      <c r="G209" s="291" t="s">
        <v>563</v>
      </c>
      <c r="H209" s="291" t="s">
        <v>354</v>
      </c>
      <c r="I209" s="291">
        <v>0</v>
      </c>
      <c r="J209" s="290"/>
      <c r="K209" s="293" t="s">
        <v>872</v>
      </c>
      <c r="L209" s="293" t="str">
        <f t="shared" si="13"/>
        <v>INSERT INTO Product (CMMF,Model,BarCode,Capacity,[Type],Product,[Range],[ModelName],[Color],[Status]) VALUES
('1830006116','FS2610L0','3121040061169','','Iron','Tefal',N'Bàn ủi khô',N'0',N'','On going')</v>
      </c>
      <c r="M209" s="292" t="s">
        <v>877</v>
      </c>
      <c r="N209" s="292" t="s">
        <v>683</v>
      </c>
      <c r="O209" s="292"/>
      <c r="P209" s="292"/>
      <c r="Q209" s="292"/>
      <c r="R209" s="292"/>
      <c r="S209" s="292"/>
      <c r="T209" s="292"/>
      <c r="U209" s="292"/>
      <c r="V209" s="292"/>
      <c r="W209" s="292"/>
      <c r="X209" s="292"/>
      <c r="Y209" s="292"/>
      <c r="Z209" s="292"/>
      <c r="AA209" s="292"/>
      <c r="AB209" s="292"/>
      <c r="AC209" s="292"/>
      <c r="AD209" s="292"/>
      <c r="AE209" s="292" t="s">
        <v>872</v>
      </c>
      <c r="AF209" s="292" t="str">
        <f>"INSERT INTO ProductByAccount
( ProductId,AccountId)VALUES
("&amp;C209&amp;",1037)"</f>
        <v>INSERT INTO ProductByAccount
( ProductId,AccountId)VALUES
(108,1037)</v>
      </c>
      <c r="AG209" s="292"/>
      <c r="AH209" s="292"/>
      <c r="AI209" s="292"/>
      <c r="AJ209" s="292"/>
      <c r="AK209" s="380">
        <v>261000</v>
      </c>
      <c r="AL209" s="381">
        <v>210000</v>
      </c>
      <c r="AM209" s="379" t="str">
        <f t="shared" si="17"/>
        <v>INSERT INTO ListedPrice
(ProductId,ActiveDate,Channel,Price)
VALUES(108,'2020-05-01','GT',210000)</v>
      </c>
      <c r="AN209" s="292"/>
      <c r="AO209" s="292"/>
    </row>
    <row r="210" spans="1:41">
      <c r="A210" s="341">
        <v>1830006142</v>
      </c>
      <c r="B210" s="293" t="s">
        <v>352</v>
      </c>
      <c r="C210" s="290">
        <f>VLOOKUP(B210,Sheet1!$B$17:$C$451,2,0)</f>
        <v>109</v>
      </c>
      <c r="D210" s="291" t="s">
        <v>1129</v>
      </c>
      <c r="E210" s="291"/>
      <c r="F210" s="295" t="s">
        <v>1423</v>
      </c>
      <c r="G210" s="292" t="s">
        <v>563</v>
      </c>
      <c r="H210" s="291" t="s">
        <v>354</v>
      </c>
      <c r="I210" s="291" t="s">
        <v>1445</v>
      </c>
      <c r="J210" s="293"/>
      <c r="K210" s="293" t="s">
        <v>872</v>
      </c>
      <c r="L210" s="293" t="str">
        <f t="shared" si="13"/>
        <v>INSERT INTO Product (CMMF,Model,BarCode,Capacity,[Type],Product,[Range],[ModelName],[Color],[Status]) VALUES
('1830006142','FS2620L0','3121040061428','','Iron','Tefal',N'Bàn ủi khô',N'Million',N'','On going')</v>
      </c>
      <c r="M210" s="292" t="s">
        <v>877</v>
      </c>
      <c r="N210" s="292" t="s">
        <v>683</v>
      </c>
      <c r="O210" s="292"/>
      <c r="P210" s="292"/>
      <c r="Q210" s="292"/>
      <c r="R210" s="292"/>
      <c r="S210" s="292"/>
      <c r="T210" s="292"/>
      <c r="U210" s="292"/>
      <c r="V210" s="292"/>
      <c r="W210" s="292" t="s">
        <v>872</v>
      </c>
      <c r="X210" s="292" t="str">
        <f>"INSERT INTO ProductByAccount
( ProductId,AccountId)VALUES
("&amp;C210&amp;",1033)"</f>
        <v>INSERT INTO ProductByAccount
( ProductId,AccountId)VALUES
(109,1033)</v>
      </c>
      <c r="Y210" s="292"/>
      <c r="Z210" s="292"/>
      <c r="AA210" s="292"/>
      <c r="AB210" s="292"/>
      <c r="AC210" s="292" t="s">
        <v>872</v>
      </c>
      <c r="AD210" s="292" t="str">
        <f>"INSERT INTO ProductByAccount
( ProductId,AccountId)VALUES
("&amp;C210&amp;",1036)"</f>
        <v>INSERT INTO ProductByAccount
( ProductId,AccountId)VALUES
(109,1036)</v>
      </c>
      <c r="AE210" s="292" t="s">
        <v>872</v>
      </c>
      <c r="AF210" s="292" t="str">
        <f>"INSERT INTO ProductByAccount
( ProductId,AccountId)VALUES
("&amp;C210&amp;",1037)"</f>
        <v>INSERT INTO ProductByAccount
( ProductId,AccountId)VALUES
(109,1037)</v>
      </c>
      <c r="AG210" s="292"/>
      <c r="AH210" s="292"/>
      <c r="AI210" s="292"/>
      <c r="AJ210" s="292"/>
      <c r="AK210" s="380">
        <v>263636.36363636359</v>
      </c>
      <c r="AL210" s="381">
        <v>210000</v>
      </c>
      <c r="AM210" s="379" t="str">
        <f t="shared" si="17"/>
        <v>INSERT INTO ListedPrice
(ProductId,ActiveDate,Channel,Price)
VALUES(109,'2020-05-01','GT',210000)</v>
      </c>
      <c r="AN210" s="292"/>
      <c r="AO210" s="292"/>
    </row>
    <row r="211" spans="1:41">
      <c r="A211" s="335">
        <v>1830006029</v>
      </c>
      <c r="B211" s="290" t="s">
        <v>351</v>
      </c>
      <c r="C211" s="290">
        <f>VLOOKUP(B211,Sheet1!$B$17:$C$451,2,0)</f>
        <v>110</v>
      </c>
      <c r="D211" s="291" t="s">
        <v>1130</v>
      </c>
      <c r="E211" s="291"/>
      <c r="F211" s="295" t="s">
        <v>1423</v>
      </c>
      <c r="G211" s="291" t="s">
        <v>563</v>
      </c>
      <c r="H211" s="291" t="s">
        <v>354</v>
      </c>
      <c r="I211" s="291" t="s">
        <v>1446</v>
      </c>
      <c r="J211" s="290"/>
      <c r="K211" s="293" t="s">
        <v>872</v>
      </c>
      <c r="L211" s="293" t="str">
        <f t="shared" si="13"/>
        <v>INSERT INTO Product (CMMF,Model,BarCode,Capacity,[Type],Product,[Range],[ModelName],[Color],[Status]) VALUES
('1830006029','FS2920L0','3121040060292','','Iron','Tefal',N'Bàn ủi khô',N'Classic',N'','On going')</v>
      </c>
      <c r="M211" s="292" t="s">
        <v>877</v>
      </c>
      <c r="N211" s="292" t="s">
        <v>683</v>
      </c>
      <c r="O211" s="284" t="s">
        <v>1487</v>
      </c>
      <c r="P211" s="292" t="str">
        <f>"INSERT INTO ProductByAccount
( ProductId,AccountId)VALUES
("&amp;C211&amp;",1029)"</f>
        <v>INSERT INTO ProductByAccount
( ProductId,AccountId)VALUES
(110,1029)</v>
      </c>
      <c r="Q211" s="292" t="s">
        <v>872</v>
      </c>
      <c r="R211" s="292" t="str">
        <f>"INSERT INTO ProductByAccount
( ProductId,AccountId)VALUES
("&amp;C211&amp;",1030)"</f>
        <v>INSERT INTO ProductByAccount
( ProductId,AccountId)VALUES
(110,1030)</v>
      </c>
      <c r="S211" s="292"/>
      <c r="T211" s="292"/>
      <c r="U211" s="292"/>
      <c r="V211" s="292"/>
      <c r="W211" s="292" t="s">
        <v>872</v>
      </c>
      <c r="X211" s="292" t="str">
        <f>"INSERT INTO ProductByAccount
( ProductId,AccountId)VALUES
("&amp;C211&amp;",1033)"</f>
        <v>INSERT INTO ProductByAccount
( ProductId,AccountId)VALUES
(110,1033)</v>
      </c>
      <c r="Y211" s="292"/>
      <c r="Z211" s="292"/>
      <c r="AA211" s="292"/>
      <c r="AB211" s="292"/>
      <c r="AC211" s="292" t="s">
        <v>872</v>
      </c>
      <c r="AD211" s="292" t="str">
        <f>"INSERT INTO ProductByAccount
( ProductId,AccountId)VALUES
("&amp;C211&amp;",1036)"</f>
        <v>INSERT INTO ProductByAccount
( ProductId,AccountId)VALUES
(110,1036)</v>
      </c>
      <c r="AE211" s="292" t="s">
        <v>872</v>
      </c>
      <c r="AF211" s="292" t="str">
        <f>"INSERT INTO ProductByAccount
( ProductId,AccountId)VALUES
("&amp;C211&amp;",1037)"</f>
        <v>INSERT INTO ProductByAccount
( ProductId,AccountId)VALUES
(110,1037)</v>
      </c>
      <c r="AG211" s="292"/>
      <c r="AH211" s="292"/>
      <c r="AI211" s="292"/>
      <c r="AJ211" s="292"/>
      <c r="AK211" s="380">
        <v>318181.81818181818</v>
      </c>
      <c r="AL211" s="381">
        <v>255455</v>
      </c>
      <c r="AM211" s="379" t="str">
        <f t="shared" si="17"/>
        <v>INSERT INTO ListedPrice
(ProductId,ActiveDate,Channel,Price)
VALUES(110,'2020-05-01','GT',255455)</v>
      </c>
      <c r="AN211" s="292"/>
      <c r="AO211" s="292"/>
    </row>
    <row r="212" spans="1:41">
      <c r="A212" s="335">
        <v>1830006063</v>
      </c>
      <c r="B212" s="290" t="s">
        <v>600</v>
      </c>
      <c r="C212" s="290">
        <f>VLOOKUP(B212,Sheet1!$B$17:$C$451,2,0)</f>
        <v>111</v>
      </c>
      <c r="D212" s="291" t="s">
        <v>1185</v>
      </c>
      <c r="E212" s="291"/>
      <c r="F212" s="295" t="s">
        <v>1423</v>
      </c>
      <c r="G212" s="291" t="s">
        <v>563</v>
      </c>
      <c r="H212" s="302" t="s">
        <v>353</v>
      </c>
      <c r="I212" s="291">
        <v>0</v>
      </c>
      <c r="J212" s="290"/>
      <c r="K212" s="293" t="s">
        <v>872</v>
      </c>
      <c r="L212" s="293" t="str">
        <f t="shared" si="13"/>
        <v>INSERT INTO Product (CMMF,Model,BarCode,Capacity,[Type],Product,[Range],[ModelName],[Color],[Status]) VALUES
('1830006063','FV1022T0','3121040060636','','Iron','Tefal',N'Bàn ủi hơi nước',N'0',N'','On going')</v>
      </c>
      <c r="M212" s="292" t="s">
        <v>877</v>
      </c>
      <c r="N212" s="292"/>
      <c r="O212" s="292"/>
      <c r="P212" s="292"/>
      <c r="Q212" s="292"/>
      <c r="R212" s="292"/>
      <c r="S212" s="292"/>
      <c r="T212" s="292"/>
      <c r="U212" s="292"/>
      <c r="V212" s="292"/>
      <c r="W212" s="292"/>
      <c r="X212" s="292"/>
      <c r="Y212" s="292"/>
      <c r="Z212" s="292"/>
      <c r="AA212" s="292"/>
      <c r="AB212" s="292"/>
      <c r="AC212" s="292"/>
      <c r="AD212" s="292"/>
      <c r="AE212" s="292" t="s">
        <v>1485</v>
      </c>
      <c r="AF212" s="292" t="str">
        <f>"INSERT INTO ProductByAccount
( ProductId,AccountId)VALUES
("&amp;C212&amp;",1037)"</f>
        <v>INSERT INTO ProductByAccount
( ProductId,AccountId)VALUES
(111,1037)</v>
      </c>
      <c r="AG212" s="292"/>
      <c r="AH212" s="292"/>
      <c r="AI212" s="292"/>
      <c r="AJ212" s="292"/>
      <c r="AK212" s="380">
        <v>540000</v>
      </c>
      <c r="AL212" s="381">
        <v>0</v>
      </c>
      <c r="AM212" s="379" t="str">
        <f>"INSERT INTO ListedPrice
(ProductId,ActiveDate,Channel,Price)
VALUES("&amp;C212&amp;",'2020-05-01','MT',"&amp;AK212&amp;")"</f>
        <v>INSERT INTO ListedPrice
(ProductId,ActiveDate,Channel,Price)
VALUES(111,'2020-05-01','MT',540000)</v>
      </c>
      <c r="AN212" s="292"/>
      <c r="AO212" s="292"/>
    </row>
    <row r="213" spans="1:41" s="286" customFormat="1">
      <c r="A213" s="337">
        <v>1830006120</v>
      </c>
      <c r="B213" s="298" t="s">
        <v>438</v>
      </c>
      <c r="C213" s="290">
        <f>VLOOKUP(B213,Sheet1!$B$17:$C$451,2,0)</f>
        <v>112</v>
      </c>
      <c r="D213" s="291" t="s">
        <v>1187</v>
      </c>
      <c r="E213" s="291"/>
      <c r="F213" s="295" t="s">
        <v>1423</v>
      </c>
      <c r="G213" s="299" t="s">
        <v>563</v>
      </c>
      <c r="H213" s="302" t="s">
        <v>353</v>
      </c>
      <c r="I213" s="291" t="s">
        <v>655</v>
      </c>
      <c r="J213" s="298"/>
      <c r="K213" s="300" t="s">
        <v>873</v>
      </c>
      <c r="L213" s="293" t="str">
        <f t="shared" si="13"/>
        <v>INSERT INTO Product (CMMF,Model,BarCode,Capacity,[Type],Product,[Range],[ModelName],[Color],[Status]) VALUES
('1830006120','FV1026L0','3121040061206','','Iron','Tefal',N'Bàn ủi hơi nước',N'Essential',N'','To be discontinued')</v>
      </c>
      <c r="M213" s="292" t="s">
        <v>877</v>
      </c>
      <c r="N213" s="292" t="s">
        <v>683</v>
      </c>
      <c r="O213" s="292" t="s">
        <v>1487</v>
      </c>
      <c r="P213" s="292" t="str">
        <f>"INSERT INTO ProductByAccount
( ProductId,AccountId)VALUES
("&amp;C213&amp;",1029)"</f>
        <v>INSERT INTO ProductByAccount
( ProductId,AccountId)VALUES
(112,1029)</v>
      </c>
      <c r="Q213" s="292"/>
      <c r="R213" s="292"/>
      <c r="S213" s="292" t="s">
        <v>872</v>
      </c>
      <c r="T213" s="292" t="str">
        <f>"INSERT INTO ProductByAccount
( ProductId,AccountId)VALUES
("&amp;C213&amp;",1031)"</f>
        <v>INSERT INTO ProductByAccount
( ProductId,AccountId)VALUES
(112,1031)</v>
      </c>
      <c r="U213" s="292"/>
      <c r="V213" s="292"/>
      <c r="W213" s="292"/>
      <c r="X213" s="292"/>
      <c r="Y213" s="292"/>
      <c r="Z213" s="292"/>
      <c r="AA213" s="292"/>
      <c r="AB213" s="292"/>
      <c r="AC213" s="292"/>
      <c r="AD213" s="292"/>
      <c r="AE213" s="292"/>
      <c r="AF213" s="292"/>
      <c r="AG213" s="292"/>
      <c r="AH213" s="292"/>
      <c r="AI213" s="292"/>
      <c r="AJ213" s="292"/>
      <c r="AK213" s="380">
        <v>454545.45454545453</v>
      </c>
      <c r="AL213" s="381">
        <v>363636</v>
      </c>
      <c r="AM213" s="379" t="str">
        <f>"INSERT INTO ListedPrice
(ProductId,ActiveDate,Channel,Price)
VALUES("&amp;C213&amp;",'2020-05-01','GT',"&amp;AL213&amp;")"</f>
        <v>INSERT INTO ListedPrice
(ProductId,ActiveDate,Channel,Price)
VALUES(112,'2020-05-01','GT',363636)</v>
      </c>
      <c r="AN213" s="292"/>
      <c r="AO213" s="292"/>
    </row>
    <row r="214" spans="1:41" s="285" customFormat="1">
      <c r="A214" s="336">
        <v>1830005215</v>
      </c>
      <c r="B214" s="294" t="s">
        <v>350</v>
      </c>
      <c r="C214" s="290">
        <f>VLOOKUP(B214,Sheet1!$B$17:$C$451,2,0)</f>
        <v>113</v>
      </c>
      <c r="D214" s="291" t="s">
        <v>1188</v>
      </c>
      <c r="E214" s="291"/>
      <c r="F214" s="295" t="s">
        <v>1423</v>
      </c>
      <c r="G214" s="295" t="s">
        <v>563</v>
      </c>
      <c r="H214" s="302" t="s">
        <v>353</v>
      </c>
      <c r="I214" s="291">
        <v>0</v>
      </c>
      <c r="J214" s="294"/>
      <c r="K214" s="297" t="s">
        <v>623</v>
      </c>
      <c r="L214" s="293" t="str">
        <f t="shared" si="13"/>
        <v>INSERT INTO Product (CMMF,Model,BarCode,Capacity,[Type],Product,[Range],[ModelName],[Color],[Status]) VALUES
('1830005215','FV1320E1','3121040046647','','Iron','Tefal',N'Bàn ủi hơi nước',N'0',N'','Discontinued')</v>
      </c>
      <c r="M214" s="333" t="s">
        <v>877</v>
      </c>
      <c r="N214" s="333" t="s">
        <v>683</v>
      </c>
      <c r="O214" s="292"/>
      <c r="P214" s="292"/>
      <c r="Q214" s="292"/>
      <c r="R214" s="292"/>
      <c r="S214" s="292"/>
      <c r="T214" s="292"/>
      <c r="U214" s="292"/>
      <c r="V214" s="292"/>
      <c r="W214" s="292"/>
      <c r="X214" s="292"/>
      <c r="Y214" s="292"/>
      <c r="Z214" s="292"/>
      <c r="AA214" s="292"/>
      <c r="AB214" s="292"/>
      <c r="AC214" s="292"/>
      <c r="AD214" s="292"/>
      <c r="AE214" s="292"/>
      <c r="AF214" s="292"/>
      <c r="AG214" s="292"/>
      <c r="AH214" s="292"/>
      <c r="AI214" s="292"/>
      <c r="AJ214" s="292"/>
      <c r="AK214" s="380">
        <v>621000</v>
      </c>
      <c r="AL214" s="381">
        <v>0</v>
      </c>
      <c r="AM214" s="379" t="str">
        <f>"INSERT INTO ListedPrice
(ProductId,ActiveDate,Channel,Price)
VALUES("&amp;C214&amp;",'2020-05-01','MT',"&amp;AK214&amp;")"</f>
        <v>INSERT INTO ListedPrice
(ProductId,ActiveDate,Channel,Price)
VALUES(113,'2020-05-01','MT',621000)</v>
      </c>
      <c r="AN214" s="292"/>
      <c r="AO214" s="292"/>
    </row>
    <row r="215" spans="1:41" s="286" customFormat="1">
      <c r="A215" s="337">
        <v>1830006083</v>
      </c>
      <c r="B215" s="298" t="s">
        <v>349</v>
      </c>
      <c r="C215" s="290">
        <f>VLOOKUP(B215,Sheet1!$B$17:$C$451,2,0)</f>
        <v>114</v>
      </c>
      <c r="D215" s="291" t="s">
        <v>1189</v>
      </c>
      <c r="E215" s="291"/>
      <c r="F215" s="295" t="s">
        <v>1423</v>
      </c>
      <c r="G215" s="299" t="s">
        <v>563</v>
      </c>
      <c r="H215" s="302" t="s">
        <v>353</v>
      </c>
      <c r="I215" s="291" t="s">
        <v>652</v>
      </c>
      <c r="J215" s="298"/>
      <c r="K215" s="300" t="s">
        <v>873</v>
      </c>
      <c r="L215" s="293" t="str">
        <f t="shared" si="13"/>
        <v>INSERT INTO Product (CMMF,Model,BarCode,Capacity,[Type],Product,[Range],[ModelName],[Color],[Status]) VALUES
('1830006083','FV1520L0','3121040060834','','Iron','Tefal',N'Bàn ủi hơi nước',N'Access',N'','To be discontinued')</v>
      </c>
      <c r="M215" s="292" t="s">
        <v>877</v>
      </c>
      <c r="N215" s="292"/>
      <c r="O215" s="292"/>
      <c r="P215" s="292"/>
      <c r="Q215" s="292"/>
      <c r="R215" s="292"/>
      <c r="S215" s="292" t="s">
        <v>872</v>
      </c>
      <c r="T215" s="292" t="str">
        <f>"INSERT INTO ProductByAccount
( ProductId,AccountId)VALUES
("&amp;C215&amp;",1031)"</f>
        <v>INSERT INTO ProductByAccount
( ProductId,AccountId)VALUES
(114,1031)</v>
      </c>
      <c r="U215" s="292"/>
      <c r="V215" s="292"/>
      <c r="W215" s="292"/>
      <c r="X215" s="292"/>
      <c r="Y215" s="292"/>
      <c r="Z215" s="292"/>
      <c r="AA215" s="292"/>
      <c r="AB215" s="292"/>
      <c r="AC215" s="300" t="s">
        <v>873</v>
      </c>
      <c r="AD215" s="292" t="str">
        <f>"INSERT INTO ProductByAccount
( ProductId,AccountId)VALUES
("&amp;C215&amp;",1036)"</f>
        <v>INSERT INTO ProductByAccount
( ProductId,AccountId)VALUES
(114,1036)</v>
      </c>
      <c r="AE215" s="292" t="s">
        <v>872</v>
      </c>
      <c r="AF215" s="292" t="str">
        <f>"INSERT INTO ProductByAccount
( ProductId,AccountId)VALUES
("&amp;C215&amp;",1037)"</f>
        <v>INSERT INTO ProductByAccount
( ProductId,AccountId)VALUES
(114,1037)</v>
      </c>
      <c r="AG215" s="292"/>
      <c r="AH215" s="292"/>
      <c r="AI215" s="292"/>
      <c r="AJ215" s="292"/>
      <c r="AK215" s="380">
        <v>772727.27272727271</v>
      </c>
      <c r="AL215" s="381">
        <v>0</v>
      </c>
      <c r="AM215" s="379" t="str">
        <f>"INSERT INTO ListedPrice
(ProductId,ActiveDate,Channel,Price)
VALUES("&amp;C215&amp;",'2020-05-01','MT',"&amp;AK215&amp;")"</f>
        <v>INSERT INTO ListedPrice
(ProductId,ActiveDate,Channel,Price)
VALUES(114,'2020-05-01','MT',772727.272727273)</v>
      </c>
      <c r="AN215" s="292"/>
      <c r="AO215" s="292"/>
    </row>
    <row r="216" spans="1:41" s="286" customFormat="1">
      <c r="A216" s="337">
        <v>1830006603</v>
      </c>
      <c r="B216" s="298" t="s">
        <v>565</v>
      </c>
      <c r="C216" s="290">
        <f>VLOOKUP(B216,Sheet1!$B$17:$C$451,2,0)</f>
        <v>115</v>
      </c>
      <c r="D216" s="291" t="s">
        <v>1190</v>
      </c>
      <c r="E216" s="291"/>
      <c r="F216" s="295" t="s">
        <v>1423</v>
      </c>
      <c r="G216" s="299" t="s">
        <v>563</v>
      </c>
      <c r="H216" s="302" t="s">
        <v>353</v>
      </c>
      <c r="I216" s="291" t="s">
        <v>654</v>
      </c>
      <c r="J216" s="298"/>
      <c r="K216" s="300" t="s">
        <v>873</v>
      </c>
      <c r="L216" s="293" t="str">
        <f t="shared" si="13"/>
        <v>INSERT INTO Product (CMMF,Model,BarCode,Capacity,[Type],Product,[Range],[ModelName],[Color],[Status]) VALUES
('1830006603','FV1721L0','3121040066034','','Iron','Tefal',N'Bàn ủi hơi nước',N'Eco Master',N'','To be discontinued')</v>
      </c>
      <c r="M216" s="292" t="s">
        <v>877</v>
      </c>
      <c r="N216" s="292" t="s">
        <v>683</v>
      </c>
      <c r="O216" s="292"/>
      <c r="P216" s="292"/>
      <c r="Q216" s="292"/>
      <c r="R216" s="292"/>
      <c r="S216" s="292"/>
      <c r="T216" s="292"/>
      <c r="U216" s="292" t="s">
        <v>872</v>
      </c>
      <c r="V216" s="292" t="str">
        <f>"INSERT INTO ProductByAccount
( ProductId,AccountId)VALUES
("&amp;C216&amp;",1032)"</f>
        <v>INSERT INTO ProductByAccount
( ProductId,AccountId)VALUES
(115,1032)</v>
      </c>
      <c r="W216" s="292" t="s">
        <v>872</v>
      </c>
      <c r="X216" s="292" t="str">
        <f>"INSERT INTO ProductByAccount
( ProductId,AccountId)VALUES
("&amp;C216&amp;",1033)"</f>
        <v>INSERT INTO ProductByAccount
( ProductId,AccountId)VALUES
(115,1033)</v>
      </c>
      <c r="Y216" s="292"/>
      <c r="Z216" s="292"/>
      <c r="AA216" s="292"/>
      <c r="AB216" s="292"/>
      <c r="AC216" s="300" t="s">
        <v>873</v>
      </c>
      <c r="AD216" s="292" t="str">
        <f>"INSERT INTO ProductByAccount
( ProductId,AccountId)VALUES
("&amp;C216&amp;",1036)"</f>
        <v>INSERT INTO ProductByAccount
( ProductId,AccountId)VALUES
(115,1036)</v>
      </c>
      <c r="AE216" s="292"/>
      <c r="AF216" s="292"/>
      <c r="AG216" s="292"/>
      <c r="AH216" s="292"/>
      <c r="AI216" s="292"/>
      <c r="AJ216" s="292"/>
      <c r="AK216" s="380">
        <v>627272.72727272718</v>
      </c>
      <c r="AL216" s="381">
        <v>501818</v>
      </c>
      <c r="AM216" s="379" t="str">
        <f>"INSERT INTO ListedPrice
(ProductId,ActiveDate,Channel,Price)
VALUES("&amp;C216&amp;",'2020-05-01','GT',"&amp;AL216&amp;")"</f>
        <v>INSERT INTO ListedPrice
(ProductId,ActiveDate,Channel,Price)
VALUES(115,'2020-05-01','GT',501818)</v>
      </c>
      <c r="AN216" s="292"/>
      <c r="AO216" s="292"/>
    </row>
    <row r="217" spans="1:41" s="287" customFormat="1">
      <c r="A217" s="338">
        <v>1830006975</v>
      </c>
      <c r="B217" s="301" t="s">
        <v>761</v>
      </c>
      <c r="C217" s="290">
        <f>VLOOKUP(B217,Sheet1!$B$17:$C$451,2,0)</f>
        <v>116</v>
      </c>
      <c r="D217" s="291" t="s">
        <v>1179</v>
      </c>
      <c r="E217" s="291"/>
      <c r="F217" s="295" t="s">
        <v>1423</v>
      </c>
      <c r="G217" s="302" t="s">
        <v>563</v>
      </c>
      <c r="H217" s="302" t="s">
        <v>353</v>
      </c>
      <c r="I217" s="291"/>
      <c r="J217" s="301"/>
      <c r="K217" s="303" t="s">
        <v>516</v>
      </c>
      <c r="L217" s="293" t="str">
        <f t="shared" si="13"/>
        <v>INSERT INTO Product (CMMF,Model,BarCode,Capacity,[Type],Product,[Range],[ModelName],[Color],[Status]) VALUES
('1830006975','FV1844E0','3121040069752','','Iron','Tefal',N'Bàn ủi hơi nước',N'',N'','New')</v>
      </c>
      <c r="M217" s="292" t="s">
        <v>877</v>
      </c>
      <c r="N217" s="292"/>
      <c r="O217" s="292"/>
      <c r="P217" s="292"/>
      <c r="Q217" s="292"/>
      <c r="R217" s="292"/>
      <c r="S217" s="292"/>
      <c r="T217" s="292"/>
      <c r="U217" s="292"/>
      <c r="V217" s="292"/>
      <c r="W217" s="292"/>
      <c r="X217" s="292"/>
      <c r="Y217" s="292"/>
      <c r="Z217" s="292"/>
      <c r="AA217" s="292"/>
      <c r="AB217" s="292"/>
      <c r="AC217" s="292"/>
      <c r="AD217" s="292"/>
      <c r="AE217" s="292"/>
      <c r="AF217" s="292"/>
      <c r="AG217" s="292"/>
      <c r="AH217" s="292"/>
      <c r="AI217" s="292"/>
      <c r="AJ217" s="292"/>
      <c r="AK217" s="329"/>
      <c r="AL217" s="381">
        <v>0</v>
      </c>
      <c r="AM217" s="379" t="str">
        <f>"INSERT INTO ListedPrice
(ProductId,ActiveDate,Channel,Price)
VALUES("&amp;C217&amp;",'2020-05-01','MT',"&amp;AK217&amp;")"</f>
        <v>INSERT INTO ListedPrice
(ProductId,ActiveDate,Channel,Price)
VALUES(116,'2020-05-01','MT',)</v>
      </c>
      <c r="AN217" s="292"/>
      <c r="AO217" s="292"/>
    </row>
    <row r="218" spans="1:41" s="287" customFormat="1">
      <c r="A218" s="338">
        <v>1830007075</v>
      </c>
      <c r="B218" s="301" t="s">
        <v>762</v>
      </c>
      <c r="C218" s="290">
        <f>VLOOKUP(B218,Sheet1!$B$17:$C$451,2,0)</f>
        <v>117</v>
      </c>
      <c r="D218" s="291" t="s">
        <v>1180</v>
      </c>
      <c r="E218" s="291"/>
      <c r="F218" s="295" t="s">
        <v>1423</v>
      </c>
      <c r="G218" s="302" t="s">
        <v>563</v>
      </c>
      <c r="H218" s="302" t="s">
        <v>353</v>
      </c>
      <c r="I218" s="291"/>
      <c r="J218" s="301"/>
      <c r="K218" s="303" t="s">
        <v>516</v>
      </c>
      <c r="L218" s="293" t="str">
        <f t="shared" si="13"/>
        <v>INSERT INTO Product (CMMF,Model,BarCode,Capacity,[Type],Product,[Range],[ModelName],[Color],[Status]) VALUES
('1830007075','FV1849E0','3121040070758','','Iron','Tefal',N'Bàn ủi hơi nước',N'',N'','New')</v>
      </c>
      <c r="M218" s="292" t="s">
        <v>877</v>
      </c>
      <c r="N218" s="292"/>
      <c r="O218" s="292"/>
      <c r="P218" s="292"/>
      <c r="Q218" s="292"/>
      <c r="R218" s="292"/>
      <c r="S218" s="292"/>
      <c r="T218" s="292"/>
      <c r="U218" s="292"/>
      <c r="V218" s="292"/>
      <c r="W218" s="292"/>
      <c r="X218" s="292"/>
      <c r="Y218" s="292"/>
      <c r="Z218" s="292"/>
      <c r="AA218" s="292"/>
      <c r="AB218" s="292"/>
      <c r="AC218" s="292"/>
      <c r="AD218" s="292"/>
      <c r="AE218" s="292"/>
      <c r="AF218" s="292"/>
      <c r="AG218" s="292"/>
      <c r="AH218" s="292"/>
      <c r="AI218" s="292"/>
      <c r="AJ218" s="292"/>
      <c r="AK218" s="329"/>
      <c r="AL218" s="381">
        <v>0</v>
      </c>
      <c r="AM218" s="379" t="str">
        <f>"INSERT INTO ListedPrice
(ProductId,ActiveDate,Channel,Price)
VALUES("&amp;C218&amp;",'2020-05-01','MT',"&amp;AK218&amp;")"</f>
        <v>INSERT INTO ListedPrice
(ProductId,ActiveDate,Channel,Price)
VALUES(117,'2020-05-01','MT',)</v>
      </c>
      <c r="AN218" s="292"/>
      <c r="AO218" s="292"/>
    </row>
    <row r="219" spans="1:41" s="285" customFormat="1">
      <c r="A219" s="336">
        <v>1830005278</v>
      </c>
      <c r="B219" s="294" t="s">
        <v>348</v>
      </c>
      <c r="C219" s="290">
        <f>VLOOKUP(B219,Sheet1!$B$17:$C$451,2,0)</f>
        <v>118</v>
      </c>
      <c r="D219" s="291" t="s">
        <v>1191</v>
      </c>
      <c r="E219" s="291"/>
      <c r="F219" s="295" t="s">
        <v>1423</v>
      </c>
      <c r="G219" s="295" t="s">
        <v>563</v>
      </c>
      <c r="H219" s="302" t="s">
        <v>353</v>
      </c>
      <c r="I219" s="291">
        <v>0</v>
      </c>
      <c r="J219" s="294"/>
      <c r="K219" s="297" t="s">
        <v>623</v>
      </c>
      <c r="L219" s="293" t="str">
        <f t="shared" si="13"/>
        <v>INSERT INTO Product (CMMF,Model,BarCode,Capacity,[Type],Product,[Range],[ModelName],[Color],[Status]) VALUES
('1830005278','FV3910E0','3121040052785','','Iron','Tefal',N'Bàn ủi hơi nước',N'0',N'','Discontinued')</v>
      </c>
      <c r="M219" s="293"/>
      <c r="N219" s="292" t="s">
        <v>683</v>
      </c>
      <c r="O219" s="292"/>
      <c r="P219" s="292"/>
      <c r="Q219" s="292"/>
      <c r="R219" s="292"/>
      <c r="S219" s="292"/>
      <c r="T219" s="292"/>
      <c r="U219" s="292"/>
      <c r="V219" s="292"/>
      <c r="W219" s="292"/>
      <c r="X219" s="292"/>
      <c r="Y219" s="292"/>
      <c r="Z219" s="292"/>
      <c r="AA219" s="292"/>
      <c r="AB219" s="292"/>
      <c r="AC219" s="292"/>
      <c r="AD219" s="292"/>
      <c r="AE219" s="292"/>
      <c r="AF219" s="292"/>
      <c r="AG219" s="292"/>
      <c r="AH219" s="292"/>
      <c r="AI219" s="292"/>
      <c r="AJ219" s="292"/>
      <c r="AK219" s="380">
        <v>1305000</v>
      </c>
      <c r="AL219" s="381">
        <v>1055455</v>
      </c>
      <c r="AM219" s="379" t="str">
        <f>"INSERT INTO ListedPrice
(ProductId,ActiveDate,Channel,Price)
VALUES("&amp;C219&amp;",'2020-05-01','GT',"&amp;AL219&amp;")"</f>
        <v>INSERT INTO ListedPrice
(ProductId,ActiveDate,Channel,Price)
VALUES(118,'2020-05-01','GT',1055455)</v>
      </c>
      <c r="AN219" s="292"/>
      <c r="AO219" s="292"/>
    </row>
    <row r="220" spans="1:41" s="285" customFormat="1">
      <c r="A220" s="339">
        <v>1830005460</v>
      </c>
      <c r="B220" s="297" t="s">
        <v>347</v>
      </c>
      <c r="C220" s="290">
        <f>VLOOKUP(B220,Sheet1!$B$17:$C$451,2,0)</f>
        <v>119</v>
      </c>
      <c r="D220" s="291" t="s">
        <v>1192</v>
      </c>
      <c r="E220" s="291"/>
      <c r="F220" s="295" t="s">
        <v>1423</v>
      </c>
      <c r="G220" s="296" t="s">
        <v>563</v>
      </c>
      <c r="H220" s="302" t="s">
        <v>353</v>
      </c>
      <c r="I220" s="291">
        <v>0</v>
      </c>
      <c r="J220" s="294"/>
      <c r="K220" s="297" t="s">
        <v>623</v>
      </c>
      <c r="L220" s="293" t="str">
        <f t="shared" si="13"/>
        <v>INSERT INTO Product (CMMF,Model,BarCode,Capacity,[Type],Product,[Range],[ModelName],[Color],[Status]) VALUES
('1830005460','FV3925L0','3121040054604','','Iron','Tefal',N'Bàn ủi hơi nước',N'0',N'','Discontinued')</v>
      </c>
      <c r="M220" s="293"/>
      <c r="N220" s="292" t="s">
        <v>683</v>
      </c>
      <c r="O220" s="292"/>
      <c r="P220" s="292"/>
      <c r="Q220" s="292"/>
      <c r="R220" s="292"/>
      <c r="S220" s="292"/>
      <c r="T220" s="292"/>
      <c r="U220" s="292"/>
      <c r="V220" s="292"/>
      <c r="W220" s="292"/>
      <c r="X220" s="292"/>
      <c r="Y220" s="292"/>
      <c r="Z220" s="292"/>
      <c r="AA220" s="292"/>
      <c r="AB220" s="292"/>
      <c r="AC220" s="292"/>
      <c r="AD220" s="292"/>
      <c r="AE220" s="292"/>
      <c r="AF220" s="292"/>
      <c r="AG220" s="292"/>
      <c r="AH220" s="292"/>
      <c r="AI220" s="292"/>
      <c r="AJ220" s="292"/>
      <c r="AK220" s="380">
        <v>1413000</v>
      </c>
      <c r="AL220" s="381">
        <v>1140000</v>
      </c>
      <c r="AM220" s="379" t="str">
        <f>"INSERT INTO ListedPrice
(ProductId,ActiveDate,Channel,Price)
VALUES("&amp;C220&amp;",'2020-05-01','GT',"&amp;AL220&amp;")"</f>
        <v>INSERT INTO ListedPrice
(ProductId,ActiveDate,Channel,Price)
VALUES(119,'2020-05-01','GT',1140000)</v>
      </c>
      <c r="AN220" s="292"/>
      <c r="AO220" s="292"/>
    </row>
    <row r="221" spans="1:41" s="285" customFormat="1">
      <c r="A221" s="339">
        <v>1830005283</v>
      </c>
      <c r="B221" s="297" t="s">
        <v>346</v>
      </c>
      <c r="C221" s="290">
        <f>VLOOKUP(B221,Sheet1!$B$17:$C$451,2,0)</f>
        <v>120</v>
      </c>
      <c r="D221" s="291" t="s">
        <v>1193</v>
      </c>
      <c r="E221" s="291"/>
      <c r="F221" s="295" t="s">
        <v>1423</v>
      </c>
      <c r="G221" s="296" t="s">
        <v>563</v>
      </c>
      <c r="H221" s="302" t="s">
        <v>353</v>
      </c>
      <c r="I221" s="291">
        <v>0</v>
      </c>
      <c r="J221" s="297"/>
      <c r="K221" s="297" t="s">
        <v>623</v>
      </c>
      <c r="L221" s="293" t="str">
        <f t="shared" si="13"/>
        <v>INSERT INTO Product (CMMF,Model,BarCode,Capacity,[Type],Product,[Range],[ModelName],[Color],[Status]) VALUES
('1830005283','FV3930E0','3121040052839','','Iron','Tefal',N'Bàn ủi hơi nước',N'0',N'','Discontinued')</v>
      </c>
      <c r="M221" s="333" t="s">
        <v>877</v>
      </c>
      <c r="N221" s="333" t="s">
        <v>683</v>
      </c>
      <c r="O221" s="292"/>
      <c r="P221" s="292"/>
      <c r="Q221" s="292"/>
      <c r="R221" s="292"/>
      <c r="S221" s="292"/>
      <c r="T221" s="292"/>
      <c r="U221" s="292"/>
      <c r="V221" s="292"/>
      <c r="W221" s="292"/>
      <c r="X221" s="292"/>
      <c r="Y221" s="292"/>
      <c r="Z221" s="292"/>
      <c r="AA221" s="292"/>
      <c r="AB221" s="292"/>
      <c r="AC221" s="292"/>
      <c r="AD221" s="292"/>
      <c r="AE221" s="292"/>
      <c r="AF221" s="292"/>
      <c r="AG221" s="292"/>
      <c r="AH221" s="292"/>
      <c r="AI221" s="292"/>
      <c r="AJ221" s="292"/>
      <c r="AK221" s="380">
        <v>1467000</v>
      </c>
      <c r="AL221" s="381">
        <v>0</v>
      </c>
      <c r="AM221" s="379" t="str">
        <f>"INSERT INTO ListedPrice
(ProductId,ActiveDate,Channel,Price)
VALUES("&amp;C221&amp;",'2020-05-01','MT',"&amp;AK221&amp;")"</f>
        <v>INSERT INTO ListedPrice
(ProductId,ActiveDate,Channel,Price)
VALUES(120,'2020-05-01','MT',1467000)</v>
      </c>
      <c r="AN221" s="292"/>
      <c r="AO221" s="292"/>
    </row>
    <row r="222" spans="1:41" s="286" customFormat="1">
      <c r="A222" s="340">
        <v>1830006846</v>
      </c>
      <c r="B222" s="313" t="s">
        <v>439</v>
      </c>
      <c r="C222" s="290">
        <f>VLOOKUP(B222,Sheet1!$B$17:$C$451,2,0)</f>
        <v>121</v>
      </c>
      <c r="D222" s="291" t="s">
        <v>1194</v>
      </c>
      <c r="E222" s="291"/>
      <c r="F222" s="295" t="s">
        <v>1423</v>
      </c>
      <c r="G222" s="300" t="s">
        <v>563</v>
      </c>
      <c r="H222" s="302" t="s">
        <v>353</v>
      </c>
      <c r="I222" s="291" t="s">
        <v>651</v>
      </c>
      <c r="J222" s="298"/>
      <c r="K222" s="300" t="s">
        <v>873</v>
      </c>
      <c r="L222" s="293" t="str">
        <f t="shared" si="13"/>
        <v>INSERT INTO Product (CMMF,Model,BarCode,Capacity,[Type],Product,[Range],[ModelName],[Color],[Status]) VALUES
('1830006846','FV3951E0','3121040068465','','Iron','Tefal',N'Bàn ủi hơi nước',N'Easy Gliss',N'','To be discontinued')</v>
      </c>
      <c r="M222" s="292" t="s">
        <v>877</v>
      </c>
      <c r="N222" s="292"/>
      <c r="O222" s="292" t="s">
        <v>1487</v>
      </c>
      <c r="P222" s="292" t="str">
        <f>"INSERT INTO ProductByAccount
( ProductId,AccountId)VALUES
("&amp;C222&amp;",1029)"</f>
        <v>INSERT INTO ProductByAccount
( ProductId,AccountId)VALUES
(121,1029)</v>
      </c>
      <c r="Q222" s="292"/>
      <c r="R222" s="292"/>
      <c r="S222" s="292" t="s">
        <v>872</v>
      </c>
      <c r="T222" s="292" t="str">
        <f>"INSERT INTO ProductByAccount
( ProductId,AccountId)VALUES
("&amp;C222&amp;",1031)"</f>
        <v>INSERT INTO ProductByAccount
( ProductId,AccountId)VALUES
(121,1031)</v>
      </c>
      <c r="U222" s="292"/>
      <c r="V222" s="292"/>
      <c r="W222" s="292"/>
      <c r="X222" s="292"/>
      <c r="Y222" s="292"/>
      <c r="Z222" s="292"/>
      <c r="AA222" s="292"/>
      <c r="AB222" s="292"/>
      <c r="AC222" s="300" t="s">
        <v>873</v>
      </c>
      <c r="AD222" s="292" t="str">
        <f>"INSERT INTO ProductByAccount
( ProductId,AccountId)VALUES
("&amp;C222&amp;",1036)"</f>
        <v>INSERT INTO ProductByAccount
( ProductId,AccountId)VALUES
(121,1036)</v>
      </c>
      <c r="AE222" s="292"/>
      <c r="AF222" s="292"/>
      <c r="AG222" s="292"/>
      <c r="AH222" s="292"/>
      <c r="AI222" s="292"/>
      <c r="AJ222" s="292"/>
      <c r="AK222" s="380">
        <v>1318181.8181818181</v>
      </c>
      <c r="AL222" s="381">
        <v>0</v>
      </c>
      <c r="AM222" s="379" t="str">
        <f>"INSERT INTO ListedPrice
(ProductId,ActiveDate,Channel,Price)
VALUES("&amp;C222&amp;",'2020-05-01','MT',"&amp;AK222&amp;")"</f>
        <v>INSERT INTO ListedPrice
(ProductId,ActiveDate,Channel,Price)
VALUES(121,'2020-05-01','MT',1318181.81818182)</v>
      </c>
      <c r="AN222" s="292"/>
      <c r="AO222" s="292"/>
    </row>
    <row r="223" spans="1:41" s="286" customFormat="1">
      <c r="A223" s="340">
        <v>1830006854</v>
      </c>
      <c r="B223" s="313" t="s">
        <v>440</v>
      </c>
      <c r="C223" s="290">
        <f>VLOOKUP(B223,Sheet1!$B$17:$C$451,2,0)</f>
        <v>122</v>
      </c>
      <c r="D223" s="291" t="s">
        <v>1195</v>
      </c>
      <c r="E223" s="291"/>
      <c r="F223" s="295" t="s">
        <v>1423</v>
      </c>
      <c r="G223" s="300" t="s">
        <v>563</v>
      </c>
      <c r="H223" s="302" t="s">
        <v>353</v>
      </c>
      <c r="I223" s="291" t="s">
        <v>651</v>
      </c>
      <c r="J223" s="298"/>
      <c r="K223" s="300" t="s">
        <v>873</v>
      </c>
      <c r="L223" s="293" t="str">
        <f t="shared" si="13"/>
        <v>INSERT INTO Product (CMMF,Model,BarCode,Capacity,[Type],Product,[Range],[ModelName],[Color],[Status]) VALUES
('1830006854','FV3965E0','3121040068540','','Iron','Tefal',N'Bàn ủi hơi nước',N'Easy Gliss',N'','To be discontinued')</v>
      </c>
      <c r="M223" s="292" t="s">
        <v>877</v>
      </c>
      <c r="N223" s="292"/>
      <c r="O223" s="292"/>
      <c r="P223" s="292"/>
      <c r="Q223" s="292"/>
      <c r="R223" s="292"/>
      <c r="S223" s="292" t="s">
        <v>872</v>
      </c>
      <c r="T223" s="292" t="str">
        <f>"INSERT INTO ProductByAccount
( ProductId,AccountId)VALUES
("&amp;C223&amp;",1031)"</f>
        <v>INSERT INTO ProductByAccount
( ProductId,AccountId)VALUES
(122,1031)</v>
      </c>
      <c r="U223" s="292" t="s">
        <v>872</v>
      </c>
      <c r="V223" s="292" t="str">
        <f>"INSERT INTO ProductByAccount
( ProductId,AccountId)VALUES
("&amp;C223&amp;",1032)"</f>
        <v>INSERT INTO ProductByAccount
( ProductId,AccountId)VALUES
(122,1032)</v>
      </c>
      <c r="W223" s="292" t="s">
        <v>872</v>
      </c>
      <c r="X223" s="292" t="str">
        <f>"INSERT INTO ProductByAccount
( ProductId,AccountId)VALUES
("&amp;C223&amp;",1033)"</f>
        <v>INSERT INTO ProductByAccount
( ProductId,AccountId)VALUES
(122,1033)</v>
      </c>
      <c r="Y223" s="292"/>
      <c r="Z223" s="292"/>
      <c r="AA223" s="300" t="s">
        <v>873</v>
      </c>
      <c r="AB223" s="292" t="str">
        <f>"INSERT INTO ProductByAccount
( ProductId,AccountId)VALUES
("&amp;C223&amp;",1035)"</f>
        <v>INSERT INTO ProductByAccount
( ProductId,AccountId)VALUES
(122,1035)</v>
      </c>
      <c r="AC223" s="292"/>
      <c r="AD223" s="292"/>
      <c r="AE223" s="292" t="s">
        <v>872</v>
      </c>
      <c r="AF223" s="292" t="str">
        <f>"INSERT INTO ProductByAccount
( ProductId,AccountId)VALUES
("&amp;C223&amp;",1037)"</f>
        <v>INSERT INTO ProductByAccount
( ProductId,AccountId)VALUES
(122,1037)</v>
      </c>
      <c r="AG223" s="292" t="s">
        <v>872</v>
      </c>
      <c r="AH223" s="292" t="str">
        <f>"INSERT INTO ProductByAccount
( ProductId,AccountId)VALUES
("&amp;C223&amp;",1038)"</f>
        <v>INSERT INTO ProductByAccount
( ProductId,AccountId)VALUES
(122,1038)</v>
      </c>
      <c r="AI223" s="292"/>
      <c r="AJ223" s="292"/>
      <c r="AK223" s="380">
        <v>1427272.7272727271</v>
      </c>
      <c r="AL223" s="381">
        <v>0</v>
      </c>
      <c r="AM223" s="379" t="str">
        <f>"INSERT INTO ListedPrice
(ProductId,ActiveDate,Channel,Price)
VALUES("&amp;C223&amp;",'2020-05-01','MT',"&amp;AK223&amp;")"</f>
        <v>INSERT INTO ListedPrice
(ProductId,ActiveDate,Channel,Price)
VALUES(122,'2020-05-01','MT',1427272.72727273)</v>
      </c>
      <c r="AN223" s="292"/>
      <c r="AO223" s="292"/>
    </row>
    <row r="224" spans="1:41" s="285" customFormat="1">
      <c r="A224" s="351">
        <v>1830005120</v>
      </c>
      <c r="B224" s="297" t="s">
        <v>1405</v>
      </c>
      <c r="C224" s="290">
        <f>VLOOKUP(B224,Sheet1!$B$17:$C$451,2,0)</f>
        <v>123</v>
      </c>
      <c r="D224" s="295" t="s">
        <v>1406</v>
      </c>
      <c r="E224" s="295"/>
      <c r="F224" s="295" t="s">
        <v>1423</v>
      </c>
      <c r="G224" s="300" t="s">
        <v>563</v>
      </c>
      <c r="H224" s="302" t="s">
        <v>353</v>
      </c>
      <c r="I224" s="295"/>
      <c r="J224" s="294"/>
      <c r="K224" s="297" t="s">
        <v>623</v>
      </c>
      <c r="L224" s="293" t="str">
        <f t="shared" si="13"/>
        <v>INSERT INTO Product (CMMF,Model,BarCode,Capacity,[Type],Product,[Range],[ModelName],[Color],[Status]) VALUES
('1830005120','FV4870L0','3121040051207','','Iron','Tefal',N'Bàn ủi hơi nước',N'',N'','Discontinued')</v>
      </c>
      <c r="M224" s="333" t="s">
        <v>877</v>
      </c>
      <c r="N224" s="333" t="s">
        <v>683</v>
      </c>
      <c r="O224" s="292"/>
      <c r="P224" s="292"/>
      <c r="Q224" s="292"/>
      <c r="R224" s="292"/>
      <c r="S224" s="292"/>
      <c r="T224" s="292"/>
      <c r="U224" s="292"/>
      <c r="V224" s="292"/>
      <c r="W224" s="292"/>
      <c r="X224" s="292"/>
      <c r="Y224" s="292"/>
      <c r="Z224" s="292"/>
      <c r="AA224" s="292"/>
      <c r="AB224" s="292"/>
      <c r="AC224" s="292"/>
      <c r="AD224" s="292"/>
      <c r="AE224" s="296"/>
      <c r="AF224" s="296"/>
      <c r="AG224" s="292"/>
      <c r="AH224" s="292"/>
      <c r="AI224" s="292"/>
      <c r="AJ224" s="292"/>
      <c r="AK224" s="308"/>
      <c r="AL224" s="381"/>
      <c r="AM224" s="379" t="str">
        <f>"INSERT INTO ListedPrice
(ProductId,ActiveDate,Channel,Price)
VALUES("&amp;C224&amp;",'2020-05-01','MT',"&amp;AK224&amp;")"</f>
        <v>INSERT INTO ListedPrice
(ProductId,ActiveDate,Channel,Price)
VALUES(123,'2020-05-01','MT',)</v>
      </c>
      <c r="AN224" s="296"/>
      <c r="AO224" s="296"/>
    </row>
    <row r="225" spans="1:41" s="285" customFormat="1">
      <c r="A225" s="339">
        <v>1830005910</v>
      </c>
      <c r="B225" s="297" t="s">
        <v>345</v>
      </c>
      <c r="C225" s="290">
        <f>VLOOKUP(B225,Sheet1!$B$17:$C$451,2,0)</f>
        <v>124</v>
      </c>
      <c r="D225" s="291" t="s">
        <v>1196</v>
      </c>
      <c r="E225" s="291"/>
      <c r="F225" s="295" t="s">
        <v>1423</v>
      </c>
      <c r="G225" s="296" t="s">
        <v>563</v>
      </c>
      <c r="H225" s="302" t="s">
        <v>353</v>
      </c>
      <c r="I225" s="291">
        <v>0</v>
      </c>
      <c r="J225" s="294"/>
      <c r="K225" s="297" t="s">
        <v>623</v>
      </c>
      <c r="L225" s="293" t="str">
        <f t="shared" si="13"/>
        <v>INSERT INTO Product (CMMF,Model,BarCode,Capacity,[Type],Product,[Range],[ModelName],[Color],[Status]) VALUES
('1830005910','FV4970E0','3121040059104','','Iron','Tefal',N'Bàn ủi hơi nước',N'0',N'','Discontinued')</v>
      </c>
      <c r="M225" s="293"/>
      <c r="N225" s="292" t="s">
        <v>683</v>
      </c>
      <c r="O225" s="292"/>
      <c r="P225" s="292"/>
      <c r="Q225" s="292"/>
      <c r="R225" s="292"/>
      <c r="S225" s="292"/>
      <c r="T225" s="292"/>
      <c r="U225" s="292"/>
      <c r="V225" s="292"/>
      <c r="W225" s="292"/>
      <c r="X225" s="292"/>
      <c r="Y225" s="292"/>
      <c r="Z225" s="292"/>
      <c r="AA225" s="292"/>
      <c r="AB225" s="292"/>
      <c r="AC225" s="292"/>
      <c r="AD225" s="292"/>
      <c r="AE225" s="292"/>
      <c r="AF225" s="292"/>
      <c r="AG225" s="292" t="s">
        <v>872</v>
      </c>
      <c r="AH225" s="292" t="str">
        <f>"INSERT INTO ProductByAccount
( ProductId,AccountId)VALUES
("&amp;C225&amp;",1038)"</f>
        <v>INSERT INTO ProductByAccount
( ProductId,AccountId)VALUES
(124,1038)</v>
      </c>
      <c r="AI225" s="292"/>
      <c r="AJ225" s="292"/>
      <c r="AK225" s="380">
        <v>1999999.9999999998</v>
      </c>
      <c r="AL225" s="381">
        <v>1600000</v>
      </c>
      <c r="AM225" s="379" t="str">
        <f>"INSERT INTO ListedPrice
(ProductId,ActiveDate,Channel,Price)
VALUES("&amp;C225&amp;",'2020-05-01','GT',"&amp;AL225&amp;")"</f>
        <v>INSERT INTO ListedPrice
(ProductId,ActiveDate,Channel,Price)
VALUES(124,'2020-05-01','GT',1600000)</v>
      </c>
      <c r="AN225" s="292"/>
      <c r="AO225" s="292"/>
    </row>
    <row r="226" spans="1:41">
      <c r="A226" s="341">
        <v>1830006865</v>
      </c>
      <c r="B226" s="293" t="s">
        <v>441</v>
      </c>
      <c r="C226" s="290">
        <f>VLOOKUP(B226,Sheet1!$B$17:$C$451,2,0)</f>
        <v>125</v>
      </c>
      <c r="D226" s="291" t="s">
        <v>1197</v>
      </c>
      <c r="E226" s="291"/>
      <c r="F226" s="295" t="s">
        <v>1423</v>
      </c>
      <c r="G226" s="292" t="s">
        <v>563</v>
      </c>
      <c r="H226" s="302" t="s">
        <v>353</v>
      </c>
      <c r="I226" s="291" t="s">
        <v>650</v>
      </c>
      <c r="J226" s="290"/>
      <c r="K226" s="293" t="s">
        <v>872</v>
      </c>
      <c r="L226" s="293" t="str">
        <f t="shared" si="13"/>
        <v>INSERT INTO Product (CMMF,Model,BarCode,Capacity,[Type],Product,[Range],[ModelName],[Color],[Status]) VALUES
('1830006865','FV4980E0','3121040068656','','Iron','Tefal',N'Bàn ủi hơi nước',N'Stmart Protect',N'','On going')</v>
      </c>
      <c r="M226" s="292" t="s">
        <v>877</v>
      </c>
      <c r="N226" s="292" t="s">
        <v>683</v>
      </c>
      <c r="O226" s="292"/>
      <c r="P226" s="292"/>
      <c r="Q226" s="292"/>
      <c r="R226" s="292"/>
      <c r="S226" s="292" t="s">
        <v>872</v>
      </c>
      <c r="T226" s="292" t="str">
        <f>"INSERT INTO ProductByAccount
( ProductId,AccountId)VALUES
("&amp;C226&amp;",1031)"</f>
        <v>INSERT INTO ProductByAccount
( ProductId,AccountId)VALUES
(125,1031)</v>
      </c>
      <c r="U226" s="292"/>
      <c r="V226" s="292"/>
      <c r="W226" s="292" t="s">
        <v>872</v>
      </c>
      <c r="X226" s="292" t="str">
        <f>"INSERT INTO ProductByAccount
( ProductId,AccountId)VALUES
("&amp;C226&amp;",1033)"</f>
        <v>INSERT INTO ProductByAccount
( ProductId,AccountId)VALUES
(125,1033)</v>
      </c>
      <c r="Y226" s="292"/>
      <c r="Z226" s="292"/>
      <c r="AA226" s="292"/>
      <c r="AB226" s="292"/>
      <c r="AC226" s="292" t="s">
        <v>872</v>
      </c>
      <c r="AD226" s="292" t="str">
        <f>"INSERT INTO ProductByAccount
( ProductId,AccountId)VALUES
("&amp;C226&amp;",1036)"</f>
        <v>INSERT INTO ProductByAccount
( ProductId,AccountId)VALUES
(125,1036)</v>
      </c>
      <c r="AE226" s="292"/>
      <c r="AF226" s="292"/>
      <c r="AG226" s="292" t="s">
        <v>872</v>
      </c>
      <c r="AH226" s="292" t="str">
        <f>"INSERT INTO ProductByAccount
( ProductId,AccountId)VALUES
("&amp;C226&amp;",1038)"</f>
        <v>INSERT INTO ProductByAccount
( ProductId,AccountId)VALUES
(125,1038)</v>
      </c>
      <c r="AI226" s="292"/>
      <c r="AJ226" s="292"/>
      <c r="AK226" s="380">
        <v>1999999.9999999998</v>
      </c>
      <c r="AL226" s="381">
        <v>1600000</v>
      </c>
      <c r="AM226" s="379" t="str">
        <f>"INSERT INTO ListedPrice
(ProductId,ActiveDate,Channel,Price)
VALUES("&amp;C226&amp;",'2020-05-01','GT',"&amp;AL226&amp;")"</f>
        <v>INSERT INTO ListedPrice
(ProductId,ActiveDate,Channel,Price)
VALUES(125,'2020-05-01','GT',1600000)</v>
      </c>
      <c r="AN226" s="292"/>
      <c r="AO226" s="292"/>
    </row>
    <row r="227" spans="1:41" s="285" customFormat="1">
      <c r="A227" s="347">
        <v>1830003796</v>
      </c>
      <c r="B227" s="294" t="s">
        <v>1402</v>
      </c>
      <c r="C227" s="290">
        <f>VLOOKUP(B227,Sheet1!$B$17:$C$451,2,0)</f>
        <v>126</v>
      </c>
      <c r="D227" s="295" t="s">
        <v>1403</v>
      </c>
      <c r="E227" s="295"/>
      <c r="F227" s="295" t="s">
        <v>1423</v>
      </c>
      <c r="G227" s="295" t="s">
        <v>563</v>
      </c>
      <c r="H227" s="302" t="s">
        <v>353</v>
      </c>
      <c r="I227" s="295"/>
      <c r="J227" s="294"/>
      <c r="K227" s="297" t="s">
        <v>623</v>
      </c>
      <c r="L227" s="293" t="str">
        <f t="shared" si="13"/>
        <v>INSERT INTO Product (CMMF,Model,BarCode,Capacity,[Type],Product,[Range],[ModelName],[Color],[Status]) VALUES
('1830003796','FV5330L0','3121040037966','','Iron','Tefal',N'Bàn ủi hơi nước',N'',N'','Discontinued')</v>
      </c>
      <c r="M227" s="333" t="s">
        <v>877</v>
      </c>
      <c r="N227" s="333" t="s">
        <v>683</v>
      </c>
      <c r="O227" s="292"/>
      <c r="P227" s="292"/>
      <c r="Q227" s="292"/>
      <c r="R227" s="292"/>
      <c r="S227" s="292"/>
      <c r="T227" s="292"/>
      <c r="U227" s="292"/>
      <c r="V227" s="292"/>
      <c r="W227" s="292"/>
      <c r="X227" s="292"/>
      <c r="Y227" s="292"/>
      <c r="Z227" s="292"/>
      <c r="AA227" s="292"/>
      <c r="AB227" s="292"/>
      <c r="AC227" s="292"/>
      <c r="AD227" s="292"/>
      <c r="AE227" s="296"/>
      <c r="AF227" s="296"/>
      <c r="AG227" s="292"/>
      <c r="AH227" s="292"/>
      <c r="AI227" s="292"/>
      <c r="AJ227" s="292"/>
      <c r="AK227" s="308"/>
      <c r="AL227" s="381"/>
      <c r="AM227" s="379" t="str">
        <f t="shared" ref="AM227:AM257" si="18">"INSERT INTO ListedPrice
(ProductId,ActiveDate,Channel,Price)
VALUES("&amp;C227&amp;",'2020-05-01','MT',"&amp;AK227&amp;")"</f>
        <v>INSERT INTO ListedPrice
(ProductId,ActiveDate,Channel,Price)
VALUES(126,'2020-05-01','MT',)</v>
      </c>
      <c r="AN227" s="296"/>
      <c r="AO227" s="296"/>
    </row>
    <row r="228" spans="1:41" s="285" customFormat="1">
      <c r="A228" s="336"/>
      <c r="B228" s="294" t="s">
        <v>1410</v>
      </c>
      <c r="C228" s="290">
        <f>VLOOKUP(B228,Sheet1!$B$17:$C$451,2,0)</f>
        <v>127</v>
      </c>
      <c r="D228" s="295"/>
      <c r="E228" s="295"/>
      <c r="F228" s="295" t="s">
        <v>1423</v>
      </c>
      <c r="G228" s="295" t="s">
        <v>563</v>
      </c>
      <c r="H228" s="302" t="s">
        <v>353</v>
      </c>
      <c r="I228" s="295"/>
      <c r="J228" s="294"/>
      <c r="K228" s="297" t="s">
        <v>623</v>
      </c>
      <c r="L228" s="293" t="str">
        <f t="shared" si="13"/>
        <v>INSERT INTO Product (CMMF,Model,BarCode,Capacity,[Type],Product,[Range],[ModelName],[Color],[Status]) VALUES
('','FV5335','','','Iron','Tefal',N'Bàn ủi hơi nước',N'',N'','Discontinued')</v>
      </c>
      <c r="M228" s="333" t="s">
        <v>877</v>
      </c>
      <c r="N228" s="333" t="s">
        <v>683</v>
      </c>
      <c r="O228" s="292"/>
      <c r="P228" s="292"/>
      <c r="Q228" s="292"/>
      <c r="R228" s="292"/>
      <c r="S228" s="292"/>
      <c r="T228" s="292"/>
      <c r="U228" s="292"/>
      <c r="V228" s="292"/>
      <c r="W228" s="292"/>
      <c r="X228" s="292"/>
      <c r="Y228" s="292"/>
      <c r="Z228" s="292"/>
      <c r="AA228" s="292"/>
      <c r="AB228" s="292"/>
      <c r="AC228" s="292"/>
      <c r="AD228" s="292"/>
      <c r="AE228" s="296"/>
      <c r="AF228" s="296"/>
      <c r="AG228" s="292"/>
      <c r="AH228" s="292"/>
      <c r="AI228" s="292"/>
      <c r="AJ228" s="292"/>
      <c r="AK228" s="308"/>
      <c r="AL228" s="381"/>
      <c r="AM228" s="379" t="str">
        <f t="shared" si="18"/>
        <v>INSERT INTO ListedPrice
(ProductId,ActiveDate,Channel,Price)
VALUES(127,'2020-05-01','MT',)</v>
      </c>
      <c r="AN228" s="296"/>
      <c r="AO228" s="296"/>
    </row>
    <row r="229" spans="1:41" s="285" customFormat="1">
      <c r="A229" s="347">
        <v>1830005888</v>
      </c>
      <c r="B229" s="294" t="s">
        <v>344</v>
      </c>
      <c r="C229" s="290">
        <f>VLOOKUP(B229,Sheet1!$B$17:$C$451,2,0)</f>
        <v>128</v>
      </c>
      <c r="D229" s="295" t="s">
        <v>1411</v>
      </c>
      <c r="E229" s="295"/>
      <c r="F229" s="295" t="s">
        <v>1423</v>
      </c>
      <c r="G229" s="295" t="s">
        <v>563</v>
      </c>
      <c r="H229" s="302" t="s">
        <v>353</v>
      </c>
      <c r="I229" s="295"/>
      <c r="J229" s="294"/>
      <c r="K229" s="297" t="s">
        <v>623</v>
      </c>
      <c r="L229" s="293" t="str">
        <f t="shared" si="13"/>
        <v>INSERT INTO Product (CMMF,Model,BarCode,Capacity,[Type],Product,[Range],[ModelName],[Color],[Status]) VALUES
('1830005888','FV5525E0','3121040058886','','Iron','Tefal',N'Bàn ủi hơi nước',N'',N'','Discontinued')</v>
      </c>
      <c r="M229" s="333" t="s">
        <v>877</v>
      </c>
      <c r="N229" s="333" t="s">
        <v>683</v>
      </c>
      <c r="O229" s="292"/>
      <c r="P229" s="292"/>
      <c r="Q229" s="292"/>
      <c r="R229" s="292"/>
      <c r="S229" s="292"/>
      <c r="T229" s="292"/>
      <c r="U229" s="292"/>
      <c r="V229" s="292"/>
      <c r="W229" s="292"/>
      <c r="X229" s="292"/>
      <c r="Y229" s="292"/>
      <c r="Z229" s="292"/>
      <c r="AA229" s="292"/>
      <c r="AB229" s="292"/>
      <c r="AC229" s="292"/>
      <c r="AD229" s="292"/>
      <c r="AE229" s="296"/>
      <c r="AF229" s="296"/>
      <c r="AG229" s="292"/>
      <c r="AH229" s="292"/>
      <c r="AI229" s="292"/>
      <c r="AJ229" s="292"/>
      <c r="AK229" s="308"/>
      <c r="AL229" s="381"/>
      <c r="AM229" s="379" t="str">
        <f t="shared" si="18"/>
        <v>INSERT INTO ListedPrice
(ProductId,ActiveDate,Channel,Price)
VALUES(128,'2020-05-01','MT',)</v>
      </c>
      <c r="AN229" s="296"/>
      <c r="AO229" s="296"/>
    </row>
    <row r="230" spans="1:41" s="285" customFormat="1">
      <c r="A230" s="347">
        <v>1830004756</v>
      </c>
      <c r="B230" s="294" t="s">
        <v>1404</v>
      </c>
      <c r="C230" s="290">
        <f>VLOOKUP(B230,Sheet1!$B$17:$C$451,2,0)</f>
        <v>129</v>
      </c>
      <c r="D230" s="295"/>
      <c r="E230" s="295"/>
      <c r="F230" s="295" t="s">
        <v>1423</v>
      </c>
      <c r="G230" s="295" t="s">
        <v>563</v>
      </c>
      <c r="H230" s="302" t="s">
        <v>353</v>
      </c>
      <c r="I230" s="295"/>
      <c r="J230" s="294"/>
      <c r="K230" s="297" t="s">
        <v>623</v>
      </c>
      <c r="L230" s="293" t="str">
        <f t="shared" si="13"/>
        <v>INSERT INTO Product (CMMF,Model,BarCode,Capacity,[Type],Product,[Range],[ModelName],[Color],[Status]) VALUES
('1830004756','FV9603L0','','','Iron','Tefal',N'Bàn ủi hơi nước',N'',N'','Discontinued')</v>
      </c>
      <c r="M230" s="333" t="s">
        <v>877</v>
      </c>
      <c r="N230" s="333" t="s">
        <v>683</v>
      </c>
      <c r="O230" s="292"/>
      <c r="P230" s="292"/>
      <c r="Q230" s="292"/>
      <c r="R230" s="292"/>
      <c r="S230" s="292"/>
      <c r="T230" s="292"/>
      <c r="U230" s="292"/>
      <c r="V230" s="292"/>
      <c r="W230" s="292"/>
      <c r="X230" s="292"/>
      <c r="Y230" s="292"/>
      <c r="Z230" s="292"/>
      <c r="AA230" s="292"/>
      <c r="AB230" s="292"/>
      <c r="AC230" s="292"/>
      <c r="AD230" s="292"/>
      <c r="AE230" s="296"/>
      <c r="AF230" s="296"/>
      <c r="AG230" s="292"/>
      <c r="AH230" s="292"/>
      <c r="AI230" s="292"/>
      <c r="AJ230" s="292"/>
      <c r="AK230" s="308"/>
      <c r="AL230" s="381"/>
      <c r="AM230" s="379" t="str">
        <f t="shared" si="18"/>
        <v>INSERT INTO ListedPrice
(ProductId,ActiveDate,Channel,Price)
VALUES(129,'2020-05-01','MT',)</v>
      </c>
      <c r="AN230" s="296"/>
      <c r="AO230" s="296"/>
    </row>
    <row r="231" spans="1:41" s="287" customFormat="1">
      <c r="A231" s="338">
        <v>1830007574</v>
      </c>
      <c r="B231" s="301" t="s">
        <v>763</v>
      </c>
      <c r="C231" s="290">
        <f>VLOOKUP(B231,Sheet1!$B$17:$C$451,2,0)</f>
        <v>130</v>
      </c>
      <c r="D231" s="291" t="s">
        <v>1181</v>
      </c>
      <c r="E231" s="291"/>
      <c r="F231" s="295" t="s">
        <v>1423</v>
      </c>
      <c r="G231" s="302" t="s">
        <v>563</v>
      </c>
      <c r="H231" s="302" t="s">
        <v>353</v>
      </c>
      <c r="I231" s="291"/>
      <c r="J231" s="301"/>
      <c r="K231" s="303" t="s">
        <v>516</v>
      </c>
      <c r="L231" s="293" t="str">
        <f t="shared" ref="L231:L294" si="19">"INSERT INTO Product (CMMF,Model,BarCode,Capacity,[Type],Product,[Range],[ModelName],[Color],[Status]) VALUES
('"&amp;A231&amp;"','"&amp;B231&amp;"','"&amp;D231&amp;"','"&amp;E231&amp;"','"&amp;F231&amp;"','"&amp;G231&amp;"',N'"&amp;H231&amp;"',N'"&amp;I231&amp;"',N'"&amp;J231&amp;"','"&amp;K231&amp;"')"</f>
        <v>INSERT INTO Product (CMMF,Model,BarCode,Capacity,[Type],Product,[Range],[ModelName],[Color],[Status]) VALUES
('1830007574','FV5717E0','3121040075746','','Iron','Tefal',N'Bàn ủi hơi nước',N'',N'','New')</v>
      </c>
      <c r="M231" s="292" t="s">
        <v>877</v>
      </c>
      <c r="N231" s="292"/>
      <c r="O231" s="292"/>
      <c r="P231" s="292"/>
      <c r="Q231" s="292"/>
      <c r="R231" s="292"/>
      <c r="S231" s="292"/>
      <c r="T231" s="292"/>
      <c r="U231" s="292"/>
      <c r="V231" s="292"/>
      <c r="W231" s="292"/>
      <c r="X231" s="292"/>
      <c r="Y231" s="292"/>
      <c r="Z231" s="292"/>
      <c r="AA231" s="292"/>
      <c r="AB231" s="292"/>
      <c r="AC231" s="292"/>
      <c r="AD231" s="292"/>
      <c r="AE231" s="292"/>
      <c r="AF231" s="292"/>
      <c r="AG231" s="292"/>
      <c r="AH231" s="292"/>
      <c r="AI231" s="292"/>
      <c r="AJ231" s="292"/>
      <c r="AK231" s="329"/>
      <c r="AL231" s="381">
        <v>0</v>
      </c>
      <c r="AM231" s="379" t="str">
        <f t="shared" si="18"/>
        <v>INSERT INTO ListedPrice
(ProductId,ActiveDate,Channel,Price)
VALUES(130,'2020-05-01','MT',)</v>
      </c>
      <c r="AN231" s="292"/>
      <c r="AO231" s="292"/>
    </row>
    <row r="232" spans="1:41" s="287" customFormat="1">
      <c r="A232" s="338">
        <v>1830007584</v>
      </c>
      <c r="B232" s="301" t="s">
        <v>764</v>
      </c>
      <c r="C232" s="290">
        <f>VLOOKUP(B232,Sheet1!$B$17:$C$451,2,0)</f>
        <v>131</v>
      </c>
      <c r="D232" s="291" t="s">
        <v>1182</v>
      </c>
      <c r="E232" s="291"/>
      <c r="F232" s="295" t="s">
        <v>1423</v>
      </c>
      <c r="G232" s="302" t="s">
        <v>563</v>
      </c>
      <c r="H232" s="302" t="s">
        <v>353</v>
      </c>
      <c r="I232" s="291"/>
      <c r="J232" s="301"/>
      <c r="K232" s="303" t="s">
        <v>516</v>
      </c>
      <c r="L232" s="293" t="str">
        <f t="shared" si="19"/>
        <v>INSERT INTO Product (CMMF,Model,BarCode,Capacity,[Type],Product,[Range],[ModelName],[Color],[Status]) VALUES
('1830007584','FV5737E0','3121040075845','','Iron','Tefal',N'Bàn ủi hơi nước',N'',N'','New')</v>
      </c>
      <c r="M232" s="292" t="s">
        <v>877</v>
      </c>
      <c r="N232" s="292"/>
      <c r="O232" s="292"/>
      <c r="P232" s="292"/>
      <c r="Q232" s="292"/>
      <c r="R232" s="292"/>
      <c r="S232" s="292"/>
      <c r="T232" s="292"/>
      <c r="U232" s="292"/>
      <c r="V232" s="292"/>
      <c r="W232" s="292"/>
      <c r="X232" s="292"/>
      <c r="Y232" s="292"/>
      <c r="Z232" s="292"/>
      <c r="AA232" s="292"/>
      <c r="AB232" s="292"/>
      <c r="AC232" s="292"/>
      <c r="AD232" s="292"/>
      <c r="AE232" s="292"/>
      <c r="AF232" s="292"/>
      <c r="AG232" s="292"/>
      <c r="AH232" s="292"/>
      <c r="AI232" s="292"/>
      <c r="AJ232" s="292"/>
      <c r="AK232" s="380">
        <f>1929000*0.9</f>
        <v>1736100</v>
      </c>
      <c r="AL232" s="381">
        <v>0</v>
      </c>
      <c r="AM232" s="379" t="str">
        <f t="shared" si="18"/>
        <v>INSERT INTO ListedPrice
(ProductId,ActiveDate,Channel,Price)
VALUES(131,'2020-05-01','MT',1736100)</v>
      </c>
      <c r="AN232" s="292"/>
      <c r="AO232" s="292"/>
    </row>
    <row r="233" spans="1:41" s="287" customFormat="1">
      <c r="A233" s="338">
        <v>1830007745</v>
      </c>
      <c r="B233" s="301" t="s">
        <v>759</v>
      </c>
      <c r="C233" s="290">
        <f>VLOOKUP(B233,Sheet1!$B$17:$C$451,2,0)</f>
        <v>132</v>
      </c>
      <c r="D233" s="291" t="s">
        <v>1135</v>
      </c>
      <c r="E233" s="291"/>
      <c r="F233" s="295" t="s">
        <v>1423</v>
      </c>
      <c r="G233" s="302" t="s">
        <v>563</v>
      </c>
      <c r="H233" s="302" t="s">
        <v>1374</v>
      </c>
      <c r="I233" s="291"/>
      <c r="J233" s="301"/>
      <c r="K233" s="303" t="s">
        <v>516</v>
      </c>
      <c r="L233" s="293" t="str">
        <f t="shared" si="19"/>
        <v>INSERT INTO Product (CMMF,Model,BarCode,Capacity,[Type],Product,[Range],[ModelName],[Color],[Status]) VALUES
('1830007745','DT6130E0','3121040077450','','Iron','Tefal',N'Bàn Ủi hơi Cầm Tay',N'',N'','New')</v>
      </c>
      <c r="M233" s="292" t="s">
        <v>877</v>
      </c>
      <c r="N233" s="292"/>
      <c r="O233" s="292"/>
      <c r="P233" s="292"/>
      <c r="Q233" s="292"/>
      <c r="R233" s="292"/>
      <c r="S233" s="292"/>
      <c r="T233" s="292"/>
      <c r="U233" s="292"/>
      <c r="V233" s="292"/>
      <c r="W233" s="292"/>
      <c r="X233" s="292"/>
      <c r="Y233" s="292"/>
      <c r="Z233" s="292"/>
      <c r="AA233" s="292"/>
      <c r="AB233" s="292"/>
      <c r="AC233" s="292"/>
      <c r="AD233" s="292"/>
      <c r="AE233" s="292"/>
      <c r="AF233" s="292"/>
      <c r="AG233" s="292"/>
      <c r="AH233" s="292"/>
      <c r="AI233" s="292"/>
      <c r="AJ233" s="292"/>
      <c r="AK233" s="329"/>
      <c r="AL233" s="381">
        <v>0</v>
      </c>
      <c r="AM233" s="379" t="str">
        <f t="shared" si="18"/>
        <v>INSERT INTO ListedPrice
(ProductId,ActiveDate,Channel,Price)
VALUES(132,'2020-05-01','MT',)</v>
      </c>
      <c r="AN233" s="292"/>
      <c r="AO233" s="292"/>
    </row>
    <row r="234" spans="1:41" s="287" customFormat="1">
      <c r="A234" s="338">
        <v>1830007750</v>
      </c>
      <c r="B234" s="301" t="s">
        <v>758</v>
      </c>
      <c r="C234" s="290">
        <f>VLOOKUP(B234,Sheet1!$B$17:$C$451,2,0)</f>
        <v>133</v>
      </c>
      <c r="D234" s="291" t="s">
        <v>1186</v>
      </c>
      <c r="E234" s="291"/>
      <c r="F234" s="295" t="s">
        <v>1423</v>
      </c>
      <c r="G234" s="302" t="s">
        <v>563</v>
      </c>
      <c r="H234" s="302" t="s">
        <v>1374</v>
      </c>
      <c r="I234" s="291"/>
      <c r="J234" s="301"/>
      <c r="K234" s="303" t="s">
        <v>516</v>
      </c>
      <c r="L234" s="293" t="str">
        <f t="shared" si="19"/>
        <v>INSERT INTO Product (CMMF,Model,BarCode,Capacity,[Type],Product,[Range],[ModelName],[Color],[Status]) VALUES
('1830007750','DT3030E0','3121040077504','','Iron','Tefal',N'Bàn Ủi hơi Cầm Tay',N'',N'','New')</v>
      </c>
      <c r="M234" s="292" t="s">
        <v>877</v>
      </c>
      <c r="N234" s="292"/>
      <c r="O234" s="292"/>
      <c r="P234" s="292"/>
      <c r="Q234" s="292"/>
      <c r="R234" s="292"/>
      <c r="S234" s="292"/>
      <c r="T234" s="292"/>
      <c r="U234" s="292"/>
      <c r="V234" s="292"/>
      <c r="W234" s="292"/>
      <c r="X234" s="292"/>
      <c r="Y234" s="292"/>
      <c r="Z234" s="292"/>
      <c r="AA234" s="292"/>
      <c r="AB234" s="292"/>
      <c r="AC234" s="292"/>
      <c r="AD234" s="292"/>
      <c r="AE234" s="292"/>
      <c r="AF234" s="292"/>
      <c r="AG234" s="292"/>
      <c r="AH234" s="292"/>
      <c r="AI234" s="292"/>
      <c r="AJ234" s="292"/>
      <c r="AK234" s="329"/>
      <c r="AL234" s="381">
        <v>0</v>
      </c>
      <c r="AM234" s="379" t="str">
        <f t="shared" si="18"/>
        <v>INSERT INTO ListedPrice
(ProductId,ActiveDate,Channel,Price)
VALUES(133,'2020-05-01','MT',)</v>
      </c>
      <c r="AN234" s="292"/>
      <c r="AO234" s="292"/>
    </row>
    <row r="235" spans="1:41" s="287" customFormat="1">
      <c r="A235" s="338">
        <v>1830006595</v>
      </c>
      <c r="B235" s="301" t="s">
        <v>701</v>
      </c>
      <c r="C235" s="290">
        <f>VLOOKUP(B235,Sheet1!$B$17:$C$451,2,0)</f>
        <v>134</v>
      </c>
      <c r="D235" s="291" t="s">
        <v>1183</v>
      </c>
      <c r="E235" s="291"/>
      <c r="F235" s="295" t="s">
        <v>1423</v>
      </c>
      <c r="G235" s="302" t="s">
        <v>563</v>
      </c>
      <c r="H235" s="302" t="s">
        <v>1374</v>
      </c>
      <c r="I235" s="291">
        <v>0</v>
      </c>
      <c r="J235" s="301"/>
      <c r="K235" s="303" t="s">
        <v>516</v>
      </c>
      <c r="L235" s="293" t="str">
        <f t="shared" si="19"/>
        <v>INSERT INTO Product (CMMF,Model,BarCode,Capacity,[Type],Product,[Range],[ModelName],[Color],[Status]) VALUES
('1830006595','DT7000E0','3121040065952','','Iron','Tefal',N'Bàn Ủi hơi Cầm Tay',N'0',N'','New')</v>
      </c>
      <c r="M235" s="292" t="s">
        <v>877</v>
      </c>
      <c r="N235" s="292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292"/>
      <c r="AA235" s="292"/>
      <c r="AB235" s="292"/>
      <c r="AC235" s="348" t="s">
        <v>516</v>
      </c>
      <c r="AD235" s="292" t="str">
        <f>"INSERT INTO ProductByAccount
( ProductId,AccountId)VALUES
("&amp;C235&amp;",1036)"</f>
        <v>INSERT INTO ProductByAccount
( ProductId,AccountId)VALUES
(134,1036)</v>
      </c>
      <c r="AE235" s="292"/>
      <c r="AF235" s="292"/>
      <c r="AG235" s="292"/>
      <c r="AH235" s="292"/>
      <c r="AI235" s="292"/>
      <c r="AJ235" s="292"/>
      <c r="AK235" s="380">
        <v>908182</v>
      </c>
      <c r="AL235" s="381">
        <v>0</v>
      </c>
      <c r="AM235" s="379" t="str">
        <f t="shared" si="18"/>
        <v>INSERT INTO ListedPrice
(ProductId,ActiveDate,Channel,Price)
VALUES(134,'2020-05-01','MT',908182)</v>
      </c>
      <c r="AN235" s="292"/>
      <c r="AO235" s="292"/>
    </row>
    <row r="236" spans="1:41" s="287" customFormat="1">
      <c r="A236" s="338">
        <v>1830007173</v>
      </c>
      <c r="B236" s="301" t="s">
        <v>702</v>
      </c>
      <c r="C236" s="290">
        <f>VLOOKUP(B236,Sheet1!$B$17:$C$451,2,0)</f>
        <v>135</v>
      </c>
      <c r="D236" s="291" t="s">
        <v>1184</v>
      </c>
      <c r="E236" s="291"/>
      <c r="F236" s="295" t="s">
        <v>1423</v>
      </c>
      <c r="G236" s="302" t="s">
        <v>563</v>
      </c>
      <c r="H236" s="302" t="s">
        <v>1374</v>
      </c>
      <c r="I236" s="291">
        <v>0</v>
      </c>
      <c r="J236" s="301"/>
      <c r="K236" s="303" t="s">
        <v>516</v>
      </c>
      <c r="L236" s="293" t="str">
        <f t="shared" si="19"/>
        <v>INSERT INTO Product (CMMF,Model,BarCode,Capacity,[Type],Product,[Range],[ModelName],[Color],[Status]) VALUES
('1830007173','DT8100E0','3121040071731','','Iron','Tefal',N'Bàn Ủi hơi Cầm Tay',N'0',N'','New')</v>
      </c>
      <c r="M236" s="292" t="s">
        <v>877</v>
      </c>
      <c r="N236" s="292"/>
      <c r="O236" s="292"/>
      <c r="P236" s="292"/>
      <c r="Q236" s="292"/>
      <c r="R236" s="292"/>
      <c r="S236" s="292"/>
      <c r="T236" s="292"/>
      <c r="U236" s="292"/>
      <c r="V236" s="292"/>
      <c r="W236" s="292"/>
      <c r="X236" s="292"/>
      <c r="Y236" s="292"/>
      <c r="Z236" s="292"/>
      <c r="AA236" s="292"/>
      <c r="AB236" s="292"/>
      <c r="AC236" s="292"/>
      <c r="AD236" s="292"/>
      <c r="AE236" s="292"/>
      <c r="AF236" s="292"/>
      <c r="AG236" s="292"/>
      <c r="AH236" s="292"/>
      <c r="AI236" s="292"/>
      <c r="AJ236" s="292"/>
      <c r="AK236" s="380">
        <v>1154545</v>
      </c>
      <c r="AL236" s="381">
        <v>0</v>
      </c>
      <c r="AM236" s="379" t="str">
        <f t="shared" si="18"/>
        <v>INSERT INTO ListedPrice
(ProductId,ActiveDate,Channel,Price)
VALUES(135,'2020-05-01','MT',1154545)</v>
      </c>
      <c r="AN236" s="292"/>
      <c r="AO236" s="292"/>
    </row>
    <row r="237" spans="1:41" s="287" customFormat="1">
      <c r="A237" s="338">
        <v>1830007628</v>
      </c>
      <c r="B237" s="301" t="s">
        <v>754</v>
      </c>
      <c r="C237" s="290">
        <f>VLOOKUP(B237,Sheet1!$B$17:$C$451,2,0)</f>
        <v>136</v>
      </c>
      <c r="D237" s="291" t="s">
        <v>1136</v>
      </c>
      <c r="E237" s="291"/>
      <c r="F237" s="295" t="s">
        <v>1423</v>
      </c>
      <c r="G237" s="302" t="s">
        <v>563</v>
      </c>
      <c r="H237" s="302" t="s">
        <v>1373</v>
      </c>
      <c r="I237" s="291"/>
      <c r="J237" s="301"/>
      <c r="K237" s="303" t="s">
        <v>516</v>
      </c>
      <c r="L237" s="293" t="str">
        <f t="shared" si="19"/>
        <v>INSERT INTO Product (CMMF,Model,BarCode,Capacity,[Type],Product,[Range],[ModelName],[Color],[Status]) VALUES
('1830007628','IT2460E0','3121040076286','','Iron','Tefal',N'Bàn ủi hơi đứng',N'',N'','New')</v>
      </c>
      <c r="M237" s="292" t="s">
        <v>877</v>
      </c>
      <c r="N237" s="292"/>
      <c r="O237" s="292"/>
      <c r="P237" s="292"/>
      <c r="Q237" s="292"/>
      <c r="R237" s="292"/>
      <c r="S237" s="292"/>
      <c r="T237" s="292"/>
      <c r="U237" s="292"/>
      <c r="V237" s="292"/>
      <c r="W237" s="292"/>
      <c r="X237" s="292"/>
      <c r="Y237" s="292"/>
      <c r="Z237" s="292"/>
      <c r="AA237" s="292"/>
      <c r="AB237" s="292"/>
      <c r="AC237" s="292"/>
      <c r="AD237" s="292"/>
      <c r="AE237" s="292"/>
      <c r="AF237" s="292"/>
      <c r="AG237" s="292"/>
      <c r="AH237" s="292"/>
      <c r="AI237" s="292"/>
      <c r="AJ237" s="292"/>
      <c r="AK237" s="329"/>
      <c r="AL237" s="381">
        <v>0</v>
      </c>
      <c r="AM237" s="379" t="str">
        <f t="shared" si="18"/>
        <v>INSERT INTO ListedPrice
(ProductId,ActiveDate,Channel,Price)
VALUES(136,'2020-05-01','MT',)</v>
      </c>
      <c r="AN237" s="292"/>
      <c r="AO237" s="292"/>
    </row>
    <row r="238" spans="1:41" s="287" customFormat="1">
      <c r="A238" s="338">
        <v>1830007629</v>
      </c>
      <c r="B238" s="301" t="s">
        <v>755</v>
      </c>
      <c r="C238" s="290">
        <f>VLOOKUP(B238,Sheet1!$B$17:$C$451,2,0)</f>
        <v>137</v>
      </c>
      <c r="D238" s="291" t="s">
        <v>1137</v>
      </c>
      <c r="E238" s="291"/>
      <c r="F238" s="295" t="s">
        <v>1423</v>
      </c>
      <c r="G238" s="302" t="s">
        <v>563</v>
      </c>
      <c r="H238" s="302" t="s">
        <v>1373</v>
      </c>
      <c r="I238" s="291"/>
      <c r="J238" s="301"/>
      <c r="K238" s="303" t="s">
        <v>516</v>
      </c>
      <c r="L238" s="293" t="str">
        <f t="shared" si="19"/>
        <v>INSERT INTO Product (CMMF,Model,BarCode,Capacity,[Type],Product,[Range],[ModelName],[Color],[Status]) VALUES
('1830007629','IT2461E0','3121040076293','','Iron','Tefal',N'Bàn ủi hơi đứng',N'',N'','New')</v>
      </c>
      <c r="M238" s="292" t="s">
        <v>877</v>
      </c>
      <c r="N238" s="292"/>
      <c r="O238" s="292"/>
      <c r="P238" s="292"/>
      <c r="Q238" s="292"/>
      <c r="R238" s="292"/>
      <c r="S238" s="292"/>
      <c r="T238" s="292"/>
      <c r="U238" s="292"/>
      <c r="V238" s="292"/>
      <c r="W238" s="292"/>
      <c r="X238" s="292"/>
      <c r="Y238" s="292"/>
      <c r="Z238" s="292"/>
      <c r="AA238" s="292"/>
      <c r="AB238" s="292"/>
      <c r="AC238" s="292"/>
      <c r="AD238" s="292"/>
      <c r="AE238" s="292"/>
      <c r="AF238" s="292"/>
      <c r="AG238" s="292"/>
      <c r="AH238" s="292"/>
      <c r="AI238" s="292"/>
      <c r="AJ238" s="292"/>
      <c r="AK238" s="380">
        <f>1799000*0.9</f>
        <v>1619100</v>
      </c>
      <c r="AL238" s="381">
        <v>0</v>
      </c>
      <c r="AM238" s="379" t="str">
        <f t="shared" si="18"/>
        <v>INSERT INTO ListedPrice
(ProductId,ActiveDate,Channel,Price)
VALUES(137,'2020-05-01','MT',1619100)</v>
      </c>
      <c r="AN238" s="292"/>
      <c r="AO238" s="292"/>
    </row>
    <row r="239" spans="1:41" s="287" customFormat="1">
      <c r="A239" s="338">
        <v>1830006980</v>
      </c>
      <c r="B239" s="301" t="s">
        <v>756</v>
      </c>
      <c r="C239" s="290">
        <f>VLOOKUP(B239,Sheet1!$B$17:$C$451,2,0)</f>
        <v>138</v>
      </c>
      <c r="D239" s="291" t="s">
        <v>1138</v>
      </c>
      <c r="E239" s="291"/>
      <c r="F239" s="295" t="s">
        <v>1423</v>
      </c>
      <c r="G239" s="302" t="s">
        <v>563</v>
      </c>
      <c r="H239" s="302" t="s">
        <v>1373</v>
      </c>
      <c r="I239" s="291"/>
      <c r="J239" s="301"/>
      <c r="K239" s="303" t="s">
        <v>516</v>
      </c>
      <c r="L239" s="293" t="str">
        <f t="shared" si="19"/>
        <v>INSERT INTO Product (CMMF,Model,BarCode,Capacity,[Type],Product,[Range],[ModelName],[Color],[Status]) VALUES
('1830006980','IT3420E0','3121040069806','','Iron','Tefal',N'Bàn ủi hơi đứng',N'',N'','New')</v>
      </c>
      <c r="M239" s="292" t="s">
        <v>877</v>
      </c>
      <c r="N239" s="292"/>
      <c r="O239" s="292"/>
      <c r="P239" s="292"/>
      <c r="Q239" s="292"/>
      <c r="R239" s="292"/>
      <c r="S239" s="292"/>
      <c r="T239" s="292"/>
      <c r="U239" s="292"/>
      <c r="V239" s="292"/>
      <c r="W239" s="292"/>
      <c r="X239" s="292"/>
      <c r="Y239" s="292"/>
      <c r="Z239" s="292"/>
      <c r="AA239" s="292"/>
      <c r="AB239" s="292"/>
      <c r="AC239" s="292"/>
      <c r="AD239" s="292"/>
      <c r="AE239" s="292"/>
      <c r="AF239" s="292"/>
      <c r="AG239" s="292"/>
      <c r="AH239" s="292"/>
      <c r="AI239" s="292"/>
      <c r="AJ239" s="292"/>
      <c r="AK239" s="380">
        <f>1999000*0.9</f>
        <v>1799100</v>
      </c>
      <c r="AL239" s="381">
        <v>0</v>
      </c>
      <c r="AM239" s="379" t="str">
        <f t="shared" si="18"/>
        <v>INSERT INTO ListedPrice
(ProductId,ActiveDate,Channel,Price)
VALUES(138,'2020-05-01','MT',1799100)</v>
      </c>
      <c r="AN239" s="292"/>
      <c r="AO239" s="292"/>
    </row>
    <row r="240" spans="1:41" s="287" customFormat="1">
      <c r="A240" s="338">
        <v>1830006984</v>
      </c>
      <c r="B240" s="301" t="s">
        <v>757</v>
      </c>
      <c r="C240" s="290">
        <f>VLOOKUP(B240,Sheet1!$B$17:$C$451,2,0)</f>
        <v>139</v>
      </c>
      <c r="D240" s="291" t="s">
        <v>1139</v>
      </c>
      <c r="E240" s="291"/>
      <c r="F240" s="295" t="s">
        <v>1423</v>
      </c>
      <c r="G240" s="302" t="s">
        <v>563</v>
      </c>
      <c r="H240" s="302" t="s">
        <v>1373</v>
      </c>
      <c r="I240" s="291"/>
      <c r="J240" s="301"/>
      <c r="K240" s="303" t="s">
        <v>516</v>
      </c>
      <c r="L240" s="293" t="str">
        <f t="shared" si="19"/>
        <v>INSERT INTO Product (CMMF,Model,BarCode,Capacity,[Type],Product,[Range],[ModelName],[Color],[Status]) VALUES
('1830006984','IT3440E0','3121040069844','','Iron','Tefal',N'Bàn ủi hơi đứng',N'',N'','New')</v>
      </c>
      <c r="M240" s="292" t="s">
        <v>877</v>
      </c>
      <c r="N240" s="292"/>
      <c r="O240" s="292"/>
      <c r="P240" s="292"/>
      <c r="Q240" s="292"/>
      <c r="R240" s="292"/>
      <c r="S240" s="292"/>
      <c r="T240" s="292"/>
      <c r="U240" s="292"/>
      <c r="V240" s="292"/>
      <c r="W240" s="292"/>
      <c r="X240" s="292"/>
      <c r="Y240" s="292"/>
      <c r="Z240" s="292"/>
      <c r="AA240" s="292"/>
      <c r="AB240" s="292"/>
      <c r="AC240" s="292"/>
      <c r="AD240" s="292"/>
      <c r="AE240" s="292"/>
      <c r="AF240" s="292"/>
      <c r="AG240" s="292"/>
      <c r="AH240" s="292"/>
      <c r="AI240" s="292"/>
      <c r="AJ240" s="292"/>
      <c r="AK240" s="380">
        <f>2889000*0.9</f>
        <v>2600100</v>
      </c>
      <c r="AL240" s="381">
        <v>0</v>
      </c>
      <c r="AM240" s="379" t="str">
        <f t="shared" si="18"/>
        <v>INSERT INTO ListedPrice
(ProductId,ActiveDate,Channel,Price)
VALUES(139,'2020-05-01','MT',2600100)</v>
      </c>
      <c r="AN240" s="292"/>
      <c r="AO240" s="292"/>
    </row>
    <row r="241" spans="1:41" s="287" customFormat="1">
      <c r="A241" s="338">
        <v>2820102010</v>
      </c>
      <c r="B241" s="301" t="s">
        <v>760</v>
      </c>
      <c r="C241" s="290">
        <f>VLOOKUP(B241,Sheet1!$B$17:$C$451,2,0)</f>
        <v>140</v>
      </c>
      <c r="D241" s="291" t="s">
        <v>1140</v>
      </c>
      <c r="E241" s="291"/>
      <c r="F241" s="295" t="s">
        <v>1423</v>
      </c>
      <c r="G241" s="302" t="s">
        <v>563</v>
      </c>
      <c r="H241" s="302" t="s">
        <v>1373</v>
      </c>
      <c r="I241" s="291"/>
      <c r="J241" s="301"/>
      <c r="K241" s="303" t="s">
        <v>516</v>
      </c>
      <c r="L241" s="293" t="str">
        <f t="shared" si="19"/>
        <v>INSERT INTO Product (CMMF,Model,BarCode,Capacity,[Type],Product,[Range],[ModelName],[Color],[Status]) VALUES
('2820102010','QT1020E0','3121042810215','','Iron','Tefal',N'Bàn ủi hơi đứng',N'',N'','New')</v>
      </c>
      <c r="M241" s="292" t="s">
        <v>877</v>
      </c>
      <c r="N241" s="292"/>
      <c r="O241" s="292"/>
      <c r="P241" s="292"/>
      <c r="Q241" s="292"/>
      <c r="R241" s="292"/>
      <c r="S241" s="292"/>
      <c r="T241" s="292"/>
      <c r="U241" s="292"/>
      <c r="V241" s="292"/>
      <c r="W241" s="292"/>
      <c r="X241" s="292"/>
      <c r="Y241" s="292"/>
      <c r="Z241" s="292"/>
      <c r="AA241" s="292"/>
      <c r="AB241" s="292"/>
      <c r="AC241" s="292"/>
      <c r="AD241" s="292"/>
      <c r="AE241" s="292"/>
      <c r="AF241" s="292"/>
      <c r="AG241" s="292"/>
      <c r="AH241" s="292"/>
      <c r="AI241" s="292"/>
      <c r="AJ241" s="292"/>
      <c r="AK241" s="380">
        <f>5990000*0.9</f>
        <v>5391000</v>
      </c>
      <c r="AL241" s="381">
        <v>0</v>
      </c>
      <c r="AM241" s="379" t="str">
        <f t="shared" si="18"/>
        <v>INSERT INTO ListedPrice
(ProductId,ActiveDate,Channel,Price)
VALUES(140,'2020-05-01','MT',5391000)</v>
      </c>
      <c r="AN241" s="292"/>
      <c r="AO241" s="292"/>
    </row>
    <row r="242" spans="1:41" s="285" customFormat="1">
      <c r="A242" s="347">
        <v>1830004638</v>
      </c>
      <c r="B242" s="294" t="s">
        <v>1407</v>
      </c>
      <c r="C242" s="290">
        <f>VLOOKUP(B242,Sheet1!$B$17:$C$451,2,0)</f>
        <v>141</v>
      </c>
      <c r="D242" s="295" t="s">
        <v>1408</v>
      </c>
      <c r="E242" s="295"/>
      <c r="F242" s="295" t="s">
        <v>1423</v>
      </c>
      <c r="G242" s="295" t="s">
        <v>563</v>
      </c>
      <c r="H242" s="295" t="s">
        <v>1409</v>
      </c>
      <c r="I242" s="295"/>
      <c r="J242" s="294"/>
      <c r="K242" s="297" t="s">
        <v>623</v>
      </c>
      <c r="L242" s="293" t="str">
        <f t="shared" si="19"/>
        <v>INSERT INTO Product (CMMF,Model,BarCode,Capacity,[Type],Product,[Range],[ModelName],[Color],[Status]) VALUES
('1830004638','GV7550E0','3121040046388','','Iron','Tefal',N'Bàn ủi hơi hệ thống',N'',N'','Discontinued')</v>
      </c>
      <c r="M242" s="333" t="s">
        <v>877</v>
      </c>
      <c r="N242" s="333" t="s">
        <v>683</v>
      </c>
      <c r="O242" s="292"/>
      <c r="P242" s="292"/>
      <c r="Q242" s="292"/>
      <c r="R242" s="292"/>
      <c r="S242" s="292"/>
      <c r="T242" s="292"/>
      <c r="U242" s="292"/>
      <c r="V242" s="292"/>
      <c r="W242" s="292"/>
      <c r="X242" s="292"/>
      <c r="Y242" s="292"/>
      <c r="Z242" s="292"/>
      <c r="AA242" s="292"/>
      <c r="AB242" s="292"/>
      <c r="AC242" s="292"/>
      <c r="AD242" s="292"/>
      <c r="AE242" s="296"/>
      <c r="AF242" s="296"/>
      <c r="AG242" s="292"/>
      <c r="AH242" s="292"/>
      <c r="AI242" s="292"/>
      <c r="AJ242" s="292"/>
      <c r="AK242" s="308"/>
      <c r="AL242" s="381"/>
      <c r="AM242" s="379" t="str">
        <f t="shared" si="18"/>
        <v>INSERT INTO ListedPrice
(ProductId,ActiveDate,Channel,Price)
VALUES(141,'2020-05-01','MT',)</v>
      </c>
      <c r="AN242" s="296"/>
      <c r="AO242" s="296"/>
    </row>
    <row r="243" spans="1:41" s="285" customFormat="1">
      <c r="A243" s="336">
        <v>1500578154</v>
      </c>
      <c r="B243" s="294" t="s">
        <v>1391</v>
      </c>
      <c r="C243" s="290">
        <f>VLOOKUP(B243,Sheet1!$B$17:$C$451,2,0)</f>
        <v>142</v>
      </c>
      <c r="D243" s="295"/>
      <c r="E243" s="295"/>
      <c r="F243" s="295" t="s">
        <v>40</v>
      </c>
      <c r="G243" s="295" t="s">
        <v>563</v>
      </c>
      <c r="H243" s="295" t="s">
        <v>389</v>
      </c>
      <c r="I243" s="295"/>
      <c r="J243" s="294"/>
      <c r="K243" s="297" t="s">
        <v>623</v>
      </c>
      <c r="L243" s="293" t="str">
        <f t="shared" si="19"/>
        <v>INSERT INTO Product (CMMF,Model,BarCode,Capacity,[Type],Product,[Range],[ModelName],[Color],[Status]) VALUES
('1500578154','TT356171','','','SDA','Tefal',N'Máy nướng bánh mì',N'',N'','Discontinued')</v>
      </c>
      <c r="M243" s="333" t="s">
        <v>877</v>
      </c>
      <c r="N243" s="333" t="s">
        <v>683</v>
      </c>
      <c r="O243" s="292"/>
      <c r="P243" s="292"/>
      <c r="Q243" s="292"/>
      <c r="R243" s="292"/>
      <c r="S243" s="292"/>
      <c r="T243" s="292"/>
      <c r="U243" s="292"/>
      <c r="V243" s="292"/>
      <c r="W243" s="292"/>
      <c r="X243" s="292"/>
      <c r="Y243" s="292"/>
      <c r="Z243" s="292"/>
      <c r="AA243" s="292"/>
      <c r="AB243" s="292"/>
      <c r="AC243" s="292"/>
      <c r="AD243" s="292"/>
      <c r="AE243" s="296"/>
      <c r="AF243" s="296"/>
      <c r="AG243" s="292"/>
      <c r="AH243" s="292"/>
      <c r="AI243" s="292"/>
      <c r="AJ243" s="292"/>
      <c r="AK243" s="308"/>
      <c r="AL243" s="381"/>
      <c r="AM243" s="379" t="str">
        <f t="shared" si="18"/>
        <v>INSERT INTO ListedPrice
(ProductId,ActiveDate,Channel,Price)
VALUES(142,'2020-05-01','MT',)</v>
      </c>
      <c r="AN243" s="296"/>
      <c r="AO243" s="296"/>
    </row>
    <row r="244" spans="1:41" s="285" customFormat="1">
      <c r="A244" s="336"/>
      <c r="B244" s="294" t="s">
        <v>1392</v>
      </c>
      <c r="C244" s="290">
        <f>VLOOKUP(B244,Sheet1!$B$17:$C$451,2,0)</f>
        <v>143</v>
      </c>
      <c r="D244" s="295"/>
      <c r="E244" s="295"/>
      <c r="F244" s="295" t="s">
        <v>40</v>
      </c>
      <c r="G244" s="295" t="s">
        <v>563</v>
      </c>
      <c r="H244" s="295" t="s">
        <v>389</v>
      </c>
      <c r="I244" s="295"/>
      <c r="J244" s="294"/>
      <c r="K244" s="297" t="s">
        <v>623</v>
      </c>
      <c r="L244" s="293" t="str">
        <f t="shared" si="19"/>
        <v>INSERT INTO Product (CMMF,Model,BarCode,Capacity,[Type],Product,[Range],[ModelName],[Color],[Status]) VALUES
('','TT1321','','','SDA','Tefal',N'Máy nướng bánh mì',N'',N'','Discontinued')</v>
      </c>
      <c r="M244" s="333" t="s">
        <v>877</v>
      </c>
      <c r="N244" s="333" t="s">
        <v>683</v>
      </c>
      <c r="O244" s="292"/>
      <c r="P244" s="292"/>
      <c r="Q244" s="292"/>
      <c r="R244" s="292"/>
      <c r="S244" s="292"/>
      <c r="T244" s="292"/>
      <c r="U244" s="292"/>
      <c r="V244" s="292"/>
      <c r="W244" s="292"/>
      <c r="X244" s="292"/>
      <c r="Y244" s="292"/>
      <c r="Z244" s="292"/>
      <c r="AA244" s="292"/>
      <c r="AB244" s="292"/>
      <c r="AC244" s="292"/>
      <c r="AD244" s="292"/>
      <c r="AE244" s="296"/>
      <c r="AF244" s="296"/>
      <c r="AG244" s="292"/>
      <c r="AH244" s="292"/>
      <c r="AI244" s="292"/>
      <c r="AJ244" s="292"/>
      <c r="AK244" s="308"/>
      <c r="AL244" s="381"/>
      <c r="AM244" s="379" t="str">
        <f t="shared" si="18"/>
        <v>INSERT INTO ListedPrice
(ProductId,ActiveDate,Channel,Price)
VALUES(143,'2020-05-01','MT',)</v>
      </c>
      <c r="AN244" s="296"/>
      <c r="AO244" s="296"/>
    </row>
    <row r="245" spans="1:41" s="285" customFormat="1">
      <c r="A245" s="336">
        <v>1500637019</v>
      </c>
      <c r="B245" s="294" t="s">
        <v>1420</v>
      </c>
      <c r="C245" s="290">
        <f>VLOOKUP(B245,Sheet1!$B$17:$C$451,2,0)</f>
        <v>144</v>
      </c>
      <c r="D245" s="295" t="s">
        <v>1393</v>
      </c>
      <c r="E245" s="295"/>
      <c r="F245" s="295" t="s">
        <v>40</v>
      </c>
      <c r="G245" s="295" t="s">
        <v>563</v>
      </c>
      <c r="H245" s="295" t="s">
        <v>383</v>
      </c>
      <c r="I245" s="295"/>
      <c r="J245" s="294"/>
      <c r="K245" s="297" t="s">
        <v>623</v>
      </c>
      <c r="L245" s="293" t="str">
        <f t="shared" si="19"/>
        <v>INSERT INTO Product (CMMF,Model,BarCode,Capacity,[Type],Product,[Range],[ModelName],[Color],[Status]) VALUES
('1500637019','HT142138','3045386370191','','SDA','Tefal',N'Máy đánh trứng',N'',N'','Discontinued')</v>
      </c>
      <c r="M245" s="333" t="s">
        <v>877</v>
      </c>
      <c r="N245" s="333" t="s">
        <v>683</v>
      </c>
      <c r="O245" s="292"/>
      <c r="P245" s="292"/>
      <c r="Q245" s="292"/>
      <c r="R245" s="292"/>
      <c r="S245" s="292"/>
      <c r="T245" s="292"/>
      <c r="U245" s="292"/>
      <c r="V245" s="292"/>
      <c r="W245" s="292"/>
      <c r="X245" s="292"/>
      <c r="Y245" s="292"/>
      <c r="Z245" s="292"/>
      <c r="AA245" s="292"/>
      <c r="AB245" s="292"/>
      <c r="AC245" s="292"/>
      <c r="AD245" s="292"/>
      <c r="AE245" s="296"/>
      <c r="AF245" s="296"/>
      <c r="AG245" s="292"/>
      <c r="AH245" s="292"/>
      <c r="AI245" s="292"/>
      <c r="AJ245" s="292"/>
      <c r="AK245" s="308"/>
      <c r="AL245" s="381"/>
      <c r="AM245" s="379" t="str">
        <f t="shared" si="18"/>
        <v>INSERT INTO ListedPrice
(ProductId,ActiveDate,Channel,Price)
VALUES(144,'2020-05-01','MT',)</v>
      </c>
      <c r="AN245" s="296"/>
      <c r="AO245" s="296"/>
    </row>
    <row r="246" spans="1:41" s="285" customFormat="1">
      <c r="A246" s="336">
        <v>8000035698</v>
      </c>
      <c r="B246" s="294" t="s">
        <v>386</v>
      </c>
      <c r="C246" s="290">
        <f>VLOOKUP(B246,Sheet1!$B$17:$C$451,2,0)</f>
        <v>145</v>
      </c>
      <c r="D246" s="295" t="s">
        <v>1394</v>
      </c>
      <c r="E246" s="295"/>
      <c r="F246" s="295" t="s">
        <v>40</v>
      </c>
      <c r="G246" s="295" t="s">
        <v>563</v>
      </c>
      <c r="H246" s="295" t="s">
        <v>1395</v>
      </c>
      <c r="I246" s="295"/>
      <c r="J246" s="294"/>
      <c r="K246" s="297" t="s">
        <v>623</v>
      </c>
      <c r="L246" s="293" t="str">
        <f t="shared" si="19"/>
        <v>INSERT INTO Product (CMMF,Model,BarCode,Capacity,[Type],Product,[Range],[ModelName],[Color],[Status]) VALUES
('8000035698','OF464810','3016661147036','','SDA','Tefal',N'Lò Nướng',N'',N'','Discontinued')</v>
      </c>
      <c r="M246" s="333" t="s">
        <v>877</v>
      </c>
      <c r="N246" s="333" t="s">
        <v>683</v>
      </c>
      <c r="O246" s="292"/>
      <c r="P246" s="292"/>
      <c r="Q246" s="292"/>
      <c r="R246" s="292"/>
      <c r="S246" s="292"/>
      <c r="T246" s="292"/>
      <c r="U246" s="292"/>
      <c r="V246" s="292"/>
      <c r="W246" s="292"/>
      <c r="X246" s="292"/>
      <c r="Y246" s="292"/>
      <c r="Z246" s="292"/>
      <c r="AA246" s="292"/>
      <c r="AB246" s="292"/>
      <c r="AC246" s="292"/>
      <c r="AD246" s="292"/>
      <c r="AE246" s="296"/>
      <c r="AF246" s="296"/>
      <c r="AG246" s="292"/>
      <c r="AH246" s="292"/>
      <c r="AI246" s="292"/>
      <c r="AJ246" s="292"/>
      <c r="AK246" s="308"/>
      <c r="AL246" s="381"/>
      <c r="AM246" s="379" t="str">
        <f t="shared" si="18"/>
        <v>INSERT INTO ListedPrice
(ProductId,ActiveDate,Channel,Price)
VALUES(145,'2020-05-01','MT',)</v>
      </c>
      <c r="AN246" s="296"/>
      <c r="AO246" s="296"/>
    </row>
    <row r="247" spans="1:41" s="285" customFormat="1">
      <c r="A247" s="336">
        <v>1500636613</v>
      </c>
      <c r="B247" s="294" t="s">
        <v>378</v>
      </c>
      <c r="C247" s="290">
        <f>VLOOKUP(B247,Sheet1!$B$17:$C$451,2,0)</f>
        <v>146</v>
      </c>
      <c r="D247" s="295"/>
      <c r="E247" s="295"/>
      <c r="F247" s="295" t="s">
        <v>40</v>
      </c>
      <c r="G247" s="295" t="s">
        <v>563</v>
      </c>
      <c r="H247" s="295" t="s">
        <v>1366</v>
      </c>
      <c r="I247" s="295"/>
      <c r="J247" s="294"/>
      <c r="K247" s="297" t="s">
        <v>623</v>
      </c>
      <c r="L247" s="293" t="str">
        <f t="shared" si="19"/>
        <v>INSERT INTO Product (CMMF,Model,BarCode,Capacity,[Type],Product,[Range],[ModelName],[Color],[Status]) VALUES
('1500636613','ZN350H66','','','SDA','Tefal',N'Máy Ép Trái Cây',N'',N'','Discontinued')</v>
      </c>
      <c r="M247" s="333" t="s">
        <v>877</v>
      </c>
      <c r="N247" s="333" t="s">
        <v>683</v>
      </c>
      <c r="O247" s="292"/>
      <c r="P247" s="292"/>
      <c r="Q247" s="292"/>
      <c r="R247" s="292"/>
      <c r="S247" s="292"/>
      <c r="T247" s="292"/>
      <c r="U247" s="292"/>
      <c r="V247" s="292"/>
      <c r="W247" s="292"/>
      <c r="X247" s="292"/>
      <c r="Y247" s="292"/>
      <c r="Z247" s="292"/>
      <c r="AA247" s="292"/>
      <c r="AB247" s="292"/>
      <c r="AC247" s="292"/>
      <c r="AD247" s="292"/>
      <c r="AE247" s="296"/>
      <c r="AF247" s="296"/>
      <c r="AG247" s="292"/>
      <c r="AH247" s="292"/>
      <c r="AI247" s="292"/>
      <c r="AJ247" s="292"/>
      <c r="AK247" s="308"/>
      <c r="AL247" s="381"/>
      <c r="AM247" s="379" t="str">
        <f t="shared" si="18"/>
        <v>INSERT INTO ListedPrice
(ProductId,ActiveDate,Channel,Price)
VALUES(146,'2020-05-01','MT',)</v>
      </c>
      <c r="AN247" s="296"/>
      <c r="AO247" s="296"/>
    </row>
    <row r="248" spans="1:41" s="285" customFormat="1">
      <c r="A248" s="336"/>
      <c r="B248" s="294" t="s">
        <v>1396</v>
      </c>
      <c r="C248" s="290">
        <f>VLOOKUP(B248,Sheet1!$B$17:$C$451,2,0)</f>
        <v>147</v>
      </c>
      <c r="D248" s="295"/>
      <c r="E248" s="295"/>
      <c r="F248" s="295" t="s">
        <v>40</v>
      </c>
      <c r="G248" s="295" t="s">
        <v>563</v>
      </c>
      <c r="H248" s="295" t="s">
        <v>1397</v>
      </c>
      <c r="I248" s="295"/>
      <c r="J248" s="294"/>
      <c r="K248" s="297" t="s">
        <v>623</v>
      </c>
      <c r="L248" s="293" t="str">
        <f t="shared" si="19"/>
        <v>INSERT INTO Product (CMMF,Model,BarCode,Capacity,[Type],Product,[Range],[ModelName],[Color],[Status]) VALUES
('','MF805','','','SDA','Tefal',N'Máy Xay Thịt',N'',N'','Discontinued')</v>
      </c>
      <c r="M248" s="333" t="s">
        <v>877</v>
      </c>
      <c r="N248" s="333" t="s">
        <v>683</v>
      </c>
      <c r="O248" s="292"/>
      <c r="P248" s="292"/>
      <c r="Q248" s="292"/>
      <c r="R248" s="292"/>
      <c r="S248" s="292"/>
      <c r="T248" s="292"/>
      <c r="U248" s="292"/>
      <c r="V248" s="292"/>
      <c r="W248" s="292"/>
      <c r="X248" s="292"/>
      <c r="Y248" s="292"/>
      <c r="Z248" s="292"/>
      <c r="AA248" s="292"/>
      <c r="AB248" s="292"/>
      <c r="AC248" s="292"/>
      <c r="AD248" s="292"/>
      <c r="AE248" s="296"/>
      <c r="AF248" s="296"/>
      <c r="AG248" s="292"/>
      <c r="AH248" s="292"/>
      <c r="AI248" s="292"/>
      <c r="AJ248" s="292"/>
      <c r="AK248" s="308"/>
      <c r="AL248" s="381"/>
      <c r="AM248" s="379" t="str">
        <f t="shared" si="18"/>
        <v>INSERT INTO ListedPrice
(ProductId,ActiveDate,Channel,Price)
VALUES(147,'2020-05-01','MT',)</v>
      </c>
      <c r="AN248" s="296"/>
      <c r="AO248" s="296"/>
    </row>
    <row r="249" spans="1:41" s="285" customFormat="1">
      <c r="A249" s="347">
        <v>8000034568</v>
      </c>
      <c r="B249" s="294" t="s">
        <v>373</v>
      </c>
      <c r="C249" s="290">
        <f>VLOOKUP(B249,Sheet1!$B$17:$C$451,2,0)</f>
        <v>148</v>
      </c>
      <c r="D249" s="295" t="s">
        <v>1398</v>
      </c>
      <c r="E249" s="295"/>
      <c r="F249" s="295" t="s">
        <v>40</v>
      </c>
      <c r="G249" s="295" t="s">
        <v>563</v>
      </c>
      <c r="H249" s="295" t="s">
        <v>1399</v>
      </c>
      <c r="I249" s="295"/>
      <c r="J249" s="294"/>
      <c r="K249" s="297" t="s">
        <v>623</v>
      </c>
      <c r="L249" s="293" t="str">
        <f t="shared" si="19"/>
        <v>INSERT INTO Product (CMMF,Model,BarCode,Capacity,[Type],Product,[Range],[ModelName],[Color],[Status]) VALUES
('8000034568','HB1011A4','3016661140150','','SDA','Tefal',N'Máy Sinh tố cầm tay',N'',N'','Discontinued')</v>
      </c>
      <c r="M249" s="333" t="s">
        <v>877</v>
      </c>
      <c r="N249" s="333" t="s">
        <v>683</v>
      </c>
      <c r="O249" s="292"/>
      <c r="P249" s="292"/>
      <c r="Q249" s="292"/>
      <c r="R249" s="292"/>
      <c r="S249" s="292"/>
      <c r="T249" s="292"/>
      <c r="U249" s="292"/>
      <c r="V249" s="292"/>
      <c r="W249" s="292"/>
      <c r="X249" s="292"/>
      <c r="Y249" s="292"/>
      <c r="Z249" s="292"/>
      <c r="AA249" s="292"/>
      <c r="AB249" s="292"/>
      <c r="AC249" s="292"/>
      <c r="AD249" s="292"/>
      <c r="AE249" s="296"/>
      <c r="AF249" s="296"/>
      <c r="AG249" s="292"/>
      <c r="AH249" s="292"/>
      <c r="AI249" s="292"/>
      <c r="AJ249" s="292"/>
      <c r="AK249" s="308"/>
      <c r="AL249" s="381"/>
      <c r="AM249" s="379" t="str">
        <f t="shared" si="18"/>
        <v>INSERT INTO ListedPrice
(ProductId,ActiveDate,Channel,Price)
VALUES(148,'2020-05-01','MT',)</v>
      </c>
      <c r="AN249" s="296"/>
      <c r="AO249" s="296"/>
    </row>
    <row r="250" spans="1:41" s="285" customFormat="1">
      <c r="A250" s="347">
        <v>7211001129</v>
      </c>
      <c r="B250" s="294" t="s">
        <v>621</v>
      </c>
      <c r="C250" s="290">
        <f>VLOOKUP(B250,Sheet1!$B$17:$C$451,2,0)</f>
        <v>149</v>
      </c>
      <c r="D250" s="295" t="s">
        <v>1400</v>
      </c>
      <c r="E250" s="295"/>
      <c r="F250" s="295" t="s">
        <v>40</v>
      </c>
      <c r="G250" s="295" t="s">
        <v>563</v>
      </c>
      <c r="H250" s="295" t="s">
        <v>1401</v>
      </c>
      <c r="I250" s="295"/>
      <c r="J250" s="294"/>
      <c r="K250" s="297" t="s">
        <v>623</v>
      </c>
      <c r="L250" s="293" t="str">
        <f t="shared" si="19"/>
        <v>INSERT INTO Product (CMMF,Model,BarCode,Capacity,[Type],Product,[Range],[ModelName],[Color],[Status]) VALUES
('7211001129','VC140165','3045386358816','','SDA','Tefal',N'Nồi Hấp',N'',N'','Discontinued')</v>
      </c>
      <c r="M250" s="333" t="s">
        <v>877</v>
      </c>
      <c r="N250" s="333" t="s">
        <v>683</v>
      </c>
      <c r="O250" s="292"/>
      <c r="P250" s="292"/>
      <c r="Q250" s="292"/>
      <c r="R250" s="292"/>
      <c r="S250" s="292"/>
      <c r="T250" s="292"/>
      <c r="U250" s="292"/>
      <c r="V250" s="292"/>
      <c r="W250" s="292"/>
      <c r="X250" s="292"/>
      <c r="Y250" s="292"/>
      <c r="Z250" s="292"/>
      <c r="AA250" s="292"/>
      <c r="AB250" s="292"/>
      <c r="AC250" s="292"/>
      <c r="AD250" s="292"/>
      <c r="AE250" s="296"/>
      <c r="AF250" s="296"/>
      <c r="AG250" s="292"/>
      <c r="AH250" s="292"/>
      <c r="AI250" s="292"/>
      <c r="AJ250" s="292"/>
      <c r="AK250" s="308"/>
      <c r="AL250" s="381"/>
      <c r="AM250" s="379" t="str">
        <f t="shared" si="18"/>
        <v>INSERT INTO ListedPrice
(ProductId,ActiveDate,Channel,Price)
VALUES(149,'2020-05-01','MT',)</v>
      </c>
      <c r="AN250" s="296"/>
      <c r="AO250" s="296"/>
    </row>
    <row r="251" spans="1:41">
      <c r="A251" s="346"/>
      <c r="B251" s="290" t="s">
        <v>1421</v>
      </c>
      <c r="C251" s="290">
        <f>VLOOKUP(B251,Sheet1!$B$17:$C$451,2,0)</f>
        <v>150</v>
      </c>
      <c r="D251" s="291"/>
      <c r="E251" s="291"/>
      <c r="F251" s="291" t="s">
        <v>40</v>
      </c>
      <c r="G251" s="291" t="s">
        <v>563</v>
      </c>
      <c r="H251" s="299" t="s">
        <v>1422</v>
      </c>
      <c r="I251" s="291"/>
      <c r="J251" s="290"/>
      <c r="K251" s="297" t="s">
        <v>623</v>
      </c>
      <c r="L251" s="293" t="str">
        <f t="shared" si="19"/>
        <v>INSERT INTO Product (CMMF,Model,BarCode,Capacity,[Type],Product,[Range],[ModelName],[Color],[Status]) VALUES
('','TG3918','','','SDA','Tefal',N'Vỉ Nướng',N'',N'','Discontinued')</v>
      </c>
      <c r="M251" s="333" t="s">
        <v>877</v>
      </c>
      <c r="N251" s="333" t="s">
        <v>683</v>
      </c>
      <c r="O251" s="292"/>
      <c r="P251" s="292"/>
      <c r="Q251" s="292"/>
      <c r="R251" s="292"/>
      <c r="S251" s="292"/>
      <c r="T251" s="292"/>
      <c r="U251" s="292"/>
      <c r="V251" s="292"/>
      <c r="W251" s="292"/>
      <c r="X251" s="292"/>
      <c r="Y251" s="292"/>
      <c r="Z251" s="292"/>
      <c r="AA251" s="292"/>
      <c r="AB251" s="292"/>
      <c r="AC251" s="292"/>
      <c r="AD251" s="292"/>
      <c r="AE251" s="292"/>
      <c r="AF251" s="292"/>
      <c r="AG251" s="292"/>
      <c r="AH251" s="292"/>
      <c r="AI251" s="292"/>
      <c r="AJ251" s="292"/>
      <c r="AK251" s="329"/>
      <c r="AL251" s="381"/>
      <c r="AM251" s="379" t="str">
        <f t="shared" si="18"/>
        <v>INSERT INTO ListedPrice
(ProductId,ActiveDate,Channel,Price)
VALUES(150,'2020-05-01','MT',)</v>
      </c>
      <c r="AN251" s="292"/>
      <c r="AO251" s="292"/>
    </row>
    <row r="252" spans="1:41">
      <c r="A252" s="347">
        <v>2211400010</v>
      </c>
      <c r="B252" s="290" t="s">
        <v>1424</v>
      </c>
      <c r="C252" s="290">
        <f>VLOOKUP(B252,Sheet1!$B$17:$C$451,2,0)</f>
        <v>151</v>
      </c>
      <c r="D252" s="291" t="s">
        <v>1426</v>
      </c>
      <c r="E252" s="291"/>
      <c r="F252" s="291" t="s">
        <v>40</v>
      </c>
      <c r="G252" s="291" t="s">
        <v>563</v>
      </c>
      <c r="H252" s="299" t="s">
        <v>1425</v>
      </c>
      <c r="I252" s="291"/>
      <c r="J252" s="290"/>
      <c r="K252" s="297" t="s">
        <v>623</v>
      </c>
      <c r="L252" s="293" t="str">
        <f t="shared" si="19"/>
        <v>INSERT INTO Product (CMMF,Model,BarCode,Capacity,[Type],Product,[Range],[ModelName],[Color],[Status]) VALUES
('2211400010','TW3786HA','3221614000102','','SDA','Tefal',N'Máy Hút Bụi',N'',N'','Discontinued')</v>
      </c>
      <c r="M252" s="333" t="s">
        <v>877</v>
      </c>
      <c r="N252" s="333" t="s">
        <v>683</v>
      </c>
      <c r="O252" s="292"/>
      <c r="P252" s="292"/>
      <c r="Q252" s="292"/>
      <c r="R252" s="292"/>
      <c r="S252" s="292"/>
      <c r="T252" s="292"/>
      <c r="U252" s="292"/>
      <c r="V252" s="292"/>
      <c r="W252" s="292"/>
      <c r="X252" s="292"/>
      <c r="Y252" s="292"/>
      <c r="Z252" s="292"/>
      <c r="AA252" s="292"/>
      <c r="AB252" s="292"/>
      <c r="AC252" s="292"/>
      <c r="AD252" s="292"/>
      <c r="AE252" s="292"/>
      <c r="AF252" s="292"/>
      <c r="AG252" s="292"/>
      <c r="AH252" s="292"/>
      <c r="AI252" s="292"/>
      <c r="AJ252" s="292"/>
      <c r="AK252" s="329"/>
      <c r="AL252" s="381"/>
      <c r="AM252" s="379" t="str">
        <f t="shared" si="18"/>
        <v>INSERT INTO ListedPrice
(ProductId,ActiveDate,Channel,Price)
VALUES(151,'2020-05-01','MT',)</v>
      </c>
      <c r="AN252" s="292"/>
      <c r="AO252" s="292"/>
    </row>
    <row r="253" spans="1:41">
      <c r="A253" s="335">
        <v>4100000621</v>
      </c>
      <c r="B253" s="290" t="s">
        <v>857</v>
      </c>
      <c r="C253" s="290">
        <f>VLOOKUP(B253,Sheet1!$B$17:$C$451,2,0)</f>
        <v>152</v>
      </c>
      <c r="D253" s="291" t="s">
        <v>1198</v>
      </c>
      <c r="E253" s="291"/>
      <c r="F253" s="291" t="s">
        <v>878</v>
      </c>
      <c r="G253" s="291" t="s">
        <v>563</v>
      </c>
      <c r="H253" s="291" t="s">
        <v>1354</v>
      </c>
      <c r="I253" s="291"/>
      <c r="J253" s="291"/>
      <c r="K253" s="303" t="s">
        <v>516</v>
      </c>
      <c r="L253" s="293" t="str">
        <f t="shared" si="19"/>
        <v>INSERT INTO Product (CMMF,Model,BarCode,Capacity,[Type],Product,[Range],[ModelName],[Color],[Status]) VALUES
('4100000621','VU2310F0','3121044106217','','FAN','Tefal',N'Quạt Bàn',N'',N'','New')</v>
      </c>
      <c r="M253" s="333" t="s">
        <v>877</v>
      </c>
      <c r="N253" s="333" t="s">
        <v>683</v>
      </c>
      <c r="O253" s="292"/>
      <c r="P253" s="292"/>
      <c r="Q253" s="292"/>
      <c r="R253" s="292"/>
      <c r="S253" s="292"/>
      <c r="T253" s="292"/>
      <c r="U253" s="292"/>
      <c r="V253" s="292"/>
      <c r="W253" s="292"/>
      <c r="X253" s="292"/>
      <c r="Y253" s="292"/>
      <c r="Z253" s="292"/>
      <c r="AA253" s="292"/>
      <c r="AB253" s="292"/>
      <c r="AC253" s="292"/>
      <c r="AD253" s="292"/>
      <c r="AE253" s="292"/>
      <c r="AF253" s="292"/>
      <c r="AG253" s="292"/>
      <c r="AH253" s="292"/>
      <c r="AI253" s="292"/>
      <c r="AJ253" s="292"/>
      <c r="AK253" s="329"/>
      <c r="AL253" s="381">
        <v>0</v>
      </c>
      <c r="AM253" s="379" t="str">
        <f t="shared" si="18"/>
        <v>INSERT INTO ListedPrice
(ProductId,ActiveDate,Channel,Price)
VALUES(152,'2020-05-01','MT',)</v>
      </c>
      <c r="AN253" s="292"/>
      <c r="AO253" s="292"/>
    </row>
    <row r="254" spans="1:41">
      <c r="A254" s="335">
        <v>4100000623</v>
      </c>
      <c r="B254" s="290" t="s">
        <v>856</v>
      </c>
      <c r="C254" s="290">
        <f>VLOOKUP(B254,Sheet1!$B$17:$C$451,2,0)</f>
        <v>153</v>
      </c>
      <c r="D254" s="291" t="s">
        <v>1199</v>
      </c>
      <c r="E254" s="291"/>
      <c r="F254" s="291" t="s">
        <v>878</v>
      </c>
      <c r="G254" s="291" t="s">
        <v>563</v>
      </c>
      <c r="H254" s="291" t="s">
        <v>1355</v>
      </c>
      <c r="I254" s="291"/>
      <c r="J254" s="291"/>
      <c r="K254" s="303" t="s">
        <v>516</v>
      </c>
      <c r="L254" s="293" t="str">
        <f t="shared" si="19"/>
        <v>INSERT INTO Product (CMMF,Model,BarCode,Capacity,[Type],Product,[Range],[ModelName],[Color],[Status]) VALUES
('4100000623','VU4410F0','3121044106231','','FAN','Tefal',N'Quạt Đứng',N'',N'','New')</v>
      </c>
      <c r="M254" s="333" t="s">
        <v>877</v>
      </c>
      <c r="N254" s="333" t="s">
        <v>683</v>
      </c>
      <c r="O254" s="292"/>
      <c r="P254" s="292"/>
      <c r="Q254" s="292"/>
      <c r="R254" s="292"/>
      <c r="S254" s="292"/>
      <c r="T254" s="292"/>
      <c r="U254" s="292"/>
      <c r="V254" s="292"/>
      <c r="W254" s="292"/>
      <c r="X254" s="292"/>
      <c r="Y254" s="292"/>
      <c r="Z254" s="292"/>
      <c r="AA254" s="292"/>
      <c r="AB254" s="292"/>
      <c r="AC254" s="292"/>
      <c r="AD254" s="292"/>
      <c r="AE254" s="292"/>
      <c r="AF254" s="292"/>
      <c r="AG254" s="292"/>
      <c r="AH254" s="292"/>
      <c r="AI254" s="292"/>
      <c r="AJ254" s="292"/>
      <c r="AK254" s="329"/>
      <c r="AL254" s="381">
        <v>0</v>
      </c>
      <c r="AM254" s="379" t="str">
        <f t="shared" si="18"/>
        <v>INSERT INTO ListedPrice
(ProductId,ActiveDate,Channel,Price)
VALUES(153,'2020-05-01','MT',)</v>
      </c>
      <c r="AN254" s="292"/>
      <c r="AO254" s="292"/>
    </row>
    <row r="255" spans="1:41">
      <c r="A255" s="335">
        <v>4100000625</v>
      </c>
      <c r="B255" s="290" t="s">
        <v>858</v>
      </c>
      <c r="C255" s="290">
        <f>VLOOKUP(B255,Sheet1!$B$17:$C$451,2,0)</f>
        <v>154</v>
      </c>
      <c r="D255" s="291" t="s">
        <v>1200</v>
      </c>
      <c r="E255" s="291"/>
      <c r="F255" s="291" t="s">
        <v>878</v>
      </c>
      <c r="G255" s="291" t="s">
        <v>563</v>
      </c>
      <c r="H255" s="291" t="s">
        <v>1376</v>
      </c>
      <c r="I255" s="291"/>
      <c r="J255" s="291"/>
      <c r="K255" s="303" t="s">
        <v>516</v>
      </c>
      <c r="L255" s="293" t="str">
        <f t="shared" si="19"/>
        <v>INSERT INTO Product (CMMF,Model,BarCode,Capacity,[Type],Product,[Range],[ModelName],[Color],[Status]) VALUES
('4100000625','VU4440F0','3121044106255','','FAN','Tefal',N'Quạt Đứng-Remote',N'',N'','New')</v>
      </c>
      <c r="M255" s="333" t="s">
        <v>877</v>
      </c>
      <c r="N255" s="333" t="s">
        <v>683</v>
      </c>
      <c r="O255" s="292"/>
      <c r="P255" s="292"/>
      <c r="Q255" s="292"/>
      <c r="R255" s="292"/>
      <c r="S255" s="292"/>
      <c r="T255" s="292"/>
      <c r="U255" s="292"/>
      <c r="V255" s="292"/>
      <c r="W255" s="292"/>
      <c r="X255" s="292"/>
      <c r="Y255" s="292"/>
      <c r="Z255" s="292"/>
      <c r="AA255" s="292"/>
      <c r="AB255" s="292"/>
      <c r="AC255" s="292"/>
      <c r="AD255" s="292"/>
      <c r="AE255" s="292"/>
      <c r="AF255" s="292"/>
      <c r="AG255" s="292"/>
      <c r="AH255" s="292"/>
      <c r="AI255" s="292"/>
      <c r="AJ255" s="292"/>
      <c r="AK255" s="329"/>
      <c r="AL255" s="381">
        <v>0</v>
      </c>
      <c r="AM255" s="379" t="str">
        <f t="shared" si="18"/>
        <v>INSERT INTO ListedPrice
(ProductId,ActiveDate,Channel,Price)
VALUES(154,'2020-05-01','MT',)</v>
      </c>
      <c r="AN255" s="292"/>
      <c r="AO255" s="292"/>
    </row>
    <row r="256" spans="1:41">
      <c r="A256" s="335">
        <v>4100000628</v>
      </c>
      <c r="B256" s="314" t="s">
        <v>854</v>
      </c>
      <c r="C256" s="290">
        <f>VLOOKUP(B256,Sheet1!$B$17:$C$451,2,0)</f>
        <v>155</v>
      </c>
      <c r="D256" s="291" t="s">
        <v>1319</v>
      </c>
      <c r="E256" s="291"/>
      <c r="F256" s="291" t="s">
        <v>878</v>
      </c>
      <c r="G256" s="291" t="s">
        <v>563</v>
      </c>
      <c r="H256" s="291" t="s">
        <v>1355</v>
      </c>
      <c r="I256" s="291"/>
      <c r="J256" s="291" t="s">
        <v>1361</v>
      </c>
      <c r="K256" s="355" t="s">
        <v>1344</v>
      </c>
      <c r="L256" s="293" t="str">
        <f t="shared" si="19"/>
        <v>INSERT INTO Product (CMMF,Model,BarCode,Capacity,[Type],Product,[Range],[ModelName],[Color],[Status]) VALUES
('4100000628','VF2255X0','8936008700593','','FAN','Tefal',N'Quạt Đứng',N'',N'Xanh Dương','Update')</v>
      </c>
      <c r="M256" s="333" t="s">
        <v>877</v>
      </c>
      <c r="N256" s="333" t="s">
        <v>683</v>
      </c>
      <c r="O256" s="292"/>
      <c r="P256" s="292"/>
      <c r="Q256" s="292"/>
      <c r="R256" s="292"/>
      <c r="S256" s="292"/>
      <c r="T256" s="292"/>
      <c r="U256" s="292"/>
      <c r="V256" s="292"/>
      <c r="W256" s="292"/>
      <c r="X256" s="292"/>
      <c r="Y256" s="292"/>
      <c r="Z256" s="292"/>
      <c r="AA256" s="292"/>
      <c r="AB256" s="292"/>
      <c r="AC256" s="292"/>
      <c r="AD256" s="292"/>
      <c r="AE256" s="292"/>
      <c r="AF256" s="292"/>
      <c r="AG256" s="292"/>
      <c r="AH256" s="292"/>
      <c r="AI256" s="292"/>
      <c r="AJ256" s="292"/>
      <c r="AK256" s="329"/>
      <c r="AL256" s="381">
        <v>0</v>
      </c>
      <c r="AM256" s="379" t="str">
        <f t="shared" si="18"/>
        <v>INSERT INTO ListedPrice
(ProductId,ActiveDate,Channel,Price)
VALUES(155,'2020-05-01','MT',)</v>
      </c>
      <c r="AN256" s="292"/>
      <c r="AO256" s="292"/>
    </row>
    <row r="257" spans="1:41" s="285" customFormat="1">
      <c r="A257" s="336">
        <v>4100000259</v>
      </c>
      <c r="B257" s="294" t="s">
        <v>945</v>
      </c>
      <c r="C257" s="290">
        <f>VLOOKUP(B257,Sheet1!$B$17:$C$451,2,0)</f>
        <v>156</v>
      </c>
      <c r="D257" s="291"/>
      <c r="E257" s="291"/>
      <c r="F257" s="295" t="s">
        <v>878</v>
      </c>
      <c r="G257" s="295" t="s">
        <v>563</v>
      </c>
      <c r="H257" s="295" t="s">
        <v>1354</v>
      </c>
      <c r="I257" s="291"/>
      <c r="J257" s="294" t="s">
        <v>294</v>
      </c>
      <c r="K257" s="297" t="s">
        <v>623</v>
      </c>
      <c r="L257" s="293" t="str">
        <f t="shared" si="19"/>
        <v>INSERT INTO Product (CMMF,Model,BarCode,Capacity,[Type],Product,[Range],[ModelName],[Color],[Status]) VALUES
('4100000259','VF3410T0','','','FAN','Tefal',N'Quạt Bàn',N'',N'Xám','Discontinued')</v>
      </c>
      <c r="M257" s="333" t="s">
        <v>877</v>
      </c>
      <c r="N257" s="333" t="s">
        <v>683</v>
      </c>
      <c r="O257" s="292"/>
      <c r="P257" s="292"/>
      <c r="Q257" s="292"/>
      <c r="R257" s="292"/>
      <c r="S257" s="292"/>
      <c r="T257" s="292"/>
      <c r="U257" s="292"/>
      <c r="V257" s="292"/>
      <c r="W257" s="292"/>
      <c r="X257" s="292"/>
      <c r="Y257" s="292"/>
      <c r="Z257" s="292"/>
      <c r="AA257" s="292"/>
      <c r="AB257" s="292"/>
      <c r="AC257" s="292"/>
      <c r="AD257" s="292"/>
      <c r="AE257" s="292"/>
      <c r="AF257" s="292"/>
      <c r="AG257" s="292"/>
      <c r="AH257" s="292"/>
      <c r="AI257" s="292"/>
      <c r="AJ257" s="292"/>
      <c r="AK257" s="329"/>
      <c r="AL257" s="381">
        <v>0</v>
      </c>
      <c r="AM257" s="379" t="str">
        <f t="shared" si="18"/>
        <v>INSERT INTO ListedPrice
(ProductId,ActiveDate,Channel,Price)
VALUES(156,'2020-05-01','MT',)</v>
      </c>
      <c r="AN257" s="292"/>
      <c r="AO257" s="292"/>
    </row>
    <row r="258" spans="1:41" s="285" customFormat="1">
      <c r="A258" s="339">
        <v>4200000223</v>
      </c>
      <c r="B258" s="297" t="s">
        <v>419</v>
      </c>
      <c r="C258" s="290">
        <f>VLOOKUP(B258,Sheet1!$B$17:$C$451,2,0)</f>
        <v>157</v>
      </c>
      <c r="D258" s="291" t="s">
        <v>1320</v>
      </c>
      <c r="E258" s="291"/>
      <c r="F258" s="296" t="s">
        <v>878</v>
      </c>
      <c r="G258" s="296" t="s">
        <v>563</v>
      </c>
      <c r="H258" s="295" t="s">
        <v>1354</v>
      </c>
      <c r="I258" s="291"/>
      <c r="J258" s="297" t="s">
        <v>1362</v>
      </c>
      <c r="K258" s="297" t="s">
        <v>623</v>
      </c>
      <c r="L258" s="293" t="str">
        <f t="shared" si="19"/>
        <v>INSERT INTO Product (CMMF,Model,BarCode,Capacity,[Type],Product,[Range],[ModelName],[Color],[Status]) VALUES
('4200000223','VF3617O1','8936008705451','','FAN','Tefal',N'Quạt Bàn',N'',N'Nâu','Discontinued')</v>
      </c>
      <c r="M258" s="293"/>
      <c r="N258" s="292" t="s">
        <v>683</v>
      </c>
      <c r="O258" s="292"/>
      <c r="P258" s="292"/>
      <c r="Q258" s="292"/>
      <c r="R258" s="292"/>
      <c r="S258" s="292"/>
      <c r="T258" s="292"/>
      <c r="U258" s="292"/>
      <c r="V258" s="292"/>
      <c r="W258" s="292"/>
      <c r="X258" s="292"/>
      <c r="Y258" s="292"/>
      <c r="Z258" s="292"/>
      <c r="AA258" s="292"/>
      <c r="AB258" s="292"/>
      <c r="AC258" s="292"/>
      <c r="AD258" s="292"/>
      <c r="AE258" s="292"/>
      <c r="AF258" s="292"/>
      <c r="AG258" s="292"/>
      <c r="AH258" s="292"/>
      <c r="AI258" s="292"/>
      <c r="AJ258" s="292"/>
      <c r="AK258" s="380">
        <v>850000</v>
      </c>
      <c r="AL258" s="381">
        <v>850000</v>
      </c>
      <c r="AM258" s="379" t="str">
        <f>"INSERT INTO ListedPrice
(ProductId,ActiveDate,Channel,Price)
VALUES("&amp;C258&amp;",'2020-05-01','GT',"&amp;AL258&amp;")"</f>
        <v>INSERT INTO ListedPrice
(ProductId,ActiveDate,Channel,Price)
VALUES(157,'2020-05-01','GT',850000)</v>
      </c>
      <c r="AN258" s="292"/>
      <c r="AO258" s="292"/>
    </row>
    <row r="259" spans="1:41" s="285" customFormat="1">
      <c r="A259" s="336">
        <v>4200000224</v>
      </c>
      <c r="B259" s="294" t="s">
        <v>946</v>
      </c>
      <c r="C259" s="290">
        <f>VLOOKUP(B259,Sheet1!$B$17:$C$451,2,0)</f>
        <v>158</v>
      </c>
      <c r="D259" s="291" t="s">
        <v>1321</v>
      </c>
      <c r="E259" s="291"/>
      <c r="F259" s="295" t="s">
        <v>878</v>
      </c>
      <c r="G259" s="295" t="s">
        <v>563</v>
      </c>
      <c r="H259" s="295" t="s">
        <v>1353</v>
      </c>
      <c r="I259" s="291"/>
      <c r="J259" s="297" t="s">
        <v>1362</v>
      </c>
      <c r="K259" s="297" t="s">
        <v>623</v>
      </c>
      <c r="L259" s="293" t="str">
        <f t="shared" si="19"/>
        <v>INSERT INTO Product (CMMF,Model,BarCode,Capacity,[Type],Product,[Range],[ModelName],[Color],[Status]) VALUES
('4200000224','VF3627O1','8936008705468','','FAN','Tefal',N'Quạt Lửng',N'',N'Nâu','Discontinued')</v>
      </c>
      <c r="M259" s="333" t="s">
        <v>877</v>
      </c>
      <c r="N259" s="333" t="s">
        <v>683</v>
      </c>
      <c r="O259" s="292"/>
      <c r="P259" s="292"/>
      <c r="Q259" s="292"/>
      <c r="R259" s="292"/>
      <c r="S259" s="292"/>
      <c r="T259" s="292"/>
      <c r="U259" s="292"/>
      <c r="V259" s="292"/>
      <c r="W259" s="292"/>
      <c r="X259" s="292"/>
      <c r="Y259" s="292"/>
      <c r="Z259" s="292"/>
      <c r="AA259" s="292"/>
      <c r="AB259" s="292"/>
      <c r="AC259" s="292"/>
      <c r="AD259" s="292"/>
      <c r="AE259" s="292"/>
      <c r="AF259" s="292"/>
      <c r="AG259" s="292"/>
      <c r="AH259" s="292"/>
      <c r="AI259" s="292"/>
      <c r="AJ259" s="292"/>
      <c r="AK259" s="380">
        <v>1140000</v>
      </c>
      <c r="AL259" s="381">
        <v>0</v>
      </c>
      <c r="AM259" s="379" t="str">
        <f>"INSERT INTO ListedPrice
(ProductId,ActiveDate,Channel,Price)
VALUES("&amp;C259&amp;",'2020-05-01','MT',"&amp;AK259&amp;")"</f>
        <v>INSERT INTO ListedPrice
(ProductId,ActiveDate,Channel,Price)
VALUES(158,'2020-05-01','MT',1140000)</v>
      </c>
      <c r="AN259" s="292"/>
      <c r="AO259" s="292"/>
    </row>
    <row r="260" spans="1:41" s="285" customFormat="1">
      <c r="A260" s="339">
        <v>4200004453</v>
      </c>
      <c r="B260" s="297" t="s">
        <v>523</v>
      </c>
      <c r="C260" s="290">
        <f>VLOOKUP(B260,Sheet1!$B$17:$C$451,2,0)</f>
        <v>159</v>
      </c>
      <c r="D260" s="291" t="s">
        <v>1322</v>
      </c>
      <c r="E260" s="291"/>
      <c r="F260" s="296" t="s">
        <v>878</v>
      </c>
      <c r="G260" s="296" t="s">
        <v>563</v>
      </c>
      <c r="H260" s="295" t="s">
        <v>1353</v>
      </c>
      <c r="I260" s="291"/>
      <c r="J260" s="297" t="s">
        <v>1362</v>
      </c>
      <c r="K260" s="297" t="s">
        <v>623</v>
      </c>
      <c r="L260" s="293" t="str">
        <f t="shared" si="19"/>
        <v>INSERT INTO Product (CMMF,Model,BarCode,Capacity,[Type],Product,[Range],[ModelName],[Color],[Status]) VALUES
('4200004453','VF3629-71','8936008709565','','FAN','Tefal',N'Quạt Lửng',N'',N'Nâu','Discontinued')</v>
      </c>
      <c r="M260" s="293"/>
      <c r="N260" s="292" t="s">
        <v>683</v>
      </c>
      <c r="O260" s="292"/>
      <c r="P260" s="292"/>
      <c r="Q260" s="292"/>
      <c r="R260" s="292"/>
      <c r="S260" s="292"/>
      <c r="T260" s="292"/>
      <c r="U260" s="292"/>
      <c r="V260" s="292"/>
      <c r="W260" s="292"/>
      <c r="X260" s="292"/>
      <c r="Y260" s="292"/>
      <c r="Z260" s="292"/>
      <c r="AA260" s="292"/>
      <c r="AB260" s="292"/>
      <c r="AC260" s="292"/>
      <c r="AD260" s="292"/>
      <c r="AE260" s="292" t="s">
        <v>1485</v>
      </c>
      <c r="AF260" s="292" t="str">
        <f>"INSERT INTO ProductByAccount
( ProductId,AccountId)VALUES
("&amp;C260&amp;",1037)"</f>
        <v>INSERT INTO ProductByAccount
( ProductId,AccountId)VALUES
(159,1037)</v>
      </c>
      <c r="AG260" s="292"/>
      <c r="AH260" s="292"/>
      <c r="AI260" s="292"/>
      <c r="AJ260" s="292"/>
      <c r="AK260" s="380">
        <v>1450000</v>
      </c>
      <c r="AL260" s="381">
        <v>1450000</v>
      </c>
      <c r="AM260" s="379" t="str">
        <f>"INSERT INTO ListedPrice
(ProductId,ActiveDate,Channel,Price)
VALUES("&amp;C260&amp;",'2020-05-01','GT',"&amp;AL260&amp;")"</f>
        <v>INSERT INTO ListedPrice
(ProductId,ActiveDate,Channel,Price)
VALUES(159,'2020-05-01','GT',1450000)</v>
      </c>
      <c r="AN260" s="292"/>
      <c r="AO260" s="292"/>
    </row>
    <row r="261" spans="1:41" s="285" customFormat="1">
      <c r="A261" s="336">
        <v>4200000225</v>
      </c>
      <c r="B261" s="294" t="s">
        <v>947</v>
      </c>
      <c r="C261" s="290">
        <f>VLOOKUP(B261,Sheet1!$B$17:$C$451,2,0)</f>
        <v>160</v>
      </c>
      <c r="D261" s="291" t="s">
        <v>1323</v>
      </c>
      <c r="E261" s="291"/>
      <c r="F261" s="295" t="s">
        <v>878</v>
      </c>
      <c r="G261" s="295" t="s">
        <v>563</v>
      </c>
      <c r="H261" s="295" t="s">
        <v>1358</v>
      </c>
      <c r="I261" s="291"/>
      <c r="J261" s="297" t="s">
        <v>1362</v>
      </c>
      <c r="K261" s="297" t="s">
        <v>623</v>
      </c>
      <c r="L261" s="293" t="str">
        <f t="shared" si="19"/>
        <v>INSERT INTO Product (CMMF,Model,BarCode,Capacity,[Type],Product,[Range],[ModelName],[Color],[Status]) VALUES
('4200000225','VF3637O1','8936008705475','','FAN','Tefal',N'Quạt Treo',N'',N'Nâu','Discontinued')</v>
      </c>
      <c r="M261" s="333" t="s">
        <v>877</v>
      </c>
      <c r="N261" s="333" t="s">
        <v>683</v>
      </c>
      <c r="O261" s="292"/>
      <c r="P261" s="292"/>
      <c r="Q261" s="292"/>
      <c r="R261" s="292"/>
      <c r="S261" s="292"/>
      <c r="T261" s="292"/>
      <c r="U261" s="292"/>
      <c r="V261" s="292"/>
      <c r="W261" s="292"/>
      <c r="X261" s="292"/>
      <c r="Y261" s="292"/>
      <c r="Z261" s="292"/>
      <c r="AA261" s="292"/>
      <c r="AB261" s="292"/>
      <c r="AC261" s="292"/>
      <c r="AD261" s="292"/>
      <c r="AE261" s="292"/>
      <c r="AF261" s="292"/>
      <c r="AG261" s="292"/>
      <c r="AH261" s="292"/>
      <c r="AI261" s="292"/>
      <c r="AJ261" s="292"/>
      <c r="AK261" s="380">
        <v>1170000</v>
      </c>
      <c r="AL261" s="381">
        <v>0</v>
      </c>
      <c r="AM261" s="379" t="str">
        <f>"INSERT INTO ListedPrice
(ProductId,ActiveDate,Channel,Price)
VALUES("&amp;C261&amp;",'2020-05-01','MT',"&amp;AK261&amp;")"</f>
        <v>INSERT INTO ListedPrice
(ProductId,ActiveDate,Channel,Price)
VALUES(160,'2020-05-01','MT',1170000)</v>
      </c>
      <c r="AN261" s="292"/>
      <c r="AO261" s="292"/>
    </row>
    <row r="262" spans="1:41" s="285" customFormat="1">
      <c r="A262" s="339">
        <v>4200004454</v>
      </c>
      <c r="B262" s="297" t="s">
        <v>948</v>
      </c>
      <c r="C262" s="290">
        <f>VLOOKUP(B262,Sheet1!$B$17:$C$451,2,0)</f>
        <v>161</v>
      </c>
      <c r="D262" s="291" t="s">
        <v>1324</v>
      </c>
      <c r="E262" s="291"/>
      <c r="F262" s="296" t="s">
        <v>878</v>
      </c>
      <c r="G262" s="296" t="s">
        <v>563</v>
      </c>
      <c r="H262" s="295" t="s">
        <v>1358</v>
      </c>
      <c r="I262" s="291"/>
      <c r="J262" s="297" t="s">
        <v>1362</v>
      </c>
      <c r="K262" s="297" t="s">
        <v>623</v>
      </c>
      <c r="L262" s="293" t="str">
        <f t="shared" si="19"/>
        <v>INSERT INTO Product (CMMF,Model,BarCode,Capacity,[Type],Product,[Range],[ModelName],[Color],[Status]) VALUES
('4200004454','VF3639-71','8936008709572','','FAN','Tefal',N'Quạt Treo',N'',N'Nâu','Discontinued')</v>
      </c>
      <c r="M262" s="293"/>
      <c r="N262" s="292" t="s">
        <v>683</v>
      </c>
      <c r="O262" s="292"/>
      <c r="P262" s="292"/>
      <c r="Q262" s="292"/>
      <c r="R262" s="292"/>
      <c r="S262" s="292"/>
      <c r="T262" s="292"/>
      <c r="U262" s="292"/>
      <c r="V262" s="292"/>
      <c r="W262" s="292"/>
      <c r="X262" s="292"/>
      <c r="Y262" s="292"/>
      <c r="Z262" s="292"/>
      <c r="AA262" s="296" t="s">
        <v>623</v>
      </c>
      <c r="AB262" s="292" t="str">
        <f>"INSERT INTO ProductByAccount
( ProductId,AccountId)VALUES
("&amp;C262&amp;",1035)"</f>
        <v>INSERT INTO ProductByAccount
( ProductId,AccountId)VALUES
(161,1035)</v>
      </c>
      <c r="AC262" s="292"/>
      <c r="AD262" s="292"/>
      <c r="AE262" s="292" t="s">
        <v>1485</v>
      </c>
      <c r="AF262" s="292" t="str">
        <f>"INSERT INTO ProductByAccount
( ProductId,AccountId)VALUES
("&amp;C262&amp;",1037)"</f>
        <v>INSERT INTO ProductByAccount
( ProductId,AccountId)VALUES
(161,1037)</v>
      </c>
      <c r="AG262" s="292"/>
      <c r="AH262" s="292"/>
      <c r="AI262" s="292"/>
      <c r="AJ262" s="292"/>
      <c r="AK262" s="380">
        <v>1640000</v>
      </c>
      <c r="AL262" s="381">
        <v>1640000</v>
      </c>
      <c r="AM262" s="379" t="str">
        <f>"INSERT INTO ListedPrice
(ProductId,ActiveDate,Channel,Price)
VALUES("&amp;C262&amp;",'2020-05-01','GT',"&amp;AL262&amp;")"</f>
        <v>INSERT INTO ListedPrice
(ProductId,ActiveDate,Channel,Price)
VALUES(161,'2020-05-01','GT',1640000)</v>
      </c>
      <c r="AN262" s="292"/>
      <c r="AO262" s="292"/>
    </row>
    <row r="263" spans="1:41">
      <c r="A263" s="335">
        <v>4100000113</v>
      </c>
      <c r="B263" s="314" t="s">
        <v>855</v>
      </c>
      <c r="C263" s="290">
        <f>VLOOKUP(B263,Sheet1!$B$17:$C$451,2,0)</f>
        <v>162</v>
      </c>
      <c r="D263" s="291" t="s">
        <v>1325</v>
      </c>
      <c r="E263" s="291"/>
      <c r="F263" s="291" t="s">
        <v>878</v>
      </c>
      <c r="G263" s="291" t="s">
        <v>563</v>
      </c>
      <c r="H263" s="291" t="s">
        <v>1355</v>
      </c>
      <c r="I263" s="291"/>
      <c r="J263" s="297" t="s">
        <v>1362</v>
      </c>
      <c r="K263" s="355" t="s">
        <v>1344</v>
      </c>
      <c r="L263" s="293" t="str">
        <f t="shared" si="19"/>
        <v>INSERT INTO Product (CMMF,Model,BarCode,Capacity,[Type],Product,[Range],[ModelName],[Color],[Status]) VALUES
('4100000113','VF3640F0','3121044101137','','FAN','Tefal',N'Quạt Đứng',N'',N'Nâu','Update')</v>
      </c>
      <c r="M263" s="333" t="s">
        <v>877</v>
      </c>
      <c r="N263" s="333" t="s">
        <v>683</v>
      </c>
      <c r="O263" s="292"/>
      <c r="P263" s="292"/>
      <c r="Q263" s="292"/>
      <c r="R263" s="292"/>
      <c r="S263" s="292"/>
      <c r="T263" s="292"/>
      <c r="U263" s="292"/>
      <c r="V263" s="292"/>
      <c r="W263" s="292"/>
      <c r="X263" s="292"/>
      <c r="Y263" s="292"/>
      <c r="Z263" s="292"/>
      <c r="AA263" s="292"/>
      <c r="AB263" s="292"/>
      <c r="AC263" s="292"/>
      <c r="AD263" s="292"/>
      <c r="AE263" s="292"/>
      <c r="AF263" s="292"/>
      <c r="AG263" s="292"/>
      <c r="AH263" s="292"/>
      <c r="AI263" s="292"/>
      <c r="AJ263" s="292"/>
      <c r="AK263" s="329">
        <v>0</v>
      </c>
      <c r="AL263" s="381">
        <v>0</v>
      </c>
      <c r="AM263" s="379" t="str">
        <f>"INSERT INTO ListedPrice
(ProductId,ActiveDate,Channel,Price)
VALUES("&amp;C263&amp;",'2020-05-01','MT',"&amp;AK263&amp;")"</f>
        <v>INSERT INTO ListedPrice
(ProductId,ActiveDate,Channel,Price)
VALUES(162,'2020-05-01','MT',0)</v>
      </c>
      <c r="AN263" s="292"/>
      <c r="AO263" s="292"/>
    </row>
    <row r="264" spans="1:41" s="285" customFormat="1">
      <c r="A264" s="336">
        <v>4200000226</v>
      </c>
      <c r="B264" s="294" t="s">
        <v>949</v>
      </c>
      <c r="C264" s="290">
        <f>VLOOKUP(B264,Sheet1!$B$17:$C$451,2,0)</f>
        <v>163</v>
      </c>
      <c r="D264" s="291" t="s">
        <v>1326</v>
      </c>
      <c r="E264" s="291"/>
      <c r="F264" s="295" t="s">
        <v>878</v>
      </c>
      <c r="G264" s="295" t="s">
        <v>563</v>
      </c>
      <c r="H264" s="291" t="s">
        <v>1355</v>
      </c>
      <c r="I264" s="291"/>
      <c r="J264" s="297" t="s">
        <v>1362</v>
      </c>
      <c r="K264" s="297" t="s">
        <v>623</v>
      </c>
      <c r="L264" s="293" t="str">
        <f t="shared" si="19"/>
        <v>INSERT INTO Product (CMMF,Model,BarCode,Capacity,[Type],Product,[Range],[ModelName],[Color],[Status]) VALUES
('4200000226','VF3647O1','8936008705482','','FAN','Tefal',N'Quạt Đứng',N'',N'Nâu','Discontinued')</v>
      </c>
      <c r="M264" s="333" t="s">
        <v>877</v>
      </c>
      <c r="N264" s="333" t="s">
        <v>683</v>
      </c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380">
        <v>1340000</v>
      </c>
      <c r="AL264" s="381">
        <v>0</v>
      </c>
      <c r="AM264" s="379" t="str">
        <f>"INSERT INTO ListedPrice
(ProductId,ActiveDate,Channel,Price)
VALUES("&amp;C264&amp;",'2020-05-01','MT',"&amp;AK264&amp;")"</f>
        <v>INSERT INTO ListedPrice
(ProductId,ActiveDate,Channel,Price)
VALUES(163,'2020-05-01','MT',1340000)</v>
      </c>
      <c r="AN264" s="292"/>
      <c r="AO264" s="292"/>
    </row>
    <row r="265" spans="1:41" s="285" customFormat="1">
      <c r="A265" s="339">
        <v>4200004455</v>
      </c>
      <c r="B265" s="297" t="s">
        <v>522</v>
      </c>
      <c r="C265" s="290">
        <f>VLOOKUP(B265,Sheet1!$B$17:$C$451,2,0)</f>
        <v>164</v>
      </c>
      <c r="D265" s="291" t="s">
        <v>1327</v>
      </c>
      <c r="E265" s="291"/>
      <c r="F265" s="296" t="s">
        <v>878</v>
      </c>
      <c r="G265" s="296" t="s">
        <v>563</v>
      </c>
      <c r="H265" s="291" t="s">
        <v>1355</v>
      </c>
      <c r="I265" s="291"/>
      <c r="J265" s="297" t="s">
        <v>1362</v>
      </c>
      <c r="K265" s="297" t="s">
        <v>623</v>
      </c>
      <c r="L265" s="293" t="str">
        <f t="shared" si="19"/>
        <v>INSERT INTO Product (CMMF,Model,BarCode,Capacity,[Type],Product,[Range],[ModelName],[Color],[Status]) VALUES
('4200004455','VF3649-71','8936008709589','','FAN','Tefal',N'Quạt Đứng',N'',N'Nâu','Discontinued')</v>
      </c>
      <c r="M265" s="293"/>
      <c r="N265" s="292" t="s">
        <v>683</v>
      </c>
      <c r="O265" s="292"/>
      <c r="P265" s="292"/>
      <c r="Q265" s="292"/>
      <c r="R265" s="292"/>
      <c r="S265" s="292"/>
      <c r="T265" s="292"/>
      <c r="U265" s="292"/>
      <c r="V265" s="292"/>
      <c r="W265" s="292"/>
      <c r="X265" s="292"/>
      <c r="Y265" s="292"/>
      <c r="Z265" s="292"/>
      <c r="AA265" s="292"/>
      <c r="AB265" s="292"/>
      <c r="AC265" s="292"/>
      <c r="AD265" s="292"/>
      <c r="AE265" s="292" t="s">
        <v>1485</v>
      </c>
      <c r="AF265" s="292" t="str">
        <f>"INSERT INTO ProductByAccount
( ProductId,AccountId)VALUES
("&amp;C265&amp;",1037)"</f>
        <v>INSERT INTO ProductByAccount
( ProductId,AccountId)VALUES
(164,1037)</v>
      </c>
      <c r="AG265" s="292"/>
      <c r="AH265" s="292"/>
      <c r="AI265" s="292"/>
      <c r="AJ265" s="292"/>
      <c r="AK265" s="380">
        <v>1640000</v>
      </c>
      <c r="AL265" s="381">
        <v>1640000</v>
      </c>
      <c r="AM265" s="379" t="str">
        <f>"INSERT INTO ListedPrice
(ProductId,ActiveDate,Channel,Price)
VALUES("&amp;C265&amp;",'2020-05-01','GT',"&amp;AL265&amp;")"</f>
        <v>INSERT INTO ListedPrice
(ProductId,ActiveDate,Channel,Price)
VALUES(164,'2020-05-01','GT',1640000)</v>
      </c>
      <c r="AN265" s="292"/>
      <c r="AO265" s="292"/>
    </row>
    <row r="266" spans="1:41" s="285" customFormat="1">
      <c r="A266" s="339">
        <v>4200004456</v>
      </c>
      <c r="B266" s="297" t="s">
        <v>521</v>
      </c>
      <c r="C266" s="290">
        <f>VLOOKUP(B266,Sheet1!$B$17:$C$451,2,0)</f>
        <v>165</v>
      </c>
      <c r="D266" s="291" t="s">
        <v>1328</v>
      </c>
      <c r="E266" s="291"/>
      <c r="F266" s="296" t="s">
        <v>878</v>
      </c>
      <c r="G266" s="296" t="s">
        <v>563</v>
      </c>
      <c r="H266" s="291" t="s">
        <v>1355</v>
      </c>
      <c r="I266" s="291"/>
      <c r="J266" s="297" t="s">
        <v>1362</v>
      </c>
      <c r="K266" s="297" t="s">
        <v>623</v>
      </c>
      <c r="L266" s="293" t="str">
        <f t="shared" si="19"/>
        <v>INSERT INTO Product (CMMF,Model,BarCode,Capacity,[Type],Product,[Range],[ModelName],[Color],[Status]) VALUES
('4200004456','VF3650-71','8936008709596','','FAN','Tefal',N'Quạt Đứng',N'',N'Nâu','Discontinued')</v>
      </c>
      <c r="M266" s="293"/>
      <c r="N266" s="292" t="s">
        <v>683</v>
      </c>
      <c r="O266" s="292"/>
      <c r="P266" s="292"/>
      <c r="Q266" s="292"/>
      <c r="R266" s="292"/>
      <c r="S266" s="292"/>
      <c r="T266" s="292"/>
      <c r="U266" s="292"/>
      <c r="V266" s="292"/>
      <c r="W266" s="292"/>
      <c r="X266" s="292"/>
      <c r="Y266" s="292"/>
      <c r="Z266" s="292"/>
      <c r="AA266" s="292"/>
      <c r="AB266" s="292"/>
      <c r="AC266" s="292"/>
      <c r="AD266" s="292"/>
      <c r="AE266" s="292"/>
      <c r="AF266" s="292"/>
      <c r="AG266" s="292"/>
      <c r="AH266" s="292"/>
      <c r="AI266" s="292"/>
      <c r="AJ266" s="292"/>
      <c r="AK266" s="380">
        <v>1900000</v>
      </c>
      <c r="AL266" s="381">
        <v>1900000</v>
      </c>
      <c r="AM266" s="379" t="str">
        <f>"INSERT INTO ListedPrice
(ProductId,ActiveDate,Channel,Price)
VALUES("&amp;C266&amp;",'2020-05-01','GT',"&amp;AL266&amp;")"</f>
        <v>INSERT INTO ListedPrice
(ProductId,ActiveDate,Channel,Price)
VALUES(165,'2020-05-01','GT',1900000)</v>
      </c>
      <c r="AN266" s="292"/>
      <c r="AO266" s="292"/>
    </row>
    <row r="267" spans="1:41" s="286" customFormat="1">
      <c r="A267" s="337">
        <v>4200006145</v>
      </c>
      <c r="B267" s="298" t="s">
        <v>520</v>
      </c>
      <c r="C267" s="290">
        <f>VLOOKUP(B267,Sheet1!$B$17:$C$451,2,0)</f>
        <v>166</v>
      </c>
      <c r="D267" s="291" t="s">
        <v>1329</v>
      </c>
      <c r="E267" s="291"/>
      <c r="F267" s="299" t="s">
        <v>878</v>
      </c>
      <c r="G267" s="299" t="s">
        <v>563</v>
      </c>
      <c r="H267" s="295" t="s">
        <v>1353</v>
      </c>
      <c r="I267" s="291"/>
      <c r="J267" s="298"/>
      <c r="K267" s="300" t="s">
        <v>873</v>
      </c>
      <c r="L267" s="293" t="str">
        <f t="shared" si="19"/>
        <v>INSERT INTO Product (CMMF,Model,BarCode,Capacity,[Type],Product,[Range],[ModelName],[Color],[Status]) VALUES
('4200006145','VF3660-71','8936008709503','','FAN','Tefal',N'Quạt Lửng',N'',N'','To be discontinued')</v>
      </c>
      <c r="M267" s="292" t="s">
        <v>877</v>
      </c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380">
        <v>1545455</v>
      </c>
      <c r="AL267" s="381">
        <v>0</v>
      </c>
      <c r="AM267" s="379" t="str">
        <f>"INSERT INTO ListedPrice
(ProductId,ActiveDate,Channel,Price)
VALUES("&amp;C267&amp;",'2020-05-01','MT',"&amp;AK267&amp;")"</f>
        <v>INSERT INTO ListedPrice
(ProductId,ActiveDate,Channel,Price)
VALUES(166,'2020-05-01','MT',1545455)</v>
      </c>
      <c r="AN267" s="292"/>
      <c r="AO267" s="292"/>
    </row>
    <row r="268" spans="1:41">
      <c r="A268" s="335">
        <v>4200006146</v>
      </c>
      <c r="B268" s="290" t="s">
        <v>524</v>
      </c>
      <c r="C268" s="290">
        <f>VLOOKUP(B268,Sheet1!$B$17:$C$451,2,0)</f>
        <v>167</v>
      </c>
      <c r="D268" s="291" t="s">
        <v>1330</v>
      </c>
      <c r="E268" s="291"/>
      <c r="F268" s="291" t="s">
        <v>878</v>
      </c>
      <c r="G268" s="291" t="s">
        <v>563</v>
      </c>
      <c r="H268" s="295" t="s">
        <v>1358</v>
      </c>
      <c r="I268" s="291"/>
      <c r="J268" s="290"/>
      <c r="K268" s="293" t="s">
        <v>872</v>
      </c>
      <c r="L268" s="293" t="str">
        <f t="shared" si="19"/>
        <v>INSERT INTO Product (CMMF,Model,BarCode,Capacity,[Type],Product,[Range],[ModelName],[Color],[Status]) VALUES
('4200006146','VF3670-71','8936008709510','','FAN','Tefal',N'Quạt Treo',N'',N'','On going')</v>
      </c>
      <c r="M268" s="292" t="s">
        <v>877</v>
      </c>
      <c r="N268" s="292"/>
      <c r="O268" s="292"/>
      <c r="P268" s="292"/>
      <c r="Q268" s="292"/>
      <c r="R268" s="292"/>
      <c r="S268" s="292"/>
      <c r="T268" s="292"/>
      <c r="U268" s="292"/>
      <c r="V268" s="292"/>
      <c r="W268" s="292"/>
      <c r="X268" s="292"/>
      <c r="Y268" s="292"/>
      <c r="Z268" s="292"/>
      <c r="AA268" s="292"/>
      <c r="AB268" s="292"/>
      <c r="AC268" s="292"/>
      <c r="AD268" s="292"/>
      <c r="AE268" s="292" t="s">
        <v>1485</v>
      </c>
      <c r="AF268" s="292" t="str">
        <f>"INSERT INTO ProductByAccount
( ProductId,AccountId)VALUES
("&amp;C268&amp;",1037)"</f>
        <v>INSERT INTO ProductByAccount
( ProductId,AccountId)VALUES
(167,1037)</v>
      </c>
      <c r="AG268" s="292"/>
      <c r="AH268" s="292"/>
      <c r="AI268" s="292"/>
      <c r="AJ268" s="292"/>
      <c r="AK268" s="380">
        <v>1363636</v>
      </c>
      <c r="AL268" s="381">
        <v>0</v>
      </c>
      <c r="AM268" s="379" t="str">
        <f>"INSERT INTO ListedPrice
(ProductId,ActiveDate,Channel,Price)
VALUES("&amp;C268&amp;",'2020-05-01','MT',"&amp;AK268&amp;")"</f>
        <v>INSERT INTO ListedPrice
(ProductId,ActiveDate,Channel,Price)
VALUES(167,'2020-05-01','MT',1363636)</v>
      </c>
      <c r="AN268" s="292"/>
      <c r="AO268" s="292"/>
    </row>
    <row r="269" spans="1:41">
      <c r="A269" s="335">
        <v>4200006147</v>
      </c>
      <c r="B269" s="290" t="s">
        <v>525</v>
      </c>
      <c r="C269" s="290">
        <f>VLOOKUP(B269,Sheet1!$B$17:$C$451,2,0)</f>
        <v>168</v>
      </c>
      <c r="D269" s="291" t="s">
        <v>1331</v>
      </c>
      <c r="E269" s="291"/>
      <c r="F269" s="291" t="s">
        <v>878</v>
      </c>
      <c r="G269" s="291" t="s">
        <v>563</v>
      </c>
      <c r="H269" s="291" t="s">
        <v>1355</v>
      </c>
      <c r="I269" s="291"/>
      <c r="J269" s="290"/>
      <c r="K269" s="293" t="s">
        <v>872</v>
      </c>
      <c r="L269" s="293" t="str">
        <f t="shared" si="19"/>
        <v>INSERT INTO Product (CMMF,Model,BarCode,Capacity,[Type],Product,[Range],[ModelName],[Color],[Status]) VALUES
('4200006147','VF3680-71','8936008709527','','FAN','Tefal',N'Quạt Đứng',N'',N'','On going')</v>
      </c>
      <c r="M269" s="292" t="s">
        <v>877</v>
      </c>
      <c r="N269" s="292"/>
      <c r="O269" s="292"/>
      <c r="P269" s="292"/>
      <c r="Q269" s="292"/>
      <c r="R269" s="292"/>
      <c r="S269" s="292"/>
      <c r="T269" s="292"/>
      <c r="U269" s="292"/>
      <c r="V269" s="292"/>
      <c r="W269" s="292"/>
      <c r="X269" s="292"/>
      <c r="Y269" s="292"/>
      <c r="Z269" s="292"/>
      <c r="AA269" s="292"/>
      <c r="AB269" s="292"/>
      <c r="AC269" s="292"/>
      <c r="AD269" s="292"/>
      <c r="AE269" s="292"/>
      <c r="AF269" s="292"/>
      <c r="AG269" s="292"/>
      <c r="AH269" s="292"/>
      <c r="AI269" s="292"/>
      <c r="AJ269" s="292"/>
      <c r="AK269" s="380">
        <v>1636364</v>
      </c>
      <c r="AL269" s="381">
        <v>0</v>
      </c>
      <c r="AM269" s="379" t="str">
        <f>"INSERT INTO ListedPrice
(ProductId,ActiveDate,Channel,Price)
VALUES("&amp;C269&amp;",'2020-05-01','MT',"&amp;AK269&amp;")"</f>
        <v>INSERT INTO ListedPrice
(ProductId,ActiveDate,Channel,Price)
VALUES(168,'2020-05-01','MT',1636364)</v>
      </c>
      <c r="AN269" s="292"/>
      <c r="AO269" s="292"/>
    </row>
    <row r="270" spans="1:41">
      <c r="A270" s="335">
        <v>4200006020</v>
      </c>
      <c r="B270" s="290" t="s">
        <v>853</v>
      </c>
      <c r="C270" s="290">
        <f>VLOOKUP(B270,Sheet1!$B$17:$C$451,2,0)</f>
        <v>169</v>
      </c>
      <c r="D270" s="291" t="s">
        <v>1332</v>
      </c>
      <c r="E270" s="291"/>
      <c r="F270" s="291" t="s">
        <v>878</v>
      </c>
      <c r="G270" s="291" t="s">
        <v>563</v>
      </c>
      <c r="H270" s="291" t="s">
        <v>1355</v>
      </c>
      <c r="I270" s="291"/>
      <c r="J270" s="290" t="s">
        <v>327</v>
      </c>
      <c r="K270" s="293" t="s">
        <v>872</v>
      </c>
      <c r="L270" s="293" t="str">
        <f t="shared" si="19"/>
        <v>INSERT INTO Product (CMMF,Model,BarCode,Capacity,[Type],Product,[Range],[ModelName],[Color],[Status]) VALUES
('4200006020','VF6410-71','8936008709534','','FAN','Tefal',N'Quạt Đứng',N'',N'Trắng','On going')</v>
      </c>
      <c r="M270" s="292" t="s">
        <v>877</v>
      </c>
      <c r="N270" s="292"/>
      <c r="O270" s="292"/>
      <c r="P270" s="292"/>
      <c r="Q270" s="292"/>
      <c r="R270" s="292"/>
      <c r="S270" s="292"/>
      <c r="T270" s="292"/>
      <c r="U270" s="292"/>
      <c r="V270" s="292"/>
      <c r="W270" s="292"/>
      <c r="X270" s="292"/>
      <c r="Y270" s="292"/>
      <c r="Z270" s="292"/>
      <c r="AA270" s="292"/>
      <c r="AB270" s="292"/>
      <c r="AC270" s="292"/>
      <c r="AD270" s="292"/>
      <c r="AE270" s="292"/>
      <c r="AF270" s="292"/>
      <c r="AG270" s="292"/>
      <c r="AH270" s="292"/>
      <c r="AI270" s="292"/>
      <c r="AJ270" s="292"/>
      <c r="AK270" s="380">
        <v>1909091</v>
      </c>
      <c r="AL270" s="381">
        <v>0</v>
      </c>
      <c r="AM270" s="379" t="str">
        <f>"INSERT INTO ListedPrice
(ProductId,ActiveDate,Channel,Price)
VALUES("&amp;C270&amp;",'2020-05-01','MT',"&amp;AK270&amp;")"</f>
        <v>INSERT INTO ListedPrice
(ProductId,ActiveDate,Channel,Price)
VALUES(169,'2020-05-01','MT',1909091)</v>
      </c>
      <c r="AN270" s="292"/>
      <c r="AO270" s="292"/>
    </row>
    <row r="271" spans="1:41">
      <c r="A271" s="341">
        <v>4200000030</v>
      </c>
      <c r="B271" s="293" t="s">
        <v>789</v>
      </c>
      <c r="C271" s="290">
        <f>VLOOKUP(B271,Sheet1!$B$17:$C$451,2,0)</f>
        <v>170</v>
      </c>
      <c r="D271" s="291" t="s">
        <v>1230</v>
      </c>
      <c r="E271" s="291"/>
      <c r="F271" s="292" t="s">
        <v>878</v>
      </c>
      <c r="G271" s="291" t="s">
        <v>953</v>
      </c>
      <c r="H271" s="291" t="s">
        <v>1354</v>
      </c>
      <c r="I271" s="291" t="s">
        <v>1458</v>
      </c>
      <c r="J271" s="297" t="s">
        <v>1378</v>
      </c>
      <c r="K271" s="293" t="s">
        <v>872</v>
      </c>
      <c r="L271" s="293" t="str">
        <f t="shared" si="19"/>
        <v>INSERT INTO Product (CMMF,Model,BarCode,Capacity,[Type],Product,[Range],[ModelName],[Color],[Status]) VALUES
('4200000030','B12001-EV0','8936008700449','','FAN','AsiaVina',N'Quạt Bàn',N'Table fan',N'Thiên Thanh','On going')</v>
      </c>
      <c r="M271" s="292" t="s">
        <v>877</v>
      </c>
      <c r="N271" s="292" t="s">
        <v>683</v>
      </c>
      <c r="O271" s="292"/>
      <c r="P271" s="292"/>
      <c r="Q271" s="292"/>
      <c r="R271" s="292"/>
      <c r="S271" s="292"/>
      <c r="T271" s="292"/>
      <c r="U271" s="292"/>
      <c r="V271" s="292"/>
      <c r="W271" s="292"/>
      <c r="X271" s="292"/>
      <c r="Y271" s="292"/>
      <c r="Z271" s="292"/>
      <c r="AA271" s="292"/>
      <c r="AB271" s="292"/>
      <c r="AC271" s="292" t="s">
        <v>872</v>
      </c>
      <c r="AD271" s="292" t="str">
        <f>"INSERT INTO ProductByAccount
( ProductId,AccountId)VALUES
("&amp;C271&amp;",1036)"</f>
        <v>INSERT INTO ProductByAccount
( ProductId,AccountId)VALUES
(170,1036)</v>
      </c>
      <c r="AE271" s="292"/>
      <c r="AF271" s="292"/>
      <c r="AG271" s="292"/>
      <c r="AH271" s="292"/>
      <c r="AI271" s="292"/>
      <c r="AJ271" s="292"/>
      <c r="AK271" s="329">
        <v>0</v>
      </c>
      <c r="AL271" s="381">
        <v>280000</v>
      </c>
      <c r="AM271" s="379" t="str">
        <f>"INSERT INTO ListedPrice
(ProductId,ActiveDate,Channel,Price)
VALUES("&amp;C271&amp;",'2020-05-01','GT',"&amp;AL271&amp;")"</f>
        <v>INSERT INTO ListedPrice
(ProductId,ActiveDate,Channel,Price)
VALUES(170,'2020-05-01','GT',280000)</v>
      </c>
      <c r="AN271" s="292"/>
      <c r="AO271" s="292"/>
    </row>
    <row r="272" spans="1:41" s="285" customFormat="1">
      <c r="A272" s="339">
        <v>4200000031</v>
      </c>
      <c r="B272" s="297" t="s">
        <v>812</v>
      </c>
      <c r="C272" s="290">
        <f>VLOOKUP(B272,Sheet1!$B$17:$C$451,2,0)</f>
        <v>171</v>
      </c>
      <c r="D272" s="291" t="s">
        <v>1231</v>
      </c>
      <c r="E272" s="291"/>
      <c r="F272" s="296" t="s">
        <v>878</v>
      </c>
      <c r="G272" s="295" t="s">
        <v>953</v>
      </c>
      <c r="H272" s="291" t="s">
        <v>1354</v>
      </c>
      <c r="I272" s="291" t="s">
        <v>1458</v>
      </c>
      <c r="J272" s="297" t="s">
        <v>1416</v>
      </c>
      <c r="K272" s="297" t="s">
        <v>623</v>
      </c>
      <c r="L272" s="293" t="str">
        <f t="shared" si="19"/>
        <v>INSERT INTO Product (CMMF,Model,BarCode,Capacity,[Type],Product,[Range],[ModelName],[Color],[Status]) VALUES
('4200000031','B12001-LV0','8936008700456','','FAN','AsiaVina',N'Quạt Bàn',N'Table fan',N'Xanh Lá','Discontinued')</v>
      </c>
      <c r="M272" s="292" t="s">
        <v>877</v>
      </c>
      <c r="N272" s="292" t="s">
        <v>683</v>
      </c>
      <c r="O272" s="292"/>
      <c r="P272" s="292"/>
      <c r="Q272" s="292"/>
      <c r="R272" s="292"/>
      <c r="S272" s="292"/>
      <c r="T272" s="292"/>
      <c r="U272" s="292"/>
      <c r="V272" s="292"/>
      <c r="W272" s="292"/>
      <c r="X272" s="292"/>
      <c r="Y272" s="292"/>
      <c r="Z272" s="292"/>
      <c r="AA272" s="292"/>
      <c r="AB272" s="292"/>
      <c r="AC272" s="292"/>
      <c r="AD272" s="292"/>
      <c r="AE272" s="292" t="s">
        <v>1485</v>
      </c>
      <c r="AF272" s="292" t="str">
        <f>"INSERT INTO ProductByAccount
( ProductId,AccountId)VALUES
("&amp;C272&amp;",1037)"</f>
        <v>INSERT INTO ProductByAccount
( ProductId,AccountId)VALUES
(171,1037)</v>
      </c>
      <c r="AG272" s="292"/>
      <c r="AH272" s="292"/>
      <c r="AI272" s="292"/>
      <c r="AJ272" s="292"/>
      <c r="AK272" s="329">
        <v>0</v>
      </c>
      <c r="AL272" s="381">
        <v>280000</v>
      </c>
      <c r="AM272" s="379" t="str">
        <f>"INSERT INTO ListedPrice
(ProductId,ActiveDate,Channel,Price)
VALUES("&amp;C272&amp;",'2020-05-01','GT',"&amp;AL272&amp;")"</f>
        <v>INSERT INTO ListedPrice
(ProductId,ActiveDate,Channel,Price)
VALUES(171,'2020-05-01','GT',280000)</v>
      </c>
      <c r="AN272" s="292"/>
      <c r="AO272" s="292"/>
    </row>
    <row r="273" spans="1:41" s="287" customFormat="1">
      <c r="A273" s="338">
        <v>4200006859</v>
      </c>
      <c r="B273" s="301" t="s">
        <v>813</v>
      </c>
      <c r="C273" s="290">
        <f>VLOOKUP(B273,Sheet1!$B$17:$C$451,2,0)</f>
        <v>172</v>
      </c>
      <c r="D273" s="291" t="s">
        <v>1232</v>
      </c>
      <c r="E273" s="291"/>
      <c r="F273" s="302" t="s">
        <v>878</v>
      </c>
      <c r="G273" s="302" t="s">
        <v>953</v>
      </c>
      <c r="H273" s="291" t="s">
        <v>1354</v>
      </c>
      <c r="I273" s="291" t="s">
        <v>1458</v>
      </c>
      <c r="J273" s="301" t="s">
        <v>294</v>
      </c>
      <c r="K273" s="303" t="s">
        <v>516</v>
      </c>
      <c r="L273" s="293" t="str">
        <f t="shared" si="19"/>
        <v>INSERT INTO Product (CMMF,Model,BarCode,Capacity,[Type],Product,[Range],[ModelName],[Color],[Status]) VALUES
('4200006859','B12001-XV0','8936008700432','','FAN','AsiaVina',N'Quạt Bàn',N'Table fan',N'Xám','New')</v>
      </c>
      <c r="M273" s="293"/>
      <c r="N273" s="292" t="s">
        <v>683</v>
      </c>
      <c r="O273" s="292"/>
      <c r="P273" s="292"/>
      <c r="Q273" s="292"/>
      <c r="R273" s="292"/>
      <c r="S273" s="292"/>
      <c r="T273" s="292"/>
      <c r="U273" s="292"/>
      <c r="V273" s="292"/>
      <c r="W273" s="292"/>
      <c r="X273" s="292"/>
      <c r="Y273" s="292"/>
      <c r="Z273" s="292"/>
      <c r="AA273" s="292"/>
      <c r="AB273" s="292"/>
      <c r="AC273" s="292"/>
      <c r="AD273" s="292"/>
      <c r="AE273" s="292"/>
      <c r="AF273" s="292"/>
      <c r="AG273" s="292"/>
      <c r="AH273" s="292"/>
      <c r="AI273" s="292"/>
      <c r="AJ273" s="292"/>
      <c r="AK273" s="329">
        <v>0</v>
      </c>
      <c r="AL273" s="381">
        <v>280000</v>
      </c>
      <c r="AM273" s="379" t="str">
        <f>"INSERT INTO ListedPrice
(ProductId,ActiveDate,Channel,Price)
VALUES("&amp;C273&amp;",'2020-05-01','GT',"&amp;AL273&amp;")"</f>
        <v>INSERT INTO ListedPrice
(ProductId,ActiveDate,Channel,Price)
VALUES(172,'2020-05-01','GT',280000)</v>
      </c>
      <c r="AN273" s="292"/>
      <c r="AO273" s="292"/>
    </row>
    <row r="274" spans="1:41" s="285" customFormat="1">
      <c r="A274" s="339">
        <v>4200000292</v>
      </c>
      <c r="B274" s="297" t="s">
        <v>904</v>
      </c>
      <c r="C274" s="290">
        <f>VLOOKUP(B274,Sheet1!$B$17:$C$451,2,0)</f>
        <v>173</v>
      </c>
      <c r="D274" s="291" t="s">
        <v>1233</v>
      </c>
      <c r="E274" s="291"/>
      <c r="F274" s="296" t="s">
        <v>878</v>
      </c>
      <c r="G274" s="295" t="s">
        <v>953</v>
      </c>
      <c r="H274" s="291" t="s">
        <v>1354</v>
      </c>
      <c r="I274" s="291" t="s">
        <v>1344</v>
      </c>
      <c r="J274" s="291" t="s">
        <v>404</v>
      </c>
      <c r="K274" s="297" t="s">
        <v>623</v>
      </c>
      <c r="L274" s="293" t="str">
        <f t="shared" si="19"/>
        <v>INSERT INTO Product (CMMF,Model,BarCode,Capacity,[Type],Product,[Range],[ModelName],[Color],[Status]) VALUES
('4200000292','B12005-OV0','8936008709978','','FAN','AsiaVina',N'Quạt Bàn',N'Update',N'Đỏ','Discontinued')</v>
      </c>
      <c r="M274" s="320" t="s">
        <v>877</v>
      </c>
      <c r="N274" s="333" t="s">
        <v>683</v>
      </c>
      <c r="O274" s="292"/>
      <c r="P274" s="292"/>
      <c r="Q274" s="292"/>
      <c r="R274" s="292"/>
      <c r="S274" s="292"/>
      <c r="T274" s="292"/>
      <c r="U274" s="292"/>
      <c r="V274" s="292"/>
      <c r="W274" s="292"/>
      <c r="X274" s="292"/>
      <c r="Y274" s="292"/>
      <c r="Z274" s="292"/>
      <c r="AA274" s="292"/>
      <c r="AB274" s="292"/>
      <c r="AC274" s="292"/>
      <c r="AD274" s="292"/>
      <c r="AE274" s="292"/>
      <c r="AF274" s="292"/>
      <c r="AG274" s="292"/>
      <c r="AH274" s="292"/>
      <c r="AI274" s="292"/>
      <c r="AJ274" s="292"/>
      <c r="AK274" s="380">
        <v>280000</v>
      </c>
      <c r="AL274" s="381">
        <v>0</v>
      </c>
      <c r="AM274" s="379" t="str">
        <f>"INSERT INTO ListedPrice
(ProductId,ActiveDate,Channel,Price)
VALUES("&amp;C274&amp;",'2020-05-01','MT',"&amp;AK274&amp;")"</f>
        <v>INSERT INTO ListedPrice
(ProductId,ActiveDate,Channel,Price)
VALUES(173,'2020-05-01','MT',280000)</v>
      </c>
      <c r="AN274" s="292"/>
      <c r="AO274" s="292"/>
    </row>
    <row r="275" spans="1:41" s="285" customFormat="1">
      <c r="A275" s="339">
        <v>4200000298</v>
      </c>
      <c r="B275" s="297" t="s">
        <v>906</v>
      </c>
      <c r="C275" s="290">
        <f>VLOOKUP(B275,Sheet1!$B$17:$C$451,2,0)</f>
        <v>174</v>
      </c>
      <c r="D275" s="291" t="s">
        <v>1233</v>
      </c>
      <c r="E275" s="291"/>
      <c r="F275" s="296" t="s">
        <v>878</v>
      </c>
      <c r="G275" s="295" t="s">
        <v>953</v>
      </c>
      <c r="H275" s="291" t="s">
        <v>1354</v>
      </c>
      <c r="I275" s="291" t="s">
        <v>1344</v>
      </c>
      <c r="J275" s="291" t="s">
        <v>404</v>
      </c>
      <c r="K275" s="297" t="s">
        <v>623</v>
      </c>
      <c r="L275" s="293" t="str">
        <f t="shared" si="19"/>
        <v>INSERT INTO Product (CMMF,Model,BarCode,Capacity,[Type],Product,[Range],[ModelName],[Color],[Status]) VALUES
('4200000298','B12005-OV1','8936008709978','','FAN','AsiaVina',N'Quạt Bàn',N'Update',N'Đỏ','Discontinued')</v>
      </c>
      <c r="M275" s="292"/>
      <c r="N275" s="292" t="s">
        <v>683</v>
      </c>
      <c r="O275" s="292"/>
      <c r="P275" s="292"/>
      <c r="Q275" s="292"/>
      <c r="R275" s="292"/>
      <c r="S275" s="292"/>
      <c r="T275" s="292"/>
      <c r="U275" s="292"/>
      <c r="V275" s="292"/>
      <c r="W275" s="292"/>
      <c r="X275" s="292"/>
      <c r="Y275" s="292"/>
      <c r="Z275" s="292"/>
      <c r="AA275" s="292"/>
      <c r="AB275" s="292"/>
      <c r="AC275" s="292"/>
      <c r="AD275" s="292"/>
      <c r="AE275" s="292"/>
      <c r="AF275" s="292"/>
      <c r="AG275" s="292"/>
      <c r="AH275" s="292"/>
      <c r="AI275" s="292"/>
      <c r="AJ275" s="292"/>
      <c r="AK275" s="380">
        <v>280000</v>
      </c>
      <c r="AL275" s="381">
        <v>280000</v>
      </c>
      <c r="AM275" s="379" t="str">
        <f>"INSERT INTO ListedPrice
(ProductId,ActiveDate,Channel,Price)
VALUES("&amp;C275&amp;",'2020-05-01','GT',"&amp;AL275&amp;")"</f>
        <v>INSERT INTO ListedPrice
(ProductId,ActiveDate,Channel,Price)
VALUES(174,'2020-05-01','GT',280000)</v>
      </c>
      <c r="AN275" s="292"/>
      <c r="AO275" s="292"/>
    </row>
    <row r="276" spans="1:41" s="285" customFormat="1">
      <c r="A276" s="339">
        <v>4200000165</v>
      </c>
      <c r="B276" s="297" t="s">
        <v>907</v>
      </c>
      <c r="C276" s="290">
        <f>VLOOKUP(B276,Sheet1!$B$17:$C$451,2,0)</f>
        <v>175</v>
      </c>
      <c r="D276" s="291" t="s">
        <v>1234</v>
      </c>
      <c r="E276" s="291"/>
      <c r="F276" s="296" t="s">
        <v>878</v>
      </c>
      <c r="G276" s="295" t="s">
        <v>953</v>
      </c>
      <c r="H276" s="291" t="s">
        <v>1354</v>
      </c>
      <c r="I276" s="291" t="s">
        <v>1344</v>
      </c>
      <c r="J276" s="297" t="s">
        <v>294</v>
      </c>
      <c r="K276" s="297" t="s">
        <v>623</v>
      </c>
      <c r="L276" s="293" t="str">
        <f t="shared" si="19"/>
        <v>INSERT INTO Product (CMMF,Model,BarCode,Capacity,[Type],Product,[Range],[ModelName],[Color],[Status]) VALUES
('4200000165','B12005-XV0','8936008705376','','FAN','AsiaVina',N'Quạt Bàn',N'Update',N'Xám','Discontinued')</v>
      </c>
      <c r="M276" s="320" t="s">
        <v>877</v>
      </c>
      <c r="N276" s="333" t="s">
        <v>683</v>
      </c>
      <c r="O276" s="292"/>
      <c r="P276" s="292"/>
      <c r="Q276" s="292"/>
      <c r="R276" s="292"/>
      <c r="S276" s="292"/>
      <c r="T276" s="292"/>
      <c r="U276" s="292"/>
      <c r="V276" s="292"/>
      <c r="W276" s="292"/>
      <c r="X276" s="292"/>
      <c r="Y276" s="292"/>
      <c r="Z276" s="292"/>
      <c r="AA276" s="292"/>
      <c r="AB276" s="292"/>
      <c r="AC276" s="292"/>
      <c r="AD276" s="292"/>
      <c r="AE276" s="292"/>
      <c r="AF276" s="292"/>
      <c r="AG276" s="292"/>
      <c r="AH276" s="292"/>
      <c r="AI276" s="292"/>
      <c r="AJ276" s="292"/>
      <c r="AK276" s="380">
        <v>300000</v>
      </c>
      <c r="AL276" s="381">
        <v>0</v>
      </c>
      <c r="AM276" s="379" t="str">
        <f>"INSERT INTO ListedPrice
(ProductId,ActiveDate,Channel,Price)
VALUES("&amp;C276&amp;",'2020-05-01','MT',"&amp;AK276&amp;")"</f>
        <v>INSERT INTO ListedPrice
(ProductId,ActiveDate,Channel,Price)
VALUES(175,'2020-05-01','MT',300000)</v>
      </c>
      <c r="AN276" s="292"/>
      <c r="AO276" s="292"/>
    </row>
    <row r="277" spans="1:41" s="288" customFormat="1">
      <c r="A277" s="343">
        <v>4200000284</v>
      </c>
      <c r="B277" s="318" t="s">
        <v>814</v>
      </c>
      <c r="C277" s="290">
        <f>VLOOKUP(B277,Sheet1!$B$17:$C$451,2,0)</f>
        <v>176</v>
      </c>
      <c r="D277" s="291" t="s">
        <v>1234</v>
      </c>
      <c r="E277" s="291"/>
      <c r="F277" s="316" t="s">
        <v>878</v>
      </c>
      <c r="G277" s="317" t="s">
        <v>953</v>
      </c>
      <c r="H277" s="291" t="s">
        <v>1354</v>
      </c>
      <c r="I277" s="291" t="s">
        <v>1344</v>
      </c>
      <c r="J277" s="297" t="s">
        <v>294</v>
      </c>
      <c r="K277" s="318" t="s">
        <v>885</v>
      </c>
      <c r="L277" s="293" t="str">
        <f t="shared" si="19"/>
        <v>INSERT INTO Product (CMMF,Model,BarCode,Capacity,[Type],Product,[Range],[ModelName],[Color],[Status]) VALUES
('4200000284','B12005-XV1','8936008705376','','FAN','AsiaVina',N'Quạt Bàn',N'Update',N'Xám','B2B items')</v>
      </c>
      <c r="M277" s="320" t="s">
        <v>877</v>
      </c>
      <c r="N277" s="333" t="s">
        <v>683</v>
      </c>
      <c r="O277" s="292"/>
      <c r="P277" s="292"/>
      <c r="Q277" s="292"/>
      <c r="R277" s="292"/>
      <c r="S277" s="292"/>
      <c r="T277" s="292"/>
      <c r="U277" s="292"/>
      <c r="V277" s="292"/>
      <c r="W277" s="292"/>
      <c r="X277" s="292"/>
      <c r="Y277" s="292"/>
      <c r="Z277" s="292"/>
      <c r="AA277" s="292"/>
      <c r="AB277" s="292"/>
      <c r="AC277" s="292"/>
      <c r="AD277" s="292"/>
      <c r="AE277" s="292"/>
      <c r="AF277" s="292"/>
      <c r="AG277" s="292"/>
      <c r="AH277" s="292"/>
      <c r="AI277" s="292"/>
      <c r="AJ277" s="292"/>
      <c r="AK277" s="380">
        <v>300000</v>
      </c>
      <c r="AL277" s="381">
        <v>0</v>
      </c>
      <c r="AM277" s="379" t="str">
        <f>"INSERT INTO ListedPrice
(ProductId,ActiveDate,Channel,Price)
VALUES("&amp;C277&amp;",'2020-05-01','MT',"&amp;AK277&amp;")"</f>
        <v>INSERT INTO ListedPrice
(ProductId,ActiveDate,Channel,Price)
VALUES(176,'2020-05-01','MT',300000)</v>
      </c>
      <c r="AN277" s="292"/>
      <c r="AO277" s="292"/>
    </row>
    <row r="278" spans="1:41" s="288" customFormat="1">
      <c r="A278" s="343">
        <v>4200006599</v>
      </c>
      <c r="B278" s="318" t="s">
        <v>908</v>
      </c>
      <c r="C278" s="290">
        <f>VLOOKUP(B278,Sheet1!$B$17:$C$451,2,0)</f>
        <v>177</v>
      </c>
      <c r="D278" s="291" t="s">
        <v>1234</v>
      </c>
      <c r="E278" s="291"/>
      <c r="F278" s="316" t="s">
        <v>878</v>
      </c>
      <c r="G278" s="317" t="s">
        <v>953</v>
      </c>
      <c r="H278" s="291" t="s">
        <v>1354</v>
      </c>
      <c r="I278" s="291" t="s">
        <v>1344</v>
      </c>
      <c r="J278" s="297" t="s">
        <v>294</v>
      </c>
      <c r="K278" s="318" t="s">
        <v>885</v>
      </c>
      <c r="L278" s="293" t="str">
        <f t="shared" si="19"/>
        <v>INSERT INTO Product (CMMF,Model,BarCode,Capacity,[Type],Product,[Range],[ModelName],[Color],[Status]) VALUES
('4200006599','B12005-XZ0','8936008705376','','FAN','AsiaVina',N'Quạt Bàn',N'Update',N'Xám','B2B items')</v>
      </c>
      <c r="M278" s="320" t="s">
        <v>877</v>
      </c>
      <c r="N278" s="333" t="s">
        <v>683</v>
      </c>
      <c r="O278" s="292"/>
      <c r="P278" s="292"/>
      <c r="Q278" s="292"/>
      <c r="R278" s="292"/>
      <c r="S278" s="292"/>
      <c r="T278" s="292"/>
      <c r="U278" s="292"/>
      <c r="V278" s="292"/>
      <c r="W278" s="292"/>
      <c r="X278" s="292"/>
      <c r="Y278" s="292"/>
      <c r="Z278" s="292"/>
      <c r="AA278" s="292"/>
      <c r="AB278" s="292"/>
      <c r="AC278" s="292"/>
      <c r="AD278" s="292"/>
      <c r="AE278" s="292"/>
      <c r="AF278" s="292"/>
      <c r="AG278" s="292"/>
      <c r="AH278" s="292"/>
      <c r="AI278" s="292"/>
      <c r="AJ278" s="292"/>
      <c r="AK278" s="329">
        <v>0</v>
      </c>
      <c r="AL278" s="381">
        <v>0</v>
      </c>
      <c r="AM278" s="379" t="str">
        <f>"INSERT INTO ListedPrice
(ProductId,ActiveDate,Channel,Price)
VALUES("&amp;C278&amp;",'2020-05-01','MT',"&amp;AK278&amp;")"</f>
        <v>INSERT INTO ListedPrice
(ProductId,ActiveDate,Channel,Price)
VALUES(177,'2020-05-01','MT',0)</v>
      </c>
      <c r="AN278" s="292"/>
      <c r="AO278" s="292"/>
    </row>
    <row r="279" spans="1:41">
      <c r="A279" s="341">
        <v>4200000046</v>
      </c>
      <c r="B279" s="293" t="s">
        <v>771</v>
      </c>
      <c r="C279" s="290">
        <f>VLOOKUP(B279,Sheet1!$B$17:$C$451,2,0)</f>
        <v>178</v>
      </c>
      <c r="D279" s="291" t="s">
        <v>1235</v>
      </c>
      <c r="E279" s="291"/>
      <c r="F279" s="292" t="s">
        <v>878</v>
      </c>
      <c r="G279" s="291" t="s">
        <v>953</v>
      </c>
      <c r="H279" s="291" t="s">
        <v>1354</v>
      </c>
      <c r="I279" s="291" t="s">
        <v>1458</v>
      </c>
      <c r="J279" s="297" t="s">
        <v>1378</v>
      </c>
      <c r="K279" s="293" t="s">
        <v>872</v>
      </c>
      <c r="L279" s="293" t="str">
        <f t="shared" si="19"/>
        <v>INSERT INTO Product (CMMF,Model,BarCode,Capacity,[Type],Product,[Range],[ModelName],[Color],[Status]) VALUES
('4200000046','B16001-EV0','8936008704546','','FAN','AsiaVina',N'Quạt Bàn',N'Table fan',N'Thiên Thanh','On going')</v>
      </c>
      <c r="M279" s="292" t="s">
        <v>877</v>
      </c>
      <c r="N279" s="292" t="s">
        <v>683</v>
      </c>
      <c r="O279" s="292"/>
      <c r="P279" s="292"/>
      <c r="Q279" s="292"/>
      <c r="R279" s="292"/>
      <c r="S279" s="292"/>
      <c r="T279" s="292"/>
      <c r="U279" s="292"/>
      <c r="V279" s="292"/>
      <c r="W279" s="292"/>
      <c r="X279" s="292"/>
      <c r="Y279" s="292"/>
      <c r="Z279" s="292"/>
      <c r="AA279" s="292"/>
      <c r="AB279" s="292"/>
      <c r="AC279" s="292" t="s">
        <v>872</v>
      </c>
      <c r="AD279" s="292" t="str">
        <f>"INSERT INTO ProductByAccount
( ProductId,AccountId)VALUES
("&amp;C279&amp;",1036)"</f>
        <v>INSERT INTO ProductByAccount
( ProductId,AccountId)VALUES
(178,1036)</v>
      </c>
      <c r="AE279" s="292" t="s">
        <v>1485</v>
      </c>
      <c r="AF279" s="292" t="str">
        <f>"INSERT INTO ProductByAccount
( ProductId,AccountId)VALUES
("&amp;C279&amp;",1037)"</f>
        <v>INSERT INTO ProductByAccount
( ProductId,AccountId)VALUES
(178,1037)</v>
      </c>
      <c r="AG279" s="292"/>
      <c r="AH279" s="292"/>
      <c r="AI279" s="292"/>
      <c r="AJ279" s="292"/>
      <c r="AK279" s="380">
        <v>438182</v>
      </c>
      <c r="AL279" s="381">
        <v>438182</v>
      </c>
      <c r="AM279" s="379" t="str">
        <f>"INSERT INTO ListedPrice
(ProductId,ActiveDate,Channel,Price)
VALUES("&amp;C279&amp;",'2020-05-01','GT',"&amp;AL279&amp;")"</f>
        <v>INSERT INTO ListedPrice
(ProductId,ActiveDate,Channel,Price)
VALUES(178,'2020-05-01','GT',438182)</v>
      </c>
      <c r="AN279" s="292"/>
      <c r="AO279" s="292"/>
    </row>
    <row r="280" spans="1:41" s="285" customFormat="1">
      <c r="A280" s="339">
        <v>4200000047</v>
      </c>
      <c r="B280" s="297" t="s">
        <v>815</v>
      </c>
      <c r="C280" s="290">
        <f>VLOOKUP(B280,Sheet1!$B$17:$C$451,2,0)</f>
        <v>179</v>
      </c>
      <c r="D280" s="291" t="s">
        <v>1236</v>
      </c>
      <c r="E280" s="291"/>
      <c r="F280" s="296" t="s">
        <v>878</v>
      </c>
      <c r="G280" s="295" t="s">
        <v>953</v>
      </c>
      <c r="H280" s="291" t="s">
        <v>1354</v>
      </c>
      <c r="I280" s="291" t="s">
        <v>1458</v>
      </c>
      <c r="J280" s="297" t="s">
        <v>1416</v>
      </c>
      <c r="K280" s="297" t="s">
        <v>623</v>
      </c>
      <c r="L280" s="293" t="str">
        <f t="shared" si="19"/>
        <v>INSERT INTO Product (CMMF,Model,BarCode,Capacity,[Type],Product,[Range],[ModelName],[Color],[Status]) VALUES
('4200000047','B16001-LV0','8936008704553','','FAN','AsiaVina',N'Quạt Bàn',N'Table fan',N'Xanh Lá','Discontinued')</v>
      </c>
      <c r="M280" s="292" t="s">
        <v>877</v>
      </c>
      <c r="N280" s="292" t="s">
        <v>683</v>
      </c>
      <c r="O280" s="292"/>
      <c r="P280" s="292"/>
      <c r="Q280" s="292"/>
      <c r="R280" s="292"/>
      <c r="S280" s="292"/>
      <c r="T280" s="292"/>
      <c r="U280" s="292"/>
      <c r="V280" s="292"/>
      <c r="W280" s="292"/>
      <c r="X280" s="292"/>
      <c r="Y280" s="292"/>
      <c r="Z280" s="292"/>
      <c r="AA280" s="292"/>
      <c r="AB280" s="292"/>
      <c r="AC280" s="292"/>
      <c r="AD280" s="292"/>
      <c r="AE280" s="292"/>
      <c r="AF280" s="292"/>
      <c r="AG280" s="292"/>
      <c r="AH280" s="292"/>
      <c r="AI280" s="292"/>
      <c r="AJ280" s="292"/>
      <c r="AK280" s="380">
        <v>438182</v>
      </c>
      <c r="AL280" s="381">
        <v>438182</v>
      </c>
      <c r="AM280" s="379" t="str">
        <f>"INSERT INTO ListedPrice
(ProductId,ActiveDate,Channel,Price)
VALUES("&amp;C280&amp;",'2020-05-01','GT',"&amp;AL280&amp;")"</f>
        <v>INSERT INTO ListedPrice
(ProductId,ActiveDate,Channel,Price)
VALUES(179,'2020-05-01','GT',438182)</v>
      </c>
      <c r="AN280" s="292"/>
      <c r="AO280" s="292"/>
    </row>
    <row r="281" spans="1:41" s="287" customFormat="1">
      <c r="A281" s="338">
        <v>4200006860</v>
      </c>
      <c r="B281" s="301" t="s">
        <v>816</v>
      </c>
      <c r="C281" s="290">
        <f>VLOOKUP(B281,Sheet1!$B$17:$C$451,2,0)</f>
        <v>180</v>
      </c>
      <c r="D281" s="291" t="s">
        <v>1237</v>
      </c>
      <c r="E281" s="291"/>
      <c r="F281" s="302" t="s">
        <v>878</v>
      </c>
      <c r="G281" s="302" t="s">
        <v>953</v>
      </c>
      <c r="H281" s="291" t="s">
        <v>1354</v>
      </c>
      <c r="I281" s="291" t="s">
        <v>1458</v>
      </c>
      <c r="J281" s="301" t="s">
        <v>294</v>
      </c>
      <c r="K281" s="303" t="s">
        <v>516</v>
      </c>
      <c r="L281" s="293" t="str">
        <f t="shared" si="19"/>
        <v>INSERT INTO Product (CMMF,Model,BarCode,Capacity,[Type],Product,[Range],[ModelName],[Color],[Status]) VALUES
('4200006860','B16001-XV1','8936008700661','','FAN','AsiaVina',N'Quạt Bàn',N'Table fan',N'Xám','New')</v>
      </c>
      <c r="M281" s="320" t="s">
        <v>877</v>
      </c>
      <c r="N281" s="333" t="s">
        <v>683</v>
      </c>
      <c r="O281" s="292"/>
      <c r="P281" s="292"/>
      <c r="Q281" s="292"/>
      <c r="R281" s="292"/>
      <c r="S281" s="292"/>
      <c r="T281" s="292"/>
      <c r="U281" s="292"/>
      <c r="V281" s="292"/>
      <c r="W281" s="292"/>
      <c r="X281" s="292"/>
      <c r="Y281" s="292"/>
      <c r="Z281" s="292"/>
      <c r="AA281" s="348" t="s">
        <v>516</v>
      </c>
      <c r="AB281" s="292" t="str">
        <f>"INSERT INTO ProductByAccount
( ProductId,AccountId)VALUES
("&amp;C281&amp;",1035)"</f>
        <v>INSERT INTO ProductByAccount
( ProductId,AccountId)VALUES
(180,1035)</v>
      </c>
      <c r="AC281" s="348" t="s">
        <v>516</v>
      </c>
      <c r="AD281" s="292" t="str">
        <f>"INSERT INTO ProductByAccount
( ProductId,AccountId)VALUES
("&amp;C281&amp;",1036)"</f>
        <v>INSERT INTO ProductByAccount
( ProductId,AccountId)VALUES
(180,1036)</v>
      </c>
      <c r="AE281" s="292" t="s">
        <v>872</v>
      </c>
      <c r="AF281" s="292" t="str">
        <f>"INSERT INTO ProductByAccount
( ProductId,AccountId)VALUES
("&amp;C281&amp;",1037)"</f>
        <v>INSERT INTO ProductByAccount
( ProductId,AccountId)VALUES
(180,1037)</v>
      </c>
      <c r="AG281" s="292"/>
      <c r="AH281" s="292"/>
      <c r="AI281" s="292"/>
      <c r="AJ281" s="292"/>
      <c r="AK281" s="380">
        <v>438182</v>
      </c>
      <c r="AL281" s="381">
        <v>0</v>
      </c>
      <c r="AM281" s="379" t="str">
        <f>"INSERT INTO ListedPrice
(ProductId,ActiveDate,Channel,Price)
VALUES("&amp;C281&amp;",'2020-05-01','MT',"&amp;AK281&amp;")"</f>
        <v>INSERT INTO ListedPrice
(ProductId,ActiveDate,Channel,Price)
VALUES(180,'2020-05-01','MT',438182)</v>
      </c>
      <c r="AN281" s="292"/>
      <c r="AO281" s="292"/>
    </row>
    <row r="282" spans="1:41" s="285" customFormat="1">
      <c r="A282" s="336">
        <v>4200000250</v>
      </c>
      <c r="B282" s="294" t="s">
        <v>909</v>
      </c>
      <c r="C282" s="290">
        <f>VLOOKUP(B282,Sheet1!$B$17:$C$451,2,0)</f>
        <v>181</v>
      </c>
      <c r="D282" s="291" t="s">
        <v>1238</v>
      </c>
      <c r="E282" s="291"/>
      <c r="F282" s="295" t="s">
        <v>878</v>
      </c>
      <c r="G282" s="295" t="s">
        <v>953</v>
      </c>
      <c r="H282" s="291" t="s">
        <v>1354</v>
      </c>
      <c r="I282" s="291" t="s">
        <v>1344</v>
      </c>
      <c r="J282" s="294" t="s">
        <v>1452</v>
      </c>
      <c r="K282" s="297" t="s">
        <v>623</v>
      </c>
      <c r="L282" s="293" t="str">
        <f t="shared" si="19"/>
        <v>INSERT INTO Product (CMMF,Model,BarCode,Capacity,[Type],Product,[Range],[ModelName],[Color],[Status]) VALUES
('4200000250','B16017-EV0','8936008709787','','FAN','AsiaVina',N'Quạt Bàn',N'Update',N'Xanh Lam','Discontinued')</v>
      </c>
      <c r="M282" s="320" t="s">
        <v>877</v>
      </c>
      <c r="N282" s="333" t="s">
        <v>683</v>
      </c>
      <c r="O282" s="292"/>
      <c r="P282" s="292"/>
      <c r="Q282" s="292"/>
      <c r="R282" s="292"/>
      <c r="S282" s="292"/>
      <c r="T282" s="292"/>
      <c r="U282" s="292"/>
      <c r="V282" s="292"/>
      <c r="W282" s="292"/>
      <c r="X282" s="292"/>
      <c r="Y282" s="292"/>
      <c r="Z282" s="292"/>
      <c r="AA282" s="292"/>
      <c r="AB282" s="292"/>
      <c r="AC282" s="292"/>
      <c r="AD282" s="292"/>
      <c r="AE282" s="292"/>
      <c r="AF282" s="292"/>
      <c r="AG282" s="292"/>
      <c r="AH282" s="292"/>
      <c r="AI282" s="292"/>
      <c r="AJ282" s="292"/>
      <c r="AK282" s="380">
        <v>500000</v>
      </c>
      <c r="AL282" s="381">
        <v>0</v>
      </c>
      <c r="AM282" s="379" t="str">
        <f>"INSERT INTO ListedPrice
(ProductId,ActiveDate,Channel,Price)
VALUES("&amp;C282&amp;",'2020-05-01','MT',"&amp;AK282&amp;")"</f>
        <v>INSERT INTO ListedPrice
(ProductId,ActiveDate,Channel,Price)
VALUES(181,'2020-05-01','MT',500000)</v>
      </c>
      <c r="AN282" s="292"/>
      <c r="AO282" s="292"/>
    </row>
    <row r="283" spans="1:41" s="285" customFormat="1">
      <c r="A283" s="339">
        <v>4200000246</v>
      </c>
      <c r="B283" s="297" t="s">
        <v>910</v>
      </c>
      <c r="C283" s="290">
        <f>VLOOKUP(B283,Sheet1!$B$17:$C$451,2,0)</f>
        <v>182</v>
      </c>
      <c r="D283" s="291" t="s">
        <v>1239</v>
      </c>
      <c r="E283" s="291"/>
      <c r="F283" s="296" t="s">
        <v>878</v>
      </c>
      <c r="G283" s="295" t="s">
        <v>953</v>
      </c>
      <c r="H283" s="291" t="s">
        <v>1354</v>
      </c>
      <c r="I283" s="291" t="s">
        <v>1344</v>
      </c>
      <c r="J283" s="297" t="s">
        <v>1416</v>
      </c>
      <c r="K283" s="297" t="s">
        <v>623</v>
      </c>
      <c r="L283" s="293" t="str">
        <f t="shared" si="19"/>
        <v>INSERT INTO Product (CMMF,Model,BarCode,Capacity,[Type],Product,[Range],[ModelName],[Color],[Status]) VALUES
('4200000246','B16017-LV0','8936008709770','','FAN','AsiaVina',N'Quạt Bàn',N'Update',N'Xanh Lá','Discontinued')</v>
      </c>
      <c r="M283" s="293"/>
      <c r="N283" s="292" t="s">
        <v>683</v>
      </c>
      <c r="O283" s="292"/>
      <c r="P283" s="292"/>
      <c r="Q283" s="292"/>
      <c r="R283" s="292"/>
      <c r="S283" s="292"/>
      <c r="T283" s="292"/>
      <c r="U283" s="292"/>
      <c r="V283" s="292"/>
      <c r="W283" s="292"/>
      <c r="X283" s="292"/>
      <c r="Y283" s="292"/>
      <c r="Z283" s="292"/>
      <c r="AA283" s="292"/>
      <c r="AB283" s="292"/>
      <c r="AC283" s="292"/>
      <c r="AD283" s="292"/>
      <c r="AE283" s="292"/>
      <c r="AF283" s="292"/>
      <c r="AG283" s="292"/>
      <c r="AH283" s="292"/>
      <c r="AI283" s="292"/>
      <c r="AJ283" s="292"/>
      <c r="AK283" s="380">
        <v>535455</v>
      </c>
      <c r="AL283" s="381">
        <v>535455</v>
      </c>
      <c r="AM283" s="379" t="str">
        <f>"INSERT INTO ListedPrice
(ProductId,ActiveDate,Channel,Price)
VALUES("&amp;C283&amp;",'2020-05-01','GT',"&amp;AL283&amp;")"</f>
        <v>INSERT INTO ListedPrice
(ProductId,ActiveDate,Channel,Price)
VALUES(182,'2020-05-01','GT',535455)</v>
      </c>
      <c r="AN283" s="292"/>
      <c r="AO283" s="292"/>
    </row>
    <row r="284" spans="1:41" s="285" customFormat="1">
      <c r="A284" s="339">
        <v>4200000213</v>
      </c>
      <c r="B284" s="297" t="s">
        <v>911</v>
      </c>
      <c r="C284" s="290">
        <f>VLOOKUP(B284,Sheet1!$B$17:$C$451,2,0)</f>
        <v>183</v>
      </c>
      <c r="D284" s="291" t="s">
        <v>1240</v>
      </c>
      <c r="E284" s="291"/>
      <c r="F284" s="296" t="s">
        <v>878</v>
      </c>
      <c r="G284" s="295" t="s">
        <v>953</v>
      </c>
      <c r="H284" s="291" t="s">
        <v>1354</v>
      </c>
      <c r="I284" s="291" t="s">
        <v>1344</v>
      </c>
      <c r="J284" s="297" t="s">
        <v>294</v>
      </c>
      <c r="K284" s="297" t="s">
        <v>623</v>
      </c>
      <c r="L284" s="293" t="str">
        <f t="shared" si="19"/>
        <v>INSERT INTO Product (CMMF,Model,BarCode,Capacity,[Type],Product,[Range],[ModelName],[Color],[Status]) VALUES
('4200000213','B16017-XV0','8936008709763','','FAN','AsiaVina',N'Quạt Bàn',N'Update',N'Xám','Discontinued')</v>
      </c>
      <c r="M284" s="320" t="s">
        <v>877</v>
      </c>
      <c r="N284" s="333" t="s">
        <v>683</v>
      </c>
      <c r="O284" s="292"/>
      <c r="P284" s="292"/>
      <c r="Q284" s="292"/>
      <c r="R284" s="292"/>
      <c r="S284" s="292"/>
      <c r="T284" s="292"/>
      <c r="U284" s="292"/>
      <c r="V284" s="292"/>
      <c r="W284" s="292"/>
      <c r="X284" s="292"/>
      <c r="Y284" s="292"/>
      <c r="Z284" s="292"/>
      <c r="AA284" s="292"/>
      <c r="AB284" s="292"/>
      <c r="AC284" s="292"/>
      <c r="AD284" s="292"/>
      <c r="AE284" s="292"/>
      <c r="AF284" s="292"/>
      <c r="AG284" s="292"/>
      <c r="AH284" s="292"/>
      <c r="AI284" s="292"/>
      <c r="AJ284" s="292"/>
      <c r="AK284" s="380">
        <v>535455</v>
      </c>
      <c r="AL284" s="381">
        <v>0</v>
      </c>
      <c r="AM284" s="379" t="str">
        <f>"INSERT INTO ListedPrice
(ProductId,ActiveDate,Channel,Price)
VALUES("&amp;C284&amp;",'2020-05-01','MT',"&amp;AK284&amp;")"</f>
        <v>INSERT INTO ListedPrice
(ProductId,ActiveDate,Channel,Price)
VALUES(183,'2020-05-01','MT',535455)</v>
      </c>
      <c r="AN284" s="292"/>
      <c r="AO284" s="292"/>
    </row>
    <row r="285" spans="1:41" s="285" customFormat="1">
      <c r="A285" s="336">
        <v>4200000217</v>
      </c>
      <c r="B285" s="294" t="s">
        <v>912</v>
      </c>
      <c r="C285" s="290">
        <f>VLOOKUP(B285,Sheet1!$B$17:$C$451,2,0)</f>
        <v>184</v>
      </c>
      <c r="D285" s="291" t="s">
        <v>1241</v>
      </c>
      <c r="E285" s="291"/>
      <c r="F285" s="295" t="s">
        <v>878</v>
      </c>
      <c r="G285" s="295" t="s">
        <v>953</v>
      </c>
      <c r="H285" s="291" t="s">
        <v>1354</v>
      </c>
      <c r="I285" s="291"/>
      <c r="J285" s="294"/>
      <c r="K285" s="297" t="s">
        <v>623</v>
      </c>
      <c r="L285" s="293" t="str">
        <f t="shared" si="19"/>
        <v>INSERT INTO Product (CMMF,Model,BarCode,Capacity,[Type],Product,[Range],[ModelName],[Color],[Status]) VALUES
('4200000217','B18001-XV0','8936008709886','','FAN','AsiaVina',N'Quạt Bàn',N'',N'','Discontinued')</v>
      </c>
      <c r="M285" s="293"/>
      <c r="N285" s="292" t="s">
        <v>683</v>
      </c>
      <c r="O285" s="292"/>
      <c r="P285" s="292"/>
      <c r="Q285" s="292"/>
      <c r="R285" s="292"/>
      <c r="S285" s="292"/>
      <c r="T285" s="292"/>
      <c r="U285" s="292"/>
      <c r="V285" s="292"/>
      <c r="W285" s="292"/>
      <c r="X285" s="292"/>
      <c r="Y285" s="292"/>
      <c r="Z285" s="292"/>
      <c r="AA285" s="292"/>
      <c r="AB285" s="292"/>
      <c r="AC285" s="292"/>
      <c r="AD285" s="292"/>
      <c r="AE285" s="292"/>
      <c r="AF285" s="292"/>
      <c r="AG285" s="292"/>
      <c r="AH285" s="292"/>
      <c r="AI285" s="292"/>
      <c r="AJ285" s="292"/>
      <c r="AK285" s="380">
        <v>770000</v>
      </c>
      <c r="AL285" s="381">
        <v>770000</v>
      </c>
      <c r="AM285" s="379" t="str">
        <f>"INSERT INTO ListedPrice
(ProductId,ActiveDate,Channel,Price)
VALUES("&amp;C285&amp;",'2020-05-01','GT',"&amp;AL285&amp;")"</f>
        <v>INSERT INTO ListedPrice
(ProductId,ActiveDate,Channel,Price)
VALUES(184,'2020-05-01','GT',770000)</v>
      </c>
      <c r="AN285" s="292"/>
      <c r="AO285" s="292"/>
    </row>
    <row r="286" spans="1:41">
      <c r="A286" s="335">
        <v>4200000257</v>
      </c>
      <c r="B286" s="290" t="s">
        <v>866</v>
      </c>
      <c r="C286" s="290">
        <f>VLOOKUP(B286,Sheet1!$B$17:$C$451,2,0)</f>
        <v>185</v>
      </c>
      <c r="D286" s="291" t="s">
        <v>1201</v>
      </c>
      <c r="E286" s="291"/>
      <c r="F286" s="291" t="s">
        <v>878</v>
      </c>
      <c r="G286" s="291" t="s">
        <v>953</v>
      </c>
      <c r="H286" s="291" t="s">
        <v>1353</v>
      </c>
      <c r="I286" s="291"/>
      <c r="J286" s="291" t="s">
        <v>1390</v>
      </c>
      <c r="K286" s="355" t="s">
        <v>1344</v>
      </c>
      <c r="L286" s="293" t="str">
        <f t="shared" si="19"/>
        <v>INSERT INTO Product (CMMF,Model,BarCode,Capacity,[Type],Product,[Range],[ModelName],[Color],[Status]) VALUES
('4200000257','A16001-LS1','8936008700050','','FAN','AsiaVina',N'Quạt Lửng',N'',N'Lá Mạ','Update')</v>
      </c>
      <c r="M286" s="333" t="s">
        <v>877</v>
      </c>
      <c r="N286" s="333" t="s">
        <v>683</v>
      </c>
      <c r="O286" s="292"/>
      <c r="P286" s="292"/>
      <c r="Q286" s="292"/>
      <c r="R286" s="292"/>
      <c r="S286" s="292"/>
      <c r="T286" s="292"/>
      <c r="U286" s="292"/>
      <c r="V286" s="292"/>
      <c r="W286" s="292"/>
      <c r="X286" s="292"/>
      <c r="Y286" s="292"/>
      <c r="Z286" s="292"/>
      <c r="AA286" s="292"/>
      <c r="AB286" s="292"/>
      <c r="AC286" s="292"/>
      <c r="AD286" s="292"/>
      <c r="AE286" s="292"/>
      <c r="AF286" s="292"/>
      <c r="AG286" s="292"/>
      <c r="AH286" s="292"/>
      <c r="AI286" s="292"/>
      <c r="AJ286" s="292"/>
      <c r="AK286" s="329"/>
      <c r="AL286" s="381">
        <v>0</v>
      </c>
      <c r="AM286" s="379" t="str">
        <f t="shared" ref="AM286:AM292" si="20">"INSERT INTO ListedPrice
(ProductId,ActiveDate,Channel,Price)
VALUES("&amp;C286&amp;",'2020-05-01','MT',"&amp;AK286&amp;")"</f>
        <v>INSERT INTO ListedPrice
(ProductId,ActiveDate,Channel,Price)
VALUES(185,'2020-05-01','MT',)</v>
      </c>
      <c r="AN286" s="292"/>
      <c r="AO286" s="292"/>
    </row>
    <row r="287" spans="1:41">
      <c r="A287" s="335">
        <v>4200000258</v>
      </c>
      <c r="B287" s="290" t="s">
        <v>867</v>
      </c>
      <c r="C287" s="290">
        <f>VLOOKUP(B287,Sheet1!$B$17:$C$451,2,0)</f>
        <v>186</v>
      </c>
      <c r="D287" s="291" t="s">
        <v>1202</v>
      </c>
      <c r="E287" s="291"/>
      <c r="F287" s="291" t="s">
        <v>878</v>
      </c>
      <c r="G287" s="291" t="s">
        <v>953</v>
      </c>
      <c r="H287" s="291" t="s">
        <v>1353</v>
      </c>
      <c r="I287" s="291"/>
      <c r="J287" s="291" t="s">
        <v>404</v>
      </c>
      <c r="K287" s="355" t="s">
        <v>1344</v>
      </c>
      <c r="L287" s="293" t="str">
        <f t="shared" si="19"/>
        <v>INSERT INTO Product (CMMF,Model,BarCode,Capacity,[Type],Product,[Range],[ModelName],[Color],[Status]) VALUES
('4200000258','A16001-OS1','8936008700081','','FAN','AsiaVina',N'Quạt Lửng',N'',N'Đỏ','Update')</v>
      </c>
      <c r="M287" s="333" t="s">
        <v>877</v>
      </c>
      <c r="N287" s="333" t="s">
        <v>683</v>
      </c>
      <c r="O287" s="292"/>
      <c r="P287" s="292"/>
      <c r="Q287" s="292"/>
      <c r="R287" s="292"/>
      <c r="S287" s="292"/>
      <c r="T287" s="292"/>
      <c r="U287" s="292"/>
      <c r="V287" s="292"/>
      <c r="W287" s="292"/>
      <c r="X287" s="292"/>
      <c r="Y287" s="292"/>
      <c r="Z287" s="292"/>
      <c r="AA287" s="292"/>
      <c r="AB287" s="292"/>
      <c r="AC287" s="292"/>
      <c r="AD287" s="292"/>
      <c r="AE287" s="292"/>
      <c r="AF287" s="292"/>
      <c r="AG287" s="292"/>
      <c r="AH287" s="292"/>
      <c r="AI287" s="292"/>
      <c r="AJ287" s="292"/>
      <c r="AK287" s="329"/>
      <c r="AL287" s="381">
        <v>0</v>
      </c>
      <c r="AM287" s="379" t="str">
        <f t="shared" si="20"/>
        <v>INSERT INTO ListedPrice
(ProductId,ActiveDate,Channel,Price)
VALUES(186,'2020-05-01','MT',)</v>
      </c>
      <c r="AN287" s="292"/>
      <c r="AO287" s="292"/>
    </row>
    <row r="288" spans="1:41" s="285" customFormat="1">
      <c r="A288" s="336">
        <v>4200000289</v>
      </c>
      <c r="B288" s="294" t="s">
        <v>879</v>
      </c>
      <c r="C288" s="290">
        <f>VLOOKUP(B288,Sheet1!$B$17:$C$451,2,0)</f>
        <v>187</v>
      </c>
      <c r="D288" s="291" t="s">
        <v>1203</v>
      </c>
      <c r="E288" s="291"/>
      <c r="F288" s="295" t="s">
        <v>878</v>
      </c>
      <c r="G288" s="295" t="s">
        <v>953</v>
      </c>
      <c r="H288" s="291" t="s">
        <v>1353</v>
      </c>
      <c r="I288" s="291"/>
      <c r="J288" s="295" t="s">
        <v>294</v>
      </c>
      <c r="K288" s="297" t="s">
        <v>623</v>
      </c>
      <c r="L288" s="293" t="str">
        <f t="shared" si="19"/>
        <v>INSERT INTO Product (CMMF,Model,BarCode,Capacity,[Type],Product,[Range],[ModelName],[Color],[Status]) VALUES
('4200000289','A16001-XV1','8936008707431','','FAN','AsiaVina',N'Quạt Lửng',N'',N'Xám','Discontinued')</v>
      </c>
      <c r="M288" s="292" t="s">
        <v>877</v>
      </c>
      <c r="N288" s="292"/>
      <c r="O288" s="292"/>
      <c r="P288" s="292"/>
      <c r="Q288" s="292"/>
      <c r="R288" s="292"/>
      <c r="S288" s="292"/>
      <c r="T288" s="292"/>
      <c r="U288" s="292"/>
      <c r="V288" s="292"/>
      <c r="W288" s="292"/>
      <c r="X288" s="292"/>
      <c r="Y288" s="292"/>
      <c r="Z288" s="292"/>
      <c r="AA288" s="292"/>
      <c r="AB288" s="292"/>
      <c r="AC288" s="292"/>
      <c r="AD288" s="292"/>
      <c r="AE288" s="292"/>
      <c r="AF288" s="292"/>
      <c r="AG288" s="292"/>
      <c r="AH288" s="292"/>
      <c r="AI288" s="292"/>
      <c r="AJ288" s="292"/>
      <c r="AK288" s="380">
        <v>399091</v>
      </c>
      <c r="AL288" s="381">
        <v>0</v>
      </c>
      <c r="AM288" s="379" t="str">
        <f t="shared" si="20"/>
        <v>INSERT INTO ListedPrice
(ProductId,ActiveDate,Channel,Price)
VALUES(187,'2020-05-01','MT',399091)</v>
      </c>
      <c r="AN288" s="292"/>
      <c r="AO288" s="292"/>
    </row>
    <row r="289" spans="1:41" s="285" customFormat="1">
      <c r="A289" s="339">
        <v>4200000013</v>
      </c>
      <c r="B289" s="297" t="s">
        <v>880</v>
      </c>
      <c r="C289" s="290">
        <f>VLOOKUP(B289,Sheet1!$B$17:$C$451,2,0)</f>
        <v>188</v>
      </c>
      <c r="D289" s="291" t="s">
        <v>1204</v>
      </c>
      <c r="E289" s="291"/>
      <c r="F289" s="296" t="s">
        <v>878</v>
      </c>
      <c r="G289" s="295" t="s">
        <v>953</v>
      </c>
      <c r="H289" s="291" t="s">
        <v>1353</v>
      </c>
      <c r="I289" s="291"/>
      <c r="J289" s="297" t="s">
        <v>1378</v>
      </c>
      <c r="K289" s="297" t="s">
        <v>623</v>
      </c>
      <c r="L289" s="293" t="str">
        <f t="shared" si="19"/>
        <v>INSERT INTO Product (CMMF,Model,BarCode,Capacity,[Type],Product,[Range],[ModelName],[Color],[Status]) VALUES
('4200000013','A16007-EV0','8936008707547','','FAN','AsiaVina',N'Quạt Lửng',N'',N'Thiên Thanh','Discontinued')</v>
      </c>
      <c r="M289" s="292" t="s">
        <v>877</v>
      </c>
      <c r="N289" s="292"/>
      <c r="O289" s="292"/>
      <c r="P289" s="292"/>
      <c r="Q289" s="292"/>
      <c r="R289" s="292"/>
      <c r="S289" s="292"/>
      <c r="T289" s="292"/>
      <c r="U289" s="292"/>
      <c r="V289" s="292"/>
      <c r="W289" s="292"/>
      <c r="X289" s="292"/>
      <c r="Y289" s="292"/>
      <c r="Z289" s="292"/>
      <c r="AA289" s="292"/>
      <c r="AB289" s="292"/>
      <c r="AC289" s="292"/>
      <c r="AD289" s="292"/>
      <c r="AE289" s="292"/>
      <c r="AF289" s="292"/>
      <c r="AG289" s="292"/>
      <c r="AH289" s="292"/>
      <c r="AI289" s="292"/>
      <c r="AJ289" s="292"/>
      <c r="AK289" s="380">
        <v>437273</v>
      </c>
      <c r="AL289" s="381">
        <v>0</v>
      </c>
      <c r="AM289" s="379" t="str">
        <f t="shared" si="20"/>
        <v>INSERT INTO ListedPrice
(ProductId,ActiveDate,Channel,Price)
VALUES(188,'2020-05-01','MT',437273)</v>
      </c>
      <c r="AN289" s="292"/>
      <c r="AO289" s="292"/>
    </row>
    <row r="290" spans="1:41" s="285" customFormat="1">
      <c r="A290" s="339">
        <v>4200000014</v>
      </c>
      <c r="B290" s="297" t="s">
        <v>881</v>
      </c>
      <c r="C290" s="290">
        <f>VLOOKUP(B290,Sheet1!$B$17:$C$451,2,0)</f>
        <v>189</v>
      </c>
      <c r="D290" s="291" t="s">
        <v>1205</v>
      </c>
      <c r="E290" s="291"/>
      <c r="F290" s="296" t="s">
        <v>878</v>
      </c>
      <c r="G290" s="295" t="s">
        <v>953</v>
      </c>
      <c r="H290" s="291" t="s">
        <v>1353</v>
      </c>
      <c r="I290" s="291"/>
      <c r="J290" s="297" t="s">
        <v>1390</v>
      </c>
      <c r="K290" s="297" t="s">
        <v>623</v>
      </c>
      <c r="L290" s="293" t="str">
        <f t="shared" si="19"/>
        <v>INSERT INTO Product (CMMF,Model,BarCode,Capacity,[Type],Product,[Range],[ModelName],[Color],[Status]) VALUES
('4200000014','A16007-LV0','8936008707554','','FAN','AsiaVina',N'Quạt Lửng',N'',N'Lá Mạ','Discontinued')</v>
      </c>
      <c r="M290" s="333" t="s">
        <v>877</v>
      </c>
      <c r="N290" s="333" t="s">
        <v>683</v>
      </c>
      <c r="O290" s="292"/>
      <c r="P290" s="292"/>
      <c r="Q290" s="292"/>
      <c r="R290" s="292"/>
      <c r="S290" s="292"/>
      <c r="T290" s="292"/>
      <c r="U290" s="292"/>
      <c r="V290" s="292"/>
      <c r="W290" s="292"/>
      <c r="X290" s="292"/>
      <c r="Y290" s="292"/>
      <c r="Z290" s="292"/>
      <c r="AA290" s="292"/>
      <c r="AB290" s="292"/>
      <c r="AC290" s="292"/>
      <c r="AD290" s="292"/>
      <c r="AE290" s="292"/>
      <c r="AF290" s="292"/>
      <c r="AG290" s="292"/>
      <c r="AH290" s="292"/>
      <c r="AI290" s="292"/>
      <c r="AJ290" s="292"/>
      <c r="AK290" s="380">
        <v>437273</v>
      </c>
      <c r="AL290" s="381">
        <v>0</v>
      </c>
      <c r="AM290" s="379" t="str">
        <f t="shared" si="20"/>
        <v>INSERT INTO ListedPrice
(ProductId,ActiveDate,Channel,Price)
VALUES(189,'2020-05-01','MT',437273)</v>
      </c>
      <c r="AN290" s="292"/>
      <c r="AO290" s="292"/>
    </row>
    <row r="291" spans="1:41" s="285" customFormat="1">
      <c r="A291" s="336">
        <v>4200000016</v>
      </c>
      <c r="B291" s="294" t="s">
        <v>883</v>
      </c>
      <c r="C291" s="290">
        <f>VLOOKUP(B291,Sheet1!$B$17:$C$451,2,0)</f>
        <v>190</v>
      </c>
      <c r="D291" s="291" t="s">
        <v>1206</v>
      </c>
      <c r="E291" s="291"/>
      <c r="F291" s="295" t="s">
        <v>878</v>
      </c>
      <c r="G291" s="295" t="s">
        <v>953</v>
      </c>
      <c r="H291" s="291" t="s">
        <v>1353</v>
      </c>
      <c r="I291" s="291"/>
      <c r="J291" s="294"/>
      <c r="K291" s="297" t="s">
        <v>623</v>
      </c>
      <c r="L291" s="293" t="str">
        <f t="shared" si="19"/>
        <v>INSERT INTO Product (CMMF,Model,BarCode,Capacity,[Type],Product,[Range],[ModelName],[Color],[Status]) VALUES
('4200000016','A16007-XV0','8936008707448','','FAN','AsiaVina',N'Quạt Lửng',N'',N'','Discontinued')</v>
      </c>
      <c r="M291" s="333" t="s">
        <v>877</v>
      </c>
      <c r="N291" s="333" t="s">
        <v>683</v>
      </c>
      <c r="O291" s="292"/>
      <c r="P291" s="292"/>
      <c r="Q291" s="292"/>
      <c r="R291" s="292"/>
      <c r="S291" s="292"/>
      <c r="T291" s="292"/>
      <c r="U291" s="292"/>
      <c r="V291" s="292"/>
      <c r="W291" s="292"/>
      <c r="X291" s="292"/>
      <c r="Y291" s="292"/>
      <c r="Z291" s="292"/>
      <c r="AA291" s="292"/>
      <c r="AB291" s="292"/>
      <c r="AC291" s="292"/>
      <c r="AD291" s="292"/>
      <c r="AE291" s="292"/>
      <c r="AF291" s="292"/>
      <c r="AG291" s="292"/>
      <c r="AH291" s="292"/>
      <c r="AI291" s="292"/>
      <c r="AJ291" s="292"/>
      <c r="AK291" s="380">
        <v>437273</v>
      </c>
      <c r="AL291" s="381">
        <v>0</v>
      </c>
      <c r="AM291" s="379" t="str">
        <f t="shared" si="20"/>
        <v>INSERT INTO ListedPrice
(ProductId,ActiveDate,Channel,Price)
VALUES(190,'2020-05-01','MT',437273)</v>
      </c>
      <c r="AN291" s="292"/>
      <c r="AO291" s="292"/>
    </row>
    <row r="292" spans="1:41">
      <c r="A292" s="335">
        <v>4200006547</v>
      </c>
      <c r="B292" s="314" t="s">
        <v>884</v>
      </c>
      <c r="C292" s="290">
        <f>VLOOKUP(B292,Sheet1!$B$17:$C$451,2,0)</f>
        <v>191</v>
      </c>
      <c r="D292" s="291" t="s">
        <v>1207</v>
      </c>
      <c r="E292" s="291"/>
      <c r="F292" s="291" t="s">
        <v>418</v>
      </c>
      <c r="G292" s="291" t="s">
        <v>953</v>
      </c>
      <c r="H292" s="291" t="s">
        <v>1353</v>
      </c>
      <c r="I292" s="291" t="s">
        <v>670</v>
      </c>
      <c r="J292" s="299" t="s">
        <v>292</v>
      </c>
      <c r="K292" s="355" t="s">
        <v>1344</v>
      </c>
      <c r="L292" s="293" t="str">
        <f t="shared" si="19"/>
        <v>INSERT INTO Product (CMMF,Model,BarCode,Capacity,[Type],Product,[Range],[ModelName],[Color],[Status]) VALUES
('4200006547','A16008-DS0','8936008709091','','Fan','AsiaVina',N'Quạt Lửng',N'Heavy duty',N'Đen','Update')</v>
      </c>
      <c r="M292" s="333" t="s">
        <v>877</v>
      </c>
      <c r="N292" s="333" t="s">
        <v>683</v>
      </c>
      <c r="O292" s="292"/>
      <c r="P292" s="292"/>
      <c r="Q292" s="292"/>
      <c r="R292" s="292"/>
      <c r="S292" s="292"/>
      <c r="T292" s="292"/>
      <c r="U292" s="292"/>
      <c r="V292" s="292"/>
      <c r="W292" s="292"/>
      <c r="X292" s="292"/>
      <c r="Y292" s="292"/>
      <c r="Z292" s="292"/>
      <c r="AA292" s="292"/>
      <c r="AB292" s="292"/>
      <c r="AC292" s="292"/>
      <c r="AD292" s="292"/>
      <c r="AE292" s="292"/>
      <c r="AF292" s="292"/>
      <c r="AG292" s="292"/>
      <c r="AH292" s="292"/>
      <c r="AI292" s="292"/>
      <c r="AJ292" s="292"/>
      <c r="AK292" s="329"/>
      <c r="AL292" s="381">
        <v>0</v>
      </c>
      <c r="AM292" s="379" t="str">
        <f t="shared" si="20"/>
        <v>INSERT INTO ListedPrice
(ProductId,ActiveDate,Channel,Price)
VALUES(191,'2020-05-01','MT',)</v>
      </c>
      <c r="AN292" s="292"/>
      <c r="AO292" s="292"/>
    </row>
    <row r="293" spans="1:41">
      <c r="A293" s="341">
        <v>4200000017</v>
      </c>
      <c r="B293" s="293" t="s">
        <v>774</v>
      </c>
      <c r="C293" s="290">
        <f>VLOOKUP(B293,Sheet1!$B$17:$C$451,2,0)</f>
        <v>192</v>
      </c>
      <c r="D293" s="291" t="s">
        <v>1207</v>
      </c>
      <c r="E293" s="291"/>
      <c r="F293" s="292" t="s">
        <v>878</v>
      </c>
      <c r="G293" s="291" t="s">
        <v>953</v>
      </c>
      <c r="H293" s="291" t="s">
        <v>1353</v>
      </c>
      <c r="I293" s="291" t="s">
        <v>670</v>
      </c>
      <c r="J293" s="299" t="s">
        <v>292</v>
      </c>
      <c r="K293" s="293" t="s">
        <v>872</v>
      </c>
      <c r="L293" s="293" t="str">
        <f t="shared" si="19"/>
        <v>INSERT INTO Product (CMMF,Model,BarCode,Capacity,[Type],Product,[Range],[ModelName],[Color],[Status]) VALUES
('4200000017','A16008-DV0','8936008709091','','FAN','AsiaVina',N'Quạt Lửng',N'Heavy duty',N'Đen','On going')</v>
      </c>
      <c r="M293" s="293"/>
      <c r="N293" s="292" t="s">
        <v>683</v>
      </c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  <c r="AG293" s="292"/>
      <c r="AH293" s="292"/>
      <c r="AI293" s="292"/>
      <c r="AJ293" s="292"/>
      <c r="AK293" s="329"/>
      <c r="AL293" s="381">
        <v>360000</v>
      </c>
      <c r="AM293" s="379" t="str">
        <f>"INSERT INTO ListedPrice
(ProductId,ActiveDate,Channel,Price)
VALUES("&amp;C293&amp;",'2020-05-01','GT',"&amp;AL293&amp;")"</f>
        <v>INSERT INTO ListedPrice
(ProductId,ActiveDate,Channel,Price)
VALUES(192,'2020-05-01','GT',360000)</v>
      </c>
      <c r="AN293" s="292"/>
      <c r="AO293" s="292"/>
    </row>
    <row r="294" spans="1:41" s="288" customFormat="1">
      <c r="A294" s="343">
        <v>4200006982</v>
      </c>
      <c r="B294" s="315" t="s">
        <v>798</v>
      </c>
      <c r="C294" s="290">
        <f>VLOOKUP(B294,Sheet1!$B$17:$C$451,2,0)</f>
        <v>193</v>
      </c>
      <c r="D294" s="291" t="s">
        <v>1207</v>
      </c>
      <c r="E294" s="291"/>
      <c r="F294" s="316" t="s">
        <v>878</v>
      </c>
      <c r="G294" s="317" t="s">
        <v>953</v>
      </c>
      <c r="H294" s="291" t="s">
        <v>1353</v>
      </c>
      <c r="I294" s="291" t="s">
        <v>670</v>
      </c>
      <c r="J294" s="299" t="s">
        <v>292</v>
      </c>
      <c r="K294" s="318" t="s">
        <v>885</v>
      </c>
      <c r="L294" s="293" t="str">
        <f t="shared" si="19"/>
        <v>INSERT INTO Product (CMMF,Model,BarCode,Capacity,[Type],Product,[Range],[ModelName],[Color],[Status]) VALUES
('4200006982','A16008-DZ1','8936008709091','','FAN','AsiaVina',N'Quạt Lửng',N'Heavy duty',N'Đen','B2B items')</v>
      </c>
      <c r="M294" s="293"/>
      <c r="N294" s="292" t="s">
        <v>683</v>
      </c>
      <c r="O294" s="292"/>
      <c r="P294" s="292"/>
      <c r="Q294" s="292"/>
      <c r="R294" s="292"/>
      <c r="S294" s="292"/>
      <c r="T294" s="292"/>
      <c r="U294" s="292"/>
      <c r="V294" s="292"/>
      <c r="W294" s="292"/>
      <c r="X294" s="292"/>
      <c r="Y294" s="292"/>
      <c r="Z294" s="292"/>
      <c r="AA294" s="292"/>
      <c r="AB294" s="292"/>
      <c r="AC294" s="292"/>
      <c r="AD294" s="292"/>
      <c r="AE294" s="292"/>
      <c r="AF294" s="292"/>
      <c r="AG294" s="292"/>
      <c r="AH294" s="292"/>
      <c r="AI294" s="292"/>
      <c r="AJ294" s="292"/>
      <c r="AK294" s="329"/>
      <c r="AL294" s="381">
        <v>0</v>
      </c>
      <c r="AM294" s="379" t="str">
        <f t="shared" ref="AM294:AM299" si="21">"INSERT INTO ListedPrice
(ProductId,ActiveDate,Channel,Price)
VALUES("&amp;C294&amp;",'2020-05-01','MT',"&amp;AK294&amp;")"</f>
        <v>INSERT INTO ListedPrice
(ProductId,ActiveDate,Channel,Price)
VALUES(193,'2020-05-01','MT',)</v>
      </c>
      <c r="AN294" s="292"/>
      <c r="AO294" s="292"/>
    </row>
    <row r="295" spans="1:41" s="288" customFormat="1">
      <c r="A295" s="343">
        <v>4200007017</v>
      </c>
      <c r="B295" s="315" t="s">
        <v>799</v>
      </c>
      <c r="C295" s="290">
        <f>VLOOKUP(B295,Sheet1!$B$17:$C$451,2,0)</f>
        <v>194</v>
      </c>
      <c r="D295" s="291"/>
      <c r="E295" s="291"/>
      <c r="F295" s="316" t="s">
        <v>878</v>
      </c>
      <c r="G295" s="317" t="s">
        <v>953</v>
      </c>
      <c r="H295" s="291" t="s">
        <v>1353</v>
      </c>
      <c r="I295" s="291" t="s">
        <v>670</v>
      </c>
      <c r="J295" s="299" t="s">
        <v>292</v>
      </c>
      <c r="K295" s="318" t="s">
        <v>885</v>
      </c>
      <c r="L295" s="293" t="str">
        <f t="shared" ref="L295:L358" si="22">"INSERT INTO Product (CMMF,Model,BarCode,Capacity,[Type],Product,[Range],[ModelName],[Color],[Status]) VALUES
('"&amp;A295&amp;"','"&amp;B295&amp;"','"&amp;D295&amp;"','"&amp;E295&amp;"','"&amp;F295&amp;"','"&amp;G295&amp;"',N'"&amp;H295&amp;"',N'"&amp;I295&amp;"',N'"&amp;J295&amp;"','"&amp;K295&amp;"')"</f>
        <v>INSERT INTO Product (CMMF,Model,BarCode,Capacity,[Type],Product,[Range],[ModelName],[Color],[Status]) VALUES
('4200007017','A16008-DZ2','','','FAN','AsiaVina',N'Quạt Lửng',N'Heavy duty',N'Đen','B2B items')</v>
      </c>
      <c r="M295" s="293"/>
      <c r="N295" s="292" t="s">
        <v>683</v>
      </c>
      <c r="O295" s="292"/>
      <c r="P295" s="292"/>
      <c r="Q295" s="292"/>
      <c r="R295" s="292"/>
      <c r="S295" s="292"/>
      <c r="T295" s="292"/>
      <c r="U295" s="292"/>
      <c r="V295" s="292"/>
      <c r="W295" s="292"/>
      <c r="X295" s="292"/>
      <c r="Y295" s="292"/>
      <c r="Z295" s="292"/>
      <c r="AA295" s="292"/>
      <c r="AB295" s="292"/>
      <c r="AC295" s="292"/>
      <c r="AD295" s="292"/>
      <c r="AE295" s="292"/>
      <c r="AF295" s="292"/>
      <c r="AG295" s="292"/>
      <c r="AH295" s="292"/>
      <c r="AI295" s="292"/>
      <c r="AJ295" s="292"/>
      <c r="AK295" s="329"/>
      <c r="AL295" s="381">
        <v>0</v>
      </c>
      <c r="AM295" s="379" t="str">
        <f t="shared" si="21"/>
        <v>INSERT INTO ListedPrice
(ProductId,ActiveDate,Channel,Price)
VALUES(194,'2020-05-01','MT',)</v>
      </c>
      <c r="AN295" s="292"/>
      <c r="AO295" s="292"/>
    </row>
    <row r="296" spans="1:41" s="288" customFormat="1">
      <c r="A296" s="352">
        <v>4200000182</v>
      </c>
      <c r="B296" s="315" t="s">
        <v>1453</v>
      </c>
      <c r="C296" s="290">
        <f>VLOOKUP(B296,Sheet1!$B$17:$C$451,2,0)</f>
        <v>195</v>
      </c>
      <c r="D296" s="291" t="s">
        <v>1207</v>
      </c>
      <c r="E296" s="291"/>
      <c r="F296" s="316" t="s">
        <v>878</v>
      </c>
      <c r="G296" s="317" t="s">
        <v>953</v>
      </c>
      <c r="H296" s="291" t="s">
        <v>1353</v>
      </c>
      <c r="I296" s="291" t="s">
        <v>670</v>
      </c>
      <c r="J296" s="299" t="s">
        <v>292</v>
      </c>
      <c r="K296" s="355" t="s">
        <v>1344</v>
      </c>
      <c r="L296" s="293" t="str">
        <f t="shared" si="22"/>
        <v>INSERT INTO Product (CMMF,Model,BarCode,Capacity,[Type],Product,[Range],[ModelName],[Color],[Status]) VALUES
('4200000182','A16008-DE0','8936008709091','','FAN','AsiaVina',N'Quạt Lửng',N'Heavy duty',N'Đen','Update')</v>
      </c>
      <c r="M296" s="333" t="s">
        <v>877</v>
      </c>
      <c r="N296" s="333" t="s">
        <v>683</v>
      </c>
      <c r="O296" s="292"/>
      <c r="P296" s="292"/>
      <c r="Q296" s="292"/>
      <c r="R296" s="292"/>
      <c r="S296" s="292"/>
      <c r="T296" s="292"/>
      <c r="U296" s="292"/>
      <c r="V296" s="292"/>
      <c r="W296" s="292"/>
      <c r="X296" s="292"/>
      <c r="Y296" s="292"/>
      <c r="Z296" s="292"/>
      <c r="AA296" s="292"/>
      <c r="AB296" s="292"/>
      <c r="AC296" s="292"/>
      <c r="AD296" s="292"/>
      <c r="AE296" s="292"/>
      <c r="AF296" s="292"/>
      <c r="AG296" s="292"/>
      <c r="AH296" s="292"/>
      <c r="AI296" s="292"/>
      <c r="AJ296" s="292"/>
      <c r="AK296" s="329"/>
      <c r="AL296" s="381"/>
      <c r="AM296" s="379" t="str">
        <f t="shared" si="21"/>
        <v>INSERT INTO ListedPrice
(ProductId,ActiveDate,Channel,Price)
VALUES(195,'2020-05-01','MT',)</v>
      </c>
      <c r="AN296" s="292"/>
      <c r="AO296" s="292"/>
    </row>
    <row r="297" spans="1:41" s="288" customFormat="1">
      <c r="A297" s="352">
        <v>4200000183</v>
      </c>
      <c r="B297" s="315" t="s">
        <v>1454</v>
      </c>
      <c r="C297" s="290">
        <f>VLOOKUP(B297,Sheet1!$B$17:$C$451,2,0)</f>
        <v>196</v>
      </c>
      <c r="D297" s="291" t="s">
        <v>1207</v>
      </c>
      <c r="E297" s="291"/>
      <c r="F297" s="316" t="s">
        <v>878</v>
      </c>
      <c r="G297" s="317" t="s">
        <v>953</v>
      </c>
      <c r="H297" s="291" t="s">
        <v>1353</v>
      </c>
      <c r="I297" s="291" t="s">
        <v>670</v>
      </c>
      <c r="J297" s="299" t="s">
        <v>292</v>
      </c>
      <c r="K297" s="355" t="s">
        <v>1344</v>
      </c>
      <c r="L297" s="293" t="str">
        <f t="shared" si="22"/>
        <v>INSERT INTO Product (CMMF,Model,BarCode,Capacity,[Type],Product,[Range],[ModelName],[Color],[Status]) VALUES
('4200000183','A16008-DM0','8936008709091','','FAN','AsiaVina',N'Quạt Lửng',N'Heavy duty',N'Đen','Update')</v>
      </c>
      <c r="M297" s="333" t="s">
        <v>877</v>
      </c>
      <c r="N297" s="333" t="s">
        <v>683</v>
      </c>
      <c r="O297" s="292"/>
      <c r="P297" s="292"/>
      <c r="Q297" s="292"/>
      <c r="R297" s="292"/>
      <c r="S297" s="292"/>
      <c r="T297" s="292"/>
      <c r="U297" s="292"/>
      <c r="V297" s="292"/>
      <c r="W297" s="292"/>
      <c r="X297" s="292"/>
      <c r="Y297" s="292"/>
      <c r="Z297" s="292"/>
      <c r="AA297" s="292"/>
      <c r="AB297" s="292"/>
      <c r="AC297" s="292"/>
      <c r="AD297" s="292"/>
      <c r="AE297" s="292"/>
      <c r="AF297" s="292"/>
      <c r="AG297" s="292"/>
      <c r="AH297" s="292"/>
      <c r="AI297" s="292"/>
      <c r="AJ297" s="292"/>
      <c r="AK297" s="329"/>
      <c r="AL297" s="381"/>
      <c r="AM297" s="379" t="str">
        <f t="shared" si="21"/>
        <v>INSERT INTO ListedPrice
(ProductId,ActiveDate,Channel,Price)
VALUES(196,'2020-05-01','MT',)</v>
      </c>
      <c r="AN297" s="292"/>
      <c r="AO297" s="292"/>
    </row>
    <row r="298" spans="1:41" s="288" customFormat="1">
      <c r="A298" s="352">
        <v>4200003517</v>
      </c>
      <c r="B298" s="315" t="s">
        <v>1455</v>
      </c>
      <c r="C298" s="290">
        <f>VLOOKUP(B298,Sheet1!$B$17:$C$451,2,0)</f>
        <v>197</v>
      </c>
      <c r="D298" s="291" t="s">
        <v>1207</v>
      </c>
      <c r="E298" s="291"/>
      <c r="F298" s="316" t="s">
        <v>878</v>
      </c>
      <c r="G298" s="317" t="s">
        <v>953</v>
      </c>
      <c r="H298" s="291" t="s">
        <v>1353</v>
      </c>
      <c r="I298" s="291" t="s">
        <v>670</v>
      </c>
      <c r="J298" s="299" t="s">
        <v>292</v>
      </c>
      <c r="K298" s="355" t="s">
        <v>1344</v>
      </c>
      <c r="L298" s="293" t="str">
        <f t="shared" si="22"/>
        <v>INSERT INTO Product (CMMF,Model,BarCode,Capacity,[Type],Product,[Range],[ModelName],[Color],[Status]) VALUES
('4200003517','A16008-DV1','8936008709091','','FAN','AsiaVina',N'Quạt Lửng',N'Heavy duty',N'Đen','Update')</v>
      </c>
      <c r="M298" s="333" t="s">
        <v>877</v>
      </c>
      <c r="N298" s="333" t="s">
        <v>683</v>
      </c>
      <c r="O298" s="292"/>
      <c r="P298" s="292"/>
      <c r="Q298" s="292"/>
      <c r="R298" s="292"/>
      <c r="S298" s="292"/>
      <c r="T298" s="292"/>
      <c r="U298" s="292"/>
      <c r="V298" s="292"/>
      <c r="W298" s="292"/>
      <c r="X298" s="292"/>
      <c r="Y298" s="292"/>
      <c r="Z298" s="292"/>
      <c r="AA298" s="292"/>
      <c r="AB298" s="292"/>
      <c r="AC298" s="292"/>
      <c r="AD298" s="292"/>
      <c r="AE298" s="292"/>
      <c r="AF298" s="292"/>
      <c r="AG298" s="292"/>
      <c r="AH298" s="292"/>
      <c r="AI298" s="292"/>
      <c r="AJ298" s="292"/>
      <c r="AK298" s="329"/>
      <c r="AL298" s="381"/>
      <c r="AM298" s="379" t="str">
        <f t="shared" si="21"/>
        <v>INSERT INTO ListedPrice
(ProductId,ActiveDate,Channel,Price)
VALUES(197,'2020-05-01','MT',)</v>
      </c>
      <c r="AN298" s="292"/>
      <c r="AO298" s="292"/>
    </row>
    <row r="299" spans="1:41" s="288" customFormat="1">
      <c r="A299" s="352">
        <v>4200006124</v>
      </c>
      <c r="B299" s="315" t="s">
        <v>1456</v>
      </c>
      <c r="C299" s="290">
        <f>VLOOKUP(B299,Sheet1!$B$17:$C$451,2,0)</f>
        <v>198</v>
      </c>
      <c r="D299" s="291" t="s">
        <v>1457</v>
      </c>
      <c r="E299" s="291"/>
      <c r="F299" s="316" t="s">
        <v>878</v>
      </c>
      <c r="G299" s="317" t="s">
        <v>953</v>
      </c>
      <c r="H299" s="291" t="s">
        <v>1353</v>
      </c>
      <c r="I299" s="291" t="s">
        <v>670</v>
      </c>
      <c r="J299" s="299" t="s">
        <v>294</v>
      </c>
      <c r="K299" s="355" t="s">
        <v>1344</v>
      </c>
      <c r="L299" s="293" t="str">
        <f t="shared" si="22"/>
        <v>INSERT INTO Product (CMMF,Model,BarCode,Capacity,[Type],Product,[Range],[ModelName],[Color],[Status]) VALUES
('4200006124','A16008-XZ0','8936008709039','','FAN','AsiaVina',N'Quạt Lửng',N'Heavy duty',N'Xám','Update')</v>
      </c>
      <c r="M299" s="333" t="s">
        <v>877</v>
      </c>
      <c r="N299" s="333" t="s">
        <v>683</v>
      </c>
      <c r="O299" s="292"/>
      <c r="P299" s="292"/>
      <c r="Q299" s="292"/>
      <c r="R299" s="292"/>
      <c r="S299" s="292"/>
      <c r="T299" s="292"/>
      <c r="U299" s="292"/>
      <c r="V299" s="292"/>
      <c r="W299" s="292"/>
      <c r="X299" s="292"/>
      <c r="Y299" s="292"/>
      <c r="Z299" s="292"/>
      <c r="AA299" s="292"/>
      <c r="AB299" s="292"/>
      <c r="AC299" s="292"/>
      <c r="AD299" s="292"/>
      <c r="AE299" s="292"/>
      <c r="AF299" s="292"/>
      <c r="AG299" s="292"/>
      <c r="AH299" s="292"/>
      <c r="AI299" s="292"/>
      <c r="AJ299" s="292"/>
      <c r="AK299" s="329"/>
      <c r="AL299" s="381"/>
      <c r="AM299" s="379" t="str">
        <f t="shared" si="21"/>
        <v>INSERT INTO ListedPrice
(ProductId,ActiveDate,Channel,Price)
VALUES(198,'2020-05-01','MT',)</v>
      </c>
      <c r="AN299" s="292"/>
      <c r="AO299" s="292"/>
    </row>
    <row r="300" spans="1:41" s="287" customFormat="1">
      <c r="A300" s="338">
        <v>4200006854</v>
      </c>
      <c r="B300" s="301" t="s">
        <v>800</v>
      </c>
      <c r="C300" s="290">
        <f>VLOOKUP(B300,Sheet1!$B$17:$C$451,2,0)</f>
        <v>199</v>
      </c>
      <c r="D300" s="291" t="s">
        <v>1207</v>
      </c>
      <c r="E300" s="291"/>
      <c r="F300" s="302" t="s">
        <v>878</v>
      </c>
      <c r="G300" s="302" t="s">
        <v>953</v>
      </c>
      <c r="H300" s="291" t="s">
        <v>1353</v>
      </c>
      <c r="I300" s="291" t="s">
        <v>670</v>
      </c>
      <c r="J300" s="299" t="s">
        <v>292</v>
      </c>
      <c r="K300" s="303" t="s">
        <v>516</v>
      </c>
      <c r="L300" s="293" t="str">
        <f t="shared" si="22"/>
        <v>INSERT INTO Product (CMMF,Model,BarCode,Capacity,[Type],Product,[Range],[ModelName],[Color],[Status]) VALUES
('4200006854','A16008-DV2','8936008709091','','FAN','AsiaVina',N'Quạt Lửng',N'Heavy duty',N'Đen','New')</v>
      </c>
      <c r="M300" s="293"/>
      <c r="N300" s="292" t="s">
        <v>683</v>
      </c>
      <c r="O300" s="292"/>
      <c r="P300" s="292"/>
      <c r="Q300" s="292"/>
      <c r="R300" s="292"/>
      <c r="S300" s="292"/>
      <c r="T300" s="292"/>
      <c r="U300" s="292"/>
      <c r="V300" s="292"/>
      <c r="W300" s="292"/>
      <c r="X300" s="292"/>
      <c r="Y300" s="292"/>
      <c r="Z300" s="292"/>
      <c r="AA300" s="292"/>
      <c r="AB300" s="292"/>
      <c r="AC300" s="292"/>
      <c r="AD300" s="292"/>
      <c r="AE300" s="292"/>
      <c r="AF300" s="292"/>
      <c r="AG300" s="292"/>
      <c r="AH300" s="292"/>
      <c r="AI300" s="292"/>
      <c r="AJ300" s="292"/>
      <c r="AK300" s="329"/>
      <c r="AL300" s="381">
        <v>360000</v>
      </c>
      <c r="AM300" s="379" t="str">
        <f>"INSERT INTO ListedPrice
(ProductId,ActiveDate,Channel,Price)
VALUES("&amp;C300&amp;",'2020-05-01','GT',"&amp;AL300&amp;")"</f>
        <v>INSERT INTO ListedPrice
(ProductId,ActiveDate,Channel,Price)
VALUES(199,'2020-05-01','GT',360000)</v>
      </c>
      <c r="AN300" s="292"/>
      <c r="AO300" s="292"/>
    </row>
    <row r="301" spans="1:41">
      <c r="A301" s="341">
        <v>4200004511</v>
      </c>
      <c r="B301" s="319" t="s">
        <v>766</v>
      </c>
      <c r="C301" s="290">
        <f>VLOOKUP(B301,Sheet1!$B$17:$C$451,2,0)</f>
        <v>200</v>
      </c>
      <c r="D301" s="291" t="s">
        <v>1208</v>
      </c>
      <c r="E301" s="291"/>
      <c r="F301" s="292" t="s">
        <v>878</v>
      </c>
      <c r="G301" s="291" t="s">
        <v>953</v>
      </c>
      <c r="H301" s="291" t="s">
        <v>1353</v>
      </c>
      <c r="I301" s="291" t="s">
        <v>1447</v>
      </c>
      <c r="J301" s="299" t="s">
        <v>292</v>
      </c>
      <c r="K301" s="293" t="s">
        <v>886</v>
      </c>
      <c r="L301" s="293" t="str">
        <f t="shared" si="22"/>
        <v>INSERT INTO Product (CMMF,Model,BarCode,Capacity,[Type],Product,[Range],[ModelName],[Color],[Status]) VALUES
('4200004511','A16009-DV1','8936008709695','','FAN','AsiaVina',N'Quạt Lửng',N'Spring Breeze',N'Đen','DMX Exclusive 2017')</v>
      </c>
      <c r="M301" s="292" t="s">
        <v>877</v>
      </c>
      <c r="N301" s="292"/>
      <c r="O301" s="292"/>
      <c r="P301" s="292"/>
      <c r="Q301" s="292"/>
      <c r="R301" s="292"/>
      <c r="S301" s="292"/>
      <c r="T301" s="292"/>
      <c r="U301" s="292"/>
      <c r="V301" s="292"/>
      <c r="W301" s="292"/>
      <c r="X301" s="292"/>
      <c r="Y301" s="292"/>
      <c r="Z301" s="292"/>
      <c r="AA301" s="292"/>
      <c r="AB301" s="292"/>
      <c r="AC301" s="292"/>
      <c r="AD301" s="292"/>
      <c r="AE301" s="292" t="s">
        <v>872</v>
      </c>
      <c r="AF301" s="292" t="str">
        <f>"INSERT INTO ProductByAccount
( ProductId,AccountId)VALUES
("&amp;C301&amp;",1037)"</f>
        <v>INSERT INTO ProductByAccount
( ProductId,AccountId)VALUES
(200,1037)</v>
      </c>
      <c r="AG301" s="292"/>
      <c r="AH301" s="292"/>
      <c r="AI301" s="292"/>
      <c r="AJ301" s="292"/>
      <c r="AK301" s="329"/>
      <c r="AL301" s="381"/>
      <c r="AM301" s="379" t="str">
        <f>"INSERT INTO ListedPrice
(ProductId,ActiveDate,Channel,Price)
VALUES("&amp;C301&amp;",'2020-05-01','MT',"&amp;AK301&amp;")"</f>
        <v>INSERT INTO ListedPrice
(ProductId,ActiveDate,Channel,Price)
VALUES(200,'2020-05-01','MT',)</v>
      </c>
      <c r="AN301" s="292"/>
      <c r="AO301" s="292"/>
    </row>
    <row r="302" spans="1:41">
      <c r="A302" s="341">
        <v>4200000020</v>
      </c>
      <c r="B302" s="293" t="s">
        <v>781</v>
      </c>
      <c r="C302" s="290">
        <f>VLOOKUP(B302,Sheet1!$B$17:$C$451,2,0)</f>
        <v>201</v>
      </c>
      <c r="D302" s="291" t="s">
        <v>1209</v>
      </c>
      <c r="E302" s="291"/>
      <c r="F302" s="292" t="s">
        <v>878</v>
      </c>
      <c r="G302" s="291" t="s">
        <v>953</v>
      </c>
      <c r="H302" s="291" t="s">
        <v>1353</v>
      </c>
      <c r="I302" s="291" t="s">
        <v>1447</v>
      </c>
      <c r="J302" s="293" t="s">
        <v>294</v>
      </c>
      <c r="K302" s="293" t="s">
        <v>872</v>
      </c>
      <c r="L302" s="293" t="str">
        <f t="shared" si="22"/>
        <v>INSERT INTO Product (CMMF,Model,BarCode,Capacity,[Type],Product,[Range],[ModelName],[Color],[Status]) VALUES
('4200000020','A16009-XV0','8936008709626','','FAN','AsiaVina',N'Quạt Lửng',N'Spring Breeze',N'Xám','On going')</v>
      </c>
      <c r="M302" s="292" t="s">
        <v>877</v>
      </c>
      <c r="N302" s="292"/>
      <c r="O302" s="292"/>
      <c r="P302" s="292"/>
      <c r="Q302" s="292" t="s">
        <v>872</v>
      </c>
      <c r="R302" s="292" t="str">
        <f>"INSERT INTO ProductByAccount
( ProductId,AccountId)VALUES
("&amp;C302&amp;",1030)"</f>
        <v>INSERT INTO ProductByAccount
( ProductId,AccountId)VALUES
(201,1030)</v>
      </c>
      <c r="S302" s="292"/>
      <c r="T302" s="292"/>
      <c r="U302" s="292"/>
      <c r="V302" s="292"/>
      <c r="W302" s="292"/>
      <c r="X302" s="292"/>
      <c r="Y302" s="292"/>
      <c r="Z302" s="292"/>
      <c r="AA302" s="348" t="s">
        <v>516</v>
      </c>
      <c r="AB302" s="292" t="str">
        <f>"INSERT INTO ProductByAccount
( ProductId,AccountId)VALUES
("&amp;C302&amp;",1035)"</f>
        <v>INSERT INTO ProductByAccount
( ProductId,AccountId)VALUES
(201,1035)</v>
      </c>
      <c r="AC302" s="292" t="s">
        <v>872</v>
      </c>
      <c r="AD302" s="292" t="str">
        <f>"INSERT INTO ProductByAccount
( ProductId,AccountId)VALUES
("&amp;C302&amp;",1036)"</f>
        <v>INSERT INTO ProductByAccount
( ProductId,AccountId)VALUES
(201,1036)</v>
      </c>
      <c r="AE302" s="292"/>
      <c r="AF302" s="292"/>
      <c r="AG302" s="292"/>
      <c r="AH302" s="292"/>
      <c r="AI302" s="292"/>
      <c r="AJ302" s="292"/>
      <c r="AK302" s="380">
        <v>469091</v>
      </c>
      <c r="AL302" s="381">
        <v>0</v>
      </c>
      <c r="AM302" s="379" t="str">
        <f>"INSERT INTO ListedPrice
(ProductId,ActiveDate,Channel,Price)
VALUES("&amp;C302&amp;",'2020-05-01','MT',"&amp;AK302&amp;")"</f>
        <v>INSERT INTO ListedPrice
(ProductId,ActiveDate,Channel,Price)
VALUES(201,'2020-05-01','MT',469091)</v>
      </c>
      <c r="AN302" s="292"/>
      <c r="AO302" s="292"/>
    </row>
    <row r="303" spans="1:41" s="285" customFormat="1">
      <c r="A303" s="336">
        <v>4200000294</v>
      </c>
      <c r="B303" s="294" t="s">
        <v>888</v>
      </c>
      <c r="C303" s="290">
        <f>VLOOKUP(B303,Sheet1!$B$17:$C$451,2,0)</f>
        <v>202</v>
      </c>
      <c r="D303" s="291" t="s">
        <v>1210</v>
      </c>
      <c r="E303" s="291"/>
      <c r="F303" s="295" t="s">
        <v>878</v>
      </c>
      <c r="G303" s="295" t="s">
        <v>953</v>
      </c>
      <c r="H303" s="291" t="s">
        <v>1353</v>
      </c>
      <c r="I303" s="291" t="s">
        <v>1344</v>
      </c>
      <c r="J303" s="294" t="s">
        <v>404</v>
      </c>
      <c r="K303" s="297" t="s">
        <v>623</v>
      </c>
      <c r="L303" s="293" t="str">
        <f t="shared" si="22"/>
        <v>INSERT INTO Product (CMMF,Model,BarCode,Capacity,[Type],Product,[Range],[ModelName],[Color],[Status]) VALUES
('4200000294','A16010-OV0','8936008709961','','FAN','AsiaVina',N'Quạt Lửng',N'Update',N'Đỏ','Discontinued')</v>
      </c>
      <c r="M303" s="293"/>
      <c r="N303" s="292" t="s">
        <v>683</v>
      </c>
      <c r="O303" s="292"/>
      <c r="P303" s="292"/>
      <c r="Q303" s="292"/>
      <c r="R303" s="292"/>
      <c r="S303" s="292"/>
      <c r="T303" s="292"/>
      <c r="U303" s="292"/>
      <c r="V303" s="292"/>
      <c r="W303" s="292"/>
      <c r="X303" s="292"/>
      <c r="Y303" s="292"/>
      <c r="Z303" s="292"/>
      <c r="AA303" s="292"/>
      <c r="AB303" s="292"/>
      <c r="AC303" s="292"/>
      <c r="AD303" s="292"/>
      <c r="AE303" s="292"/>
      <c r="AF303" s="292"/>
      <c r="AG303" s="292"/>
      <c r="AH303" s="292"/>
      <c r="AI303" s="292"/>
      <c r="AJ303" s="292"/>
      <c r="AK303" s="380">
        <v>369091</v>
      </c>
      <c r="AL303" s="381">
        <v>369091</v>
      </c>
      <c r="AM303" s="379" t="str">
        <f>"INSERT INTO ListedPrice
(ProductId,ActiveDate,Channel,Price)
VALUES("&amp;C303&amp;",'2020-05-01','GT',"&amp;AL303&amp;")"</f>
        <v>INSERT INTO ListedPrice
(ProductId,ActiveDate,Channel,Price)
VALUES(202,'2020-05-01','GT',369091)</v>
      </c>
      <c r="AN303" s="292"/>
      <c r="AO303" s="292"/>
    </row>
    <row r="304" spans="1:41" s="285" customFormat="1">
      <c r="A304" s="336">
        <v>4200000296</v>
      </c>
      <c r="B304" s="294" t="s">
        <v>889</v>
      </c>
      <c r="C304" s="290">
        <f>VLOOKUP(B304,Sheet1!$B$17:$C$451,2,0)</f>
        <v>203</v>
      </c>
      <c r="D304" s="291" t="s">
        <v>1210</v>
      </c>
      <c r="E304" s="291"/>
      <c r="F304" s="295" t="s">
        <v>878</v>
      </c>
      <c r="G304" s="295" t="s">
        <v>953</v>
      </c>
      <c r="H304" s="291" t="s">
        <v>1353</v>
      </c>
      <c r="I304" s="291" t="s">
        <v>1344</v>
      </c>
      <c r="J304" s="294" t="s">
        <v>404</v>
      </c>
      <c r="K304" s="297" t="s">
        <v>623</v>
      </c>
      <c r="L304" s="293" t="str">
        <f t="shared" si="22"/>
        <v>INSERT INTO Product (CMMF,Model,BarCode,Capacity,[Type],Product,[Range],[ModelName],[Color],[Status]) VALUES
('4200000296','A16010-OV1','8936008709961','','FAN','AsiaVina',N'Quạt Lửng',N'Update',N'Đỏ','Discontinued')</v>
      </c>
      <c r="M304" s="320" t="s">
        <v>877</v>
      </c>
      <c r="N304" s="333" t="s">
        <v>683</v>
      </c>
      <c r="O304" s="292"/>
      <c r="P304" s="292"/>
      <c r="Q304" s="292"/>
      <c r="R304" s="292"/>
      <c r="S304" s="292"/>
      <c r="T304" s="292"/>
      <c r="U304" s="292"/>
      <c r="V304" s="292"/>
      <c r="W304" s="292"/>
      <c r="X304" s="292"/>
      <c r="Y304" s="292"/>
      <c r="Z304" s="292"/>
      <c r="AA304" s="292"/>
      <c r="AB304" s="292"/>
      <c r="AC304" s="292"/>
      <c r="AD304" s="292"/>
      <c r="AE304" s="292"/>
      <c r="AF304" s="292"/>
      <c r="AG304" s="292"/>
      <c r="AH304" s="292"/>
      <c r="AI304" s="292"/>
      <c r="AJ304" s="292"/>
      <c r="AK304" s="380">
        <v>369091</v>
      </c>
      <c r="AL304" s="381">
        <v>0</v>
      </c>
      <c r="AM304" s="379" t="str">
        <f>"INSERT INTO ListedPrice
(ProductId,ActiveDate,Channel,Price)
VALUES("&amp;C304&amp;",'2020-05-01','MT',"&amp;AK304&amp;")"</f>
        <v>INSERT INTO ListedPrice
(ProductId,ActiveDate,Channel,Price)
VALUES(203,'2020-05-01','MT',369091)</v>
      </c>
      <c r="AN304" s="292"/>
      <c r="AO304" s="292"/>
    </row>
    <row r="305" spans="1:41" s="285" customFormat="1">
      <c r="A305" s="336">
        <v>4200000218</v>
      </c>
      <c r="B305" s="294" t="s">
        <v>890</v>
      </c>
      <c r="C305" s="290">
        <f>VLOOKUP(B305,Sheet1!$B$17:$C$451,2,0)</f>
        <v>204</v>
      </c>
      <c r="D305" s="291" t="s">
        <v>1211</v>
      </c>
      <c r="E305" s="291"/>
      <c r="F305" s="295" t="s">
        <v>878</v>
      </c>
      <c r="G305" s="295" t="s">
        <v>953</v>
      </c>
      <c r="H305" s="291" t="s">
        <v>1353</v>
      </c>
      <c r="I305" s="291" t="s">
        <v>1344</v>
      </c>
      <c r="J305" s="294" t="s">
        <v>294</v>
      </c>
      <c r="K305" s="297" t="s">
        <v>623</v>
      </c>
      <c r="L305" s="293" t="str">
        <f t="shared" si="22"/>
        <v>INSERT INTO Product (CMMF,Model,BarCode,Capacity,[Type],Product,[Range],[ModelName],[Color],[Status]) VALUES
('4200000218','A16010-XV0','8936008705352','','FAN','AsiaVina',N'Quạt Lửng',N'Update',N'Xám','Discontinued')</v>
      </c>
      <c r="M305" s="320" t="s">
        <v>877</v>
      </c>
      <c r="N305" s="333" t="s">
        <v>683</v>
      </c>
      <c r="O305" s="292"/>
      <c r="P305" s="292"/>
      <c r="Q305" s="292"/>
      <c r="R305" s="292"/>
      <c r="S305" s="292"/>
      <c r="T305" s="292"/>
      <c r="U305" s="292"/>
      <c r="V305" s="292"/>
      <c r="W305" s="292"/>
      <c r="X305" s="292"/>
      <c r="Y305" s="292"/>
      <c r="Z305" s="292"/>
      <c r="AA305" s="292"/>
      <c r="AB305" s="292"/>
      <c r="AC305" s="292"/>
      <c r="AD305" s="292"/>
      <c r="AE305" s="292"/>
      <c r="AF305" s="292"/>
      <c r="AG305" s="292"/>
      <c r="AH305" s="292"/>
      <c r="AI305" s="292"/>
      <c r="AJ305" s="292"/>
      <c r="AK305" s="380">
        <v>394545</v>
      </c>
      <c r="AL305" s="381">
        <v>0</v>
      </c>
      <c r="AM305" s="379" t="str">
        <f>"INSERT INTO ListedPrice
(ProductId,ActiveDate,Channel,Price)
VALUES("&amp;C305&amp;",'2020-05-01','MT',"&amp;AK305&amp;")"</f>
        <v>INSERT INTO ListedPrice
(ProductId,ActiveDate,Channel,Price)
VALUES(204,'2020-05-01','MT',394545)</v>
      </c>
      <c r="AN305" s="292"/>
      <c r="AO305" s="292"/>
    </row>
    <row r="306" spans="1:41" s="288" customFormat="1">
      <c r="A306" s="343">
        <v>4200000295</v>
      </c>
      <c r="B306" s="318" t="s">
        <v>891</v>
      </c>
      <c r="C306" s="290">
        <f>VLOOKUP(B306,Sheet1!$B$17:$C$451,2,0)</f>
        <v>205</v>
      </c>
      <c r="D306" s="291" t="s">
        <v>1211</v>
      </c>
      <c r="E306" s="291"/>
      <c r="F306" s="316" t="s">
        <v>878</v>
      </c>
      <c r="G306" s="317" t="s">
        <v>953</v>
      </c>
      <c r="H306" s="291" t="s">
        <v>1353</v>
      </c>
      <c r="I306" s="291" t="s">
        <v>1344</v>
      </c>
      <c r="J306" s="318" t="s">
        <v>294</v>
      </c>
      <c r="K306" s="318" t="s">
        <v>885</v>
      </c>
      <c r="L306" s="293" t="str">
        <f t="shared" si="22"/>
        <v>INSERT INTO Product (CMMF,Model,BarCode,Capacity,[Type],Product,[Range],[ModelName],[Color],[Status]) VALUES
('4200000295','A16010-XV1','8936008705352','','FAN','AsiaVina',N'Quạt Lửng',N'Update',N'Xám','B2B items')</v>
      </c>
      <c r="M306" s="320" t="s">
        <v>877</v>
      </c>
      <c r="N306" s="333" t="s">
        <v>683</v>
      </c>
      <c r="O306" s="292"/>
      <c r="P306" s="292"/>
      <c r="Q306" s="292"/>
      <c r="R306" s="292"/>
      <c r="S306" s="292"/>
      <c r="T306" s="292"/>
      <c r="U306" s="292"/>
      <c r="V306" s="292"/>
      <c r="W306" s="292"/>
      <c r="X306" s="292"/>
      <c r="Y306" s="292"/>
      <c r="Z306" s="292"/>
      <c r="AA306" s="292"/>
      <c r="AB306" s="292"/>
      <c r="AC306" s="292"/>
      <c r="AD306" s="292"/>
      <c r="AE306" s="292"/>
      <c r="AF306" s="292"/>
      <c r="AG306" s="292"/>
      <c r="AH306" s="292"/>
      <c r="AI306" s="292"/>
      <c r="AJ306" s="292"/>
      <c r="AK306" s="380">
        <v>394545</v>
      </c>
      <c r="AL306" s="381">
        <v>0</v>
      </c>
      <c r="AM306" s="379" t="str">
        <f>"INSERT INTO ListedPrice
(ProductId,ActiveDate,Channel,Price)
VALUES("&amp;C306&amp;",'2020-05-01','MT',"&amp;AK306&amp;")"</f>
        <v>INSERT INTO ListedPrice
(ProductId,ActiveDate,Channel,Price)
VALUES(205,'2020-05-01','MT',394545)</v>
      </c>
      <c r="AN306" s="292"/>
      <c r="AO306" s="292"/>
    </row>
    <row r="307" spans="1:41" s="285" customFormat="1">
      <c r="A307" s="339">
        <v>4200000245</v>
      </c>
      <c r="B307" s="297" t="s">
        <v>892</v>
      </c>
      <c r="C307" s="290">
        <f>VLOOKUP(B307,Sheet1!$B$17:$C$451,2,0)</f>
        <v>206</v>
      </c>
      <c r="D307" s="291" t="s">
        <v>1212</v>
      </c>
      <c r="E307" s="291"/>
      <c r="F307" s="296" t="s">
        <v>878</v>
      </c>
      <c r="G307" s="295" t="s">
        <v>953</v>
      </c>
      <c r="H307" s="291" t="s">
        <v>1353</v>
      </c>
      <c r="I307" s="291"/>
      <c r="J307" s="297" t="s">
        <v>1417</v>
      </c>
      <c r="K307" s="297" t="s">
        <v>623</v>
      </c>
      <c r="L307" s="293" t="str">
        <f t="shared" si="22"/>
        <v>INSERT INTO Product (CMMF,Model,BarCode,Capacity,[Type],Product,[Range],[ModelName],[Color],[Status]) VALUES
('4200000245','A16017-LV0','8936008709749','','FAN','AsiaVina',N'Quạt Lửng',N'',N'Xanh lá','Discontinued')</v>
      </c>
      <c r="M307" s="333" t="s">
        <v>877</v>
      </c>
      <c r="N307" s="333" t="s">
        <v>683</v>
      </c>
      <c r="O307" s="292"/>
      <c r="P307" s="292"/>
      <c r="Q307" s="292"/>
      <c r="R307" s="292"/>
      <c r="S307" s="292"/>
      <c r="T307" s="292"/>
      <c r="U307" s="292"/>
      <c r="V307" s="292"/>
      <c r="W307" s="292"/>
      <c r="X307" s="292"/>
      <c r="Y307" s="292"/>
      <c r="Z307" s="292"/>
      <c r="AA307" s="292"/>
      <c r="AB307" s="292"/>
      <c r="AC307" s="292"/>
      <c r="AD307" s="292"/>
      <c r="AE307" s="292"/>
      <c r="AF307" s="292"/>
      <c r="AG307" s="292"/>
      <c r="AH307" s="292"/>
      <c r="AI307" s="292"/>
      <c r="AJ307" s="292"/>
      <c r="AK307" s="380">
        <v>679091</v>
      </c>
      <c r="AL307" s="381">
        <v>0</v>
      </c>
      <c r="AM307" s="379" t="str">
        <f>"INSERT INTO ListedPrice
(ProductId,ActiveDate,Channel,Price)
VALUES("&amp;C307&amp;",'2020-05-01','MT',"&amp;AK307&amp;")"</f>
        <v>INSERT INTO ListedPrice
(ProductId,ActiveDate,Channel,Price)
VALUES(206,'2020-05-01','MT',679091)</v>
      </c>
      <c r="AN307" s="292"/>
      <c r="AO307" s="292"/>
    </row>
    <row r="308" spans="1:41" s="285" customFormat="1">
      <c r="A308" s="339">
        <v>4200000212</v>
      </c>
      <c r="B308" s="297" t="s">
        <v>802</v>
      </c>
      <c r="C308" s="290">
        <f>VLOOKUP(B308,Sheet1!$B$17:$C$451,2,0)</f>
        <v>207</v>
      </c>
      <c r="D308" s="291" t="s">
        <v>1213</v>
      </c>
      <c r="E308" s="291"/>
      <c r="F308" s="296" t="s">
        <v>878</v>
      </c>
      <c r="G308" s="295" t="s">
        <v>953</v>
      </c>
      <c r="H308" s="291" t="s">
        <v>1353</v>
      </c>
      <c r="I308" s="291"/>
      <c r="J308" s="297" t="s">
        <v>294</v>
      </c>
      <c r="K308" s="297" t="s">
        <v>623</v>
      </c>
      <c r="L308" s="293" t="str">
        <f t="shared" si="22"/>
        <v>INSERT INTO Product (CMMF,Model,BarCode,Capacity,[Type],Product,[Range],[ModelName],[Color],[Status]) VALUES
('4200000212','A16017-XV0','8936008709732','','FAN','AsiaVina',N'Quạt Lửng',N'',N'Xám','Discontinued')</v>
      </c>
      <c r="M308" s="293"/>
      <c r="N308" s="292" t="s">
        <v>683</v>
      </c>
      <c r="O308" s="292"/>
      <c r="P308" s="292"/>
      <c r="Q308" s="292"/>
      <c r="R308" s="292"/>
      <c r="S308" s="292"/>
      <c r="T308" s="292"/>
      <c r="U308" s="292"/>
      <c r="V308" s="292"/>
      <c r="W308" s="292"/>
      <c r="X308" s="292"/>
      <c r="Y308" s="292"/>
      <c r="Z308" s="292"/>
      <c r="AA308" s="292"/>
      <c r="AB308" s="292"/>
      <c r="AC308" s="292"/>
      <c r="AD308" s="292"/>
      <c r="AE308" s="292"/>
      <c r="AF308" s="292"/>
      <c r="AG308" s="292"/>
      <c r="AH308" s="292"/>
      <c r="AI308" s="292"/>
      <c r="AJ308" s="292"/>
      <c r="AK308" s="380">
        <v>679091</v>
      </c>
      <c r="AL308" s="381">
        <v>679091</v>
      </c>
      <c r="AM308" s="379" t="str">
        <f t="shared" ref="AM308:AM318" si="23">"INSERT INTO ListedPrice
(ProductId,ActiveDate,Channel,Price)
VALUES("&amp;C308&amp;",'2020-05-01','GT',"&amp;AL308&amp;")"</f>
        <v>INSERT INTO ListedPrice
(ProductId,ActiveDate,Channel,Price)
VALUES(207,'2020-05-01','GT',679091)</v>
      </c>
      <c r="AN308" s="292"/>
      <c r="AO308" s="292"/>
    </row>
    <row r="309" spans="1:41">
      <c r="A309" s="341">
        <v>4200005352</v>
      </c>
      <c r="B309" s="293" t="s">
        <v>788</v>
      </c>
      <c r="C309" s="290">
        <f>VLOOKUP(B309,Sheet1!$B$17:$C$451,2,0)</f>
        <v>208</v>
      </c>
      <c r="D309" s="291" t="s">
        <v>1214</v>
      </c>
      <c r="E309" s="291"/>
      <c r="F309" s="292" t="s">
        <v>878</v>
      </c>
      <c r="G309" s="291" t="s">
        <v>953</v>
      </c>
      <c r="H309" s="291" t="s">
        <v>1353</v>
      </c>
      <c r="I309" s="291" t="s">
        <v>1447</v>
      </c>
      <c r="J309" s="293" t="s">
        <v>1452</v>
      </c>
      <c r="K309" s="293" t="s">
        <v>872</v>
      </c>
      <c r="L309" s="293" t="str">
        <f t="shared" si="22"/>
        <v>INSERT INTO Product (CMMF,Model,BarCode,Capacity,[Type],Product,[Range],[ModelName],[Color],[Status]) VALUES
('4200005352','A16018-BV0','8936008705161','','FAN','AsiaVina',N'Quạt Lửng',N'Spring Breeze',N'Xanh Lam','On going')</v>
      </c>
      <c r="M309" s="292" t="s">
        <v>877</v>
      </c>
      <c r="N309" s="292" t="s">
        <v>683</v>
      </c>
      <c r="O309" s="292"/>
      <c r="P309" s="292"/>
      <c r="Q309" s="292"/>
      <c r="R309" s="292"/>
      <c r="S309" s="292"/>
      <c r="T309" s="292"/>
      <c r="U309" s="292"/>
      <c r="V309" s="292"/>
      <c r="W309" s="292"/>
      <c r="X309" s="292"/>
      <c r="Y309" s="292"/>
      <c r="Z309" s="292"/>
      <c r="AA309" s="292"/>
      <c r="AB309" s="292"/>
      <c r="AC309" s="292"/>
      <c r="AD309" s="292"/>
      <c r="AE309" s="292"/>
      <c r="AF309" s="292"/>
      <c r="AG309" s="292"/>
      <c r="AH309" s="292"/>
      <c r="AI309" s="292"/>
      <c r="AJ309" s="292"/>
      <c r="AK309" s="329">
        <v>0</v>
      </c>
      <c r="AL309" s="381">
        <v>350000</v>
      </c>
      <c r="AM309" s="379" t="str">
        <f t="shared" si="23"/>
        <v>INSERT INTO ListedPrice
(ProductId,ActiveDate,Channel,Price)
VALUES(208,'2020-05-01','GT',350000)</v>
      </c>
      <c r="AN309" s="292"/>
      <c r="AO309" s="292"/>
    </row>
    <row r="310" spans="1:41">
      <c r="A310" s="341">
        <v>4200005353</v>
      </c>
      <c r="B310" s="293" t="s">
        <v>792</v>
      </c>
      <c r="C310" s="290">
        <f>VLOOKUP(B310,Sheet1!$B$17:$C$451,2,0)</f>
        <v>209</v>
      </c>
      <c r="D310" s="291" t="s">
        <v>1214</v>
      </c>
      <c r="E310" s="291"/>
      <c r="F310" s="292" t="s">
        <v>878</v>
      </c>
      <c r="G310" s="291" t="s">
        <v>953</v>
      </c>
      <c r="H310" s="291" t="s">
        <v>1353</v>
      </c>
      <c r="I310" s="291" t="s">
        <v>1447</v>
      </c>
      <c r="J310" s="293" t="s">
        <v>1452</v>
      </c>
      <c r="K310" s="293" t="s">
        <v>872</v>
      </c>
      <c r="L310" s="293" t="str">
        <f t="shared" si="22"/>
        <v>INSERT INTO Product (CMMF,Model,BarCode,Capacity,[Type],Product,[Range],[ModelName],[Color],[Status]) VALUES
('4200005353','A16018-BV1','8936008705161','','FAN','AsiaVina',N'Quạt Lửng',N'Spring Breeze',N'Xanh Lam','On going')</v>
      </c>
      <c r="M310" s="292" t="s">
        <v>877</v>
      </c>
      <c r="N310" s="292" t="s">
        <v>683</v>
      </c>
      <c r="O310" s="292"/>
      <c r="P310" s="292"/>
      <c r="Q310" s="292"/>
      <c r="R310" s="292"/>
      <c r="S310" s="292"/>
      <c r="T310" s="292"/>
      <c r="U310" s="292"/>
      <c r="V310" s="292"/>
      <c r="W310" s="292"/>
      <c r="X310" s="292"/>
      <c r="Y310" s="292"/>
      <c r="Z310" s="292"/>
      <c r="AA310" s="292"/>
      <c r="AB310" s="292"/>
      <c r="AC310" s="292"/>
      <c r="AD310" s="292"/>
      <c r="AE310" s="292"/>
      <c r="AF310" s="292"/>
      <c r="AG310" s="292"/>
      <c r="AH310" s="292"/>
      <c r="AI310" s="292"/>
      <c r="AJ310" s="292"/>
      <c r="AK310" s="329">
        <v>0</v>
      </c>
      <c r="AL310" s="381">
        <v>350000</v>
      </c>
      <c r="AM310" s="379" t="str">
        <f t="shared" si="23"/>
        <v>INSERT INTO ListedPrice
(ProductId,ActiveDate,Channel,Price)
VALUES(209,'2020-05-01','GT',350000)</v>
      </c>
      <c r="AN310" s="292"/>
      <c r="AO310" s="292"/>
    </row>
    <row r="311" spans="1:41" s="285" customFormat="1">
      <c r="A311" s="339">
        <v>4200005502</v>
      </c>
      <c r="B311" s="297" t="s">
        <v>894</v>
      </c>
      <c r="C311" s="290">
        <f>VLOOKUP(B311,Sheet1!$B$17:$C$451,2,0)</f>
        <v>210</v>
      </c>
      <c r="D311" s="291" t="s">
        <v>1215</v>
      </c>
      <c r="E311" s="291"/>
      <c r="F311" s="296" t="s">
        <v>878</v>
      </c>
      <c r="G311" s="295" t="s">
        <v>953</v>
      </c>
      <c r="H311" s="291" t="s">
        <v>1353</v>
      </c>
      <c r="I311" s="291" t="s">
        <v>1447</v>
      </c>
      <c r="J311" s="297" t="s">
        <v>1451</v>
      </c>
      <c r="K311" s="297" t="s">
        <v>623</v>
      </c>
      <c r="L311" s="293" t="str">
        <f t="shared" si="22"/>
        <v>INSERT INTO Product (CMMF,Model,BarCode,Capacity,[Type],Product,[Range],[ModelName],[Color],[Status]) VALUES
('4200005502','A16018-BV2','8936008708407','','FAN','AsiaVina',N'Quạt Lửng',N'Spring Breeze',N'Xanh Coban','Discontinued')</v>
      </c>
      <c r="M311" s="293"/>
      <c r="N311" s="292" t="s">
        <v>683</v>
      </c>
      <c r="O311" s="292"/>
      <c r="P311" s="292"/>
      <c r="Q311" s="292"/>
      <c r="R311" s="292"/>
      <c r="S311" s="292"/>
      <c r="T311" s="292"/>
      <c r="U311" s="292"/>
      <c r="V311" s="292"/>
      <c r="W311" s="292"/>
      <c r="X311" s="292"/>
      <c r="Y311" s="292"/>
      <c r="Z311" s="292"/>
      <c r="AA311" s="292"/>
      <c r="AB311" s="292"/>
      <c r="AC311" s="292"/>
      <c r="AD311" s="292"/>
      <c r="AE311" s="292"/>
      <c r="AF311" s="292"/>
      <c r="AG311" s="292"/>
      <c r="AH311" s="292"/>
      <c r="AI311" s="292"/>
      <c r="AJ311" s="292"/>
      <c r="AK311" s="380">
        <v>489091</v>
      </c>
      <c r="AL311" s="381">
        <v>489091</v>
      </c>
      <c r="AM311" s="379" t="str">
        <f t="shared" si="23"/>
        <v>INSERT INTO ListedPrice
(ProductId,ActiveDate,Channel,Price)
VALUES(210,'2020-05-01','GT',489091)</v>
      </c>
      <c r="AN311" s="292"/>
      <c r="AO311" s="292"/>
    </row>
    <row r="312" spans="1:41" s="285" customFormat="1">
      <c r="A312" s="339">
        <v>4200005503</v>
      </c>
      <c r="B312" s="297" t="s">
        <v>896</v>
      </c>
      <c r="C312" s="290">
        <f>VLOOKUP(B312,Sheet1!$B$17:$C$451,2,0)</f>
        <v>211</v>
      </c>
      <c r="D312" s="291" t="s">
        <v>1216</v>
      </c>
      <c r="E312" s="291"/>
      <c r="F312" s="296" t="s">
        <v>878</v>
      </c>
      <c r="G312" s="295" t="s">
        <v>953</v>
      </c>
      <c r="H312" s="291" t="s">
        <v>1353</v>
      </c>
      <c r="I312" s="291" t="s">
        <v>1447</v>
      </c>
      <c r="J312" s="297" t="s">
        <v>1451</v>
      </c>
      <c r="K312" s="297" t="s">
        <v>623</v>
      </c>
      <c r="L312" s="293" t="str">
        <f t="shared" si="22"/>
        <v>INSERT INTO Product (CMMF,Model,BarCode,Capacity,[Type],Product,[Range],[ModelName],[Color],[Status]) VALUES
('4200005503','A16018-BV3','8936008708414','','FAN','AsiaVina',N'Quạt Lửng',N'Spring Breeze',N'Xanh Coban','Discontinued')</v>
      </c>
      <c r="M312" s="293"/>
      <c r="N312" s="292" t="s">
        <v>683</v>
      </c>
      <c r="O312" s="292"/>
      <c r="P312" s="292"/>
      <c r="Q312" s="292"/>
      <c r="R312" s="292"/>
      <c r="S312" s="292"/>
      <c r="T312" s="292"/>
      <c r="U312" s="292"/>
      <c r="V312" s="292"/>
      <c r="W312" s="292"/>
      <c r="X312" s="292"/>
      <c r="Y312" s="292"/>
      <c r="Z312" s="292"/>
      <c r="AA312" s="292"/>
      <c r="AB312" s="292"/>
      <c r="AC312" s="292"/>
      <c r="AD312" s="292"/>
      <c r="AE312" s="292"/>
      <c r="AF312" s="292"/>
      <c r="AG312" s="292"/>
      <c r="AH312" s="292"/>
      <c r="AI312" s="292"/>
      <c r="AJ312" s="292"/>
      <c r="AK312" s="380">
        <v>489091</v>
      </c>
      <c r="AL312" s="381">
        <v>489091</v>
      </c>
      <c r="AM312" s="379" t="str">
        <f t="shared" si="23"/>
        <v>INSERT INTO ListedPrice
(ProductId,ActiveDate,Channel,Price)
VALUES(211,'2020-05-01','GT',489091)</v>
      </c>
      <c r="AN312" s="292"/>
      <c r="AO312" s="292"/>
    </row>
    <row r="313" spans="1:41" s="285" customFormat="1">
      <c r="A313" s="339">
        <v>4200005355</v>
      </c>
      <c r="B313" s="297" t="s">
        <v>803</v>
      </c>
      <c r="C313" s="290">
        <f>VLOOKUP(B313,Sheet1!$B$17:$C$451,2,0)</f>
        <v>212</v>
      </c>
      <c r="D313" s="291" t="s">
        <v>1217</v>
      </c>
      <c r="E313" s="291"/>
      <c r="F313" s="296" t="s">
        <v>878</v>
      </c>
      <c r="G313" s="295" t="s">
        <v>953</v>
      </c>
      <c r="H313" s="291" t="s">
        <v>1353</v>
      </c>
      <c r="I313" s="291" t="s">
        <v>1447</v>
      </c>
      <c r="J313" s="297" t="s">
        <v>1450</v>
      </c>
      <c r="K313" s="297" t="s">
        <v>623</v>
      </c>
      <c r="L313" s="293" t="str">
        <f t="shared" si="22"/>
        <v>INSERT INTO Product (CMMF,Model,BarCode,Capacity,[Type],Product,[Range],[ModelName],[Color],[Status]) VALUES
('4200005355','A16018-GV0','8936008705185','','FAN','AsiaVina',N'Quạt Lửng',N'Spring Breeze',N'Chuối Non','Discontinued')</v>
      </c>
      <c r="M313" s="292" t="s">
        <v>877</v>
      </c>
      <c r="N313" s="292" t="s">
        <v>683</v>
      </c>
      <c r="O313" s="292"/>
      <c r="P313" s="292"/>
      <c r="Q313" s="292"/>
      <c r="R313" s="292"/>
      <c r="S313" s="292"/>
      <c r="T313" s="292"/>
      <c r="U313" s="292"/>
      <c r="V313" s="292"/>
      <c r="W313" s="292"/>
      <c r="X313" s="292"/>
      <c r="Y313" s="292"/>
      <c r="Z313" s="292"/>
      <c r="AA313" s="292"/>
      <c r="AB313" s="292"/>
      <c r="AC313" s="292"/>
      <c r="AD313" s="292"/>
      <c r="AE313" s="292"/>
      <c r="AF313" s="292"/>
      <c r="AG313" s="292"/>
      <c r="AH313" s="292"/>
      <c r="AI313" s="292"/>
      <c r="AJ313" s="292"/>
      <c r="AK313" s="329">
        <v>0</v>
      </c>
      <c r="AL313" s="381">
        <v>350000</v>
      </c>
      <c r="AM313" s="379" t="str">
        <f t="shared" si="23"/>
        <v>INSERT INTO ListedPrice
(ProductId,ActiveDate,Channel,Price)
VALUES(212,'2020-05-01','GT',350000)</v>
      </c>
      <c r="AN313" s="292"/>
      <c r="AO313" s="292"/>
    </row>
    <row r="314" spans="1:41" s="285" customFormat="1">
      <c r="A314" s="339">
        <v>4200005356</v>
      </c>
      <c r="B314" s="297" t="s">
        <v>804</v>
      </c>
      <c r="C314" s="290">
        <f>VLOOKUP(B314,Sheet1!$B$17:$C$451,2,0)</f>
        <v>213</v>
      </c>
      <c r="D314" s="291" t="s">
        <v>1217</v>
      </c>
      <c r="E314" s="291"/>
      <c r="F314" s="296" t="s">
        <v>878</v>
      </c>
      <c r="G314" s="295" t="s">
        <v>953</v>
      </c>
      <c r="H314" s="291" t="s">
        <v>1353</v>
      </c>
      <c r="I314" s="291" t="s">
        <v>1447</v>
      </c>
      <c r="J314" s="297" t="s">
        <v>1450</v>
      </c>
      <c r="K314" s="297" t="s">
        <v>623</v>
      </c>
      <c r="L314" s="293" t="str">
        <f t="shared" si="22"/>
        <v>INSERT INTO Product (CMMF,Model,BarCode,Capacity,[Type],Product,[Range],[ModelName],[Color],[Status]) VALUES
('4200005356','A16018-GV1','8936008705185','','FAN','AsiaVina',N'Quạt Lửng',N'Spring Breeze',N'Chuối Non','Discontinued')</v>
      </c>
      <c r="M314" s="292" t="s">
        <v>877</v>
      </c>
      <c r="N314" s="292" t="s">
        <v>683</v>
      </c>
      <c r="O314" s="292"/>
      <c r="P314" s="292"/>
      <c r="Q314" s="292"/>
      <c r="R314" s="292"/>
      <c r="S314" s="292"/>
      <c r="T314" s="292"/>
      <c r="U314" s="292"/>
      <c r="V314" s="292"/>
      <c r="W314" s="292"/>
      <c r="X314" s="292"/>
      <c r="Y314" s="292"/>
      <c r="Z314" s="292"/>
      <c r="AA314" s="292"/>
      <c r="AB314" s="292"/>
      <c r="AC314" s="292"/>
      <c r="AD314" s="292"/>
      <c r="AE314" s="292"/>
      <c r="AF314" s="292"/>
      <c r="AG314" s="292"/>
      <c r="AH314" s="292"/>
      <c r="AI314" s="292"/>
      <c r="AJ314" s="292"/>
      <c r="AK314" s="329">
        <v>0</v>
      </c>
      <c r="AL314" s="381">
        <v>350000</v>
      </c>
      <c r="AM314" s="379" t="str">
        <f t="shared" si="23"/>
        <v>INSERT INTO ListedPrice
(ProductId,ActiveDate,Channel,Price)
VALUES(213,'2020-05-01','GT',350000)</v>
      </c>
      <c r="AN314" s="292"/>
      <c r="AO314" s="292"/>
    </row>
    <row r="315" spans="1:41" s="285" customFormat="1">
      <c r="A315" s="339">
        <v>4200005504</v>
      </c>
      <c r="B315" s="297" t="s">
        <v>898</v>
      </c>
      <c r="C315" s="290">
        <f>VLOOKUP(B315,Sheet1!$B$17:$C$451,2,0)</f>
        <v>214</v>
      </c>
      <c r="D315" s="291" t="s">
        <v>1218</v>
      </c>
      <c r="E315" s="291"/>
      <c r="F315" s="296" t="s">
        <v>878</v>
      </c>
      <c r="G315" s="295" t="s">
        <v>953</v>
      </c>
      <c r="H315" s="291" t="s">
        <v>1353</v>
      </c>
      <c r="I315" s="291" t="s">
        <v>1447</v>
      </c>
      <c r="J315" s="297" t="s">
        <v>1449</v>
      </c>
      <c r="K315" s="297" t="s">
        <v>623</v>
      </c>
      <c r="L315" s="293" t="str">
        <f t="shared" si="22"/>
        <v>INSERT INTO Product (CMMF,Model,BarCode,Capacity,[Type],Product,[Range],[ModelName],[Color],[Status]) VALUES
('4200005504','A16018-GV2','8936008708421','','FAN','AsiaVina',N'Quạt Lửng',N'Spring Breeze',N'Lá Đậm','Discontinued')</v>
      </c>
      <c r="M315" s="293"/>
      <c r="N315" s="292" t="s">
        <v>683</v>
      </c>
      <c r="O315" s="292"/>
      <c r="P315" s="292"/>
      <c r="Q315" s="292"/>
      <c r="R315" s="292"/>
      <c r="S315" s="292"/>
      <c r="T315" s="292"/>
      <c r="U315" s="292"/>
      <c r="V315" s="292"/>
      <c r="W315" s="292"/>
      <c r="X315" s="292"/>
      <c r="Y315" s="292"/>
      <c r="Z315" s="292"/>
      <c r="AA315" s="292"/>
      <c r="AB315" s="292"/>
      <c r="AC315" s="292"/>
      <c r="AD315" s="292"/>
      <c r="AE315" s="292"/>
      <c r="AF315" s="292"/>
      <c r="AG315" s="292"/>
      <c r="AH315" s="292"/>
      <c r="AI315" s="292"/>
      <c r="AJ315" s="292"/>
      <c r="AK315" s="380">
        <v>489091</v>
      </c>
      <c r="AL315" s="381">
        <v>489091</v>
      </c>
      <c r="AM315" s="379" t="str">
        <f t="shared" si="23"/>
        <v>INSERT INTO ListedPrice
(ProductId,ActiveDate,Channel,Price)
VALUES(214,'2020-05-01','GT',489091)</v>
      </c>
      <c r="AN315" s="292"/>
      <c r="AO315" s="292"/>
    </row>
    <row r="316" spans="1:41" s="285" customFormat="1">
      <c r="A316" s="339">
        <v>4200005505</v>
      </c>
      <c r="B316" s="297" t="s">
        <v>900</v>
      </c>
      <c r="C316" s="290">
        <f>VLOOKUP(B316,Sheet1!$B$17:$C$451,2,0)</f>
        <v>215</v>
      </c>
      <c r="D316" s="291" t="s">
        <v>1219</v>
      </c>
      <c r="E316" s="291"/>
      <c r="F316" s="296" t="s">
        <v>878</v>
      </c>
      <c r="G316" s="295" t="s">
        <v>953</v>
      </c>
      <c r="H316" s="291" t="s">
        <v>1353</v>
      </c>
      <c r="I316" s="291" t="s">
        <v>1447</v>
      </c>
      <c r="J316" s="297" t="s">
        <v>1449</v>
      </c>
      <c r="K316" s="297" t="s">
        <v>623</v>
      </c>
      <c r="L316" s="293" t="str">
        <f t="shared" si="22"/>
        <v>INSERT INTO Product (CMMF,Model,BarCode,Capacity,[Type],Product,[Range],[ModelName],[Color],[Status]) VALUES
('4200005505','A16018-GV3','8936008708438','','FAN','AsiaVina',N'Quạt Lửng',N'Spring Breeze',N'Lá Đậm','Discontinued')</v>
      </c>
      <c r="M316" s="293"/>
      <c r="N316" s="292" t="s">
        <v>683</v>
      </c>
      <c r="O316" s="292"/>
      <c r="P316" s="292"/>
      <c r="Q316" s="292"/>
      <c r="R316" s="292"/>
      <c r="S316" s="292"/>
      <c r="T316" s="292"/>
      <c r="U316" s="292"/>
      <c r="V316" s="292"/>
      <c r="W316" s="292"/>
      <c r="X316" s="292"/>
      <c r="Y316" s="292"/>
      <c r="Z316" s="292"/>
      <c r="AA316" s="292"/>
      <c r="AB316" s="292"/>
      <c r="AC316" s="292"/>
      <c r="AD316" s="292"/>
      <c r="AE316" s="292"/>
      <c r="AF316" s="292"/>
      <c r="AG316" s="292"/>
      <c r="AH316" s="292"/>
      <c r="AI316" s="292"/>
      <c r="AJ316" s="292"/>
      <c r="AK316" s="380">
        <v>489091</v>
      </c>
      <c r="AL316" s="381">
        <v>489091</v>
      </c>
      <c r="AM316" s="379" t="str">
        <f t="shared" si="23"/>
        <v>INSERT INTO ListedPrice
(ProductId,ActiveDate,Channel,Price)
VALUES(215,'2020-05-01','GT',489091)</v>
      </c>
      <c r="AN316" s="292"/>
      <c r="AO316" s="292"/>
    </row>
    <row r="317" spans="1:41" s="285" customFormat="1">
      <c r="A317" s="339">
        <v>4200005354</v>
      </c>
      <c r="B317" s="297" t="s">
        <v>901</v>
      </c>
      <c r="C317" s="290">
        <f>VLOOKUP(B317,Sheet1!$B$17:$C$451,2,0)</f>
        <v>216</v>
      </c>
      <c r="D317" s="291" t="s">
        <v>1220</v>
      </c>
      <c r="E317" s="291"/>
      <c r="F317" s="296" t="s">
        <v>878</v>
      </c>
      <c r="G317" s="295" t="s">
        <v>953</v>
      </c>
      <c r="H317" s="291" t="s">
        <v>1353</v>
      </c>
      <c r="I317" s="291" t="s">
        <v>1447</v>
      </c>
      <c r="J317" s="297" t="s">
        <v>1448</v>
      </c>
      <c r="K317" s="297" t="s">
        <v>623</v>
      </c>
      <c r="L317" s="293" t="str">
        <f t="shared" si="22"/>
        <v>INSERT INTO Product (CMMF,Model,BarCode,Capacity,[Type],Product,[Range],[ModelName],[Color],[Status]) VALUES
('4200005354','A16018-WV0','8936008705178','','FAN','AsiaVina',N'Quạt Lửng',N'Spring Breeze',N'Trắng xanh','Discontinued')</v>
      </c>
      <c r="M317" s="293"/>
      <c r="N317" s="292" t="s">
        <v>683</v>
      </c>
      <c r="O317" s="292"/>
      <c r="P317" s="292"/>
      <c r="Q317" s="292"/>
      <c r="R317" s="292"/>
      <c r="S317" s="292"/>
      <c r="T317" s="292"/>
      <c r="U317" s="292"/>
      <c r="V317" s="292"/>
      <c r="W317" s="292"/>
      <c r="X317" s="292"/>
      <c r="Y317" s="292"/>
      <c r="Z317" s="292"/>
      <c r="AA317" s="292"/>
      <c r="AB317" s="292"/>
      <c r="AC317" s="292"/>
      <c r="AD317" s="292"/>
      <c r="AE317" s="292"/>
      <c r="AF317" s="292"/>
      <c r="AG317" s="292"/>
      <c r="AH317" s="292"/>
      <c r="AI317" s="292"/>
      <c r="AJ317" s="292"/>
      <c r="AK317" s="329">
        <v>0</v>
      </c>
      <c r="AL317" s="381">
        <v>350000</v>
      </c>
      <c r="AM317" s="379" t="str">
        <f t="shared" si="23"/>
        <v>INSERT INTO ListedPrice
(ProductId,ActiveDate,Channel,Price)
VALUES(216,'2020-05-01','GT',350000)</v>
      </c>
      <c r="AN317" s="292"/>
      <c r="AO317" s="292"/>
    </row>
    <row r="318" spans="1:41" s="287" customFormat="1">
      <c r="A318" s="338">
        <v>4200006855</v>
      </c>
      <c r="B318" s="301" t="s">
        <v>805</v>
      </c>
      <c r="C318" s="290">
        <f>VLOOKUP(B318,Sheet1!$B$17:$C$451,2,0)</f>
        <v>217</v>
      </c>
      <c r="D318" s="291" t="s">
        <v>1221</v>
      </c>
      <c r="E318" s="291"/>
      <c r="F318" s="302" t="s">
        <v>878</v>
      </c>
      <c r="G318" s="302" t="s">
        <v>953</v>
      </c>
      <c r="H318" s="291" t="s">
        <v>1353</v>
      </c>
      <c r="I318" s="291" t="s">
        <v>1447</v>
      </c>
      <c r="J318" s="301" t="s">
        <v>294</v>
      </c>
      <c r="K318" s="303" t="s">
        <v>516</v>
      </c>
      <c r="L318" s="293" t="str">
        <f t="shared" si="22"/>
        <v>INSERT INTO Product (CMMF,Model,BarCode,Capacity,[Type],Product,[Range],[ModelName],[Color],[Status]) VALUES
('4200006855','A16018-XV0','8936008700579','','FAN','AsiaVina',N'Quạt Lửng',N'Spring Breeze',N'Xám','New')</v>
      </c>
      <c r="M318" s="293"/>
      <c r="N318" s="292" t="s">
        <v>683</v>
      </c>
      <c r="O318" s="292"/>
      <c r="P318" s="292"/>
      <c r="Q318" s="292"/>
      <c r="R318" s="292"/>
      <c r="S318" s="292"/>
      <c r="T318" s="292"/>
      <c r="U318" s="292"/>
      <c r="V318" s="292"/>
      <c r="W318" s="292"/>
      <c r="X318" s="292"/>
      <c r="Y318" s="292"/>
      <c r="Z318" s="292"/>
      <c r="AA318" s="292"/>
      <c r="AB318" s="292"/>
      <c r="AC318" s="292"/>
      <c r="AD318" s="292"/>
      <c r="AE318" s="292"/>
      <c r="AF318" s="292"/>
      <c r="AG318" s="292"/>
      <c r="AH318" s="292"/>
      <c r="AI318" s="292"/>
      <c r="AJ318" s="292"/>
      <c r="AK318" s="329">
        <v>0</v>
      </c>
      <c r="AL318" s="381">
        <v>350000</v>
      </c>
      <c r="AM318" s="379" t="str">
        <f t="shared" si="23"/>
        <v>INSERT INTO ListedPrice
(ProductId,ActiveDate,Channel,Price)
VALUES(217,'2020-05-01','GT',350000)</v>
      </c>
      <c r="AN318" s="292"/>
      <c r="AO318" s="292"/>
    </row>
    <row r="319" spans="1:41">
      <c r="A319" s="341">
        <v>4200005358</v>
      </c>
      <c r="B319" s="293" t="s">
        <v>783</v>
      </c>
      <c r="C319" s="290">
        <f>VLOOKUP(B319,Sheet1!$B$17:$C$451,2,0)</f>
        <v>218</v>
      </c>
      <c r="D319" s="291" t="s">
        <v>1222</v>
      </c>
      <c r="E319" s="291"/>
      <c r="F319" s="292" t="s">
        <v>878</v>
      </c>
      <c r="G319" s="291" t="s">
        <v>953</v>
      </c>
      <c r="H319" s="291" t="s">
        <v>1353</v>
      </c>
      <c r="I319" s="291"/>
      <c r="J319" s="293" t="s">
        <v>893</v>
      </c>
      <c r="K319" s="293" t="s">
        <v>872</v>
      </c>
      <c r="L319" s="293" t="str">
        <f t="shared" si="22"/>
        <v>INSERT INTO Product (CMMF,Model,BarCode,Capacity,[Type],Product,[Range],[ModelName],[Color],[Status]) VALUES
('4200005358','A16019-BV0','8936008707530','','FAN','AsiaVina',N'Quạt Lửng',N'',N'Blue Cham','On going')</v>
      </c>
      <c r="M319" s="292" t="s">
        <v>877</v>
      </c>
      <c r="N319" s="292"/>
      <c r="O319" s="292"/>
      <c r="P319" s="292"/>
      <c r="Q319" s="292"/>
      <c r="R319" s="292"/>
      <c r="S319" s="292"/>
      <c r="T319" s="292"/>
      <c r="U319" s="292"/>
      <c r="V319" s="292"/>
      <c r="W319" s="292"/>
      <c r="X319" s="292"/>
      <c r="Y319" s="292"/>
      <c r="Z319" s="292"/>
      <c r="AA319" s="292" t="s">
        <v>872</v>
      </c>
      <c r="AB319" s="292" t="str">
        <f>"INSERT INTO ProductByAccount
( ProductId,AccountId)VALUES
("&amp;C319&amp;",1035)"</f>
        <v>INSERT INTO ProductByAccount
( ProductId,AccountId)VALUES
(218,1035)</v>
      </c>
      <c r="AC319" s="292" t="s">
        <v>872</v>
      </c>
      <c r="AD319" s="292" t="str">
        <f>"INSERT INTO ProductByAccount
( ProductId,AccountId)VALUES
("&amp;C319&amp;",1036)"</f>
        <v>INSERT INTO ProductByAccount
( ProductId,AccountId)VALUES
(218,1036)</v>
      </c>
      <c r="AE319" s="292"/>
      <c r="AF319" s="292"/>
      <c r="AG319" s="292"/>
      <c r="AH319" s="292"/>
      <c r="AI319" s="292"/>
      <c r="AJ319" s="292"/>
      <c r="AK319" s="380">
        <v>516364</v>
      </c>
      <c r="AL319" s="381">
        <v>0</v>
      </c>
      <c r="AM319" s="379" t="str">
        <f>"INSERT INTO ListedPrice
(ProductId,ActiveDate,Channel,Price)
VALUES("&amp;C319&amp;",'2020-05-01','MT',"&amp;AK319&amp;")"</f>
        <v>INSERT INTO ListedPrice
(ProductId,ActiveDate,Channel,Price)
VALUES(218,'2020-05-01','MT',516364)</v>
      </c>
      <c r="AN319" s="292"/>
      <c r="AO319" s="292"/>
    </row>
    <row r="320" spans="1:41" s="285" customFormat="1">
      <c r="A320" s="339">
        <v>4200005850</v>
      </c>
      <c r="B320" s="297" t="s">
        <v>903</v>
      </c>
      <c r="C320" s="290">
        <f>VLOOKUP(B320,Sheet1!$B$17:$C$451,2,0)</f>
        <v>219</v>
      </c>
      <c r="D320" s="291" t="s">
        <v>1223</v>
      </c>
      <c r="E320" s="291"/>
      <c r="F320" s="296" t="s">
        <v>878</v>
      </c>
      <c r="G320" s="295" t="s">
        <v>953</v>
      </c>
      <c r="H320" s="291" t="s">
        <v>1353</v>
      </c>
      <c r="I320" s="291"/>
      <c r="J320" s="297" t="s">
        <v>893</v>
      </c>
      <c r="K320" s="297" t="s">
        <v>623</v>
      </c>
      <c r="L320" s="293" t="str">
        <f t="shared" si="22"/>
        <v>INSERT INTO Product (CMMF,Model,BarCode,Capacity,[Type],Product,[Range],[ModelName],[Color],[Status]) VALUES
('4200005850','A16019-BZ0','8936008707578','','FAN','AsiaVina',N'Quạt Lửng',N'',N'Blue Cham','Discontinued')</v>
      </c>
      <c r="M320" s="333" t="s">
        <v>877</v>
      </c>
      <c r="N320" s="333" t="s">
        <v>683</v>
      </c>
      <c r="O320" s="292"/>
      <c r="P320" s="292"/>
      <c r="Q320" s="292"/>
      <c r="R320" s="292"/>
      <c r="S320" s="292"/>
      <c r="T320" s="292"/>
      <c r="U320" s="292"/>
      <c r="V320" s="292"/>
      <c r="W320" s="292"/>
      <c r="X320" s="292"/>
      <c r="Y320" s="292"/>
      <c r="Z320" s="292"/>
      <c r="AA320" s="292"/>
      <c r="AB320" s="292"/>
      <c r="AC320" s="292"/>
      <c r="AD320" s="292"/>
      <c r="AE320" s="292"/>
      <c r="AF320" s="292"/>
      <c r="AG320" s="292"/>
      <c r="AH320" s="292"/>
      <c r="AI320" s="292"/>
      <c r="AJ320" s="292"/>
      <c r="AK320" s="329">
        <v>0</v>
      </c>
      <c r="AL320" s="381">
        <v>0</v>
      </c>
      <c r="AM320" s="379" t="str">
        <f>"INSERT INTO ListedPrice
(ProductId,ActiveDate,Channel,Price)
VALUES("&amp;C320&amp;",'2020-05-01','MT',"&amp;AK320&amp;")"</f>
        <v>INSERT INTO ListedPrice
(ProductId,ActiveDate,Channel,Price)
VALUES(219,'2020-05-01','MT',0)</v>
      </c>
      <c r="AN320" s="292"/>
      <c r="AO320" s="292"/>
    </row>
    <row r="321" spans="1:41" s="285" customFormat="1">
      <c r="A321" s="339">
        <v>4200005359</v>
      </c>
      <c r="B321" s="297" t="s">
        <v>806</v>
      </c>
      <c r="C321" s="290">
        <f>VLOOKUP(B321,Sheet1!$B$17:$C$451,2,0)</f>
        <v>220</v>
      </c>
      <c r="D321" s="291" t="s">
        <v>1224</v>
      </c>
      <c r="E321" s="291"/>
      <c r="F321" s="296" t="s">
        <v>878</v>
      </c>
      <c r="G321" s="295" t="s">
        <v>953</v>
      </c>
      <c r="H321" s="291" t="s">
        <v>1353</v>
      </c>
      <c r="I321" s="291"/>
      <c r="J321" s="297" t="s">
        <v>897</v>
      </c>
      <c r="K321" s="297" t="s">
        <v>623</v>
      </c>
      <c r="L321" s="293" t="str">
        <f t="shared" si="22"/>
        <v>INSERT INTO Product (CMMF,Model,BarCode,Capacity,[Type],Product,[Range],[ModelName],[Color],[Status]) VALUES
('4200005359','A16019-GV0','8936008707561','','FAN','AsiaVina',N'Quạt Lửng',N'',N'Green Dalat','Discontinued')</v>
      </c>
      <c r="M321" s="292" t="s">
        <v>877</v>
      </c>
      <c r="N321" s="292"/>
      <c r="O321" s="292"/>
      <c r="P321" s="292"/>
      <c r="Q321" s="292"/>
      <c r="R321" s="292"/>
      <c r="S321" s="292"/>
      <c r="T321" s="292"/>
      <c r="U321" s="292"/>
      <c r="V321" s="292"/>
      <c r="W321" s="292"/>
      <c r="X321" s="292"/>
      <c r="Y321" s="292"/>
      <c r="Z321" s="292"/>
      <c r="AA321" s="292"/>
      <c r="AB321" s="292"/>
      <c r="AC321" s="296" t="s">
        <v>623</v>
      </c>
      <c r="AD321" s="292" t="str">
        <f t="shared" ref="AD321:AD326" si="24">"INSERT INTO ProductByAccount
( ProductId,AccountId)VALUES
("&amp;C321&amp;",1036)"</f>
        <v>INSERT INTO ProductByAccount
( ProductId,AccountId)VALUES
(220,1036)</v>
      </c>
      <c r="AE321" s="292" t="s">
        <v>872</v>
      </c>
      <c r="AF321" s="292" t="str">
        <f>"INSERT INTO ProductByAccount
( ProductId,AccountId)VALUES
("&amp;C321&amp;",1037)"</f>
        <v>INSERT INTO ProductByAccount
( ProductId,AccountId)VALUES
(220,1037)</v>
      </c>
      <c r="AG321" s="292"/>
      <c r="AH321" s="292"/>
      <c r="AI321" s="292"/>
      <c r="AJ321" s="292"/>
      <c r="AK321" s="380">
        <v>516364</v>
      </c>
      <c r="AL321" s="381">
        <v>0</v>
      </c>
      <c r="AM321" s="379" t="str">
        <f>"INSERT INTO ListedPrice
(ProductId,ActiveDate,Channel,Price)
VALUES("&amp;C321&amp;",'2020-05-01','MT',"&amp;AK321&amp;")"</f>
        <v>INSERT INTO ListedPrice
(ProductId,ActiveDate,Channel,Price)
VALUES(220,'2020-05-01','MT',516364)</v>
      </c>
      <c r="AN321" s="292"/>
      <c r="AO321" s="292"/>
    </row>
    <row r="322" spans="1:41" s="287" customFormat="1">
      <c r="A322" s="338">
        <v>4200006856</v>
      </c>
      <c r="B322" s="301" t="s">
        <v>807</v>
      </c>
      <c r="C322" s="290">
        <f>VLOOKUP(B322,Sheet1!$B$17:$C$451,2,0)</f>
        <v>221</v>
      </c>
      <c r="D322" s="291" t="s">
        <v>1225</v>
      </c>
      <c r="E322" s="291"/>
      <c r="F322" s="302" t="s">
        <v>878</v>
      </c>
      <c r="G322" s="302" t="s">
        <v>953</v>
      </c>
      <c r="H322" s="291" t="s">
        <v>1353</v>
      </c>
      <c r="I322" s="291"/>
      <c r="J322" s="301"/>
      <c r="K322" s="303" t="s">
        <v>516</v>
      </c>
      <c r="L322" s="293" t="str">
        <f t="shared" si="22"/>
        <v>INSERT INTO Product (CMMF,Model,BarCode,Capacity,[Type],Product,[Range],[ModelName],[Color],[Status]) VALUES
('4200006856','A16019-XV0','8936008700586','','FAN','AsiaVina',N'Quạt Lửng',N'',N'','New')</v>
      </c>
      <c r="M322" s="333" t="s">
        <v>877</v>
      </c>
      <c r="N322" s="333" t="s">
        <v>683</v>
      </c>
      <c r="O322" s="292"/>
      <c r="P322" s="292"/>
      <c r="Q322" s="292"/>
      <c r="R322" s="292"/>
      <c r="S322" s="292"/>
      <c r="T322" s="292"/>
      <c r="U322" s="292"/>
      <c r="V322" s="292"/>
      <c r="W322" s="292"/>
      <c r="X322" s="292"/>
      <c r="Y322" s="292"/>
      <c r="Z322" s="292"/>
      <c r="AA322" s="292"/>
      <c r="AB322" s="292"/>
      <c r="AC322" s="348" t="s">
        <v>516</v>
      </c>
      <c r="AD322" s="292" t="str">
        <f t="shared" si="24"/>
        <v>INSERT INTO ProductByAccount
( ProductId,AccountId)VALUES
(221,1036)</v>
      </c>
      <c r="AE322" s="292" t="s">
        <v>872</v>
      </c>
      <c r="AF322" s="292" t="str">
        <f>"INSERT INTO ProductByAccount
( ProductId,AccountId)VALUES
("&amp;C322&amp;",1037)"</f>
        <v>INSERT INTO ProductByAccount
( ProductId,AccountId)VALUES
(221,1037)</v>
      </c>
      <c r="AG322" s="292"/>
      <c r="AH322" s="292"/>
      <c r="AI322" s="292"/>
      <c r="AJ322" s="292"/>
      <c r="AK322" s="380">
        <v>516364</v>
      </c>
      <c r="AL322" s="381">
        <v>0</v>
      </c>
      <c r="AM322" s="379" t="str">
        <f>"INSERT INTO ListedPrice
(ProductId,ActiveDate,Channel,Price)
VALUES("&amp;C322&amp;",'2020-05-01','MT',"&amp;AK322&amp;")"</f>
        <v>INSERT INTO ListedPrice
(ProductId,ActiveDate,Channel,Price)
VALUES(221,'2020-05-01','MT',516364)</v>
      </c>
      <c r="AN322" s="292"/>
      <c r="AO322" s="292"/>
    </row>
    <row r="323" spans="1:41" s="285" customFormat="1">
      <c r="A323" s="336">
        <v>4200006163</v>
      </c>
      <c r="B323" s="294" t="s">
        <v>808</v>
      </c>
      <c r="C323" s="290">
        <f>VLOOKUP(B323,Sheet1!$B$17:$C$451,2,0)</f>
        <v>222</v>
      </c>
      <c r="D323" s="291" t="s">
        <v>1226</v>
      </c>
      <c r="E323" s="291"/>
      <c r="F323" s="295" t="s">
        <v>878</v>
      </c>
      <c r="G323" s="295" t="s">
        <v>953</v>
      </c>
      <c r="H323" s="291" t="s">
        <v>1353</v>
      </c>
      <c r="I323" s="291" t="s">
        <v>678</v>
      </c>
      <c r="J323" s="294" t="s">
        <v>292</v>
      </c>
      <c r="K323" s="297" t="s">
        <v>623</v>
      </c>
      <c r="L323" s="293" t="str">
        <f t="shared" si="22"/>
        <v>INSERT INTO Product (CMMF,Model,BarCode,Capacity,[Type],Product,[Range],[ModelName],[Color],[Status]) VALUES
('4200006163','A16020-DV0','8936008708988','','FAN','AsiaVina',N'Quạt Lửng',N'Xtra Power &amp; Clear',N'Đen','Discontinued')</v>
      </c>
      <c r="M323" s="292" t="s">
        <v>877</v>
      </c>
      <c r="N323" s="292" t="s">
        <v>683</v>
      </c>
      <c r="O323" s="292"/>
      <c r="P323" s="292"/>
      <c r="Q323" s="292"/>
      <c r="R323" s="292"/>
      <c r="S323" s="292"/>
      <c r="T323" s="292"/>
      <c r="U323" s="292"/>
      <c r="V323" s="292"/>
      <c r="W323" s="292"/>
      <c r="X323" s="292"/>
      <c r="Y323" s="292"/>
      <c r="Z323" s="292"/>
      <c r="AA323" s="296" t="s">
        <v>623</v>
      </c>
      <c r="AB323" s="292" t="str">
        <f>"INSERT INTO ProductByAccount
( ProductId,AccountId)VALUES
("&amp;C323&amp;",1035)"</f>
        <v>INSERT INTO ProductByAccount
( ProductId,AccountId)VALUES
(222,1035)</v>
      </c>
      <c r="AC323" s="296" t="s">
        <v>623</v>
      </c>
      <c r="AD323" s="292" t="str">
        <f t="shared" si="24"/>
        <v>INSERT INTO ProductByAccount
( ProductId,AccountId)VALUES
(222,1036)</v>
      </c>
      <c r="AE323" s="292"/>
      <c r="AF323" s="292"/>
      <c r="AG323" s="292"/>
      <c r="AH323" s="292"/>
      <c r="AI323" s="292"/>
      <c r="AJ323" s="292"/>
      <c r="AK323" s="380">
        <v>659091</v>
      </c>
      <c r="AL323" s="381">
        <v>659091</v>
      </c>
      <c r="AM323" s="379" t="str">
        <f>"INSERT INTO ListedPrice
(ProductId,ActiveDate,Channel,Price)
VALUES("&amp;C323&amp;",'2020-05-01','GT',"&amp;AL323&amp;")"</f>
        <v>INSERT INTO ListedPrice
(ProductId,ActiveDate,Channel,Price)
VALUES(222,'2020-05-01','GT',659091)</v>
      </c>
      <c r="AN323" s="292"/>
      <c r="AO323" s="292"/>
    </row>
    <row r="324" spans="1:41" s="287" customFormat="1">
      <c r="A324" s="338">
        <v>4200006857</v>
      </c>
      <c r="B324" s="301" t="s">
        <v>809</v>
      </c>
      <c r="C324" s="290">
        <f>VLOOKUP(B324,Sheet1!$B$17:$C$451,2,0)</f>
        <v>223</v>
      </c>
      <c r="D324" s="291" t="s">
        <v>1227</v>
      </c>
      <c r="E324" s="291"/>
      <c r="F324" s="302" t="s">
        <v>878</v>
      </c>
      <c r="G324" s="302" t="s">
        <v>953</v>
      </c>
      <c r="H324" s="291" t="s">
        <v>1353</v>
      </c>
      <c r="I324" s="291" t="s">
        <v>678</v>
      </c>
      <c r="J324" s="301" t="s">
        <v>294</v>
      </c>
      <c r="K324" s="303" t="s">
        <v>516</v>
      </c>
      <c r="L324" s="293" t="str">
        <f t="shared" si="22"/>
        <v>INSERT INTO Product (CMMF,Model,BarCode,Capacity,[Type],Product,[Range],[ModelName],[Color],[Status]) VALUES
('4200006857','A16020-XV0','8936008700494','','FAN','AsiaVina',N'Quạt Lửng',N'Xtra Power &amp; Clear',N'Xám','New')</v>
      </c>
      <c r="M324" s="320" t="s">
        <v>877</v>
      </c>
      <c r="N324" s="333" t="s">
        <v>683</v>
      </c>
      <c r="O324" s="292"/>
      <c r="P324" s="292"/>
      <c r="Q324" s="292"/>
      <c r="R324" s="292"/>
      <c r="S324" s="292"/>
      <c r="T324" s="292"/>
      <c r="U324" s="292"/>
      <c r="V324" s="292"/>
      <c r="W324" s="292"/>
      <c r="X324" s="292"/>
      <c r="Y324" s="292"/>
      <c r="Z324" s="292"/>
      <c r="AA324" s="292"/>
      <c r="AB324" s="292"/>
      <c r="AC324" s="348" t="s">
        <v>516</v>
      </c>
      <c r="AD324" s="292" t="str">
        <f t="shared" si="24"/>
        <v>INSERT INTO ProductByAccount
( ProductId,AccountId)VALUES
(223,1036)</v>
      </c>
      <c r="AE324" s="292"/>
      <c r="AF324" s="292"/>
      <c r="AG324" s="292"/>
      <c r="AH324" s="292"/>
      <c r="AI324" s="292"/>
      <c r="AJ324" s="292"/>
      <c r="AK324" s="380">
        <v>659091</v>
      </c>
      <c r="AL324" s="381">
        <v>0</v>
      </c>
      <c r="AM324" s="379" t="str">
        <f>"INSERT INTO ListedPrice
(ProductId,ActiveDate,Channel,Price)
VALUES("&amp;C324&amp;",'2020-05-01','MT',"&amp;AK324&amp;")"</f>
        <v>INSERT INTO ListedPrice
(ProductId,ActiveDate,Channel,Price)
VALUES(223,'2020-05-01','MT',659091)</v>
      </c>
      <c r="AN324" s="292"/>
      <c r="AO324" s="292"/>
    </row>
    <row r="325" spans="1:41" s="285" customFormat="1">
      <c r="A325" s="336">
        <v>4200006160</v>
      </c>
      <c r="B325" s="294" t="s">
        <v>810</v>
      </c>
      <c r="C325" s="290">
        <f>VLOOKUP(B325,Sheet1!$B$17:$C$451,2,0)</f>
        <v>224</v>
      </c>
      <c r="D325" s="291" t="s">
        <v>1228</v>
      </c>
      <c r="E325" s="291"/>
      <c r="F325" s="295" t="s">
        <v>878</v>
      </c>
      <c r="G325" s="295" t="s">
        <v>953</v>
      </c>
      <c r="H325" s="291" t="s">
        <v>1353</v>
      </c>
      <c r="I325" s="291" t="s">
        <v>1468</v>
      </c>
      <c r="J325" s="294" t="s">
        <v>292</v>
      </c>
      <c r="K325" s="297" t="s">
        <v>623</v>
      </c>
      <c r="L325" s="293" t="str">
        <f t="shared" si="22"/>
        <v>INSERT INTO Product (CMMF,Model,BarCode,Capacity,[Type],Product,[Range],[ModelName],[Color],[Status]) VALUES
('4200006160','A16021-DV0','8936008708889','','FAN','AsiaVina',N'Quạt Lửng',N'Xtra Power &amp; Clear Anti-Mosquito',N'Đen','Discontinued')</v>
      </c>
      <c r="M325" s="292" t="s">
        <v>877</v>
      </c>
      <c r="N325" s="292"/>
      <c r="O325" s="292"/>
      <c r="P325" s="292"/>
      <c r="Q325" s="292"/>
      <c r="R325" s="292"/>
      <c r="S325" s="292"/>
      <c r="T325" s="292"/>
      <c r="U325" s="292"/>
      <c r="V325" s="292"/>
      <c r="W325" s="292"/>
      <c r="X325" s="292"/>
      <c r="Y325" s="292"/>
      <c r="Z325" s="292"/>
      <c r="AA325" s="292"/>
      <c r="AB325" s="292"/>
      <c r="AC325" s="296" t="s">
        <v>623</v>
      </c>
      <c r="AD325" s="292" t="str">
        <f t="shared" si="24"/>
        <v>INSERT INTO ProductByAccount
( ProductId,AccountId)VALUES
(224,1036)</v>
      </c>
      <c r="AE325" s="292" t="s">
        <v>1485</v>
      </c>
      <c r="AF325" s="292" t="str">
        <f>"INSERT INTO ProductByAccount
( ProductId,AccountId)VALUES
("&amp;C325&amp;",1037)"</f>
        <v>INSERT INTO ProductByAccount
( ProductId,AccountId)VALUES
(224,1037)</v>
      </c>
      <c r="AG325" s="292"/>
      <c r="AH325" s="292"/>
      <c r="AI325" s="292"/>
      <c r="AJ325" s="292"/>
      <c r="AK325" s="380">
        <v>772727</v>
      </c>
      <c r="AL325" s="381">
        <v>0</v>
      </c>
      <c r="AM325" s="379" t="str">
        <f>"INSERT INTO ListedPrice
(ProductId,ActiveDate,Channel,Price)
VALUES("&amp;C325&amp;",'2020-05-01','MT',"&amp;AK325&amp;")"</f>
        <v>INSERT INTO ListedPrice
(ProductId,ActiveDate,Channel,Price)
VALUES(224,'2020-05-01','MT',772727)</v>
      </c>
      <c r="AN325" s="292"/>
      <c r="AO325" s="292"/>
    </row>
    <row r="326" spans="1:41" s="287" customFormat="1">
      <c r="A326" s="338">
        <v>4200006858</v>
      </c>
      <c r="B326" s="301" t="s">
        <v>811</v>
      </c>
      <c r="C326" s="290">
        <f>VLOOKUP(B326,Sheet1!$B$17:$C$451,2,0)</f>
        <v>225</v>
      </c>
      <c r="D326" s="291" t="s">
        <v>1229</v>
      </c>
      <c r="E326" s="291"/>
      <c r="F326" s="302" t="s">
        <v>878</v>
      </c>
      <c r="G326" s="302" t="s">
        <v>953</v>
      </c>
      <c r="H326" s="291" t="s">
        <v>1353</v>
      </c>
      <c r="I326" s="291" t="s">
        <v>1468</v>
      </c>
      <c r="J326" s="301" t="s">
        <v>294</v>
      </c>
      <c r="K326" s="303" t="s">
        <v>516</v>
      </c>
      <c r="L326" s="293" t="str">
        <f t="shared" si="22"/>
        <v>INSERT INTO Product (CMMF,Model,BarCode,Capacity,[Type],Product,[Range],[ModelName],[Color],[Status]) VALUES
('4200006858','A16021-XV0','8936008700531','','FAN','AsiaVina',N'Quạt Lửng',N'Xtra Power &amp; Clear Anti-Mosquito',N'Xám','New')</v>
      </c>
      <c r="M326" s="320" t="s">
        <v>877</v>
      </c>
      <c r="N326" s="333" t="s">
        <v>683</v>
      </c>
      <c r="O326" s="292"/>
      <c r="P326" s="292"/>
      <c r="Q326" s="292"/>
      <c r="R326" s="292"/>
      <c r="S326" s="292"/>
      <c r="T326" s="292"/>
      <c r="U326" s="292"/>
      <c r="V326" s="292"/>
      <c r="W326" s="292"/>
      <c r="X326" s="292"/>
      <c r="Y326" s="292"/>
      <c r="Z326" s="292"/>
      <c r="AA326" s="292"/>
      <c r="AB326" s="292"/>
      <c r="AC326" s="348" t="s">
        <v>516</v>
      </c>
      <c r="AD326" s="292" t="str">
        <f t="shared" si="24"/>
        <v>INSERT INTO ProductByAccount
( ProductId,AccountId)VALUES
(225,1036)</v>
      </c>
      <c r="AE326" s="292" t="s">
        <v>872</v>
      </c>
      <c r="AF326" s="292" t="str">
        <f>"INSERT INTO ProductByAccount
( ProductId,AccountId)VALUES
("&amp;C326&amp;",1037)"</f>
        <v>INSERT INTO ProductByAccount
( ProductId,AccountId)VALUES
(225,1037)</v>
      </c>
      <c r="AG326" s="292"/>
      <c r="AH326" s="292"/>
      <c r="AI326" s="292"/>
      <c r="AJ326" s="292"/>
      <c r="AK326" s="380">
        <v>772727</v>
      </c>
      <c r="AL326" s="381">
        <v>0</v>
      </c>
      <c r="AM326" s="379" t="str">
        <f>"INSERT INTO ListedPrice
(ProductId,ActiveDate,Channel,Price)
VALUES("&amp;C326&amp;",'2020-05-01','MT',"&amp;AK326&amp;")"</f>
        <v>INSERT INTO ListedPrice
(ProductId,ActiveDate,Channel,Price)
VALUES(225,'2020-05-01','MT',772727)</v>
      </c>
      <c r="AN326" s="292"/>
      <c r="AO326" s="292"/>
    </row>
    <row r="327" spans="1:41" s="285" customFormat="1">
      <c r="A327" s="347">
        <v>4200000070</v>
      </c>
      <c r="B327" s="294" t="s">
        <v>1386</v>
      </c>
      <c r="C327" s="290">
        <f>VLOOKUP(B327,Sheet1!$B$17:$C$451,2,0)</f>
        <v>226</v>
      </c>
      <c r="D327" s="291" t="s">
        <v>1387</v>
      </c>
      <c r="E327" s="291"/>
      <c r="F327" s="295" t="s">
        <v>878</v>
      </c>
      <c r="G327" s="295" t="s">
        <v>953</v>
      </c>
      <c r="H327" s="295" t="s">
        <v>1355</v>
      </c>
      <c r="I327" s="291"/>
      <c r="J327" s="294" t="s">
        <v>294</v>
      </c>
      <c r="K327" s="297" t="s">
        <v>623</v>
      </c>
      <c r="L327" s="293" t="str">
        <f t="shared" si="22"/>
        <v>INSERT INTO Product (CMMF,Model,BarCode,Capacity,[Type],Product,[Range],[ModelName],[Color],[Status]) VALUES
('4200000070','D16009-XV0','8936008709121','','FAN','AsiaVina',N'Quạt Đứng',N'',N'Xám','Discontinued')</v>
      </c>
      <c r="M327" s="333" t="s">
        <v>877</v>
      </c>
      <c r="N327" s="333" t="s">
        <v>683</v>
      </c>
      <c r="O327" s="292"/>
      <c r="P327" s="292"/>
      <c r="Q327" s="292"/>
      <c r="R327" s="292"/>
      <c r="S327" s="292"/>
      <c r="T327" s="292"/>
      <c r="U327" s="292"/>
      <c r="V327" s="292"/>
      <c r="W327" s="292"/>
      <c r="X327" s="292"/>
      <c r="Y327" s="292"/>
      <c r="Z327" s="292"/>
      <c r="AA327" s="292"/>
      <c r="AB327" s="292"/>
      <c r="AC327" s="292"/>
      <c r="AD327" s="292"/>
      <c r="AE327" s="292"/>
      <c r="AF327" s="292"/>
      <c r="AG327" s="292"/>
      <c r="AH327" s="292"/>
      <c r="AI327" s="292"/>
      <c r="AJ327" s="292"/>
      <c r="AK327" s="329"/>
      <c r="AL327" s="381"/>
      <c r="AM327" s="379" t="str">
        <f>"INSERT INTO ListedPrice
(ProductId,ActiveDate,Channel,Price)
VALUES("&amp;C327&amp;",'2020-05-01','MT',"&amp;AK327&amp;")"</f>
        <v>INSERT INTO ListedPrice
(ProductId,ActiveDate,Channel,Price)
VALUES(226,'2020-05-01','MT',)</v>
      </c>
      <c r="AN327" s="292"/>
      <c r="AO327" s="292"/>
    </row>
    <row r="328" spans="1:41" s="285" customFormat="1">
      <c r="A328" s="336">
        <v>4200000071</v>
      </c>
      <c r="B328" s="294" t="s">
        <v>913</v>
      </c>
      <c r="C328" s="290">
        <f>VLOOKUP(B328,Sheet1!$B$17:$C$451,2,0)</f>
        <v>227</v>
      </c>
      <c r="D328" s="291" t="s">
        <v>1242</v>
      </c>
      <c r="E328" s="291"/>
      <c r="F328" s="295" t="s">
        <v>878</v>
      </c>
      <c r="G328" s="295" t="s">
        <v>953</v>
      </c>
      <c r="H328" s="295" t="s">
        <v>1355</v>
      </c>
      <c r="I328" s="291"/>
      <c r="J328" s="294"/>
      <c r="K328" s="297" t="s">
        <v>623</v>
      </c>
      <c r="L328" s="293" t="str">
        <f t="shared" si="22"/>
        <v>INSERT INTO Product (CMMF,Model,BarCode,Capacity,[Type],Product,[Range],[ModelName],[Color],[Status]) VALUES
('4200000071','D16010-EV0','8936008709343','','FAN','AsiaVina',N'Quạt Đứng',N'',N'','Discontinued')</v>
      </c>
      <c r="M328" s="333" t="s">
        <v>877</v>
      </c>
      <c r="N328" s="333" t="s">
        <v>683</v>
      </c>
      <c r="O328" s="292"/>
      <c r="P328" s="292"/>
      <c r="Q328" s="292"/>
      <c r="R328" s="292"/>
      <c r="S328" s="292"/>
      <c r="T328" s="292"/>
      <c r="U328" s="292"/>
      <c r="V328" s="292"/>
      <c r="W328" s="292"/>
      <c r="X328" s="292"/>
      <c r="Y328" s="292"/>
      <c r="Z328" s="292"/>
      <c r="AA328" s="292"/>
      <c r="AB328" s="292"/>
      <c r="AC328" s="292"/>
      <c r="AD328" s="292"/>
      <c r="AE328" s="292"/>
      <c r="AF328" s="292"/>
      <c r="AG328" s="292"/>
      <c r="AH328" s="292"/>
      <c r="AI328" s="292"/>
      <c r="AJ328" s="292"/>
      <c r="AK328" s="380">
        <v>598182</v>
      </c>
      <c r="AL328" s="381">
        <v>0</v>
      </c>
      <c r="AM328" s="379" t="str">
        <f>"INSERT INTO ListedPrice
(ProductId,ActiveDate,Channel,Price)
VALUES("&amp;C328&amp;",'2020-05-01','MT',"&amp;AK328&amp;")"</f>
        <v>INSERT INTO ListedPrice
(ProductId,ActiveDate,Channel,Price)
VALUES(227,'2020-05-01','MT',598182)</v>
      </c>
      <c r="AN328" s="292"/>
      <c r="AO328" s="292"/>
    </row>
    <row r="329" spans="1:41" s="285" customFormat="1">
      <c r="A329" s="339">
        <v>4200000075</v>
      </c>
      <c r="B329" s="297" t="s">
        <v>914</v>
      </c>
      <c r="C329" s="290">
        <f>VLOOKUP(B329,Sheet1!$B$17:$C$451,2,0)</f>
        <v>228</v>
      </c>
      <c r="D329" s="291" t="s">
        <v>1243</v>
      </c>
      <c r="E329" s="291"/>
      <c r="F329" s="296" t="s">
        <v>878</v>
      </c>
      <c r="G329" s="295" t="s">
        <v>953</v>
      </c>
      <c r="H329" s="295" t="s">
        <v>1355</v>
      </c>
      <c r="I329" s="291"/>
      <c r="J329" s="297" t="s">
        <v>882</v>
      </c>
      <c r="K329" s="297" t="s">
        <v>623</v>
      </c>
      <c r="L329" s="293" t="str">
        <f t="shared" si="22"/>
        <v>INSERT INTO Product (CMMF,Model,BarCode,Capacity,[Type],Product,[Range],[ModelName],[Color],[Status]) VALUES
('4200000075','D16011-LV0','8936008709459','','FAN','AsiaVina',N'Quạt Đứng',N'',N'Green','Discontinued')</v>
      </c>
      <c r="M329" s="293"/>
      <c r="N329" s="292" t="s">
        <v>683</v>
      </c>
      <c r="O329" s="292"/>
      <c r="P329" s="292"/>
      <c r="Q329" s="292"/>
      <c r="R329" s="292"/>
      <c r="S329" s="292"/>
      <c r="T329" s="292"/>
      <c r="U329" s="292"/>
      <c r="V329" s="292"/>
      <c r="W329" s="292"/>
      <c r="X329" s="292"/>
      <c r="Y329" s="292"/>
      <c r="Z329" s="292"/>
      <c r="AA329" s="292"/>
      <c r="AB329" s="292"/>
      <c r="AC329" s="292"/>
      <c r="AD329" s="292"/>
      <c r="AE329" s="292"/>
      <c r="AF329" s="292"/>
      <c r="AG329" s="292"/>
      <c r="AH329" s="292"/>
      <c r="AI329" s="292"/>
      <c r="AJ329" s="292"/>
      <c r="AK329" s="380">
        <v>551818</v>
      </c>
      <c r="AL329" s="381">
        <v>551818</v>
      </c>
      <c r="AM329" s="379" t="str">
        <f>"INSERT INTO ListedPrice
(ProductId,ActiveDate,Channel,Price)
VALUES("&amp;C329&amp;",'2020-05-01','GT',"&amp;AL329&amp;")"</f>
        <v>INSERT INTO ListedPrice
(ProductId,ActiveDate,Channel,Price)
VALUES(228,'2020-05-01','GT',551818)</v>
      </c>
      <c r="AN329" s="292"/>
      <c r="AO329" s="292"/>
    </row>
    <row r="330" spans="1:41" s="285" customFormat="1">
      <c r="A330" s="339">
        <v>4200000077</v>
      </c>
      <c r="B330" s="297" t="s">
        <v>915</v>
      </c>
      <c r="C330" s="290">
        <f>VLOOKUP(B330,Sheet1!$B$17:$C$451,2,0)</f>
        <v>229</v>
      </c>
      <c r="D330" s="291" t="s">
        <v>1244</v>
      </c>
      <c r="E330" s="291"/>
      <c r="F330" s="296" t="s">
        <v>878</v>
      </c>
      <c r="G330" s="295" t="s">
        <v>953</v>
      </c>
      <c r="H330" s="295" t="s">
        <v>1355</v>
      </c>
      <c r="I330" s="291"/>
      <c r="J330" s="299" t="s">
        <v>292</v>
      </c>
      <c r="K330" s="297" t="s">
        <v>623</v>
      </c>
      <c r="L330" s="293" t="str">
        <f t="shared" si="22"/>
        <v>INSERT INTO Product (CMMF,Model,BarCode,Capacity,[Type],Product,[Range],[ModelName],[Color],[Status]) VALUES
('4200000077','D16012-DV0','8936008700227','','FAN','AsiaVina',N'Quạt Đứng',N'',N'Đen','Discontinued')</v>
      </c>
      <c r="M330" s="333" t="s">
        <v>877</v>
      </c>
      <c r="N330" s="333" t="s">
        <v>683</v>
      </c>
      <c r="O330" s="292"/>
      <c r="P330" s="292"/>
      <c r="Q330" s="292"/>
      <c r="R330" s="292"/>
      <c r="S330" s="292"/>
      <c r="T330" s="292"/>
      <c r="U330" s="292"/>
      <c r="V330" s="292"/>
      <c r="W330" s="292"/>
      <c r="X330" s="292"/>
      <c r="Y330" s="292"/>
      <c r="Z330" s="292"/>
      <c r="AA330" s="292"/>
      <c r="AB330" s="292"/>
      <c r="AC330" s="292"/>
      <c r="AD330" s="292"/>
      <c r="AE330" s="292"/>
      <c r="AF330" s="292"/>
      <c r="AG330" s="292"/>
      <c r="AH330" s="292"/>
      <c r="AI330" s="292"/>
      <c r="AJ330" s="292"/>
      <c r="AK330" s="380">
        <v>1648182</v>
      </c>
      <c r="AL330" s="381">
        <v>0</v>
      </c>
      <c r="AM330" s="379" t="str">
        <f>"INSERT INTO ListedPrice
(ProductId,ActiveDate,Channel,Price)
VALUES("&amp;C330&amp;",'2020-05-01','MT',"&amp;AK330&amp;")"</f>
        <v>INSERT INTO ListedPrice
(ProductId,ActiveDate,Channel,Price)
VALUES(229,'2020-05-01','MT',1648182)</v>
      </c>
      <c r="AN330" s="292"/>
      <c r="AO330" s="292"/>
    </row>
    <row r="331" spans="1:41" s="285" customFormat="1">
      <c r="A331" s="339">
        <v>4200000079</v>
      </c>
      <c r="B331" s="297" t="s">
        <v>916</v>
      </c>
      <c r="C331" s="290">
        <f>VLOOKUP(B331,Sheet1!$B$17:$C$451,2,0)</f>
        <v>230</v>
      </c>
      <c r="D331" s="291" t="s">
        <v>1245</v>
      </c>
      <c r="E331" s="291"/>
      <c r="F331" s="296" t="s">
        <v>878</v>
      </c>
      <c r="G331" s="295" t="s">
        <v>953</v>
      </c>
      <c r="H331" s="295" t="s">
        <v>1355</v>
      </c>
      <c r="I331" s="291"/>
      <c r="J331" s="297" t="s">
        <v>887</v>
      </c>
      <c r="K331" s="297" t="s">
        <v>623</v>
      </c>
      <c r="L331" s="293" t="str">
        <f t="shared" si="22"/>
        <v>INSERT INTO Product (CMMF,Model,BarCode,Capacity,[Type],Product,[Range],[ModelName],[Color],[Status]) VALUES
('4200000079','D16013-XV0','8936008700098','','FAN','AsiaVina',N'Quạt Đứng',N'',N'Grey','Discontinued')</v>
      </c>
      <c r="M331" s="293"/>
      <c r="N331" s="292" t="s">
        <v>683</v>
      </c>
      <c r="O331" s="292"/>
      <c r="P331" s="292"/>
      <c r="Q331" s="292"/>
      <c r="R331" s="292"/>
      <c r="S331" s="292"/>
      <c r="T331" s="292"/>
      <c r="U331" s="292"/>
      <c r="V331" s="292"/>
      <c r="W331" s="292"/>
      <c r="X331" s="292"/>
      <c r="Y331" s="292"/>
      <c r="Z331" s="292"/>
      <c r="AA331" s="292"/>
      <c r="AB331" s="292"/>
      <c r="AC331" s="292"/>
      <c r="AD331" s="292"/>
      <c r="AE331" s="292"/>
      <c r="AF331" s="292"/>
      <c r="AG331" s="292"/>
      <c r="AH331" s="292"/>
      <c r="AI331" s="292"/>
      <c r="AJ331" s="292"/>
      <c r="AK331" s="380">
        <v>948182</v>
      </c>
      <c r="AL331" s="381">
        <v>948182</v>
      </c>
      <c r="AM331" s="379" t="str">
        <f>"INSERT INTO ListedPrice
(ProductId,ActiveDate,Channel,Price)
VALUES("&amp;C331&amp;",'2020-05-01','GT',"&amp;AL331&amp;")"</f>
        <v>INSERT INTO ListedPrice
(ProductId,ActiveDate,Channel,Price)
VALUES(230,'2020-05-01','GT',948182)</v>
      </c>
      <c r="AN331" s="292"/>
      <c r="AO331" s="292"/>
    </row>
    <row r="332" spans="1:41" s="285" customFormat="1">
      <c r="A332" s="339">
        <v>4200000166</v>
      </c>
      <c r="B332" s="297" t="s">
        <v>917</v>
      </c>
      <c r="C332" s="290">
        <f>VLOOKUP(B332,Sheet1!$B$17:$C$451,2,0)</f>
        <v>231</v>
      </c>
      <c r="D332" s="291" t="s">
        <v>1246</v>
      </c>
      <c r="E332" s="291"/>
      <c r="F332" s="296" t="s">
        <v>878</v>
      </c>
      <c r="G332" s="295" t="s">
        <v>953</v>
      </c>
      <c r="H332" s="295" t="s">
        <v>1355</v>
      </c>
      <c r="I332" s="291"/>
      <c r="J332" s="299" t="s">
        <v>292</v>
      </c>
      <c r="K332" s="297" t="s">
        <v>623</v>
      </c>
      <c r="L332" s="293" t="str">
        <f t="shared" si="22"/>
        <v>INSERT INTO Product (CMMF,Model,BarCode,Capacity,[Type],Product,[Range],[ModelName],[Color],[Status]) VALUES
('4200000166','D16016-DV0','8936008705345','','FAN','AsiaVina',N'Quạt Đứng',N'',N'Đen','Discontinued')</v>
      </c>
      <c r="M332" s="293"/>
      <c r="N332" s="292" t="s">
        <v>683</v>
      </c>
      <c r="O332" s="292"/>
      <c r="P332" s="292"/>
      <c r="Q332" s="292"/>
      <c r="R332" s="292"/>
      <c r="S332" s="292"/>
      <c r="T332" s="292"/>
      <c r="U332" s="292"/>
      <c r="V332" s="292"/>
      <c r="W332" s="292"/>
      <c r="X332" s="292"/>
      <c r="Y332" s="292"/>
      <c r="Z332" s="292"/>
      <c r="AA332" s="292"/>
      <c r="AB332" s="292"/>
      <c r="AC332" s="292"/>
      <c r="AD332" s="292"/>
      <c r="AE332" s="292"/>
      <c r="AF332" s="292"/>
      <c r="AG332" s="292"/>
      <c r="AH332" s="292"/>
      <c r="AI332" s="292"/>
      <c r="AJ332" s="292"/>
      <c r="AK332" s="380">
        <v>683636</v>
      </c>
      <c r="AL332" s="381">
        <v>683636</v>
      </c>
      <c r="AM332" s="379" t="str">
        <f>"INSERT INTO ListedPrice
(ProductId,ActiveDate,Channel,Price)
VALUES("&amp;C332&amp;",'2020-05-01','GT',"&amp;AL332&amp;")"</f>
        <v>INSERT INTO ListedPrice
(ProductId,ActiveDate,Channel,Price)
VALUES(231,'2020-05-01','GT',683636)</v>
      </c>
      <c r="AN332" s="292"/>
      <c r="AO332" s="292"/>
    </row>
    <row r="333" spans="1:41" s="285" customFormat="1">
      <c r="A333" s="336">
        <v>4200000252</v>
      </c>
      <c r="B333" s="294" t="s">
        <v>918</v>
      </c>
      <c r="C333" s="290">
        <f>VLOOKUP(B333,Sheet1!$B$17:$C$451,2,0)</f>
        <v>232</v>
      </c>
      <c r="D333" s="291" t="s">
        <v>1247</v>
      </c>
      <c r="E333" s="291"/>
      <c r="F333" s="295" t="s">
        <v>878</v>
      </c>
      <c r="G333" s="295" t="s">
        <v>953</v>
      </c>
      <c r="H333" s="295" t="s">
        <v>1355</v>
      </c>
      <c r="I333" s="291"/>
      <c r="J333" s="294"/>
      <c r="K333" s="297" t="s">
        <v>623</v>
      </c>
      <c r="L333" s="293" t="str">
        <f t="shared" si="22"/>
        <v>INSERT INTO Product (CMMF,Model,BarCode,Capacity,[Type],Product,[Range],[ModelName],[Color],[Status]) VALUES
('4200000252','D16017-EV0','8936008709848','','FAN','AsiaVina',N'Quạt Đứng',N'',N'','Discontinued')</v>
      </c>
      <c r="M333" s="293"/>
      <c r="N333" s="292" t="s">
        <v>683</v>
      </c>
      <c r="O333" s="292"/>
      <c r="P333" s="292"/>
      <c r="Q333" s="292"/>
      <c r="R333" s="292"/>
      <c r="S333" s="292"/>
      <c r="T333" s="292"/>
      <c r="U333" s="292"/>
      <c r="V333" s="292"/>
      <c r="W333" s="292"/>
      <c r="X333" s="292"/>
      <c r="Y333" s="292"/>
      <c r="Z333" s="292"/>
      <c r="AA333" s="292"/>
      <c r="AB333" s="292"/>
      <c r="AC333" s="292"/>
      <c r="AD333" s="292"/>
      <c r="AE333" s="292"/>
      <c r="AF333" s="292"/>
      <c r="AG333" s="292"/>
      <c r="AH333" s="292"/>
      <c r="AI333" s="292"/>
      <c r="AJ333" s="292"/>
      <c r="AK333" s="380">
        <v>850000</v>
      </c>
      <c r="AL333" s="381">
        <v>850000</v>
      </c>
      <c r="AM333" s="379" t="str">
        <f>"INSERT INTO ListedPrice
(ProductId,ActiveDate,Channel,Price)
VALUES("&amp;C333&amp;",'2020-05-01','GT',"&amp;AL333&amp;")"</f>
        <v>INSERT INTO ListedPrice
(ProductId,ActiveDate,Channel,Price)
VALUES(232,'2020-05-01','GT',850000)</v>
      </c>
      <c r="AN333" s="292"/>
      <c r="AO333" s="292"/>
    </row>
    <row r="334" spans="1:41" s="285" customFormat="1">
      <c r="A334" s="339">
        <v>4200000248</v>
      </c>
      <c r="B334" s="297" t="s">
        <v>919</v>
      </c>
      <c r="C334" s="290">
        <f>VLOOKUP(B334,Sheet1!$B$17:$C$451,2,0)</f>
        <v>233</v>
      </c>
      <c r="D334" s="291" t="s">
        <v>1248</v>
      </c>
      <c r="E334" s="291"/>
      <c r="F334" s="296" t="s">
        <v>878</v>
      </c>
      <c r="G334" s="295" t="s">
        <v>953</v>
      </c>
      <c r="H334" s="295" t="s">
        <v>1355</v>
      </c>
      <c r="I334" s="291"/>
      <c r="J334" s="297" t="s">
        <v>882</v>
      </c>
      <c r="K334" s="297" t="s">
        <v>623</v>
      </c>
      <c r="L334" s="293" t="str">
        <f t="shared" si="22"/>
        <v>INSERT INTO Product (CMMF,Model,BarCode,Capacity,[Type],Product,[Range],[ModelName],[Color],[Status]) VALUES
('4200000248','D16017-LV0','8936008709831','','FAN','AsiaVina',N'Quạt Đứng',N'',N'Green','Discontinued')</v>
      </c>
      <c r="M334" s="293"/>
      <c r="N334" s="292" t="s">
        <v>683</v>
      </c>
      <c r="O334" s="292"/>
      <c r="P334" s="292"/>
      <c r="Q334" s="292"/>
      <c r="R334" s="292"/>
      <c r="S334" s="292"/>
      <c r="T334" s="292"/>
      <c r="U334" s="292"/>
      <c r="V334" s="292"/>
      <c r="W334" s="292"/>
      <c r="X334" s="292"/>
      <c r="Y334" s="292"/>
      <c r="Z334" s="292"/>
      <c r="AA334" s="292"/>
      <c r="AB334" s="292"/>
      <c r="AC334" s="292"/>
      <c r="AD334" s="292"/>
      <c r="AE334" s="292"/>
      <c r="AF334" s="292"/>
      <c r="AG334" s="292"/>
      <c r="AH334" s="292"/>
      <c r="AI334" s="292"/>
      <c r="AJ334" s="292"/>
      <c r="AK334" s="380">
        <v>850000</v>
      </c>
      <c r="AL334" s="381">
        <v>850000</v>
      </c>
      <c r="AM334" s="379" t="str">
        <f>"INSERT INTO ListedPrice
(ProductId,ActiveDate,Channel,Price)
VALUES("&amp;C334&amp;",'2020-05-01','GT',"&amp;AL334&amp;")"</f>
        <v>INSERT INTO ListedPrice
(ProductId,ActiveDate,Channel,Price)
VALUES(233,'2020-05-01','GT',850000)</v>
      </c>
      <c r="AN334" s="292"/>
      <c r="AO334" s="292"/>
    </row>
    <row r="335" spans="1:41" s="285" customFormat="1">
      <c r="A335" s="351">
        <v>4200005360</v>
      </c>
      <c r="B335" s="297" t="s">
        <v>981</v>
      </c>
      <c r="C335" s="290">
        <f>VLOOKUP(B335,Sheet1!$B$17:$C$451,2,0)</f>
        <v>234</v>
      </c>
      <c r="D335" s="291" t="s">
        <v>1250</v>
      </c>
      <c r="E335" s="291"/>
      <c r="F335" s="296" t="s">
        <v>878</v>
      </c>
      <c r="G335" s="295" t="s">
        <v>953</v>
      </c>
      <c r="H335" s="295" t="s">
        <v>1355</v>
      </c>
      <c r="I335" s="291"/>
      <c r="J335" s="297" t="s">
        <v>982</v>
      </c>
      <c r="K335" s="355" t="s">
        <v>1344</v>
      </c>
      <c r="L335" s="293" t="str">
        <f t="shared" si="22"/>
        <v>INSERT INTO Product (CMMF,Model,BarCode,Capacity,[Type],Product,[Range],[ModelName],[Color],[Status]) VALUES
('4200005360','D16018-BV0','8936008709435','','FAN','AsiaVina',N'Quạt Đứng',N'',N'Xanh lam','Update')</v>
      </c>
      <c r="M335" s="333" t="s">
        <v>877</v>
      </c>
      <c r="N335" s="333" t="s">
        <v>683</v>
      </c>
      <c r="O335" s="292"/>
      <c r="P335" s="292"/>
      <c r="Q335" s="333"/>
      <c r="R335" s="333"/>
      <c r="S335" s="292"/>
      <c r="T335" s="292"/>
      <c r="U335" s="292"/>
      <c r="V335" s="292"/>
      <c r="W335" s="292"/>
      <c r="X335" s="292"/>
      <c r="Y335" s="292"/>
      <c r="Z335" s="292"/>
      <c r="AA335" s="292"/>
      <c r="AB335" s="292"/>
      <c r="AC335" s="292"/>
      <c r="AD335" s="292"/>
      <c r="AE335" s="292" t="s">
        <v>1485</v>
      </c>
      <c r="AF335" s="292" t="str">
        <f>"INSERT INTO ProductByAccount
( ProductId,AccountId)VALUES
("&amp;C335&amp;",1037)"</f>
        <v>INSERT INTO ProductByAccount
( ProductId,AccountId)VALUES
(234,1037)</v>
      </c>
      <c r="AG335" s="292"/>
      <c r="AH335" s="292"/>
      <c r="AI335" s="292"/>
      <c r="AJ335" s="292"/>
      <c r="AK335" s="329"/>
      <c r="AL335" s="381"/>
      <c r="AM335" s="379" t="str">
        <f>"INSERT INTO ListedPrice
(ProductId,ActiveDate,Channel,Price)
VALUES("&amp;C335&amp;",'2020-05-01','MT',"&amp;AK335&amp;")"</f>
        <v>INSERT INTO ListedPrice
(ProductId,ActiveDate,Channel,Price)
VALUES(234,'2020-05-01','MT',)</v>
      </c>
      <c r="AN335" s="292"/>
      <c r="AO335" s="292"/>
    </row>
    <row r="336" spans="1:41" s="285" customFormat="1">
      <c r="A336" s="339">
        <v>4200005506</v>
      </c>
      <c r="B336" s="297" t="s">
        <v>920</v>
      </c>
      <c r="C336" s="290">
        <f>VLOOKUP(B336,Sheet1!$B$17:$C$451,2,0)</f>
        <v>235</v>
      </c>
      <c r="D336" s="291" t="s">
        <v>1249</v>
      </c>
      <c r="E336" s="291"/>
      <c r="F336" s="296" t="s">
        <v>878</v>
      </c>
      <c r="G336" s="295" t="s">
        <v>953</v>
      </c>
      <c r="H336" s="295" t="s">
        <v>1355</v>
      </c>
      <c r="I336" s="291"/>
      <c r="J336" s="297" t="s">
        <v>895</v>
      </c>
      <c r="K336" s="297" t="s">
        <v>623</v>
      </c>
      <c r="L336" s="293" t="str">
        <f t="shared" si="22"/>
        <v>INSERT INTO Product (CMMF,Model,BarCode,Capacity,[Type],Product,[Range],[ModelName],[Color],[Status]) VALUES
('4200005506','D16018-BV1','8936008708445','','FAN','AsiaVina',N'Quạt Đứng',N'',N'Blue Halong','Discontinued')</v>
      </c>
      <c r="M336" s="333" t="s">
        <v>877</v>
      </c>
      <c r="N336" s="333" t="s">
        <v>683</v>
      </c>
      <c r="O336" s="292"/>
      <c r="P336" s="292"/>
      <c r="Q336" s="333"/>
      <c r="R336" s="333"/>
      <c r="S336" s="292"/>
      <c r="T336" s="292"/>
      <c r="U336" s="292"/>
      <c r="V336" s="292"/>
      <c r="W336" s="292"/>
      <c r="X336" s="292"/>
      <c r="Y336" s="292"/>
      <c r="Z336" s="292"/>
      <c r="AA336" s="292"/>
      <c r="AB336" s="292"/>
      <c r="AC336" s="292"/>
      <c r="AD336" s="292"/>
      <c r="AE336" s="292"/>
      <c r="AF336" s="292"/>
      <c r="AG336" s="292"/>
      <c r="AH336" s="292"/>
      <c r="AI336" s="292"/>
      <c r="AJ336" s="292"/>
      <c r="AK336" s="380">
        <v>647273</v>
      </c>
      <c r="AL336" s="381">
        <v>0</v>
      </c>
      <c r="AM336" s="379" t="str">
        <f>"INSERT INTO ListedPrice
(ProductId,ActiveDate,Channel,Price)
VALUES("&amp;C336&amp;",'2020-05-01','MT',"&amp;AK336&amp;")"</f>
        <v>INSERT INTO ListedPrice
(ProductId,ActiveDate,Channel,Price)
VALUES(235,'2020-05-01','MT',647273)</v>
      </c>
      <c r="AN336" s="292"/>
      <c r="AO336" s="292"/>
    </row>
    <row r="337" spans="1:41" s="285" customFormat="1">
      <c r="A337" s="339">
        <v>4200005362</v>
      </c>
      <c r="B337" s="297" t="s">
        <v>817</v>
      </c>
      <c r="C337" s="290">
        <f>VLOOKUP(B337,Sheet1!$B$17:$C$451,2,0)</f>
        <v>236</v>
      </c>
      <c r="D337" s="291" t="s">
        <v>1251</v>
      </c>
      <c r="E337" s="291"/>
      <c r="F337" s="296" t="s">
        <v>878</v>
      </c>
      <c r="G337" s="295" t="s">
        <v>953</v>
      </c>
      <c r="H337" s="295" t="s">
        <v>1355</v>
      </c>
      <c r="I337" s="291"/>
      <c r="J337" s="297" t="s">
        <v>897</v>
      </c>
      <c r="K337" s="297" t="s">
        <v>623</v>
      </c>
      <c r="L337" s="293" t="str">
        <f t="shared" si="22"/>
        <v>INSERT INTO Product (CMMF,Model,BarCode,Capacity,[Type],Product,[Range],[ModelName],[Color],[Status]) VALUES
('4200005362','D16018-GV0','8936008709473','','FAN','AsiaVina',N'Quạt Đứng',N'',N'Green Dalat','Discontinued')</v>
      </c>
      <c r="M337" s="292" t="s">
        <v>877</v>
      </c>
      <c r="N337" s="292"/>
      <c r="O337" s="292"/>
      <c r="P337" s="292"/>
      <c r="Q337" s="333"/>
      <c r="R337" s="333"/>
      <c r="S337" s="292"/>
      <c r="T337" s="292"/>
      <c r="U337" s="292"/>
      <c r="V337" s="292"/>
      <c r="W337" s="292"/>
      <c r="X337" s="292"/>
      <c r="Y337" s="292"/>
      <c r="Z337" s="292"/>
      <c r="AA337" s="292"/>
      <c r="AB337" s="292"/>
      <c r="AC337" s="292"/>
      <c r="AD337" s="292"/>
      <c r="AE337" s="292"/>
      <c r="AF337" s="292"/>
      <c r="AG337" s="292"/>
      <c r="AH337" s="292"/>
      <c r="AI337" s="292"/>
      <c r="AJ337" s="292"/>
      <c r="AK337" s="380">
        <v>647273</v>
      </c>
      <c r="AL337" s="381">
        <v>0</v>
      </c>
      <c r="AM337" s="379" t="str">
        <f>"INSERT INTO ListedPrice
(ProductId,ActiveDate,Channel,Price)
VALUES("&amp;C337&amp;",'2020-05-01','MT',"&amp;AK337&amp;")"</f>
        <v>INSERT INTO ListedPrice
(ProductId,ActiveDate,Channel,Price)
VALUES(236,'2020-05-01','MT',647273)</v>
      </c>
      <c r="AN337" s="292"/>
      <c r="AO337" s="292"/>
    </row>
    <row r="338" spans="1:41" s="285" customFormat="1">
      <c r="A338" s="339">
        <v>4200005507</v>
      </c>
      <c r="B338" s="297" t="s">
        <v>921</v>
      </c>
      <c r="C338" s="290">
        <f>VLOOKUP(B338,Sheet1!$B$17:$C$451,2,0)</f>
        <v>237</v>
      </c>
      <c r="D338" s="291" t="s">
        <v>1252</v>
      </c>
      <c r="E338" s="291"/>
      <c r="F338" s="296" t="s">
        <v>878</v>
      </c>
      <c r="G338" s="295" t="s">
        <v>953</v>
      </c>
      <c r="H338" s="295" t="s">
        <v>1355</v>
      </c>
      <c r="I338" s="291"/>
      <c r="J338" s="297" t="s">
        <v>899</v>
      </c>
      <c r="K338" s="297" t="s">
        <v>623</v>
      </c>
      <c r="L338" s="293" t="str">
        <f t="shared" si="22"/>
        <v>INSERT INTO Product (CMMF,Model,BarCode,Capacity,[Type],Product,[Range],[ModelName],[Color],[Status]) VALUES
('4200005507','D16018-GV1','8936008708452','','FAN','AsiaVina',N'Quạt Đứng',N'',N'Green Shamrock','Discontinued')</v>
      </c>
      <c r="M338" s="333" t="s">
        <v>877</v>
      </c>
      <c r="N338" s="333" t="s">
        <v>683</v>
      </c>
      <c r="O338" s="292"/>
      <c r="P338" s="292"/>
      <c r="Q338" s="333"/>
      <c r="R338" s="333"/>
      <c r="S338" s="292"/>
      <c r="T338" s="292"/>
      <c r="U338" s="292"/>
      <c r="V338" s="292"/>
      <c r="W338" s="292"/>
      <c r="X338" s="292"/>
      <c r="Y338" s="292"/>
      <c r="Z338" s="292"/>
      <c r="AA338" s="292"/>
      <c r="AB338" s="292"/>
      <c r="AC338" s="292"/>
      <c r="AD338" s="292"/>
      <c r="AE338" s="292"/>
      <c r="AF338" s="292"/>
      <c r="AG338" s="292"/>
      <c r="AH338" s="292"/>
      <c r="AI338" s="292"/>
      <c r="AJ338" s="292"/>
      <c r="AK338" s="380">
        <v>647273</v>
      </c>
      <c r="AL338" s="381">
        <v>0</v>
      </c>
      <c r="AM338" s="379" t="str">
        <f>"INSERT INTO ListedPrice
(ProductId,ActiveDate,Channel,Price)
VALUES("&amp;C338&amp;",'2020-05-01','MT',"&amp;AK338&amp;")"</f>
        <v>INSERT INTO ListedPrice
(ProductId,ActiveDate,Channel,Price)
VALUES(237,'2020-05-01','MT',647273)</v>
      </c>
      <c r="AN338" s="292"/>
      <c r="AO338" s="292"/>
    </row>
    <row r="339" spans="1:41" s="285" customFormat="1">
      <c r="A339" s="339">
        <v>4200005361</v>
      </c>
      <c r="B339" s="297" t="s">
        <v>922</v>
      </c>
      <c r="C339" s="290">
        <f>VLOOKUP(B339,Sheet1!$B$17:$C$451,2,0)</f>
        <v>238</v>
      </c>
      <c r="D339" s="291" t="s">
        <v>1253</v>
      </c>
      <c r="E339" s="291"/>
      <c r="F339" s="296" t="s">
        <v>878</v>
      </c>
      <c r="G339" s="295" t="s">
        <v>953</v>
      </c>
      <c r="H339" s="295" t="s">
        <v>1355</v>
      </c>
      <c r="I339" s="291"/>
      <c r="J339" s="297" t="s">
        <v>902</v>
      </c>
      <c r="K339" s="297" t="s">
        <v>623</v>
      </c>
      <c r="L339" s="293" t="str">
        <f t="shared" si="22"/>
        <v>INSERT INTO Product (CMMF,Model,BarCode,Capacity,[Type],Product,[Range],[ModelName],[Color],[Status]) VALUES
('4200005361','D16018-WV0','8936008709404','','FAN','AsiaVina',N'Quạt Đứng',N'',N'White','Discontinued')</v>
      </c>
      <c r="M339" s="333" t="s">
        <v>877</v>
      </c>
      <c r="N339" s="333" t="s">
        <v>683</v>
      </c>
      <c r="O339" s="292"/>
      <c r="P339" s="292"/>
      <c r="Q339" s="333"/>
      <c r="R339" s="333"/>
      <c r="S339" s="292"/>
      <c r="T339" s="292"/>
      <c r="U339" s="292"/>
      <c r="V339" s="292"/>
      <c r="W339" s="292"/>
      <c r="X339" s="292"/>
      <c r="Y339" s="292"/>
      <c r="Z339" s="292"/>
      <c r="AA339" s="292"/>
      <c r="AB339" s="292"/>
      <c r="AC339" s="292"/>
      <c r="AD339" s="292"/>
      <c r="AE339" s="292"/>
      <c r="AF339" s="292"/>
      <c r="AG339" s="292"/>
      <c r="AH339" s="292"/>
      <c r="AI339" s="292"/>
      <c r="AJ339" s="292"/>
      <c r="AK339" s="380">
        <v>647273</v>
      </c>
      <c r="AL339" s="381">
        <v>0</v>
      </c>
      <c r="AM339" s="379" t="str">
        <f>"INSERT INTO ListedPrice
(ProductId,ActiveDate,Channel,Price)
VALUES("&amp;C339&amp;",'2020-05-01','MT',"&amp;AK339&amp;")"</f>
        <v>INSERT INTO ListedPrice
(ProductId,ActiveDate,Channel,Price)
VALUES(238,'2020-05-01','MT',647273)</v>
      </c>
      <c r="AN339" s="292"/>
      <c r="AO339" s="292"/>
    </row>
    <row r="340" spans="1:41" s="285" customFormat="1">
      <c r="A340" s="339">
        <v>4200005370</v>
      </c>
      <c r="B340" s="297" t="s">
        <v>923</v>
      </c>
      <c r="C340" s="290">
        <f>VLOOKUP(B340,Sheet1!$B$17:$C$451,2,0)</f>
        <v>239</v>
      </c>
      <c r="D340" s="291" t="s">
        <v>1254</v>
      </c>
      <c r="E340" s="291"/>
      <c r="F340" s="296" t="s">
        <v>878</v>
      </c>
      <c r="G340" s="295" t="s">
        <v>953</v>
      </c>
      <c r="H340" s="295" t="s">
        <v>1355</v>
      </c>
      <c r="I340" s="291"/>
      <c r="J340" s="299" t="s">
        <v>292</v>
      </c>
      <c r="K340" s="297" t="s">
        <v>623</v>
      </c>
      <c r="L340" s="293" t="str">
        <f t="shared" si="22"/>
        <v>INSERT INTO Product (CMMF,Model,BarCode,Capacity,[Type],Product,[Range],[ModelName],[Color],[Status]) VALUES
('4200005370','D16019-DV0','8936008709114','','FAN','AsiaVina',N'Quạt Đứng',N'',N'Đen','Discontinued')</v>
      </c>
      <c r="M340" s="293"/>
      <c r="N340" s="292" t="s">
        <v>683</v>
      </c>
      <c r="O340" s="292"/>
      <c r="P340" s="292"/>
      <c r="Q340" s="292"/>
      <c r="R340" s="292"/>
      <c r="S340" s="292"/>
      <c r="T340" s="292"/>
      <c r="U340" s="292"/>
      <c r="V340" s="292"/>
      <c r="W340" s="292"/>
      <c r="X340" s="292"/>
      <c r="Y340" s="292"/>
      <c r="Z340" s="292"/>
      <c r="AA340" s="292"/>
      <c r="AB340" s="292"/>
      <c r="AC340" s="292"/>
      <c r="AD340" s="292"/>
      <c r="AE340" s="292"/>
      <c r="AF340" s="292"/>
      <c r="AG340" s="292"/>
      <c r="AH340" s="292"/>
      <c r="AI340" s="292"/>
      <c r="AJ340" s="292"/>
      <c r="AK340" s="380">
        <v>1611818</v>
      </c>
      <c r="AL340" s="381">
        <v>1611818</v>
      </c>
      <c r="AM340" s="379" t="str">
        <f>"INSERT INTO ListedPrice
(ProductId,ActiveDate,Channel,Price)
VALUES("&amp;C340&amp;",'2020-05-01','GT',"&amp;AL340&amp;")"</f>
        <v>INSERT INTO ListedPrice
(ProductId,ActiveDate,Channel,Price)
VALUES(239,'2020-05-01','GT',1611818)</v>
      </c>
      <c r="AN340" s="292"/>
      <c r="AO340" s="292"/>
    </row>
    <row r="341" spans="1:41" s="285" customFormat="1">
      <c r="A341" s="339">
        <v>4200005514</v>
      </c>
      <c r="B341" s="297" t="s">
        <v>924</v>
      </c>
      <c r="C341" s="290">
        <f>VLOOKUP(B341,Sheet1!$B$17:$C$451,2,0)</f>
        <v>240</v>
      </c>
      <c r="D341" s="291" t="s">
        <v>1255</v>
      </c>
      <c r="E341" s="291"/>
      <c r="F341" s="296" t="s">
        <v>878</v>
      </c>
      <c r="G341" s="295" t="s">
        <v>953</v>
      </c>
      <c r="H341" s="295" t="s">
        <v>1355</v>
      </c>
      <c r="I341" s="291"/>
      <c r="J341" s="297" t="s">
        <v>902</v>
      </c>
      <c r="K341" s="297" t="s">
        <v>623</v>
      </c>
      <c r="L341" s="293" t="str">
        <f t="shared" si="22"/>
        <v>INSERT INTO Product (CMMF,Model,BarCode,Capacity,[Type],Product,[Range],[ModelName],[Color],[Status]) VALUES
('4200005514','D16019-WV0','8936008708544','','FAN','AsiaVina',N'Quạt Đứng',N'',N'White','Discontinued')</v>
      </c>
      <c r="M341" s="333" t="s">
        <v>877</v>
      </c>
      <c r="N341" s="333" t="s">
        <v>683</v>
      </c>
      <c r="O341" s="292"/>
      <c r="P341" s="292"/>
      <c r="Q341" s="292"/>
      <c r="R341" s="292"/>
      <c r="S341" s="292"/>
      <c r="T341" s="292"/>
      <c r="U341" s="292"/>
      <c r="V341" s="292"/>
      <c r="W341" s="292"/>
      <c r="X341" s="292"/>
      <c r="Y341" s="292"/>
      <c r="Z341" s="292"/>
      <c r="AA341" s="292"/>
      <c r="AB341" s="292"/>
      <c r="AC341" s="292"/>
      <c r="AD341" s="292"/>
      <c r="AE341" s="292"/>
      <c r="AF341" s="292"/>
      <c r="AG341" s="292"/>
      <c r="AH341" s="292"/>
      <c r="AI341" s="292"/>
      <c r="AJ341" s="292"/>
      <c r="AK341" s="380">
        <v>1611818</v>
      </c>
      <c r="AL341" s="381">
        <v>0</v>
      </c>
      <c r="AM341" s="379" t="str">
        <f>"INSERT INTO ListedPrice
(ProductId,ActiveDate,Channel,Price)
VALUES("&amp;C341&amp;",'2020-05-01','MT',"&amp;AK341&amp;")"</f>
        <v>INSERT INTO ListedPrice
(ProductId,ActiveDate,Channel,Price)
VALUES(240,'2020-05-01','MT',1611818)</v>
      </c>
      <c r="AN341" s="292"/>
      <c r="AO341" s="292"/>
    </row>
    <row r="342" spans="1:41" s="285" customFormat="1">
      <c r="A342" s="351">
        <v>4200005374</v>
      </c>
      <c r="B342" s="297" t="s">
        <v>1384</v>
      </c>
      <c r="C342" s="290">
        <f>VLOOKUP(B342,Sheet1!$B$17:$C$451,2,0)</f>
        <v>241</v>
      </c>
      <c r="D342" s="291" t="s">
        <v>1385</v>
      </c>
      <c r="E342" s="291"/>
      <c r="F342" s="296" t="s">
        <v>878</v>
      </c>
      <c r="G342" s="295" t="s">
        <v>953</v>
      </c>
      <c r="H342" s="295" t="s">
        <v>1355</v>
      </c>
      <c r="I342" s="291" t="s">
        <v>1344</v>
      </c>
      <c r="J342" s="297" t="s">
        <v>292</v>
      </c>
      <c r="K342" s="297" t="s">
        <v>623</v>
      </c>
      <c r="L342" s="293" t="str">
        <f t="shared" si="22"/>
        <v>INSERT INTO Product (CMMF,Model,BarCode,Capacity,[Type],Product,[Range],[ModelName],[Color],[Status]) VALUES
('4200005374','D16020-DV0','8936008709688','','FAN','AsiaVina',N'Quạt Đứng',N'Update',N'Đen','Discontinued')</v>
      </c>
      <c r="M342" s="320" t="s">
        <v>877</v>
      </c>
      <c r="N342" s="333" t="s">
        <v>683</v>
      </c>
      <c r="O342" s="292"/>
      <c r="P342" s="292"/>
      <c r="Q342" s="292"/>
      <c r="R342" s="292"/>
      <c r="S342" s="292"/>
      <c r="T342" s="292"/>
      <c r="U342" s="292"/>
      <c r="V342" s="292"/>
      <c r="W342" s="292"/>
      <c r="X342" s="292"/>
      <c r="Y342" s="292"/>
      <c r="Z342" s="292"/>
      <c r="AA342" s="292"/>
      <c r="AB342" s="292"/>
      <c r="AC342" s="292"/>
      <c r="AD342" s="292"/>
      <c r="AE342" s="292"/>
      <c r="AF342" s="292"/>
      <c r="AG342" s="292"/>
      <c r="AH342" s="292"/>
      <c r="AI342" s="292"/>
      <c r="AJ342" s="292"/>
      <c r="AK342" s="329"/>
      <c r="AL342" s="381"/>
      <c r="AM342" s="379" t="str">
        <f>"INSERT INTO ListedPrice
(ProductId,ActiveDate,Channel,Price)
VALUES("&amp;C342&amp;",'2020-05-01','MT',"&amp;AK342&amp;")"</f>
        <v>INSERT INTO ListedPrice
(ProductId,ActiveDate,Channel,Price)
VALUES(241,'2020-05-01','MT',)</v>
      </c>
      <c r="AN342" s="292"/>
      <c r="AO342" s="292"/>
    </row>
    <row r="343" spans="1:41" s="285" customFormat="1">
      <c r="A343" s="339">
        <v>4200005866</v>
      </c>
      <c r="B343" s="307" t="s">
        <v>818</v>
      </c>
      <c r="C343" s="290">
        <f>VLOOKUP(B343,Sheet1!$B$17:$C$451,2,0)</f>
        <v>242</v>
      </c>
      <c r="D343" s="291" t="s">
        <v>1256</v>
      </c>
      <c r="E343" s="291"/>
      <c r="F343" s="295" t="s">
        <v>878</v>
      </c>
      <c r="G343" s="295" t="s">
        <v>953</v>
      </c>
      <c r="H343" s="295" t="s">
        <v>1355</v>
      </c>
      <c r="I343" s="291" t="s">
        <v>674</v>
      </c>
      <c r="J343" s="294" t="s">
        <v>982</v>
      </c>
      <c r="K343" s="297" t="s">
        <v>623</v>
      </c>
      <c r="L343" s="293" t="str">
        <f t="shared" si="22"/>
        <v>INSERT INTO Product (CMMF,Model,BarCode,Capacity,[Type],Product,[Range],[ModelName],[Color],[Status]) VALUES
('4200005866','D16021-BV1','8936008709220','','FAN','AsiaVina',N'Quạt Đứng',N'Power',N'Xanh lam','Discontinued')</v>
      </c>
      <c r="M343" s="292" t="s">
        <v>877</v>
      </c>
      <c r="N343" s="292" t="s">
        <v>683</v>
      </c>
      <c r="O343" s="292"/>
      <c r="P343" s="292"/>
      <c r="Q343" s="333"/>
      <c r="R343" s="333"/>
      <c r="S343" s="292"/>
      <c r="T343" s="292"/>
      <c r="U343" s="292"/>
      <c r="V343" s="292"/>
      <c r="W343" s="292"/>
      <c r="X343" s="292"/>
      <c r="Y343" s="292"/>
      <c r="Z343" s="292"/>
      <c r="AA343" s="292"/>
      <c r="AB343" s="292"/>
      <c r="AC343" s="292"/>
      <c r="AD343" s="292"/>
      <c r="AE343" s="292"/>
      <c r="AF343" s="292"/>
      <c r="AG343" s="292"/>
      <c r="AH343" s="292"/>
      <c r="AI343" s="292"/>
      <c r="AJ343" s="292"/>
      <c r="AK343" s="380">
        <v>500000</v>
      </c>
      <c r="AL343" s="381">
        <v>500000</v>
      </c>
      <c r="AM343" s="379" t="str">
        <f>"INSERT INTO ListedPrice
(ProductId,ActiveDate,Channel,Price)
VALUES("&amp;C343&amp;",'2020-05-01','GT',"&amp;AL343&amp;")"</f>
        <v>INSERT INTO ListedPrice
(ProductId,ActiveDate,Channel,Price)
VALUES(242,'2020-05-01','GT',500000)</v>
      </c>
      <c r="AN343" s="292"/>
      <c r="AO343" s="292"/>
    </row>
    <row r="344" spans="1:41" s="285" customFormat="1">
      <c r="A344" s="336">
        <v>4200005865</v>
      </c>
      <c r="B344" s="294" t="s">
        <v>819</v>
      </c>
      <c r="C344" s="290">
        <f>VLOOKUP(B344,Sheet1!$B$17:$C$451,2,0)</f>
        <v>243</v>
      </c>
      <c r="D344" s="291" t="s">
        <v>1257</v>
      </c>
      <c r="E344" s="291"/>
      <c r="F344" s="295" t="s">
        <v>878</v>
      </c>
      <c r="G344" s="295" t="s">
        <v>953</v>
      </c>
      <c r="H344" s="295" t="s">
        <v>1355</v>
      </c>
      <c r="I344" s="291" t="s">
        <v>674</v>
      </c>
      <c r="J344" s="294" t="s">
        <v>1416</v>
      </c>
      <c r="K344" s="297" t="s">
        <v>623</v>
      </c>
      <c r="L344" s="293" t="str">
        <f t="shared" si="22"/>
        <v>INSERT INTO Product (CMMF,Model,BarCode,Capacity,[Type],Product,[Range],[ModelName],[Color],[Status]) VALUES
('4200005865','D16021-GV0','8936008709213','','FAN','AsiaVina',N'Quạt Đứng',N'Power',N'Xanh Lá','Discontinued')</v>
      </c>
      <c r="M344" s="292" t="s">
        <v>877</v>
      </c>
      <c r="N344" s="292" t="s">
        <v>683</v>
      </c>
      <c r="O344" s="292"/>
      <c r="P344" s="292"/>
      <c r="Q344" s="333"/>
      <c r="R344" s="333"/>
      <c r="S344" s="292"/>
      <c r="T344" s="292"/>
      <c r="U344" s="292"/>
      <c r="V344" s="292"/>
      <c r="W344" s="292"/>
      <c r="X344" s="292"/>
      <c r="Y344" s="292"/>
      <c r="Z344" s="292"/>
      <c r="AA344" s="292"/>
      <c r="AB344" s="292"/>
      <c r="AC344" s="292"/>
      <c r="AD344" s="292"/>
      <c r="AE344" s="292"/>
      <c r="AF344" s="292"/>
      <c r="AG344" s="292"/>
      <c r="AH344" s="292"/>
      <c r="AI344" s="292"/>
      <c r="AJ344" s="292"/>
      <c r="AK344" s="380">
        <v>500000</v>
      </c>
      <c r="AL344" s="381">
        <v>500000</v>
      </c>
      <c r="AM344" s="379" t="str">
        <f>"INSERT INTO ListedPrice
(ProductId,ActiveDate,Channel,Price)
VALUES("&amp;C344&amp;",'2020-05-01','GT',"&amp;AL344&amp;")"</f>
        <v>INSERT INTO ListedPrice
(ProductId,ActiveDate,Channel,Price)
VALUES(243,'2020-05-01','GT',500000)</v>
      </c>
      <c r="AN344" s="292"/>
      <c r="AO344" s="292"/>
    </row>
    <row r="345" spans="1:41" s="287" customFormat="1">
      <c r="A345" s="338">
        <v>4200006861</v>
      </c>
      <c r="B345" s="301" t="s">
        <v>820</v>
      </c>
      <c r="C345" s="290">
        <f>VLOOKUP(B345,Sheet1!$B$17:$C$451,2,0)</f>
        <v>244</v>
      </c>
      <c r="D345" s="291" t="s">
        <v>1258</v>
      </c>
      <c r="E345" s="291"/>
      <c r="F345" s="302" t="s">
        <v>878</v>
      </c>
      <c r="G345" s="302" t="s">
        <v>953</v>
      </c>
      <c r="H345" s="295" t="s">
        <v>1355</v>
      </c>
      <c r="I345" s="291" t="s">
        <v>674</v>
      </c>
      <c r="J345" s="301" t="s">
        <v>294</v>
      </c>
      <c r="K345" s="303" t="s">
        <v>516</v>
      </c>
      <c r="L345" s="293" t="str">
        <f t="shared" si="22"/>
        <v>INSERT INTO Product (CMMF,Model,BarCode,Capacity,[Type],Product,[Range],[ModelName],[Color],[Status]) VALUES
('4200006861','D16021-XV0','8936008700678','','FAN','AsiaVina',N'Quạt Đứng',N'Power',N'Xám','New')</v>
      </c>
      <c r="M345" s="320" t="s">
        <v>877</v>
      </c>
      <c r="N345" s="333" t="s">
        <v>683</v>
      </c>
      <c r="O345" s="292"/>
      <c r="P345" s="292"/>
      <c r="Q345" s="333"/>
      <c r="R345" s="333"/>
      <c r="S345" s="292"/>
      <c r="T345" s="292"/>
      <c r="U345" s="292"/>
      <c r="V345" s="292"/>
      <c r="W345" s="292"/>
      <c r="X345" s="292"/>
      <c r="Y345" s="292"/>
      <c r="Z345" s="292"/>
      <c r="AA345" s="348" t="s">
        <v>516</v>
      </c>
      <c r="AB345" s="292" t="str">
        <f>"INSERT INTO ProductByAccount
( ProductId,AccountId)VALUES
("&amp;C345&amp;",1035)"</f>
        <v>INSERT INTO ProductByAccount
( ProductId,AccountId)VALUES
(244,1035)</v>
      </c>
      <c r="AC345" s="348" t="s">
        <v>516</v>
      </c>
      <c r="AD345" s="292" t="str">
        <f>"INSERT INTO ProductByAccount
( ProductId,AccountId)VALUES
("&amp;C345&amp;",1036)"</f>
        <v>INSERT INTO ProductByAccount
( ProductId,AccountId)VALUES
(244,1036)</v>
      </c>
      <c r="AE345" s="292"/>
      <c r="AF345" s="292"/>
      <c r="AG345" s="292"/>
      <c r="AH345" s="292"/>
      <c r="AI345" s="292"/>
      <c r="AJ345" s="292"/>
      <c r="AK345" s="380">
        <v>545455</v>
      </c>
      <c r="AL345" s="381">
        <v>0</v>
      </c>
      <c r="AM345" s="379" t="str">
        <f>"INSERT INTO ListedPrice
(ProductId,ActiveDate,Channel,Price)
VALUES("&amp;C345&amp;",'2020-05-01','MT',"&amp;AK345&amp;")"</f>
        <v>INSERT INTO ListedPrice
(ProductId,ActiveDate,Channel,Price)
VALUES(244,'2020-05-01','MT',545455)</v>
      </c>
      <c r="AN345" s="292"/>
      <c r="AO345" s="292"/>
    </row>
    <row r="346" spans="1:41" s="285" customFormat="1">
      <c r="A346" s="336">
        <v>4200006162</v>
      </c>
      <c r="B346" s="294" t="s">
        <v>821</v>
      </c>
      <c r="C346" s="290">
        <f>VLOOKUP(B346,Sheet1!$B$17:$C$451,2,0)</f>
        <v>245</v>
      </c>
      <c r="D346" s="291" t="s">
        <v>1259</v>
      </c>
      <c r="E346" s="291"/>
      <c r="F346" s="295" t="s">
        <v>878</v>
      </c>
      <c r="G346" s="295" t="s">
        <v>953</v>
      </c>
      <c r="H346" s="295" t="s">
        <v>1355</v>
      </c>
      <c r="I346" s="291" t="s">
        <v>1344</v>
      </c>
      <c r="J346" s="294" t="s">
        <v>292</v>
      </c>
      <c r="K346" s="297" t="s">
        <v>623</v>
      </c>
      <c r="L346" s="293" t="str">
        <f t="shared" si="22"/>
        <v>INSERT INTO Product (CMMF,Model,BarCode,Capacity,[Type],Product,[Range],[ModelName],[Color],[Status]) VALUES
('4200006162','D16022-DV0','8936008708834','','FAN','AsiaVina',N'Quạt Đứng',N'Update',N'Đen','Discontinued')</v>
      </c>
      <c r="M346" s="292" t="s">
        <v>877</v>
      </c>
      <c r="N346" s="292" t="s">
        <v>683</v>
      </c>
      <c r="O346" s="292"/>
      <c r="P346" s="292"/>
      <c r="Q346" s="292"/>
      <c r="R346" s="292"/>
      <c r="S346" s="292"/>
      <c r="T346" s="292"/>
      <c r="U346" s="292"/>
      <c r="V346" s="292"/>
      <c r="W346" s="292"/>
      <c r="X346" s="292"/>
      <c r="Y346" s="292"/>
      <c r="Z346" s="292"/>
      <c r="AA346" s="292"/>
      <c r="AB346" s="292"/>
      <c r="AC346" s="292"/>
      <c r="AD346" s="292"/>
      <c r="AE346" s="292" t="s">
        <v>1485</v>
      </c>
      <c r="AF346" s="292" t="str">
        <f>"INSERT INTO ProductByAccount
( ProductId,AccountId)VALUES
("&amp;C346&amp;",1037)"</f>
        <v>INSERT INTO ProductByAccount
( ProductId,AccountId)VALUES
(245,1037)</v>
      </c>
      <c r="AG346" s="292"/>
      <c r="AH346" s="292"/>
      <c r="AI346" s="292"/>
      <c r="AJ346" s="292"/>
      <c r="AK346" s="380">
        <v>772727</v>
      </c>
      <c r="AL346" s="381">
        <v>772727</v>
      </c>
      <c r="AM346" s="379" t="str">
        <f>"INSERT INTO ListedPrice
(ProductId,ActiveDate,Channel,Price)
VALUES("&amp;C346&amp;",'2020-05-01','GT',"&amp;AL346&amp;")"</f>
        <v>INSERT INTO ListedPrice
(ProductId,ActiveDate,Channel,Price)
VALUES(245,'2020-05-01','GT',772727)</v>
      </c>
      <c r="AN346" s="292"/>
      <c r="AO346" s="292"/>
    </row>
    <row r="347" spans="1:41" s="285" customFormat="1">
      <c r="A347" s="336">
        <v>4200005876</v>
      </c>
      <c r="B347" s="294" t="s">
        <v>822</v>
      </c>
      <c r="C347" s="290">
        <f>VLOOKUP(B347,Sheet1!$B$17:$C$451,2,0)</f>
        <v>246</v>
      </c>
      <c r="D347" s="291" t="s">
        <v>1260</v>
      </c>
      <c r="E347" s="291"/>
      <c r="F347" s="295" t="s">
        <v>878</v>
      </c>
      <c r="G347" s="295" t="s">
        <v>953</v>
      </c>
      <c r="H347" s="295" t="s">
        <v>1355</v>
      </c>
      <c r="I347" s="291" t="s">
        <v>1344</v>
      </c>
      <c r="J347" s="294" t="s">
        <v>982</v>
      </c>
      <c r="K347" s="297" t="s">
        <v>623</v>
      </c>
      <c r="L347" s="293" t="str">
        <f t="shared" si="22"/>
        <v>INSERT INTO Product (CMMF,Model,BarCode,Capacity,[Type],Product,[Range],[ModelName],[Color],[Status]) VALUES
('4200005876','D16023-BV1','8936008709367','','FAN','AsiaVina',N'Quạt Đứng',N'Update',N'Xanh lam','Discontinued')</v>
      </c>
      <c r="M347" s="292" t="s">
        <v>877</v>
      </c>
      <c r="N347" s="292"/>
      <c r="O347" s="292"/>
      <c r="P347" s="292"/>
      <c r="Q347" s="292"/>
      <c r="R347" s="292"/>
      <c r="S347" s="292"/>
      <c r="T347" s="292"/>
      <c r="U347" s="292"/>
      <c r="V347" s="292"/>
      <c r="W347" s="292"/>
      <c r="X347" s="292"/>
      <c r="Y347" s="292"/>
      <c r="Z347" s="292"/>
      <c r="AA347" s="292"/>
      <c r="AB347" s="292"/>
      <c r="AC347" s="292"/>
      <c r="AD347" s="292"/>
      <c r="AE347" s="292"/>
      <c r="AF347" s="292"/>
      <c r="AG347" s="292"/>
      <c r="AH347" s="292"/>
      <c r="AI347" s="292"/>
      <c r="AJ347" s="292"/>
      <c r="AK347" s="380">
        <v>1090909</v>
      </c>
      <c r="AL347" s="381">
        <v>0</v>
      </c>
      <c r="AM347" s="379" t="str">
        <f>"INSERT INTO ListedPrice
(ProductId,ActiveDate,Channel,Price)
VALUES("&amp;C347&amp;",'2020-05-01','MT',"&amp;AK347&amp;")"</f>
        <v>INSERT INTO ListedPrice
(ProductId,ActiveDate,Channel,Price)
VALUES(246,'2020-05-01','MT',1090909)</v>
      </c>
      <c r="AN347" s="292"/>
      <c r="AO347" s="292"/>
    </row>
    <row r="348" spans="1:41" s="285" customFormat="1">
      <c r="A348" s="336">
        <v>4200005877</v>
      </c>
      <c r="B348" s="294" t="s">
        <v>850</v>
      </c>
      <c r="C348" s="290">
        <f>VLOOKUP(B348,Sheet1!$B$17:$C$451,2,0)</f>
        <v>247</v>
      </c>
      <c r="D348" s="291" t="s">
        <v>1261</v>
      </c>
      <c r="E348" s="291"/>
      <c r="F348" s="295" t="s">
        <v>878</v>
      </c>
      <c r="G348" s="295" t="s">
        <v>953</v>
      </c>
      <c r="H348" s="295" t="s">
        <v>1355</v>
      </c>
      <c r="I348" s="291" t="s">
        <v>1344</v>
      </c>
      <c r="J348" s="294" t="s">
        <v>292</v>
      </c>
      <c r="K348" s="297" t="s">
        <v>623</v>
      </c>
      <c r="L348" s="293" t="str">
        <f t="shared" si="22"/>
        <v>INSERT INTO Product (CMMF,Model,BarCode,Capacity,[Type],Product,[Range],[ModelName],[Color],[Status]) VALUES
('4200005877','D16023-DV0','8936008709374','','FAN','AsiaVina',N'Quạt Đứng',N'Update',N'Đen','Discontinued')</v>
      </c>
      <c r="M348" s="292" t="s">
        <v>877</v>
      </c>
      <c r="N348" s="292"/>
      <c r="O348" s="292"/>
      <c r="P348" s="292"/>
      <c r="Q348" s="292"/>
      <c r="R348" s="292"/>
      <c r="S348" s="292"/>
      <c r="T348" s="292"/>
      <c r="U348" s="292"/>
      <c r="V348" s="292"/>
      <c r="W348" s="292"/>
      <c r="X348" s="292"/>
      <c r="Y348" s="292"/>
      <c r="Z348" s="292"/>
      <c r="AA348" s="292"/>
      <c r="AB348" s="292"/>
      <c r="AC348" s="296" t="s">
        <v>623</v>
      </c>
      <c r="AD348" s="292" t="str">
        <f>"INSERT INTO ProductByAccount
( ProductId,AccountId)VALUES
("&amp;C348&amp;",1036)"</f>
        <v>INSERT INTO ProductByAccount
( ProductId,AccountId)VALUES
(247,1036)</v>
      </c>
      <c r="AE348" s="292"/>
      <c r="AF348" s="292"/>
      <c r="AG348" s="292"/>
      <c r="AH348" s="292"/>
      <c r="AI348" s="292"/>
      <c r="AJ348" s="292"/>
      <c r="AK348" s="380">
        <v>1090909</v>
      </c>
      <c r="AL348" s="381">
        <v>0</v>
      </c>
      <c r="AM348" s="379" t="str">
        <f>"INSERT INTO ListedPrice
(ProductId,ActiveDate,Channel,Price)
VALUES("&amp;C348&amp;",'2020-05-01','MT',"&amp;AK348&amp;")"</f>
        <v>INSERT INTO ListedPrice
(ProductId,ActiveDate,Channel,Price)
VALUES(247,'2020-05-01','MT',1090909)</v>
      </c>
      <c r="AN348" s="292"/>
      <c r="AO348" s="292"/>
    </row>
    <row r="349" spans="1:41" s="285" customFormat="1">
      <c r="A349" s="336">
        <v>4200005875</v>
      </c>
      <c r="B349" s="294" t="s">
        <v>823</v>
      </c>
      <c r="C349" s="290">
        <f>VLOOKUP(B349,Sheet1!$B$17:$C$451,2,0)</f>
        <v>248</v>
      </c>
      <c r="D349" s="291" t="s">
        <v>1262</v>
      </c>
      <c r="E349" s="291"/>
      <c r="F349" s="295" t="s">
        <v>878</v>
      </c>
      <c r="G349" s="295" t="s">
        <v>953</v>
      </c>
      <c r="H349" s="295" t="s">
        <v>1355</v>
      </c>
      <c r="I349" s="291" t="s">
        <v>1344</v>
      </c>
      <c r="J349" s="294" t="s">
        <v>1416</v>
      </c>
      <c r="K349" s="297" t="s">
        <v>623</v>
      </c>
      <c r="L349" s="293" t="str">
        <f t="shared" si="22"/>
        <v>INSERT INTO Product (CMMF,Model,BarCode,Capacity,[Type],Product,[Range],[ModelName],[Color],[Status]) VALUES
('4200005875','D16023-GV0','8936008709336','','FAN','AsiaVina',N'Quạt Đứng',N'Update',N'Xanh Lá','Discontinued')</v>
      </c>
      <c r="M349" s="292" t="s">
        <v>877</v>
      </c>
      <c r="N349" s="292"/>
      <c r="O349" s="292"/>
      <c r="P349" s="292"/>
      <c r="Q349" s="292"/>
      <c r="R349" s="292"/>
      <c r="S349" s="292"/>
      <c r="T349" s="292"/>
      <c r="U349" s="292"/>
      <c r="V349" s="292"/>
      <c r="W349" s="292"/>
      <c r="X349" s="292"/>
      <c r="Y349" s="292"/>
      <c r="Z349" s="292"/>
      <c r="AA349" s="292"/>
      <c r="AB349" s="292"/>
      <c r="AC349" s="292"/>
      <c r="AD349" s="292"/>
      <c r="AE349" s="292"/>
      <c r="AF349" s="292"/>
      <c r="AG349" s="292"/>
      <c r="AH349" s="292"/>
      <c r="AI349" s="292"/>
      <c r="AJ349" s="292"/>
      <c r="AK349" s="380">
        <v>1090909</v>
      </c>
      <c r="AL349" s="381">
        <v>0</v>
      </c>
      <c r="AM349" s="379" t="str">
        <f>"INSERT INTO ListedPrice
(ProductId,ActiveDate,Channel,Price)
VALUES("&amp;C349&amp;",'2020-05-01','MT',"&amp;AK349&amp;")"</f>
        <v>INSERT INTO ListedPrice
(ProductId,ActiveDate,Channel,Price)
VALUES(248,'2020-05-01','MT',1090909)</v>
      </c>
      <c r="AN349" s="292"/>
      <c r="AO349" s="292"/>
    </row>
    <row r="350" spans="1:41" s="285" customFormat="1">
      <c r="A350" s="336">
        <v>4200005972</v>
      </c>
      <c r="B350" s="294" t="s">
        <v>824</v>
      </c>
      <c r="C350" s="290">
        <f>VLOOKUP(B350,Sheet1!$B$17:$C$451,2,0)</f>
        <v>249</v>
      </c>
      <c r="D350" s="291" t="s">
        <v>1263</v>
      </c>
      <c r="E350" s="291"/>
      <c r="F350" s="295" t="s">
        <v>878</v>
      </c>
      <c r="G350" s="295" t="s">
        <v>953</v>
      </c>
      <c r="H350" s="295" t="s">
        <v>1355</v>
      </c>
      <c r="I350" s="291" t="s">
        <v>1344</v>
      </c>
      <c r="J350" s="294" t="s">
        <v>292</v>
      </c>
      <c r="K350" s="297" t="s">
        <v>623</v>
      </c>
      <c r="L350" s="293" t="str">
        <f t="shared" si="22"/>
        <v>INSERT INTO Product (CMMF,Model,BarCode,Capacity,[Type],Product,[Range],[ModelName],[Color],[Status]) VALUES
('4200005972','D16024-DV0','8936008700630','','FAN','AsiaVina',N'Quạt Đứng',N'Update',N'Đen','Discontinued')</v>
      </c>
      <c r="M350" s="292" t="s">
        <v>877</v>
      </c>
      <c r="N350" s="292"/>
      <c r="O350" s="292"/>
      <c r="P350" s="292"/>
      <c r="Q350" s="292"/>
      <c r="R350" s="292"/>
      <c r="S350" s="292"/>
      <c r="T350" s="292"/>
      <c r="U350" s="292"/>
      <c r="V350" s="292"/>
      <c r="W350" s="292"/>
      <c r="X350" s="292"/>
      <c r="Y350" s="292"/>
      <c r="Z350" s="292"/>
      <c r="AA350" s="296" t="s">
        <v>623</v>
      </c>
      <c r="AB350" s="292" t="str">
        <f>"INSERT INTO ProductByAccount
( ProductId,AccountId)VALUES
("&amp;C350&amp;",1035)"</f>
        <v>INSERT INTO ProductByAccount
( ProductId,AccountId)VALUES
(249,1035)</v>
      </c>
      <c r="AC350" s="296" t="s">
        <v>623</v>
      </c>
      <c r="AD350" s="292" t="str">
        <f>"INSERT INTO ProductByAccount
( ProductId,AccountId)VALUES
("&amp;C350&amp;",1036)"</f>
        <v>INSERT INTO ProductByAccount
( ProductId,AccountId)VALUES
(249,1036)</v>
      </c>
      <c r="AE350" s="292" t="s">
        <v>1485</v>
      </c>
      <c r="AF350" s="292" t="str">
        <f>"INSERT INTO ProductByAccount
( ProductId,AccountId)VALUES
("&amp;C350&amp;",1037)"</f>
        <v>INSERT INTO ProductByAccount
( ProductId,AccountId)VALUES
(249,1037)</v>
      </c>
      <c r="AG350" s="292"/>
      <c r="AH350" s="292"/>
      <c r="AI350" s="292"/>
      <c r="AJ350" s="292"/>
      <c r="AK350" s="380">
        <v>1727273</v>
      </c>
      <c r="AL350" s="381">
        <v>0</v>
      </c>
      <c r="AM350" s="379" t="str">
        <f>"INSERT INTO ListedPrice
(ProductId,ActiveDate,Channel,Price)
VALUES("&amp;C350&amp;",'2020-05-01','MT',"&amp;AK350&amp;")"</f>
        <v>INSERT INTO ListedPrice
(ProductId,ActiveDate,Channel,Price)
VALUES(249,'2020-05-01','MT',1727273)</v>
      </c>
      <c r="AN350" s="292"/>
      <c r="AO350" s="292"/>
    </row>
    <row r="351" spans="1:41">
      <c r="A351" s="335">
        <v>4200006158</v>
      </c>
      <c r="B351" s="290" t="s">
        <v>791</v>
      </c>
      <c r="C351" s="290">
        <f>VLOOKUP(B351,Sheet1!$B$17:$C$451,2,0)</f>
        <v>250</v>
      </c>
      <c r="D351" s="291" t="s">
        <v>1264</v>
      </c>
      <c r="E351" s="291"/>
      <c r="F351" s="291" t="s">
        <v>878</v>
      </c>
      <c r="G351" s="291" t="s">
        <v>953</v>
      </c>
      <c r="H351" s="295" t="s">
        <v>1355</v>
      </c>
      <c r="I351" s="291" t="s">
        <v>1459</v>
      </c>
      <c r="J351" s="290" t="s">
        <v>1452</v>
      </c>
      <c r="K351" s="293" t="s">
        <v>872</v>
      </c>
      <c r="L351" s="293" t="str">
        <f t="shared" si="22"/>
        <v>INSERT INTO Product (CMMF,Model,BarCode,Capacity,[Type],Product,[Range],[ModelName],[Color],[Status]) VALUES
('4200006158','D16025-BV1','8936008708865','','FAN','AsiaVina',N'Quạt Đứng',N'Power Anti-Mosquito',N'Xanh Lam','On going')</v>
      </c>
      <c r="M351" s="292" t="s">
        <v>877</v>
      </c>
      <c r="N351" s="292" t="s">
        <v>683</v>
      </c>
      <c r="O351" s="292"/>
      <c r="P351" s="292"/>
      <c r="Q351" s="333"/>
      <c r="R351" s="333"/>
      <c r="S351" s="292"/>
      <c r="T351" s="292"/>
      <c r="U351" s="292"/>
      <c r="V351" s="292"/>
      <c r="W351" s="292"/>
      <c r="X351" s="292"/>
      <c r="Y351" s="292"/>
      <c r="Z351" s="292"/>
      <c r="AA351" s="292"/>
      <c r="AB351" s="292"/>
      <c r="AC351" s="292"/>
      <c r="AD351" s="292"/>
      <c r="AE351" s="292"/>
      <c r="AF351" s="292"/>
      <c r="AG351" s="292"/>
      <c r="AH351" s="292"/>
      <c r="AI351" s="292"/>
      <c r="AJ351" s="292"/>
      <c r="AK351" s="380">
        <v>636364</v>
      </c>
      <c r="AL351" s="381">
        <v>499090</v>
      </c>
      <c r="AM351" s="379" t="str">
        <f>"INSERT INTO ListedPrice
(ProductId,ActiveDate,Channel,Price)
VALUES("&amp;C351&amp;",'2020-05-01','GT',"&amp;AL351&amp;")"</f>
        <v>INSERT INTO ListedPrice
(ProductId,ActiveDate,Channel,Price)
VALUES(250,'2020-05-01','GT',499090)</v>
      </c>
      <c r="AN351" s="292"/>
      <c r="AO351" s="292"/>
    </row>
    <row r="352" spans="1:41" s="285" customFormat="1">
      <c r="A352" s="339">
        <v>4200006159</v>
      </c>
      <c r="B352" s="307" t="s">
        <v>825</v>
      </c>
      <c r="C352" s="290">
        <f>VLOOKUP(B352,Sheet1!$B$17:$C$451,2,0)</f>
        <v>251</v>
      </c>
      <c r="D352" s="291" t="s">
        <v>1265</v>
      </c>
      <c r="E352" s="291"/>
      <c r="F352" s="295" t="s">
        <v>878</v>
      </c>
      <c r="G352" s="295" t="s">
        <v>953</v>
      </c>
      <c r="H352" s="295" t="s">
        <v>1355</v>
      </c>
      <c r="I352" s="291" t="s">
        <v>1459</v>
      </c>
      <c r="J352" s="294" t="s">
        <v>1416</v>
      </c>
      <c r="K352" s="297" t="s">
        <v>623</v>
      </c>
      <c r="L352" s="293" t="str">
        <f t="shared" si="22"/>
        <v>INSERT INTO Product (CMMF,Model,BarCode,Capacity,[Type],Product,[Range],[ModelName],[Color],[Status]) VALUES
('4200006159','D16025-GV0','8936008708872','','FAN','AsiaVina',N'Quạt Đứng',N'Power Anti-Mosquito',N'Xanh Lá','Discontinued')</v>
      </c>
      <c r="M352" s="292" t="s">
        <v>877</v>
      </c>
      <c r="N352" s="292" t="s">
        <v>683</v>
      </c>
      <c r="O352" s="292"/>
      <c r="P352" s="292"/>
      <c r="Q352" s="333"/>
      <c r="R352" s="333"/>
      <c r="S352" s="292"/>
      <c r="T352" s="292"/>
      <c r="U352" s="292"/>
      <c r="V352" s="292"/>
      <c r="W352" s="292"/>
      <c r="X352" s="292"/>
      <c r="Y352" s="292"/>
      <c r="Z352" s="292"/>
      <c r="AA352" s="292"/>
      <c r="AB352" s="292"/>
      <c r="AC352" s="292"/>
      <c r="AD352" s="292"/>
      <c r="AE352" s="292"/>
      <c r="AF352" s="292"/>
      <c r="AG352" s="292"/>
      <c r="AH352" s="292"/>
      <c r="AI352" s="292"/>
      <c r="AJ352" s="292"/>
      <c r="AK352" s="329">
        <v>0</v>
      </c>
      <c r="AL352" s="381">
        <v>499090</v>
      </c>
      <c r="AM352" s="379" t="str">
        <f>"INSERT INTO ListedPrice
(ProductId,ActiveDate,Channel,Price)
VALUES("&amp;C352&amp;",'2020-05-01','GT',"&amp;AL352&amp;")"</f>
        <v>INSERT INTO ListedPrice
(ProductId,ActiveDate,Channel,Price)
VALUES(251,'2020-05-01','GT',499090)</v>
      </c>
      <c r="AN352" s="292"/>
      <c r="AO352" s="292"/>
    </row>
    <row r="353" spans="1:41" s="287" customFormat="1">
      <c r="A353" s="338">
        <v>4200006862</v>
      </c>
      <c r="B353" s="301" t="s">
        <v>826</v>
      </c>
      <c r="C353" s="290">
        <f>VLOOKUP(B353,Sheet1!$B$17:$C$451,2,0)</f>
        <v>252</v>
      </c>
      <c r="D353" s="291" t="s">
        <v>1266</v>
      </c>
      <c r="E353" s="291"/>
      <c r="F353" s="302" t="s">
        <v>878</v>
      </c>
      <c r="G353" s="302" t="s">
        <v>953</v>
      </c>
      <c r="H353" s="295" t="s">
        <v>1355</v>
      </c>
      <c r="I353" s="291" t="s">
        <v>1459</v>
      </c>
      <c r="J353" s="301" t="s">
        <v>294</v>
      </c>
      <c r="K353" s="303" t="s">
        <v>516</v>
      </c>
      <c r="L353" s="293" t="str">
        <f t="shared" si="22"/>
        <v>INSERT INTO Product (CMMF,Model,BarCode,Capacity,[Type],Product,[Range],[ModelName],[Color],[Status]) VALUES
('4200006862','D16025-XV0','8936008700685','','FAN','AsiaVina',N'Quạt Đứng',N'Power Anti-Mosquito',N'Xám','New')</v>
      </c>
      <c r="M353" s="293"/>
      <c r="N353" s="292" t="s">
        <v>683</v>
      </c>
      <c r="O353" s="292"/>
      <c r="P353" s="292"/>
      <c r="Q353" s="333"/>
      <c r="R353" s="333"/>
      <c r="S353" s="292"/>
      <c r="T353" s="292"/>
      <c r="U353" s="292"/>
      <c r="V353" s="292"/>
      <c r="W353" s="292"/>
      <c r="X353" s="292"/>
      <c r="Y353" s="292"/>
      <c r="Z353" s="292"/>
      <c r="AA353" s="292"/>
      <c r="AB353" s="292"/>
      <c r="AC353" s="292"/>
      <c r="AD353" s="292"/>
      <c r="AE353" s="292"/>
      <c r="AF353" s="292"/>
      <c r="AG353" s="292"/>
      <c r="AH353" s="292"/>
      <c r="AI353" s="292"/>
      <c r="AJ353" s="292"/>
      <c r="AK353" s="380">
        <v>499091</v>
      </c>
      <c r="AL353" s="381">
        <v>499091</v>
      </c>
      <c r="AM353" s="379" t="str">
        <f>"INSERT INTO ListedPrice
(ProductId,ActiveDate,Channel,Price)
VALUES("&amp;C353&amp;",'2020-05-01','GT',"&amp;AL353&amp;")"</f>
        <v>INSERT INTO ListedPrice
(ProductId,ActiveDate,Channel,Price)
VALUES(252,'2020-05-01','GT',499091)</v>
      </c>
      <c r="AN353" s="292"/>
      <c r="AO353" s="292"/>
    </row>
    <row r="354" spans="1:41" s="285" customFormat="1">
      <c r="A354" s="336">
        <v>4200006161</v>
      </c>
      <c r="B354" s="294" t="s">
        <v>827</v>
      </c>
      <c r="C354" s="290">
        <f>VLOOKUP(B354,Sheet1!$B$17:$C$451,2,0)</f>
        <v>253</v>
      </c>
      <c r="D354" s="291" t="s">
        <v>1267</v>
      </c>
      <c r="E354" s="291"/>
      <c r="F354" s="295" t="s">
        <v>878</v>
      </c>
      <c r="G354" s="295" t="s">
        <v>953</v>
      </c>
      <c r="H354" s="295" t="s">
        <v>1355</v>
      </c>
      <c r="I354" s="291" t="s">
        <v>1469</v>
      </c>
      <c r="J354" s="294" t="s">
        <v>292</v>
      </c>
      <c r="K354" s="297" t="s">
        <v>623</v>
      </c>
      <c r="L354" s="293" t="str">
        <f t="shared" si="22"/>
        <v>INSERT INTO Product (CMMF,Model,BarCode,Capacity,[Type],Product,[Range],[ModelName],[Color],[Status]) VALUES
('4200006161','D16026-DV0','8936008708933','','FAN','AsiaVina',N'Quạt Đứng',N'X-Tra Power&amp;Clear Anti-Mosquito',N'Đen','Discontinued')</v>
      </c>
      <c r="M354" s="292" t="s">
        <v>877</v>
      </c>
      <c r="N354" s="292"/>
      <c r="O354" s="292"/>
      <c r="P354" s="292"/>
      <c r="Q354" s="292"/>
      <c r="R354" s="292"/>
      <c r="S354" s="292"/>
      <c r="T354" s="292"/>
      <c r="U354" s="292"/>
      <c r="V354" s="292"/>
      <c r="W354" s="292"/>
      <c r="X354" s="292"/>
      <c r="Y354" s="292"/>
      <c r="Z354" s="292"/>
      <c r="AA354" s="296" t="s">
        <v>623</v>
      </c>
      <c r="AB354" s="292" t="str">
        <f>"INSERT INTO ProductByAccount
( ProductId,AccountId)VALUES
("&amp;C354&amp;",1035)"</f>
        <v>INSERT INTO ProductByAccount
( ProductId,AccountId)VALUES
(253,1035)</v>
      </c>
      <c r="AC354" s="296" t="s">
        <v>623</v>
      </c>
      <c r="AD354" s="292" t="str">
        <f>"INSERT INTO ProductByAccount
( ProductId,AccountId)VALUES
("&amp;C354&amp;",1036)"</f>
        <v>INSERT INTO ProductByAccount
( ProductId,AccountId)VALUES
(253,1036)</v>
      </c>
      <c r="AE354" s="292" t="s">
        <v>1485</v>
      </c>
      <c r="AF354" s="292" t="str">
        <f>"INSERT INTO ProductByAccount
( ProductId,AccountId)VALUES
("&amp;C354&amp;",1037)"</f>
        <v>INSERT INTO ProductByAccount
( ProductId,AccountId)VALUES
(253,1037)</v>
      </c>
      <c r="AG354" s="292"/>
      <c r="AH354" s="292"/>
      <c r="AI354" s="292"/>
      <c r="AJ354" s="292"/>
      <c r="AK354" s="380">
        <v>900000</v>
      </c>
      <c r="AL354" s="381">
        <v>0</v>
      </c>
      <c r="AM354" s="379" t="str">
        <f>"INSERT INTO ListedPrice
(ProductId,ActiveDate,Channel,Price)
VALUES("&amp;C354&amp;",'2020-05-01','MT',"&amp;AK354&amp;")"</f>
        <v>INSERT INTO ListedPrice
(ProductId,ActiveDate,Channel,Price)
VALUES(253,'2020-05-01','MT',900000)</v>
      </c>
      <c r="AN354" s="292"/>
      <c r="AO354" s="292"/>
    </row>
    <row r="355" spans="1:41" s="287" customFormat="1">
      <c r="A355" s="338">
        <v>4200006863</v>
      </c>
      <c r="B355" s="301" t="s">
        <v>828</v>
      </c>
      <c r="C355" s="290">
        <f>VLOOKUP(B355,Sheet1!$B$17:$C$451,2,0)</f>
        <v>254</v>
      </c>
      <c r="D355" s="291" t="s">
        <v>1268</v>
      </c>
      <c r="E355" s="291"/>
      <c r="F355" s="302" t="s">
        <v>878</v>
      </c>
      <c r="G355" s="302" t="s">
        <v>953</v>
      </c>
      <c r="H355" s="295" t="s">
        <v>1355</v>
      </c>
      <c r="I355" s="291" t="s">
        <v>1469</v>
      </c>
      <c r="J355" s="301" t="s">
        <v>294</v>
      </c>
      <c r="K355" s="303" t="s">
        <v>516</v>
      </c>
      <c r="L355" s="293" t="str">
        <f t="shared" si="22"/>
        <v>INSERT INTO Product (CMMF,Model,BarCode,Capacity,[Type],Product,[Range],[ModelName],[Color],[Status]) VALUES
('4200006863','D16026-XV0','8936008700692','','FAN','AsiaVina',N'Quạt Đứng',N'X-Tra Power&amp;Clear Anti-Mosquito',N'Xám','New')</v>
      </c>
      <c r="M355" s="320" t="s">
        <v>877</v>
      </c>
      <c r="N355" s="333" t="s">
        <v>683</v>
      </c>
      <c r="O355" s="292"/>
      <c r="P355" s="292"/>
      <c r="Q355" s="292"/>
      <c r="R355" s="292"/>
      <c r="S355" s="292"/>
      <c r="T355" s="292"/>
      <c r="U355" s="292"/>
      <c r="V355" s="292"/>
      <c r="W355" s="292"/>
      <c r="X355" s="292"/>
      <c r="Y355" s="292"/>
      <c r="Z355" s="292"/>
      <c r="AA355" s="292"/>
      <c r="AB355" s="292"/>
      <c r="AC355" s="348" t="s">
        <v>516</v>
      </c>
      <c r="AD355" s="292" t="str">
        <f>"INSERT INTO ProductByAccount
( ProductId,AccountId)VALUES
("&amp;C355&amp;",1036)"</f>
        <v>INSERT INTO ProductByAccount
( ProductId,AccountId)VALUES
(254,1036)</v>
      </c>
      <c r="AE355" s="292" t="s">
        <v>872</v>
      </c>
      <c r="AF355" s="292" t="str">
        <f>"INSERT INTO ProductByAccount
( ProductId,AccountId)VALUES
("&amp;C355&amp;",1037)"</f>
        <v>INSERT INTO ProductByAccount
( ProductId,AccountId)VALUES
(254,1037)</v>
      </c>
      <c r="AG355" s="292"/>
      <c r="AH355" s="292"/>
      <c r="AI355" s="292"/>
      <c r="AJ355" s="292"/>
      <c r="AK355" s="380">
        <v>900000</v>
      </c>
      <c r="AL355" s="381">
        <v>0</v>
      </c>
      <c r="AM355" s="379" t="str">
        <f>"INSERT INTO ListedPrice
(ProductId,ActiveDate,Channel,Price)
VALUES("&amp;C355&amp;",'2020-05-01','MT',"&amp;AK355&amp;")"</f>
        <v>INSERT INTO ListedPrice
(ProductId,ActiveDate,Channel,Price)
VALUES(254,'2020-05-01','MT',900000)</v>
      </c>
      <c r="AN355" s="292"/>
      <c r="AO355" s="292"/>
    </row>
    <row r="356" spans="1:41" s="287" customFormat="1">
      <c r="A356" s="338">
        <v>4200006870</v>
      </c>
      <c r="B356" s="301" t="s">
        <v>829</v>
      </c>
      <c r="C356" s="290">
        <f>VLOOKUP(B356,Sheet1!$B$17:$C$451,2,0)</f>
        <v>255</v>
      </c>
      <c r="D356" s="291" t="s">
        <v>1269</v>
      </c>
      <c r="E356" s="291"/>
      <c r="F356" s="302" t="s">
        <v>878</v>
      </c>
      <c r="G356" s="302" t="s">
        <v>953</v>
      </c>
      <c r="H356" s="295" t="s">
        <v>1355</v>
      </c>
      <c r="I356" s="291" t="s">
        <v>655</v>
      </c>
      <c r="J356" s="301" t="s">
        <v>327</v>
      </c>
      <c r="K356" s="303" t="s">
        <v>516</v>
      </c>
      <c r="L356" s="293" t="str">
        <f t="shared" si="22"/>
        <v>INSERT INTO Product (CMMF,Model,BarCode,Capacity,[Type],Product,[Range],[ModelName],[Color],[Status]) VALUES
('4200006870','D16027-TV0','8936008700876','','FAN','AsiaVina',N'Quạt Đứng',N'Essential',N'Trắng','New')</v>
      </c>
      <c r="M356" s="320" t="s">
        <v>877</v>
      </c>
      <c r="N356" s="333" t="s">
        <v>683</v>
      </c>
      <c r="O356" s="292"/>
      <c r="P356" s="292"/>
      <c r="Q356" s="292"/>
      <c r="R356" s="292"/>
      <c r="S356" s="292"/>
      <c r="T356" s="292"/>
      <c r="U356" s="292"/>
      <c r="V356" s="292"/>
      <c r="W356" s="292"/>
      <c r="X356" s="292"/>
      <c r="Y356" s="292"/>
      <c r="Z356" s="292"/>
      <c r="AA356" s="292"/>
      <c r="AB356" s="292"/>
      <c r="AC356" s="348" t="s">
        <v>516</v>
      </c>
      <c r="AD356" s="292" t="str">
        <f>"INSERT INTO ProductByAccount
( ProductId,AccountId)VALUES
("&amp;C356&amp;",1036)"</f>
        <v>INSERT INTO ProductByAccount
( ProductId,AccountId)VALUES
(255,1036)</v>
      </c>
      <c r="AE356" s="348" t="s">
        <v>516</v>
      </c>
      <c r="AF356" s="292" t="str">
        <f>"INSERT INTO ProductByAccount
( ProductId,AccountId)VALUES
("&amp;C356&amp;",1037)"</f>
        <v>INSERT INTO ProductByAccount
( ProductId,AccountId)VALUES
(255,1037)</v>
      </c>
      <c r="AG356" s="292"/>
      <c r="AH356" s="292"/>
      <c r="AI356" s="292"/>
      <c r="AJ356" s="292"/>
      <c r="AK356" s="380">
        <v>817273</v>
      </c>
      <c r="AL356" s="381">
        <v>0</v>
      </c>
      <c r="AM356" s="379" t="str">
        <f>"INSERT INTO ListedPrice
(ProductId,ActiveDate,Channel,Price)
VALUES("&amp;C356&amp;",'2020-05-01','MT',"&amp;AK356&amp;")"</f>
        <v>INSERT INTO ListedPrice
(ProductId,ActiveDate,Channel,Price)
VALUES(255,'2020-05-01','MT',817273)</v>
      </c>
      <c r="AN356" s="292"/>
      <c r="AO356" s="292"/>
    </row>
    <row r="357" spans="1:41" s="287" customFormat="1">
      <c r="A357" s="338">
        <v>4200006852</v>
      </c>
      <c r="B357" s="301" t="s">
        <v>830</v>
      </c>
      <c r="C357" s="290">
        <f>VLOOKUP(B357,Sheet1!$B$17:$C$451,2,0)</f>
        <v>256</v>
      </c>
      <c r="D357" s="291" t="s">
        <v>1270</v>
      </c>
      <c r="E357" s="291"/>
      <c r="F357" s="302" t="s">
        <v>878</v>
      </c>
      <c r="G357" s="302" t="s">
        <v>953</v>
      </c>
      <c r="H357" s="295" t="s">
        <v>1355</v>
      </c>
      <c r="I357" s="291" t="s">
        <v>655</v>
      </c>
      <c r="J357" s="301" t="s">
        <v>294</v>
      </c>
      <c r="K357" s="303" t="s">
        <v>516</v>
      </c>
      <c r="L357" s="293" t="str">
        <f t="shared" si="22"/>
        <v>INSERT INTO Product (CMMF,Model,BarCode,Capacity,[Type],Product,[Range],[ModelName],[Color],[Status]) VALUES
('4200006852','D16027-XV0','8936008700463','','FAN','AsiaVina',N'Quạt Đứng',N'Essential',N'Xám','New')</v>
      </c>
      <c r="M357" s="293"/>
      <c r="N357" s="292" t="s">
        <v>683</v>
      </c>
      <c r="O357" s="292"/>
      <c r="P357" s="292"/>
      <c r="Q357" s="292"/>
      <c r="R357" s="292"/>
      <c r="S357" s="292"/>
      <c r="T357" s="292"/>
      <c r="U357" s="292"/>
      <c r="V357" s="292"/>
      <c r="W357" s="292"/>
      <c r="X357" s="292"/>
      <c r="Y357" s="292"/>
      <c r="Z357" s="292"/>
      <c r="AA357" s="292"/>
      <c r="AB357" s="292"/>
      <c r="AC357" s="292"/>
      <c r="AD357" s="292"/>
      <c r="AE357" s="292"/>
      <c r="AF357" s="292"/>
      <c r="AG357" s="292"/>
      <c r="AH357" s="292"/>
      <c r="AI357" s="292"/>
      <c r="AJ357" s="292"/>
      <c r="AK357" s="329">
        <v>0</v>
      </c>
      <c r="AL357" s="381">
        <v>726364</v>
      </c>
      <c r="AM357" s="379" t="str">
        <f>"INSERT INTO ListedPrice
(ProductId,ActiveDate,Channel,Price)
VALUES("&amp;C357&amp;",'2020-05-01','GT',"&amp;AL357&amp;")"</f>
        <v>INSERT INTO ListedPrice
(ProductId,ActiveDate,Channel,Price)
VALUES(256,'2020-05-01','GT',726364)</v>
      </c>
      <c r="AN357" s="292"/>
      <c r="AO357" s="292"/>
    </row>
    <row r="358" spans="1:41" s="287" customFormat="1">
      <c r="A358" s="338">
        <v>4200006969</v>
      </c>
      <c r="B358" s="301" t="s">
        <v>831</v>
      </c>
      <c r="C358" s="290">
        <f>VLOOKUP(B358,Sheet1!$B$17:$C$451,2,0)</f>
        <v>257</v>
      </c>
      <c r="D358" s="291" t="s">
        <v>1271</v>
      </c>
      <c r="E358" s="291"/>
      <c r="F358" s="302" t="s">
        <v>878</v>
      </c>
      <c r="G358" s="302" t="s">
        <v>953</v>
      </c>
      <c r="H358" s="295" t="s">
        <v>1355</v>
      </c>
      <c r="I358" s="291" t="s">
        <v>655</v>
      </c>
      <c r="J358" s="301" t="s">
        <v>327</v>
      </c>
      <c r="K358" s="303" t="s">
        <v>516</v>
      </c>
      <c r="L358" s="293" t="str">
        <f t="shared" si="22"/>
        <v>INSERT INTO Product (CMMF,Model,BarCode,Capacity,[Type],Product,[Range],[ModelName],[Color],[Status]) VALUES
('4200006969','D16028-TV0','8936008700937','','FAN','AsiaVina',N'Quạt Đứng',N'Essential',N'Trắng','New')</v>
      </c>
      <c r="M358" s="320" t="s">
        <v>877</v>
      </c>
      <c r="N358" s="333" t="s">
        <v>683</v>
      </c>
      <c r="O358" s="292"/>
      <c r="P358" s="292"/>
      <c r="Q358" s="292"/>
      <c r="R358" s="292"/>
      <c r="S358" s="292"/>
      <c r="T358" s="292"/>
      <c r="U358" s="292"/>
      <c r="V358" s="292"/>
      <c r="W358" s="292"/>
      <c r="X358" s="292"/>
      <c r="Y358" s="292"/>
      <c r="Z358" s="292"/>
      <c r="AA358" s="292"/>
      <c r="AB358" s="292"/>
      <c r="AC358" s="348" t="s">
        <v>516</v>
      </c>
      <c r="AD358" s="292" t="str">
        <f>"INSERT INTO ProductByAccount
( ProductId,AccountId)VALUES
("&amp;C358&amp;",1036)"</f>
        <v>INSERT INTO ProductByAccount
( ProductId,AccountId)VALUES
(257,1036)</v>
      </c>
      <c r="AE358" s="348" t="s">
        <v>516</v>
      </c>
      <c r="AF358" s="292" t="str">
        <f>"INSERT INTO ProductByAccount
( ProductId,AccountId)VALUES
("&amp;C358&amp;",1037)"</f>
        <v>INSERT INTO ProductByAccount
( ProductId,AccountId)VALUES
(257,1037)</v>
      </c>
      <c r="AG358" s="292"/>
      <c r="AH358" s="292"/>
      <c r="AI358" s="292"/>
      <c r="AJ358" s="292"/>
      <c r="AK358" s="380">
        <v>1081818</v>
      </c>
      <c r="AL358" s="381">
        <v>0</v>
      </c>
      <c r="AM358" s="379" t="str">
        <f>"INSERT INTO ListedPrice
(ProductId,ActiveDate,Channel,Price)
VALUES("&amp;C358&amp;",'2020-05-01','MT',"&amp;AK358&amp;")"</f>
        <v>INSERT INTO ListedPrice
(ProductId,ActiveDate,Channel,Price)
VALUES(257,'2020-05-01','MT',1081818)</v>
      </c>
      <c r="AN358" s="292"/>
      <c r="AO358" s="292"/>
    </row>
    <row r="359" spans="1:41" s="287" customFormat="1">
      <c r="A359" s="338">
        <v>4200006853</v>
      </c>
      <c r="B359" s="301" t="s">
        <v>832</v>
      </c>
      <c r="C359" s="290">
        <f>VLOOKUP(B359,Sheet1!$B$17:$C$451,2,0)</f>
        <v>258</v>
      </c>
      <c r="D359" s="291" t="s">
        <v>1272</v>
      </c>
      <c r="E359" s="291"/>
      <c r="F359" s="302" t="s">
        <v>878</v>
      </c>
      <c r="G359" s="302" t="s">
        <v>953</v>
      </c>
      <c r="H359" s="295" t="s">
        <v>1355</v>
      </c>
      <c r="I359" s="291" t="s">
        <v>655</v>
      </c>
      <c r="J359" s="301" t="s">
        <v>294</v>
      </c>
      <c r="K359" s="303" t="s">
        <v>516</v>
      </c>
      <c r="L359" s="293" t="str">
        <f t="shared" ref="L359:L422" si="25">"INSERT INTO Product (CMMF,Model,BarCode,Capacity,[Type],Product,[Range],[ModelName],[Color],[Status]) VALUES
('"&amp;A359&amp;"','"&amp;B359&amp;"','"&amp;D359&amp;"','"&amp;E359&amp;"','"&amp;F359&amp;"','"&amp;G359&amp;"',N'"&amp;H359&amp;"',N'"&amp;I359&amp;"',N'"&amp;J359&amp;"','"&amp;K359&amp;"')"</f>
        <v>INSERT INTO Product (CMMF,Model,BarCode,Capacity,[Type],Product,[Range],[ModelName],[Color],[Status]) VALUES
('4200006853','D16028-XV0','8936008700470','','FAN','AsiaVina',N'Quạt Đứng',N'Essential',N'Xám','New')</v>
      </c>
      <c r="M359" s="293"/>
      <c r="N359" s="292" t="s">
        <v>683</v>
      </c>
      <c r="O359" s="292"/>
      <c r="P359" s="292"/>
      <c r="Q359" s="292"/>
      <c r="R359" s="292"/>
      <c r="S359" s="292"/>
      <c r="T359" s="292"/>
      <c r="U359" s="292"/>
      <c r="V359" s="292"/>
      <c r="W359" s="292"/>
      <c r="X359" s="292"/>
      <c r="Y359" s="292"/>
      <c r="Z359" s="292"/>
      <c r="AA359" s="292"/>
      <c r="AB359" s="292"/>
      <c r="AC359" s="292"/>
      <c r="AD359" s="292"/>
      <c r="AE359" s="292"/>
      <c r="AF359" s="292"/>
      <c r="AG359" s="292"/>
      <c r="AH359" s="292"/>
      <c r="AI359" s="292"/>
      <c r="AJ359" s="292"/>
      <c r="AK359" s="329">
        <v>0</v>
      </c>
      <c r="AL359" s="381">
        <v>1081818</v>
      </c>
      <c r="AM359" s="379" t="str">
        <f>"INSERT INTO ListedPrice
(ProductId,ActiveDate,Channel,Price)
VALUES("&amp;C359&amp;",'2020-05-01','GT',"&amp;AL359&amp;")"</f>
        <v>INSERT INTO ListedPrice
(ProductId,ActiveDate,Channel,Price)
VALUES(258,'2020-05-01','GT',1081818)</v>
      </c>
      <c r="AN359" s="292"/>
      <c r="AO359" s="292"/>
    </row>
    <row r="360" spans="1:41">
      <c r="A360" s="335">
        <v>4200000193</v>
      </c>
      <c r="B360" s="314" t="s">
        <v>860</v>
      </c>
      <c r="C360" s="290">
        <f>VLOOKUP(B360,Sheet1!$B$17:$C$451,2,0)</f>
        <v>259</v>
      </c>
      <c r="D360" s="291" t="s">
        <v>1273</v>
      </c>
      <c r="E360" s="291"/>
      <c r="F360" s="291" t="s">
        <v>878</v>
      </c>
      <c r="G360" s="291" t="s">
        <v>953</v>
      </c>
      <c r="H360" s="295" t="s">
        <v>1355</v>
      </c>
      <c r="I360" s="291" t="s">
        <v>670</v>
      </c>
      <c r="J360" s="290"/>
      <c r="K360" s="355" t="s">
        <v>1344</v>
      </c>
      <c r="L360" s="293" t="str">
        <f t="shared" si="25"/>
        <v>INSERT INTO Product (CMMF,Model,BarCode,Capacity,[Type],Product,[Range],[ModelName],[Color],[Status]) VALUES
('4200000193','D18001-DM0','8936008701590','','FAN','AsiaVina',N'Quạt Đứng',N'Heavy duty',N'','Update')</v>
      </c>
      <c r="M360" s="333" t="s">
        <v>877</v>
      </c>
      <c r="N360" s="333" t="s">
        <v>683</v>
      </c>
      <c r="O360" s="292"/>
      <c r="P360" s="292"/>
      <c r="Q360" s="292"/>
      <c r="R360" s="292"/>
      <c r="S360" s="292"/>
      <c r="T360" s="292"/>
      <c r="U360" s="292"/>
      <c r="V360" s="292"/>
      <c r="W360" s="292"/>
      <c r="X360" s="292"/>
      <c r="Y360" s="292"/>
      <c r="Z360" s="292"/>
      <c r="AA360" s="292"/>
      <c r="AB360" s="292"/>
      <c r="AC360" s="292"/>
      <c r="AD360" s="292"/>
      <c r="AE360" s="292"/>
      <c r="AF360" s="292"/>
      <c r="AG360" s="292"/>
      <c r="AH360" s="292"/>
      <c r="AI360" s="292"/>
      <c r="AJ360" s="292"/>
      <c r="AK360" s="329">
        <v>0</v>
      </c>
      <c r="AL360" s="381">
        <v>0</v>
      </c>
      <c r="AM360" s="379" t="str">
        <f>"INSERT INTO ListedPrice
(ProductId,ActiveDate,Channel,Price)
VALUES("&amp;C360&amp;",'2020-05-01','MT',"&amp;AK360&amp;")"</f>
        <v>INSERT INTO ListedPrice
(ProductId,ActiveDate,Channel,Price)
VALUES(259,'2020-05-01','MT',0)</v>
      </c>
      <c r="AN360" s="292"/>
      <c r="AO360" s="292"/>
    </row>
    <row r="361" spans="1:41">
      <c r="A361" s="341">
        <v>4200000081</v>
      </c>
      <c r="B361" s="293" t="s">
        <v>768</v>
      </c>
      <c r="C361" s="290">
        <f>VLOOKUP(B361,Sheet1!$B$17:$C$451,2,0)</f>
        <v>260</v>
      </c>
      <c r="D361" s="291" t="s">
        <v>1273</v>
      </c>
      <c r="E361" s="291"/>
      <c r="F361" s="292" t="s">
        <v>878</v>
      </c>
      <c r="G361" s="291" t="s">
        <v>953</v>
      </c>
      <c r="H361" s="295" t="s">
        <v>1355</v>
      </c>
      <c r="I361" s="291" t="s">
        <v>670</v>
      </c>
      <c r="J361" s="299" t="s">
        <v>292</v>
      </c>
      <c r="K361" s="293" t="s">
        <v>872</v>
      </c>
      <c r="L361" s="293" t="str">
        <f t="shared" si="25"/>
        <v>INSERT INTO Product (CMMF,Model,BarCode,Capacity,[Type],Product,[Range],[ModelName],[Color],[Status]) VALUES
('4200000081','D18001-DV0','8936008701590','','FAN','AsiaVina',N'Quạt Đứng',N'Heavy duty',N'Đen','On going')</v>
      </c>
      <c r="M361" s="293"/>
      <c r="N361" s="292" t="s">
        <v>683</v>
      </c>
      <c r="O361" s="292"/>
      <c r="P361" s="292"/>
      <c r="Q361" s="292"/>
      <c r="R361" s="292"/>
      <c r="S361" s="292"/>
      <c r="T361" s="292"/>
      <c r="U361" s="292"/>
      <c r="V361" s="292"/>
      <c r="W361" s="292"/>
      <c r="X361" s="292"/>
      <c r="Y361" s="292"/>
      <c r="Z361" s="292"/>
      <c r="AA361" s="292"/>
      <c r="AB361" s="292"/>
      <c r="AC361" s="292"/>
      <c r="AD361" s="292"/>
      <c r="AE361" s="292"/>
      <c r="AF361" s="292"/>
      <c r="AG361" s="292"/>
      <c r="AH361" s="292"/>
      <c r="AI361" s="292"/>
      <c r="AJ361" s="292"/>
      <c r="AK361" s="329">
        <v>0</v>
      </c>
      <c r="AL361" s="381">
        <v>410000</v>
      </c>
      <c r="AM361" s="379" t="str">
        <f>"INSERT INTO ListedPrice
(ProductId,ActiveDate,Channel,Price)
VALUES("&amp;C361&amp;",'2020-05-01','GT',"&amp;AL361&amp;")"</f>
        <v>INSERT INTO ListedPrice
(ProductId,ActiveDate,Channel,Price)
VALUES(260,'2020-05-01','GT',410000)</v>
      </c>
      <c r="AN361" s="292"/>
      <c r="AO361" s="292"/>
    </row>
    <row r="362" spans="1:41">
      <c r="A362" s="341">
        <v>4200007010</v>
      </c>
      <c r="B362" s="293" t="s">
        <v>834</v>
      </c>
      <c r="C362" s="290">
        <f>VLOOKUP(B362,Sheet1!$B$17:$C$451,2,0)</f>
        <v>261</v>
      </c>
      <c r="D362" s="291" t="s">
        <v>1274</v>
      </c>
      <c r="E362" s="291"/>
      <c r="F362" s="292" t="s">
        <v>878</v>
      </c>
      <c r="G362" s="291" t="s">
        <v>953</v>
      </c>
      <c r="H362" s="295" t="s">
        <v>1355</v>
      </c>
      <c r="I362" s="291" t="s">
        <v>670</v>
      </c>
      <c r="J362" s="299" t="s">
        <v>292</v>
      </c>
      <c r="K362" s="293" t="s">
        <v>872</v>
      </c>
      <c r="L362" s="293" t="str">
        <f t="shared" si="25"/>
        <v>INSERT INTO Product (CMMF,Model,BarCode,Capacity,[Type],Product,[Range],[ModelName],[Color],[Status]) VALUES
('4200007010','D18001-XV1','8936008701521','','FAN','AsiaVina',N'Quạt Đứng',N'Heavy duty',N'Đen','On going')</v>
      </c>
      <c r="M362" s="293"/>
      <c r="N362" s="292" t="s">
        <v>683</v>
      </c>
      <c r="O362" s="292"/>
      <c r="P362" s="292"/>
      <c r="Q362" s="292"/>
      <c r="R362" s="292"/>
      <c r="S362" s="292"/>
      <c r="T362" s="292"/>
      <c r="U362" s="292"/>
      <c r="V362" s="292"/>
      <c r="W362" s="292"/>
      <c r="X362" s="292"/>
      <c r="Y362" s="292"/>
      <c r="Z362" s="292"/>
      <c r="AA362" s="292"/>
      <c r="AB362" s="292"/>
      <c r="AC362" s="292"/>
      <c r="AD362" s="292"/>
      <c r="AE362" s="292"/>
      <c r="AF362" s="292"/>
      <c r="AG362" s="292"/>
      <c r="AH362" s="292"/>
      <c r="AI362" s="292"/>
      <c r="AJ362" s="292"/>
      <c r="AK362" s="329"/>
      <c r="AL362" s="381">
        <v>0</v>
      </c>
      <c r="AM362" s="379" t="str">
        <f>"INSERT INTO ListedPrice
(ProductId,ActiveDate,Channel,Price)
VALUES("&amp;C362&amp;",'2020-05-01','MT',"&amp;AK362&amp;")"</f>
        <v>INSERT INTO ListedPrice
(ProductId,ActiveDate,Channel,Price)
VALUES(261,'2020-05-01','MT',)</v>
      </c>
      <c r="AN362" s="292"/>
      <c r="AO362" s="292"/>
    </row>
    <row r="363" spans="1:41" s="287" customFormat="1">
      <c r="A363" s="338">
        <v>4200006864</v>
      </c>
      <c r="B363" s="301" t="s">
        <v>833</v>
      </c>
      <c r="C363" s="290">
        <f>VLOOKUP(B363,Sheet1!$B$17:$C$451,2,0)</f>
        <v>262</v>
      </c>
      <c r="D363" s="291" t="s">
        <v>1273</v>
      </c>
      <c r="E363" s="291"/>
      <c r="F363" s="302" t="s">
        <v>878</v>
      </c>
      <c r="G363" s="302" t="s">
        <v>953</v>
      </c>
      <c r="H363" s="295" t="s">
        <v>1355</v>
      </c>
      <c r="I363" s="291" t="s">
        <v>670</v>
      </c>
      <c r="J363" s="301"/>
      <c r="K363" s="303" t="s">
        <v>516</v>
      </c>
      <c r="L363" s="293" t="str">
        <f t="shared" si="25"/>
        <v>INSERT INTO Product (CMMF,Model,BarCode,Capacity,[Type],Product,[Range],[ModelName],[Color],[Status]) VALUES
('4200006864','D18001-DV1','8936008701590','','FAN','AsiaVina',N'Quạt Đứng',N'Heavy duty',N'','New')</v>
      </c>
      <c r="M363" s="293"/>
      <c r="N363" s="292" t="s">
        <v>683</v>
      </c>
      <c r="O363" s="292"/>
      <c r="P363" s="292"/>
      <c r="Q363" s="292"/>
      <c r="R363" s="292"/>
      <c r="S363" s="292"/>
      <c r="T363" s="292"/>
      <c r="U363" s="292"/>
      <c r="V363" s="292"/>
      <c r="W363" s="292"/>
      <c r="X363" s="292"/>
      <c r="Y363" s="292"/>
      <c r="Z363" s="292"/>
      <c r="AA363" s="292"/>
      <c r="AB363" s="292"/>
      <c r="AC363" s="292"/>
      <c r="AD363" s="292"/>
      <c r="AE363" s="292"/>
      <c r="AF363" s="292"/>
      <c r="AG363" s="292"/>
      <c r="AH363" s="292"/>
      <c r="AI363" s="292"/>
      <c r="AJ363" s="292"/>
      <c r="AK363" s="329">
        <v>0</v>
      </c>
      <c r="AL363" s="381">
        <v>410000</v>
      </c>
      <c r="AM363" s="379" t="str">
        <f>"INSERT INTO ListedPrice
(ProductId,ActiveDate,Channel,Price)
VALUES("&amp;C363&amp;",'2020-05-01','GT',"&amp;AL363&amp;")"</f>
        <v>INSERT INTO ListedPrice
(ProductId,ActiveDate,Channel,Price)
VALUES(262,'2020-05-01','GT',410000)</v>
      </c>
      <c r="AN363" s="292"/>
      <c r="AO363" s="292"/>
    </row>
    <row r="364" spans="1:41">
      <c r="A364" s="335">
        <v>4200000254</v>
      </c>
      <c r="B364" s="314" t="s">
        <v>865</v>
      </c>
      <c r="C364" s="290">
        <f>VLOOKUP(B364,Sheet1!$B$17:$C$451,2,0)</f>
        <v>263</v>
      </c>
      <c r="D364" s="291" t="s">
        <v>1275</v>
      </c>
      <c r="E364" s="291"/>
      <c r="F364" s="291" t="s">
        <v>878</v>
      </c>
      <c r="G364" s="291" t="s">
        <v>953</v>
      </c>
      <c r="H364" s="295" t="s">
        <v>1355</v>
      </c>
      <c r="I364" s="291"/>
      <c r="J364" s="290"/>
      <c r="K364" s="355" t="s">
        <v>1344</v>
      </c>
      <c r="L364" s="293" t="str">
        <f t="shared" si="25"/>
        <v>INSERT INTO Product (CMMF,Model,BarCode,Capacity,[Type],Product,[Range],[ModelName],[Color],[Status]) VALUES
('4200000254','D18003-DS0','8936008700272','','FAN','AsiaVina',N'Quạt Đứng',N'',N'','Update')</v>
      </c>
      <c r="M364" s="333" t="s">
        <v>877</v>
      </c>
      <c r="N364" s="333" t="s">
        <v>683</v>
      </c>
      <c r="O364" s="292"/>
      <c r="P364" s="292"/>
      <c r="Q364" s="292"/>
      <c r="R364" s="292"/>
      <c r="S364" s="292"/>
      <c r="T364" s="292"/>
      <c r="U364" s="292"/>
      <c r="V364" s="292"/>
      <c r="W364" s="292"/>
      <c r="X364" s="292"/>
      <c r="Y364" s="292"/>
      <c r="Z364" s="292"/>
      <c r="AA364" s="292"/>
      <c r="AB364" s="292"/>
      <c r="AC364" s="292"/>
      <c r="AD364" s="292"/>
      <c r="AE364" s="292"/>
      <c r="AF364" s="292"/>
      <c r="AG364" s="292"/>
      <c r="AH364" s="292"/>
      <c r="AI364" s="292"/>
      <c r="AJ364" s="292"/>
      <c r="AK364" s="329">
        <v>0</v>
      </c>
      <c r="AL364" s="381">
        <v>0</v>
      </c>
      <c r="AM364" s="379" t="str">
        <f>"INSERT INTO ListedPrice
(ProductId,ActiveDate,Channel,Price)
VALUES("&amp;C364&amp;",'2020-05-01','MT',"&amp;AK364&amp;")"</f>
        <v>INSERT INTO ListedPrice
(ProductId,ActiveDate,Channel,Price)
VALUES(263,'2020-05-01','MT',0)</v>
      </c>
      <c r="AN364" s="292"/>
      <c r="AO364" s="292"/>
    </row>
    <row r="365" spans="1:41">
      <c r="A365" s="335">
        <v>4200005964</v>
      </c>
      <c r="B365" s="314" t="s">
        <v>925</v>
      </c>
      <c r="C365" s="290">
        <f>VLOOKUP(B365,Sheet1!$B$17:$C$451,2,0)</f>
        <v>264</v>
      </c>
      <c r="D365" s="291" t="s">
        <v>1275</v>
      </c>
      <c r="E365" s="291"/>
      <c r="F365" s="291" t="s">
        <v>418</v>
      </c>
      <c r="G365" s="291" t="s">
        <v>953</v>
      </c>
      <c r="H365" s="295" t="s">
        <v>1355</v>
      </c>
      <c r="I365" s="291"/>
      <c r="J365" s="290"/>
      <c r="K365" s="355" t="s">
        <v>1344</v>
      </c>
      <c r="L365" s="293" t="str">
        <f t="shared" si="25"/>
        <v>INSERT INTO Product (CMMF,Model,BarCode,Capacity,[Type],Product,[Range],[ModelName],[Color],[Status]) VALUES
('4200005964','D18003-DS2','8936008700272','','Fan','AsiaVina',N'Quạt Đứng',N'',N'','Update')</v>
      </c>
      <c r="M365" s="333" t="s">
        <v>877</v>
      </c>
      <c r="N365" s="333" t="s">
        <v>683</v>
      </c>
      <c r="O365" s="292"/>
      <c r="P365" s="292"/>
      <c r="Q365" s="292"/>
      <c r="R365" s="292"/>
      <c r="S365" s="292"/>
      <c r="T365" s="292"/>
      <c r="U365" s="292"/>
      <c r="V365" s="292"/>
      <c r="W365" s="292"/>
      <c r="X365" s="292"/>
      <c r="Y365" s="292"/>
      <c r="Z365" s="292"/>
      <c r="AA365" s="292"/>
      <c r="AB365" s="292"/>
      <c r="AC365" s="292"/>
      <c r="AD365" s="292"/>
      <c r="AE365" s="292"/>
      <c r="AF365" s="292"/>
      <c r="AG365" s="292"/>
      <c r="AH365" s="292"/>
      <c r="AI365" s="292"/>
      <c r="AJ365" s="292"/>
      <c r="AK365" s="329">
        <v>0</v>
      </c>
      <c r="AL365" s="381">
        <v>0</v>
      </c>
      <c r="AM365" s="379" t="str">
        <f>"INSERT INTO ListedPrice
(ProductId,ActiveDate,Channel,Price)
VALUES("&amp;C365&amp;",'2020-05-01','MT',"&amp;AK365&amp;")"</f>
        <v>INSERT INTO ListedPrice
(ProductId,ActiveDate,Channel,Price)
VALUES(264,'2020-05-01','MT',0)</v>
      </c>
      <c r="AN365" s="292"/>
      <c r="AO365" s="292"/>
    </row>
    <row r="366" spans="1:41">
      <c r="A366" s="335">
        <v>4200006708</v>
      </c>
      <c r="B366" s="314" t="s">
        <v>926</v>
      </c>
      <c r="C366" s="290">
        <f>VLOOKUP(B366,Sheet1!$B$17:$C$451,2,0)</f>
        <v>265</v>
      </c>
      <c r="D366" s="291" t="s">
        <v>1275</v>
      </c>
      <c r="E366" s="291"/>
      <c r="F366" s="291" t="s">
        <v>418</v>
      </c>
      <c r="G366" s="291" t="s">
        <v>953</v>
      </c>
      <c r="H366" s="295" t="s">
        <v>1355</v>
      </c>
      <c r="I366" s="291"/>
      <c r="J366" s="290"/>
      <c r="K366" s="355" t="s">
        <v>1344</v>
      </c>
      <c r="L366" s="293" t="str">
        <f t="shared" si="25"/>
        <v>INSERT INTO Product (CMMF,Model,BarCode,Capacity,[Type],Product,[Range],[ModelName],[Color],[Status]) VALUES
('4200006708','D18003-DS3','8936008700272','','Fan','AsiaVina',N'Quạt Đứng',N'',N'','Update')</v>
      </c>
      <c r="M366" s="333" t="s">
        <v>877</v>
      </c>
      <c r="N366" s="333" t="s">
        <v>683</v>
      </c>
      <c r="O366" s="292"/>
      <c r="P366" s="292"/>
      <c r="Q366" s="292"/>
      <c r="R366" s="292"/>
      <c r="S366" s="292"/>
      <c r="T366" s="292"/>
      <c r="U366" s="292"/>
      <c r="V366" s="292"/>
      <c r="W366" s="292"/>
      <c r="X366" s="292"/>
      <c r="Y366" s="292"/>
      <c r="Z366" s="292"/>
      <c r="AA366" s="292"/>
      <c r="AB366" s="292"/>
      <c r="AC366" s="292"/>
      <c r="AD366" s="292"/>
      <c r="AE366" s="292"/>
      <c r="AF366" s="292"/>
      <c r="AG366" s="292"/>
      <c r="AH366" s="292"/>
      <c r="AI366" s="292"/>
      <c r="AJ366" s="292"/>
      <c r="AK366" s="329">
        <v>0</v>
      </c>
      <c r="AL366" s="381">
        <v>0</v>
      </c>
      <c r="AM366" s="379" t="str">
        <f>"INSERT INTO ListedPrice
(ProductId,ActiveDate,Channel,Price)
VALUES("&amp;C366&amp;",'2020-05-01','MT',"&amp;AK366&amp;")"</f>
        <v>INSERT INTO ListedPrice
(ProductId,ActiveDate,Channel,Price)
VALUES(265,'2020-05-01','MT',0)</v>
      </c>
      <c r="AN366" s="292"/>
      <c r="AO366" s="292"/>
    </row>
    <row r="367" spans="1:41" s="285" customFormat="1">
      <c r="A367" s="336">
        <v>4200000084</v>
      </c>
      <c r="B367" s="294" t="s">
        <v>927</v>
      </c>
      <c r="C367" s="290">
        <f>VLOOKUP(B367,Sheet1!$B$17:$C$451,2,0)</f>
        <v>266</v>
      </c>
      <c r="D367" s="291" t="s">
        <v>1276</v>
      </c>
      <c r="E367" s="291"/>
      <c r="F367" s="295" t="s">
        <v>878</v>
      </c>
      <c r="G367" s="295" t="s">
        <v>953</v>
      </c>
      <c r="H367" s="295" t="s">
        <v>1355</v>
      </c>
      <c r="I367" s="291"/>
      <c r="J367" s="294"/>
      <c r="K367" s="297" t="s">
        <v>623</v>
      </c>
      <c r="L367" s="293" t="str">
        <f t="shared" si="25"/>
        <v>INSERT INTO Product (CMMF,Model,BarCode,Capacity,[Type],Product,[Range],[ModelName],[Color],[Status]) VALUES
('4200000084','D18003-DV0','8936008700395','','FAN','AsiaVina',N'Quạt Đứng',N'',N'','Discontinued')</v>
      </c>
      <c r="M367" s="333" t="s">
        <v>877</v>
      </c>
      <c r="N367" s="333" t="s">
        <v>683</v>
      </c>
      <c r="O367" s="292"/>
      <c r="P367" s="292"/>
      <c r="Q367" s="292"/>
      <c r="R367" s="292"/>
      <c r="S367" s="292"/>
      <c r="T367" s="292"/>
      <c r="U367" s="292"/>
      <c r="V367" s="292"/>
      <c r="W367" s="292"/>
      <c r="X367" s="292"/>
      <c r="Y367" s="292"/>
      <c r="Z367" s="292"/>
      <c r="AA367" s="292"/>
      <c r="AB367" s="292"/>
      <c r="AC367" s="292"/>
      <c r="AD367" s="292"/>
      <c r="AE367" s="292"/>
      <c r="AF367" s="292"/>
      <c r="AG367" s="292"/>
      <c r="AH367" s="292"/>
      <c r="AI367" s="292"/>
      <c r="AJ367" s="292"/>
      <c r="AK367" s="380">
        <v>489091</v>
      </c>
      <c r="AL367" s="381">
        <v>0</v>
      </c>
      <c r="AM367" s="379" t="str">
        <f>"INSERT INTO ListedPrice
(ProductId,ActiveDate,Channel,Price)
VALUES("&amp;C367&amp;",'2020-05-01','MT',"&amp;AK367&amp;")"</f>
        <v>INSERT INTO ListedPrice
(ProductId,ActiveDate,Channel,Price)
VALUES(266,'2020-05-01','MT',489091)</v>
      </c>
      <c r="AN367" s="292"/>
      <c r="AO367" s="292"/>
    </row>
    <row r="368" spans="1:41" s="287" customFormat="1">
      <c r="A368" s="338">
        <v>4200006871</v>
      </c>
      <c r="B368" s="301" t="s">
        <v>835</v>
      </c>
      <c r="C368" s="290">
        <f>VLOOKUP(B368,Sheet1!$B$17:$C$451,2,0)</f>
        <v>267</v>
      </c>
      <c r="D368" s="291" t="s">
        <v>1277</v>
      </c>
      <c r="E368" s="291"/>
      <c r="F368" s="302" t="s">
        <v>878</v>
      </c>
      <c r="G368" s="302" t="s">
        <v>953</v>
      </c>
      <c r="H368" s="295" t="s">
        <v>1355</v>
      </c>
      <c r="I368" s="291"/>
      <c r="J368" s="301"/>
      <c r="K368" s="303" t="s">
        <v>516</v>
      </c>
      <c r="L368" s="293" t="str">
        <f t="shared" si="25"/>
        <v>INSERT INTO Product (CMMF,Model,BarCode,Capacity,[Type],Product,[Range],[ModelName],[Color],[Status]) VALUES
('4200006871','D18004-XV1','8936008700883','','FAN','AsiaVina',N'Quạt Đứng',N'',N'','New')</v>
      </c>
      <c r="M368" s="333" t="s">
        <v>877</v>
      </c>
      <c r="N368" s="333" t="s">
        <v>683</v>
      </c>
      <c r="O368" s="292"/>
      <c r="P368" s="292"/>
      <c r="Q368" s="292"/>
      <c r="R368" s="292"/>
      <c r="S368" s="292"/>
      <c r="T368" s="292"/>
      <c r="U368" s="292"/>
      <c r="V368" s="292"/>
      <c r="W368" s="292"/>
      <c r="X368" s="292"/>
      <c r="Y368" s="292"/>
      <c r="Z368" s="292"/>
      <c r="AA368" s="292"/>
      <c r="AB368" s="292"/>
      <c r="AC368" s="292"/>
      <c r="AD368" s="292"/>
      <c r="AE368" s="292" t="s">
        <v>872</v>
      </c>
      <c r="AF368" s="292" t="str">
        <f>"INSERT INTO ProductByAccount
( ProductId,AccountId)VALUES
("&amp;C368&amp;",1037)"</f>
        <v>INSERT INTO ProductByAccount
( ProductId,AccountId)VALUES
(267,1037)</v>
      </c>
      <c r="AG368" s="292"/>
      <c r="AH368" s="292"/>
      <c r="AI368" s="292"/>
      <c r="AJ368" s="292"/>
      <c r="AK368" s="329">
        <v>0</v>
      </c>
      <c r="AL368" s="381">
        <v>0</v>
      </c>
      <c r="AM368" s="379" t="str">
        <f>"INSERT INTO ListedPrice
(ProductId,ActiveDate,Channel,Price)
VALUES("&amp;C368&amp;",'2020-05-01','MT',"&amp;AK368&amp;")"</f>
        <v>INSERT INTO ListedPrice
(ProductId,ActiveDate,Channel,Price)
VALUES(267,'2020-05-01','MT',0)</v>
      </c>
      <c r="AN368" s="292"/>
      <c r="AO368" s="292"/>
    </row>
    <row r="369" spans="1:41" s="285" customFormat="1">
      <c r="A369" s="336">
        <v>4200000208</v>
      </c>
      <c r="B369" s="294" t="s">
        <v>928</v>
      </c>
      <c r="C369" s="290">
        <f>VLOOKUP(B369,Sheet1!$B$17:$C$451,2,0)</f>
        <v>268</v>
      </c>
      <c r="D369" s="291" t="s">
        <v>1278</v>
      </c>
      <c r="E369" s="291"/>
      <c r="F369" s="295" t="s">
        <v>878</v>
      </c>
      <c r="G369" s="295" t="s">
        <v>953</v>
      </c>
      <c r="H369" s="295" t="s">
        <v>1355</v>
      </c>
      <c r="I369" s="291"/>
      <c r="J369" s="294"/>
      <c r="K369" s="297" t="s">
        <v>623</v>
      </c>
      <c r="L369" s="293" t="str">
        <f t="shared" si="25"/>
        <v>INSERT INTO Product (CMMF,Model,BarCode,Capacity,[Type],Product,[Range],[ModelName],[Color],[Status]) VALUES
('4200000208','D18005-DV0','8936008709725','','FAN','AsiaVina',N'Quạt Đứng',N'',N'','Discontinued')</v>
      </c>
      <c r="M369" s="293"/>
      <c r="N369" s="292" t="s">
        <v>683</v>
      </c>
      <c r="O369" s="292"/>
      <c r="P369" s="292"/>
      <c r="Q369" s="292"/>
      <c r="R369" s="292"/>
      <c r="S369" s="292"/>
      <c r="T369" s="292"/>
      <c r="U369" s="292"/>
      <c r="V369" s="292"/>
      <c r="W369" s="292"/>
      <c r="X369" s="292"/>
      <c r="Y369" s="292"/>
      <c r="Z369" s="292"/>
      <c r="AA369" s="292"/>
      <c r="AB369" s="292"/>
      <c r="AC369" s="292"/>
      <c r="AD369" s="292"/>
      <c r="AE369" s="292"/>
      <c r="AF369" s="292"/>
      <c r="AG369" s="292"/>
      <c r="AH369" s="292"/>
      <c r="AI369" s="292"/>
      <c r="AJ369" s="292"/>
      <c r="AK369" s="380">
        <v>610000</v>
      </c>
      <c r="AL369" s="381">
        <v>610000</v>
      </c>
      <c r="AM369" s="379" t="str">
        <f>"INSERT INTO ListedPrice
(ProductId,ActiveDate,Channel,Price)
VALUES("&amp;C369&amp;",'2020-05-01','GT',"&amp;AL369&amp;")"</f>
        <v>INSERT INTO ListedPrice
(ProductId,ActiveDate,Channel,Price)
VALUES(268,'2020-05-01','GT',610000)</v>
      </c>
      <c r="AN369" s="292"/>
      <c r="AO369" s="292"/>
    </row>
    <row r="370" spans="1:41">
      <c r="A370" s="335">
        <v>4200000276</v>
      </c>
      <c r="B370" s="314" t="s">
        <v>864</v>
      </c>
      <c r="C370" s="290">
        <f>VLOOKUP(B370,Sheet1!$B$17:$C$451,2,0)</f>
        <v>269</v>
      </c>
      <c r="D370" s="291" t="s">
        <v>1278</v>
      </c>
      <c r="E370" s="291"/>
      <c r="F370" s="291" t="s">
        <v>878</v>
      </c>
      <c r="G370" s="291" t="s">
        <v>953</v>
      </c>
      <c r="H370" s="295" t="s">
        <v>1355</v>
      </c>
      <c r="I370" s="291"/>
      <c r="J370" s="290"/>
      <c r="K370" s="355" t="s">
        <v>1344</v>
      </c>
      <c r="L370" s="293" t="str">
        <f t="shared" si="25"/>
        <v>INSERT INTO Product (CMMF,Model,BarCode,Capacity,[Type],Product,[Range],[ModelName],[Color],[Status]) VALUES
('4200000276','D18005-DM0','8936008709725','','FAN','AsiaVina',N'Quạt Đứng',N'',N'','Update')</v>
      </c>
      <c r="M370" s="333" t="s">
        <v>877</v>
      </c>
      <c r="N370" s="333" t="s">
        <v>683</v>
      </c>
      <c r="O370" s="292"/>
      <c r="P370" s="292"/>
      <c r="Q370" s="292"/>
      <c r="R370" s="292"/>
      <c r="S370" s="292"/>
      <c r="T370" s="292"/>
      <c r="U370" s="292"/>
      <c r="V370" s="292"/>
      <c r="W370" s="292"/>
      <c r="X370" s="292"/>
      <c r="Y370" s="292"/>
      <c r="Z370" s="292"/>
      <c r="AA370" s="292"/>
      <c r="AB370" s="292"/>
      <c r="AC370" s="292"/>
      <c r="AD370" s="292"/>
      <c r="AE370" s="292"/>
      <c r="AF370" s="292"/>
      <c r="AG370" s="292"/>
      <c r="AH370" s="292"/>
      <c r="AI370" s="292"/>
      <c r="AJ370" s="292"/>
      <c r="AK370" s="329">
        <v>0</v>
      </c>
      <c r="AL370" s="381">
        <v>0</v>
      </c>
      <c r="AM370" s="379" t="str">
        <f>"INSERT INTO ListedPrice
(ProductId,ActiveDate,Channel,Price)
VALUES("&amp;C370&amp;",'2020-05-01','MT',"&amp;AK370&amp;")"</f>
        <v>INSERT INTO ListedPrice
(ProductId,ActiveDate,Channel,Price)
VALUES(269,'2020-05-01','MT',0)</v>
      </c>
      <c r="AN370" s="292"/>
      <c r="AO370" s="292"/>
    </row>
    <row r="371" spans="1:41">
      <c r="A371" s="335">
        <v>4200004916</v>
      </c>
      <c r="B371" s="314" t="s">
        <v>862</v>
      </c>
      <c r="C371" s="290">
        <f>VLOOKUP(B371,Sheet1!$B$17:$C$451,2,0)</f>
        <v>270</v>
      </c>
      <c r="D371" s="291" t="s">
        <v>1279</v>
      </c>
      <c r="E371" s="291"/>
      <c r="F371" s="291" t="s">
        <v>878</v>
      </c>
      <c r="G371" s="291" t="s">
        <v>953</v>
      </c>
      <c r="H371" s="295" t="s">
        <v>1355</v>
      </c>
      <c r="I371" s="291" t="s">
        <v>1344</v>
      </c>
      <c r="J371" s="290" t="s">
        <v>292</v>
      </c>
      <c r="K371" s="355" t="s">
        <v>1344</v>
      </c>
      <c r="L371" s="293" t="str">
        <f t="shared" si="25"/>
        <v>INSERT INTO Product (CMMF,Model,BarCode,Capacity,[Type],Product,[Range],[ModelName],[Color],[Status]) VALUES
('4200004916','D20001-DS0','8936008701187','','FAN','AsiaVina',N'Quạt Đứng',N'Update',N'Đen','Update')</v>
      </c>
      <c r="M371" s="320" t="s">
        <v>877</v>
      </c>
      <c r="N371" s="333" t="s">
        <v>683</v>
      </c>
      <c r="O371" s="292"/>
      <c r="P371" s="292"/>
      <c r="Q371" s="292"/>
      <c r="R371" s="292"/>
      <c r="S371" s="292"/>
      <c r="T371" s="292"/>
      <c r="U371" s="292"/>
      <c r="V371" s="292"/>
      <c r="W371" s="292"/>
      <c r="X371" s="292"/>
      <c r="Y371" s="292"/>
      <c r="Z371" s="292"/>
      <c r="AA371" s="292"/>
      <c r="AB371" s="292"/>
      <c r="AC371" s="292"/>
      <c r="AD371" s="292"/>
      <c r="AE371" s="292"/>
      <c r="AF371" s="292"/>
      <c r="AG371" s="292"/>
      <c r="AH371" s="292"/>
      <c r="AI371" s="292"/>
      <c r="AJ371" s="292"/>
      <c r="AK371" s="329">
        <v>0</v>
      </c>
      <c r="AL371" s="381"/>
      <c r="AM371" s="379" t="str">
        <f>"INSERT INTO ListedPrice
(ProductId,ActiveDate,Channel,Price)
VALUES("&amp;C371&amp;",'2020-05-01','MT',"&amp;AK371&amp;")"</f>
        <v>INSERT INTO ListedPrice
(ProductId,ActiveDate,Channel,Price)
VALUES(270,'2020-05-01','MT',0)</v>
      </c>
      <c r="AN371" s="292"/>
      <c r="AO371" s="292"/>
    </row>
    <row r="372" spans="1:41">
      <c r="A372" s="341">
        <v>4200000087</v>
      </c>
      <c r="B372" s="293" t="s">
        <v>778</v>
      </c>
      <c r="C372" s="290">
        <f>VLOOKUP(B372,Sheet1!$B$17:$C$451,2,0)</f>
        <v>271</v>
      </c>
      <c r="D372" s="291" t="s">
        <v>1280</v>
      </c>
      <c r="E372" s="291"/>
      <c r="F372" s="292" t="s">
        <v>878</v>
      </c>
      <c r="G372" s="291" t="s">
        <v>953</v>
      </c>
      <c r="H372" s="295" t="s">
        <v>1355</v>
      </c>
      <c r="I372" s="291" t="s">
        <v>670</v>
      </c>
      <c r="J372" s="299" t="s">
        <v>292</v>
      </c>
      <c r="K372" s="293" t="s">
        <v>872</v>
      </c>
      <c r="L372" s="293" t="str">
        <f t="shared" si="25"/>
        <v>INSERT INTO Product (CMMF,Model,BarCode,Capacity,[Type],Product,[Range],[ModelName],[Color],[Status]) VALUES
('4200000087','D20002-DV0','8936008700104','','FAN','AsiaVina',N'Quạt Đứng',N'Heavy duty',N'Đen','On going')</v>
      </c>
      <c r="M372" s="292" t="s">
        <v>877</v>
      </c>
      <c r="N372" s="292" t="s">
        <v>683</v>
      </c>
      <c r="O372" s="292"/>
      <c r="P372" s="292"/>
      <c r="Q372" s="292"/>
      <c r="R372" s="292"/>
      <c r="S372" s="292"/>
      <c r="T372" s="292"/>
      <c r="U372" s="292"/>
      <c r="V372" s="292"/>
      <c r="W372" s="292"/>
      <c r="X372" s="292"/>
      <c r="Y372" s="292"/>
      <c r="Z372" s="292"/>
      <c r="AA372" s="292"/>
      <c r="AB372" s="292"/>
      <c r="AC372" s="292"/>
      <c r="AD372" s="292"/>
      <c r="AE372" s="292"/>
      <c r="AF372" s="292"/>
      <c r="AG372" s="292"/>
      <c r="AH372" s="292"/>
      <c r="AI372" s="292"/>
      <c r="AJ372" s="292"/>
      <c r="AK372" s="380">
        <v>661818</v>
      </c>
      <c r="AL372" s="381">
        <v>661818</v>
      </c>
      <c r="AM372" s="379" t="str">
        <f>"INSERT INTO ListedPrice
(ProductId,ActiveDate,Channel,Price)
VALUES("&amp;C372&amp;",'2020-05-01','GT',"&amp;AL372&amp;")"</f>
        <v>INSERT INTO ListedPrice
(ProductId,ActiveDate,Channel,Price)
VALUES(271,'2020-05-01','GT',661818)</v>
      </c>
      <c r="AN372" s="292"/>
      <c r="AO372" s="292"/>
    </row>
    <row r="373" spans="1:41">
      <c r="A373" s="335">
        <v>4200007024</v>
      </c>
      <c r="B373" s="314" t="s">
        <v>801</v>
      </c>
      <c r="C373" s="290">
        <f>VLOOKUP(B373,Sheet1!$B$17:$C$451,2,0)</f>
        <v>272</v>
      </c>
      <c r="D373" s="291"/>
      <c r="E373" s="291"/>
      <c r="F373" s="291" t="s">
        <v>878</v>
      </c>
      <c r="G373" s="291" t="s">
        <v>953</v>
      </c>
      <c r="H373" s="295" t="s">
        <v>1355</v>
      </c>
      <c r="I373" s="291" t="s">
        <v>670</v>
      </c>
      <c r="J373" s="299" t="s">
        <v>292</v>
      </c>
      <c r="K373" s="355" t="s">
        <v>1344</v>
      </c>
      <c r="L373" s="293" t="str">
        <f t="shared" si="25"/>
        <v>INSERT INTO Product (CMMF,Model,BarCode,Capacity,[Type],Product,[Range],[ModelName],[Color],[Status]) VALUES
('4200007024','D20002-DZ0','','','FAN','AsiaVina',N'Quạt Đứng',N'Heavy duty',N'Đen','Update')</v>
      </c>
      <c r="M373" s="320" t="s">
        <v>877</v>
      </c>
      <c r="N373" s="333" t="s">
        <v>683</v>
      </c>
      <c r="O373" s="292"/>
      <c r="P373" s="292"/>
      <c r="Q373" s="292"/>
      <c r="R373" s="292"/>
      <c r="S373" s="292"/>
      <c r="T373" s="292"/>
      <c r="U373" s="292"/>
      <c r="V373" s="292"/>
      <c r="W373" s="292"/>
      <c r="X373" s="292"/>
      <c r="Y373" s="292"/>
      <c r="Z373" s="292"/>
      <c r="AA373" s="292"/>
      <c r="AB373" s="292"/>
      <c r="AC373" s="292"/>
      <c r="AD373" s="292"/>
      <c r="AE373" s="292"/>
      <c r="AF373" s="292"/>
      <c r="AG373" s="292"/>
      <c r="AH373" s="292"/>
      <c r="AI373" s="292"/>
      <c r="AJ373" s="292"/>
      <c r="AK373" s="329"/>
      <c r="AL373" s="381">
        <v>0</v>
      </c>
      <c r="AM373" s="379" t="str">
        <f>"INSERT INTO ListedPrice
(ProductId,ActiveDate,Channel,Price)
VALUES("&amp;C373&amp;",'2020-05-01','MT',"&amp;AK373&amp;")"</f>
        <v>INSERT INTO ListedPrice
(ProductId,ActiveDate,Channel,Price)
VALUES(272,'2020-05-01','MT',)</v>
      </c>
      <c r="AN373" s="292"/>
      <c r="AO373" s="292"/>
    </row>
    <row r="374" spans="1:41">
      <c r="A374" s="335">
        <v>4200000312</v>
      </c>
      <c r="B374" s="314" t="s">
        <v>863</v>
      </c>
      <c r="C374" s="290">
        <f>VLOOKUP(B374,Sheet1!$B$17:$C$451,2,0)</f>
        <v>273</v>
      </c>
      <c r="D374" s="291" t="s">
        <v>1281</v>
      </c>
      <c r="E374" s="291"/>
      <c r="F374" s="291" t="s">
        <v>878</v>
      </c>
      <c r="G374" s="291" t="s">
        <v>953</v>
      </c>
      <c r="H374" s="295" t="s">
        <v>1355</v>
      </c>
      <c r="I374" s="291" t="s">
        <v>670</v>
      </c>
      <c r="J374" s="299" t="s">
        <v>292</v>
      </c>
      <c r="K374" s="355" t="s">
        <v>1344</v>
      </c>
      <c r="L374" s="293" t="str">
        <f t="shared" si="25"/>
        <v>INSERT INTO Product (CMMF,Model,BarCode,Capacity,[Type],Product,[Range],[ModelName],[Color],[Status]) VALUES
('4200000312','D24001-DS0','8936008701293','','FAN','AsiaVina',N'Quạt Đứng',N'Heavy duty',N'Đen','Update')</v>
      </c>
      <c r="M374" s="320" t="s">
        <v>877</v>
      </c>
      <c r="N374" s="333" t="s">
        <v>683</v>
      </c>
      <c r="O374" s="292"/>
      <c r="P374" s="292"/>
      <c r="Q374" s="333"/>
      <c r="R374" s="333"/>
      <c r="S374" s="292"/>
      <c r="T374" s="292"/>
      <c r="U374" s="292"/>
      <c r="V374" s="292"/>
      <c r="W374" s="292"/>
      <c r="X374" s="292"/>
      <c r="Y374" s="292"/>
      <c r="Z374" s="292"/>
      <c r="AA374" s="292"/>
      <c r="AB374" s="292"/>
      <c r="AC374" s="292"/>
      <c r="AD374" s="292"/>
      <c r="AE374" s="292"/>
      <c r="AF374" s="292"/>
      <c r="AG374" s="292"/>
      <c r="AH374" s="292"/>
      <c r="AI374" s="292"/>
      <c r="AJ374" s="292"/>
      <c r="AK374" s="329">
        <v>0</v>
      </c>
      <c r="AL374" s="381">
        <v>0</v>
      </c>
      <c r="AM374" s="379" t="str">
        <f>"INSERT INTO ListedPrice
(ProductId,ActiveDate,Channel,Price)
VALUES("&amp;C374&amp;",'2020-05-01','MT',"&amp;AK374&amp;")"</f>
        <v>INSERT INTO ListedPrice
(ProductId,ActiveDate,Channel,Price)
VALUES(273,'2020-05-01','MT',0)</v>
      </c>
      <c r="AN374" s="292"/>
      <c r="AO374" s="292"/>
    </row>
    <row r="375" spans="1:41">
      <c r="A375" s="341">
        <v>4200000088</v>
      </c>
      <c r="B375" s="293" t="s">
        <v>776</v>
      </c>
      <c r="C375" s="290">
        <f>VLOOKUP(B375,Sheet1!$B$17:$C$451,2,0)</f>
        <v>274</v>
      </c>
      <c r="D375" s="291" t="s">
        <v>1281</v>
      </c>
      <c r="E375" s="291"/>
      <c r="F375" s="292" t="s">
        <v>878</v>
      </c>
      <c r="G375" s="291" t="s">
        <v>953</v>
      </c>
      <c r="H375" s="295" t="s">
        <v>1355</v>
      </c>
      <c r="I375" s="291" t="s">
        <v>670</v>
      </c>
      <c r="J375" s="299" t="s">
        <v>292</v>
      </c>
      <c r="K375" s="293" t="s">
        <v>872</v>
      </c>
      <c r="L375" s="293" t="str">
        <f t="shared" si="25"/>
        <v>INSERT INTO Product (CMMF,Model,BarCode,Capacity,[Type],Product,[Range],[ModelName],[Color],[Status]) VALUES
('4200000088','D24001-DV0','8936008701293','','FAN','AsiaVina',N'Quạt Đứng',N'Heavy duty',N'Đen','On going')</v>
      </c>
      <c r="M375" s="293"/>
      <c r="N375" s="292" t="s">
        <v>683</v>
      </c>
      <c r="O375" s="292"/>
      <c r="P375" s="292"/>
      <c r="Q375" s="333"/>
      <c r="R375" s="333"/>
      <c r="S375" s="292"/>
      <c r="T375" s="292"/>
      <c r="U375" s="292"/>
      <c r="V375" s="292"/>
      <c r="W375" s="292"/>
      <c r="X375" s="292"/>
      <c r="Y375" s="292"/>
      <c r="Z375" s="292"/>
      <c r="AA375" s="292"/>
      <c r="AB375" s="292"/>
      <c r="AC375" s="292"/>
      <c r="AD375" s="292"/>
      <c r="AE375" s="292"/>
      <c r="AF375" s="292"/>
      <c r="AG375" s="292"/>
      <c r="AH375" s="292"/>
      <c r="AI375" s="292"/>
      <c r="AJ375" s="292"/>
      <c r="AK375" s="380">
        <v>1510909</v>
      </c>
      <c r="AL375" s="381">
        <v>1510909</v>
      </c>
      <c r="AM375" s="379" t="str">
        <f>"INSERT INTO ListedPrice
(ProductId,ActiveDate,Channel,Price)
VALUES("&amp;C375&amp;",'2020-05-01','GT',"&amp;AL375&amp;")"</f>
        <v>INSERT INTO ListedPrice
(ProductId,ActiveDate,Channel,Price)
VALUES(274,'2020-05-01','GT',1510909)</v>
      </c>
      <c r="AN375" s="292"/>
      <c r="AO375" s="292"/>
    </row>
    <row r="376" spans="1:41" s="285" customFormat="1">
      <c r="A376" s="339">
        <v>4200000125</v>
      </c>
      <c r="B376" s="297" t="s">
        <v>933</v>
      </c>
      <c r="C376" s="290">
        <f>VLOOKUP(B376,Sheet1!$B$17:$C$451,2,0)</f>
        <v>275</v>
      </c>
      <c r="D376" s="291" t="s">
        <v>1290</v>
      </c>
      <c r="E376" s="291"/>
      <c r="F376" s="296" t="s">
        <v>878</v>
      </c>
      <c r="G376" s="295" t="s">
        <v>953</v>
      </c>
      <c r="H376" s="295" t="s">
        <v>1358</v>
      </c>
      <c r="I376" s="291"/>
      <c r="J376" s="304" t="s">
        <v>1378</v>
      </c>
      <c r="K376" s="297" t="s">
        <v>623</v>
      </c>
      <c r="L376" s="293" t="str">
        <f t="shared" si="25"/>
        <v>INSERT INTO Product (CMMF,Model,BarCode,Capacity,[Type],Product,[Range],[ModelName],[Color],[Status]) VALUES
('4200000125','L16003-EV0','8936008702641','','FAN','AsiaVina',N'Quạt Treo',N'',N'Thiên Thanh','Discontinued')</v>
      </c>
      <c r="M376" s="293"/>
      <c r="N376" s="292" t="s">
        <v>683</v>
      </c>
      <c r="O376" s="292"/>
      <c r="P376" s="292"/>
      <c r="Q376" s="292"/>
      <c r="R376" s="292"/>
      <c r="S376" s="292"/>
      <c r="T376" s="292"/>
      <c r="U376" s="292"/>
      <c r="V376" s="292"/>
      <c r="W376" s="292"/>
      <c r="X376" s="292"/>
      <c r="Y376" s="292"/>
      <c r="Z376" s="292"/>
      <c r="AA376" s="292"/>
      <c r="AB376" s="292"/>
      <c r="AC376" s="292"/>
      <c r="AD376" s="292"/>
      <c r="AE376" s="292"/>
      <c r="AF376" s="292"/>
      <c r="AG376" s="292"/>
      <c r="AH376" s="292"/>
      <c r="AI376" s="292"/>
      <c r="AJ376" s="292"/>
      <c r="AK376" s="380">
        <v>390000</v>
      </c>
      <c r="AL376" s="381">
        <v>390000</v>
      </c>
      <c r="AM376" s="379" t="str">
        <f>"INSERT INTO ListedPrice
(ProductId,ActiveDate,Channel,Price)
VALUES("&amp;C376&amp;",'2020-05-01','GT',"&amp;AL376&amp;")"</f>
        <v>INSERT INTO ListedPrice
(ProductId,ActiveDate,Channel,Price)
VALUES(275,'2020-05-01','GT',390000)</v>
      </c>
      <c r="AN376" s="292"/>
      <c r="AO376" s="292"/>
    </row>
    <row r="377" spans="1:41">
      <c r="A377" s="335">
        <v>4200000197</v>
      </c>
      <c r="B377" s="314" t="s">
        <v>934</v>
      </c>
      <c r="C377" s="290">
        <f>VLOOKUP(B377,Sheet1!$B$17:$C$451,2,0)</f>
        <v>276</v>
      </c>
      <c r="D377" s="291" t="s">
        <v>1291</v>
      </c>
      <c r="E377" s="291"/>
      <c r="F377" s="291" t="s">
        <v>878</v>
      </c>
      <c r="G377" s="291" t="s">
        <v>953</v>
      </c>
      <c r="H377" s="295" t="s">
        <v>1358</v>
      </c>
      <c r="I377" s="291"/>
      <c r="J377" s="290"/>
      <c r="K377" s="355" t="s">
        <v>1344</v>
      </c>
      <c r="L377" s="293" t="str">
        <f t="shared" si="25"/>
        <v>INSERT INTO Product (CMMF,Model,BarCode,Capacity,[Type],Product,[Range],[ModelName],[Color],[Status]) VALUES
('4200000197','L16003-LM0','8936008702658','','FAN','AsiaVina',N'Quạt Treo',N'',N'','Update')</v>
      </c>
      <c r="M377" s="333" t="s">
        <v>877</v>
      </c>
      <c r="N377" s="333" t="s">
        <v>683</v>
      </c>
      <c r="O377" s="292"/>
      <c r="P377" s="292"/>
      <c r="Q377" s="292"/>
      <c r="R377" s="292"/>
      <c r="S377" s="292"/>
      <c r="T377" s="292"/>
      <c r="U377" s="292"/>
      <c r="V377" s="292"/>
      <c r="W377" s="292"/>
      <c r="X377" s="292"/>
      <c r="Y377" s="292"/>
      <c r="Z377" s="292"/>
      <c r="AA377" s="292"/>
      <c r="AB377" s="292"/>
      <c r="AC377" s="292"/>
      <c r="AD377" s="292"/>
      <c r="AE377" s="292"/>
      <c r="AF377" s="292"/>
      <c r="AG377" s="292"/>
      <c r="AH377" s="292"/>
      <c r="AI377" s="292"/>
      <c r="AJ377" s="292"/>
      <c r="AK377" s="329">
        <v>0</v>
      </c>
      <c r="AL377" s="381">
        <v>0</v>
      </c>
      <c r="AM377" s="379" t="str">
        <f>"INSERT INTO ListedPrice
(ProductId,ActiveDate,Channel,Price)
VALUES("&amp;C377&amp;",'2020-05-01','MT',"&amp;AK377&amp;")"</f>
        <v>INSERT INTO ListedPrice
(ProductId,ActiveDate,Channel,Price)
VALUES(276,'2020-05-01','MT',0)</v>
      </c>
      <c r="AN377" s="292"/>
      <c r="AO377" s="292"/>
    </row>
    <row r="378" spans="1:41" s="285" customFormat="1">
      <c r="A378" s="339">
        <v>4200000302</v>
      </c>
      <c r="B378" s="297" t="s">
        <v>935</v>
      </c>
      <c r="C378" s="290">
        <f>VLOOKUP(B378,Sheet1!$B$17:$C$451,2,0)</f>
        <v>277</v>
      </c>
      <c r="D378" s="291" t="s">
        <v>1291</v>
      </c>
      <c r="E378" s="291"/>
      <c r="F378" s="296" t="s">
        <v>878</v>
      </c>
      <c r="G378" s="295" t="s">
        <v>953</v>
      </c>
      <c r="H378" s="295" t="s">
        <v>1358</v>
      </c>
      <c r="I378" s="291"/>
      <c r="J378" s="297" t="s">
        <v>882</v>
      </c>
      <c r="K378" s="297" t="s">
        <v>623</v>
      </c>
      <c r="L378" s="293" t="str">
        <f t="shared" si="25"/>
        <v>INSERT INTO Product (CMMF,Model,BarCode,Capacity,[Type],Product,[Range],[ModelName],[Color],[Status]) VALUES
('4200000302','L16003-LV1','8936008702658','','FAN','AsiaVina',N'Quạt Treo',N'',N'Green','Discontinued')</v>
      </c>
      <c r="M378" s="293"/>
      <c r="N378" s="292" t="s">
        <v>683</v>
      </c>
      <c r="O378" s="292"/>
      <c r="P378" s="292"/>
      <c r="Q378" s="292"/>
      <c r="R378" s="292"/>
      <c r="S378" s="292"/>
      <c r="T378" s="292"/>
      <c r="U378" s="292"/>
      <c r="V378" s="292"/>
      <c r="W378" s="292"/>
      <c r="X378" s="292"/>
      <c r="Y378" s="292"/>
      <c r="Z378" s="292"/>
      <c r="AA378" s="292"/>
      <c r="AB378" s="292"/>
      <c r="AC378" s="292"/>
      <c r="AD378" s="292"/>
      <c r="AE378" s="292"/>
      <c r="AF378" s="292"/>
      <c r="AG378" s="292"/>
      <c r="AH378" s="292"/>
      <c r="AI378" s="292"/>
      <c r="AJ378" s="292"/>
      <c r="AK378" s="380">
        <v>390000</v>
      </c>
      <c r="AL378" s="381">
        <v>390000</v>
      </c>
      <c r="AM378" s="379" t="str">
        <f>"INSERT INTO ListedPrice
(ProductId,ActiveDate,Channel,Price)
VALUES("&amp;C378&amp;",'2020-05-01','GT',"&amp;AL378&amp;")"</f>
        <v>INSERT INTO ListedPrice
(ProductId,ActiveDate,Channel,Price)
VALUES(277,'2020-05-01','GT',390000)</v>
      </c>
      <c r="AN378" s="292"/>
      <c r="AO378" s="292"/>
    </row>
    <row r="379" spans="1:41" s="285" customFormat="1">
      <c r="A379" s="351">
        <v>4200000124</v>
      </c>
      <c r="B379" s="297" t="s">
        <v>1418</v>
      </c>
      <c r="C379" s="290">
        <f>VLOOKUP(B379,Sheet1!$B$17:$C$451,2,0)</f>
        <v>278</v>
      </c>
      <c r="D379" s="291"/>
      <c r="E379" s="291"/>
      <c r="F379" s="296"/>
      <c r="G379" s="295" t="s">
        <v>953</v>
      </c>
      <c r="H379" s="295"/>
      <c r="I379" s="291"/>
      <c r="J379" s="297"/>
      <c r="K379" s="355" t="s">
        <v>1344</v>
      </c>
      <c r="L379" s="293" t="str">
        <f t="shared" si="25"/>
        <v>INSERT INTO Product (CMMF,Model,BarCode,Capacity,[Type],Product,[Range],[ModelName],[Color],[Status]) VALUES
('4200000124','L16003-XV1','','','','AsiaVina',N'',N'',N'','Update')</v>
      </c>
      <c r="M379" s="333" t="s">
        <v>877</v>
      </c>
      <c r="N379" s="333" t="s">
        <v>683</v>
      </c>
      <c r="O379" s="292"/>
      <c r="P379" s="292"/>
      <c r="Q379" s="292"/>
      <c r="R379" s="292"/>
      <c r="S379" s="292"/>
      <c r="T379" s="292"/>
      <c r="U379" s="292"/>
      <c r="V379" s="292"/>
      <c r="W379" s="292"/>
      <c r="X379" s="292"/>
      <c r="Y379" s="292"/>
      <c r="Z379" s="292"/>
      <c r="AA379" s="292"/>
      <c r="AB379" s="292"/>
      <c r="AC379" s="292"/>
      <c r="AD379" s="292"/>
      <c r="AE379" s="292"/>
      <c r="AF379" s="292"/>
      <c r="AG379" s="292"/>
      <c r="AH379" s="292"/>
      <c r="AI379" s="292"/>
      <c r="AJ379" s="292"/>
      <c r="AK379" s="329"/>
      <c r="AL379" s="381"/>
      <c r="AM379" s="379" t="str">
        <f>"INSERT INTO ListedPrice
(ProductId,ActiveDate,Channel,Price)
VALUES("&amp;C379&amp;",'2020-05-01','MT',"&amp;AK379&amp;")"</f>
        <v>INSERT INTO ListedPrice
(ProductId,ActiveDate,Channel,Price)
VALUES(278,'2020-05-01','MT',)</v>
      </c>
      <c r="AN379" s="292"/>
      <c r="AO379" s="292"/>
    </row>
    <row r="380" spans="1:41" s="285" customFormat="1">
      <c r="A380" s="336">
        <v>4200000133</v>
      </c>
      <c r="B380" s="294" t="s">
        <v>936</v>
      </c>
      <c r="C380" s="290">
        <f>VLOOKUP(B380,Sheet1!$B$17:$C$451,2,0)</f>
        <v>279</v>
      </c>
      <c r="D380" s="291" t="s">
        <v>1292</v>
      </c>
      <c r="E380" s="291"/>
      <c r="F380" s="295" t="s">
        <v>878</v>
      </c>
      <c r="G380" s="295" t="s">
        <v>953</v>
      </c>
      <c r="H380" s="295" t="s">
        <v>1358</v>
      </c>
      <c r="I380" s="291" t="s">
        <v>1344</v>
      </c>
      <c r="J380" s="294" t="s">
        <v>1416</v>
      </c>
      <c r="K380" s="297" t="s">
        <v>623</v>
      </c>
      <c r="L380" s="293" t="str">
        <f t="shared" si="25"/>
        <v>INSERT INTO Product (CMMF,Model,BarCode,Capacity,[Type],Product,[Range],[ModelName],[Color],[Status]) VALUES
('4200000133','L16006-LV0','8936008702955','','FAN','AsiaVina',N'Quạt Treo',N'Update',N'Xanh Lá','Discontinued')</v>
      </c>
      <c r="M380" s="333" t="s">
        <v>877</v>
      </c>
      <c r="N380" s="333" t="s">
        <v>683</v>
      </c>
      <c r="O380" s="292"/>
      <c r="P380" s="292"/>
      <c r="Q380" s="292"/>
      <c r="R380" s="292"/>
      <c r="S380" s="292"/>
      <c r="T380" s="292"/>
      <c r="U380" s="292"/>
      <c r="V380" s="292"/>
      <c r="W380" s="292"/>
      <c r="X380" s="292"/>
      <c r="Y380" s="292"/>
      <c r="Z380" s="292"/>
      <c r="AA380" s="292"/>
      <c r="AB380" s="292"/>
      <c r="AC380" s="292"/>
      <c r="AD380" s="292"/>
      <c r="AE380" s="292"/>
      <c r="AF380" s="292"/>
      <c r="AG380" s="292"/>
      <c r="AH380" s="292"/>
      <c r="AI380" s="292"/>
      <c r="AJ380" s="292"/>
      <c r="AK380" s="380">
        <v>603636</v>
      </c>
      <c r="AL380" s="381">
        <v>0</v>
      </c>
      <c r="AM380" s="379" t="str">
        <f>"INSERT INTO ListedPrice
(ProductId,ActiveDate,Channel,Price)
VALUES("&amp;C380&amp;",'2020-05-01','MT',"&amp;AK380&amp;")"</f>
        <v>INSERT INTO ListedPrice
(ProductId,ActiveDate,Channel,Price)
VALUES(279,'2020-05-01','MT',603636)</v>
      </c>
      <c r="AN380" s="292"/>
      <c r="AO380" s="292"/>
    </row>
    <row r="381" spans="1:41">
      <c r="A381" s="341">
        <v>4200004510</v>
      </c>
      <c r="B381" s="319" t="s">
        <v>765</v>
      </c>
      <c r="C381" s="290">
        <f>VLOOKUP(B381,Sheet1!$B$17:$C$451,2,0)</f>
        <v>280</v>
      </c>
      <c r="D381" s="291" t="s">
        <v>1293</v>
      </c>
      <c r="E381" s="291"/>
      <c r="F381" s="292" t="s">
        <v>878</v>
      </c>
      <c r="G381" s="291" t="s">
        <v>953</v>
      </c>
      <c r="H381" s="295" t="s">
        <v>1358</v>
      </c>
      <c r="I381" s="291" t="s">
        <v>1344</v>
      </c>
      <c r="J381" s="293" t="s">
        <v>294</v>
      </c>
      <c r="K381" s="293" t="s">
        <v>886</v>
      </c>
      <c r="L381" s="293" t="str">
        <f t="shared" si="25"/>
        <v>INSERT INTO Product (CMMF,Model,BarCode,Capacity,[Type],Product,[Range],[ModelName],[Color],[Status]) VALUES
('4200004510','L16006-XV0','8936008709671','','FAN','AsiaVina',N'Quạt Treo',N'Update',N'Xám','DMX Exclusive 2017')</v>
      </c>
      <c r="M381" s="292" t="s">
        <v>877</v>
      </c>
      <c r="N381" s="292"/>
      <c r="O381" s="292"/>
      <c r="P381" s="292"/>
      <c r="Q381" s="292"/>
      <c r="R381" s="292"/>
      <c r="S381" s="292"/>
      <c r="T381" s="292"/>
      <c r="U381" s="292"/>
      <c r="V381" s="292"/>
      <c r="W381" s="292"/>
      <c r="X381" s="292"/>
      <c r="Y381" s="292"/>
      <c r="Z381" s="292"/>
      <c r="AA381" s="292"/>
      <c r="AB381" s="292"/>
      <c r="AC381" s="292"/>
      <c r="AD381" s="292"/>
      <c r="AE381" s="292" t="s">
        <v>872</v>
      </c>
      <c r="AF381" s="292" t="str">
        <f>"INSERT INTO ProductByAccount
( ProductId,AccountId)VALUES
("&amp;C381&amp;",1037)"</f>
        <v>INSERT INTO ProductByAccount
( ProductId,AccountId)VALUES
(280,1037)</v>
      </c>
      <c r="AG381" s="292"/>
      <c r="AH381" s="292"/>
      <c r="AI381" s="292"/>
      <c r="AJ381" s="292"/>
      <c r="AK381" s="329">
        <v>0</v>
      </c>
      <c r="AL381" s="381"/>
      <c r="AM381" s="379" t="str">
        <f>"INSERT INTO ListedPrice
(ProductId,ActiveDate,Channel,Price)
VALUES("&amp;C381&amp;",'2020-05-01','MT',"&amp;AK381&amp;")"</f>
        <v>INSERT INTO ListedPrice
(ProductId,ActiveDate,Channel,Price)
VALUES(280,'2020-05-01','MT',0)</v>
      </c>
      <c r="AN381" s="292"/>
      <c r="AO381" s="292"/>
    </row>
    <row r="382" spans="1:41">
      <c r="A382" s="341">
        <v>4200000138</v>
      </c>
      <c r="B382" s="293" t="s">
        <v>780</v>
      </c>
      <c r="C382" s="290">
        <f>VLOOKUP(B382,Sheet1!$B$17:$C$451,2,0)</f>
        <v>281</v>
      </c>
      <c r="D382" s="291" t="s">
        <v>1294</v>
      </c>
      <c r="E382" s="291"/>
      <c r="F382" s="292" t="s">
        <v>878</v>
      </c>
      <c r="G382" s="291" t="s">
        <v>953</v>
      </c>
      <c r="H382" s="291" t="s">
        <v>309</v>
      </c>
      <c r="I382" s="291" t="s">
        <v>676</v>
      </c>
      <c r="J382" s="299" t="s">
        <v>292</v>
      </c>
      <c r="K382" s="293" t="s">
        <v>872</v>
      </c>
      <c r="L382" s="293" t="str">
        <f t="shared" si="25"/>
        <v>INSERT INTO Product (CMMF,Model,BarCode,Capacity,[Type],Product,[Range],[ModelName],[Color],[Status]) VALUES
('4200000138','L16009-DV0','8936008708797','','FAN','AsiaVina',N'Quạt treo',N'Heavy Duty',N'Đen','On going')</v>
      </c>
      <c r="M382" s="293"/>
      <c r="N382" s="292" t="s">
        <v>683</v>
      </c>
      <c r="O382" s="292"/>
      <c r="P382" s="292"/>
      <c r="Q382" s="292"/>
      <c r="R382" s="292"/>
      <c r="S382" s="292"/>
      <c r="T382" s="292"/>
      <c r="U382" s="292"/>
      <c r="V382" s="292"/>
      <c r="W382" s="292"/>
      <c r="X382" s="292"/>
      <c r="Y382" s="292"/>
      <c r="Z382" s="292"/>
      <c r="AA382" s="292"/>
      <c r="AB382" s="292"/>
      <c r="AC382" s="292"/>
      <c r="AD382" s="292"/>
      <c r="AE382" s="292"/>
      <c r="AF382" s="292"/>
      <c r="AG382" s="292"/>
      <c r="AH382" s="292"/>
      <c r="AI382" s="292"/>
      <c r="AJ382" s="292"/>
      <c r="AK382" s="380">
        <v>404545</v>
      </c>
      <c r="AL382" s="381">
        <v>404545</v>
      </c>
      <c r="AM382" s="379" t="str">
        <f>"INSERT INTO ListedPrice
(ProductId,ActiveDate,Channel,Price)
VALUES("&amp;C382&amp;",'2020-05-01','GT',"&amp;AL382&amp;")"</f>
        <v>INSERT INTO ListedPrice
(ProductId,ActiveDate,Channel,Price)
VALUES(281,'2020-05-01','GT',404545)</v>
      </c>
      <c r="AN382" s="292"/>
      <c r="AO382" s="292"/>
    </row>
    <row r="383" spans="1:41" s="285" customFormat="1">
      <c r="A383" s="339">
        <v>4200000304</v>
      </c>
      <c r="B383" s="297" t="s">
        <v>837</v>
      </c>
      <c r="C383" s="290">
        <f>VLOOKUP(B383,Sheet1!$B$17:$C$451,2,0)</f>
        <v>282</v>
      </c>
      <c r="D383" s="291" t="s">
        <v>1294</v>
      </c>
      <c r="E383" s="291"/>
      <c r="F383" s="296" t="s">
        <v>878</v>
      </c>
      <c r="G383" s="295" t="s">
        <v>953</v>
      </c>
      <c r="H383" s="291" t="s">
        <v>309</v>
      </c>
      <c r="I383" s="291" t="s">
        <v>676</v>
      </c>
      <c r="J383" s="299" t="s">
        <v>292</v>
      </c>
      <c r="K383" s="297" t="s">
        <v>623</v>
      </c>
      <c r="L383" s="293" t="str">
        <f t="shared" si="25"/>
        <v>INSERT INTO Product (CMMF,Model,BarCode,Capacity,[Type],Product,[Range],[ModelName],[Color],[Status]) VALUES
('4200000304','L16009-DV1','8936008708797','','FAN','AsiaVina',N'Quạt treo',N'Heavy Duty',N'Đen','Discontinued')</v>
      </c>
      <c r="M383" s="293"/>
      <c r="N383" s="292" t="s">
        <v>683</v>
      </c>
      <c r="O383" s="292"/>
      <c r="P383" s="292"/>
      <c r="Q383" s="292"/>
      <c r="R383" s="292"/>
      <c r="S383" s="292"/>
      <c r="T383" s="292"/>
      <c r="U383" s="292"/>
      <c r="V383" s="292"/>
      <c r="W383" s="292"/>
      <c r="X383" s="292"/>
      <c r="Y383" s="292"/>
      <c r="Z383" s="292"/>
      <c r="AA383" s="292"/>
      <c r="AB383" s="292"/>
      <c r="AC383" s="292"/>
      <c r="AD383" s="292"/>
      <c r="AE383" s="292"/>
      <c r="AF383" s="292"/>
      <c r="AG383" s="292"/>
      <c r="AH383" s="292"/>
      <c r="AI383" s="292"/>
      <c r="AJ383" s="292"/>
      <c r="AK383" s="380">
        <v>404545</v>
      </c>
      <c r="AL383" s="381">
        <v>0</v>
      </c>
      <c r="AM383" s="379" t="str">
        <f>"INSERT INTO ListedPrice
(ProductId,ActiveDate,Channel,Price)
VALUES("&amp;C383&amp;",'2020-05-01','MT',"&amp;AK383&amp;")"</f>
        <v>INSERT INTO ListedPrice
(ProductId,ActiveDate,Channel,Price)
VALUES(282,'2020-05-01','MT',404545)</v>
      </c>
      <c r="AN383" s="292"/>
      <c r="AO383" s="292"/>
    </row>
    <row r="384" spans="1:41" s="285" customFormat="1">
      <c r="A384" s="339">
        <v>4200000146</v>
      </c>
      <c r="B384" s="297" t="s">
        <v>937</v>
      </c>
      <c r="C384" s="290">
        <f>VLOOKUP(B384,Sheet1!$B$17:$C$451,2,0)</f>
        <v>283</v>
      </c>
      <c r="D384" s="291" t="s">
        <v>1295</v>
      </c>
      <c r="E384" s="291"/>
      <c r="F384" s="296" t="s">
        <v>878</v>
      </c>
      <c r="G384" s="295" t="s">
        <v>953</v>
      </c>
      <c r="H384" s="291" t="s">
        <v>309</v>
      </c>
      <c r="I384" s="291"/>
      <c r="J384" s="299" t="s">
        <v>292</v>
      </c>
      <c r="K384" s="297" t="s">
        <v>623</v>
      </c>
      <c r="L384" s="293" t="str">
        <f t="shared" si="25"/>
        <v>INSERT INTO Product (CMMF,Model,BarCode,Capacity,[Type],Product,[Range],[ModelName],[Color],[Status]) VALUES
('4200000146','L16012-DV0','8936008705338','','FAN','AsiaVina',N'Quạt treo',N'',N'Đen','Discontinued')</v>
      </c>
      <c r="M384" s="333" t="s">
        <v>877</v>
      </c>
      <c r="N384" s="333" t="s">
        <v>683</v>
      </c>
      <c r="O384" s="292"/>
      <c r="P384" s="292"/>
      <c r="Q384" s="292"/>
      <c r="R384" s="292"/>
      <c r="S384" s="292"/>
      <c r="T384" s="292"/>
      <c r="U384" s="292"/>
      <c r="V384" s="292"/>
      <c r="W384" s="292"/>
      <c r="X384" s="292"/>
      <c r="Y384" s="292"/>
      <c r="Z384" s="292"/>
      <c r="AA384" s="292"/>
      <c r="AB384" s="292"/>
      <c r="AC384" s="292"/>
      <c r="AD384" s="292"/>
      <c r="AE384" s="292"/>
      <c r="AF384" s="292"/>
      <c r="AG384" s="292"/>
      <c r="AH384" s="292"/>
      <c r="AI384" s="292"/>
      <c r="AJ384" s="292"/>
      <c r="AK384" s="380">
        <v>689091</v>
      </c>
      <c r="AL384" s="381">
        <v>0</v>
      </c>
      <c r="AM384" s="379" t="str">
        <f>"INSERT INTO ListedPrice
(ProductId,ActiveDate,Channel,Price)
VALUES("&amp;C384&amp;",'2020-05-01','MT',"&amp;AK384&amp;")"</f>
        <v>INSERT INTO ListedPrice
(ProductId,ActiveDate,Channel,Price)
VALUES(283,'2020-05-01','MT',689091)</v>
      </c>
      <c r="AN384" s="292"/>
      <c r="AO384" s="292"/>
    </row>
    <row r="385" spans="1:41" s="285" customFormat="1">
      <c r="A385" s="339">
        <v>4200000215</v>
      </c>
      <c r="B385" s="297" t="s">
        <v>938</v>
      </c>
      <c r="C385" s="290">
        <f>VLOOKUP(B385,Sheet1!$B$17:$C$451,2,0)</f>
        <v>284</v>
      </c>
      <c r="D385" s="291" t="s">
        <v>1296</v>
      </c>
      <c r="E385" s="291"/>
      <c r="F385" s="296" t="s">
        <v>878</v>
      </c>
      <c r="G385" s="295" t="s">
        <v>953</v>
      </c>
      <c r="H385" s="295" t="s">
        <v>1358</v>
      </c>
      <c r="I385" s="291"/>
      <c r="J385" s="297" t="s">
        <v>294</v>
      </c>
      <c r="K385" s="297" t="s">
        <v>623</v>
      </c>
      <c r="L385" s="293" t="str">
        <f t="shared" si="25"/>
        <v>INSERT INTO Product (CMMF,Model,BarCode,Capacity,[Type],Product,[Range],[ModelName],[Color],[Status]) VALUES
('4200000215','L16017-XV0','8936008709794','','FAN','AsiaVina',N'Quạt Treo',N'',N'Xám','Discontinued')</v>
      </c>
      <c r="M385" s="333" t="s">
        <v>877</v>
      </c>
      <c r="N385" s="333" t="s">
        <v>683</v>
      </c>
      <c r="O385" s="292"/>
      <c r="P385" s="292"/>
      <c r="Q385" s="292"/>
      <c r="R385" s="292"/>
      <c r="S385" s="292"/>
      <c r="T385" s="292"/>
      <c r="U385" s="292"/>
      <c r="V385" s="292"/>
      <c r="W385" s="292"/>
      <c r="X385" s="292"/>
      <c r="Y385" s="292"/>
      <c r="Z385" s="292"/>
      <c r="AA385" s="292"/>
      <c r="AB385" s="292"/>
      <c r="AC385" s="292"/>
      <c r="AD385" s="292"/>
      <c r="AE385" s="292"/>
      <c r="AF385" s="292"/>
      <c r="AG385" s="292"/>
      <c r="AH385" s="292"/>
      <c r="AI385" s="292"/>
      <c r="AJ385" s="292"/>
      <c r="AK385" s="380">
        <v>556364</v>
      </c>
      <c r="AL385" s="381">
        <v>0</v>
      </c>
      <c r="AM385" s="379" t="str">
        <f>"INSERT INTO ListedPrice
(ProductId,ActiveDate,Channel,Price)
VALUES("&amp;C385&amp;",'2020-05-01','MT',"&amp;AK385&amp;")"</f>
        <v>INSERT INTO ListedPrice
(ProductId,ActiveDate,Channel,Price)
VALUES(284,'2020-05-01','MT',556364)</v>
      </c>
      <c r="AN385" s="292"/>
      <c r="AO385" s="292"/>
    </row>
    <row r="386" spans="1:41" s="285" customFormat="1">
      <c r="A386" s="351">
        <v>4200000247</v>
      </c>
      <c r="B386" s="297" t="s">
        <v>1414</v>
      </c>
      <c r="C386" s="290">
        <f>VLOOKUP(B386,Sheet1!$B$17:$C$451,2,0)</f>
        <v>285</v>
      </c>
      <c r="D386" s="291" t="s">
        <v>1415</v>
      </c>
      <c r="E386" s="291"/>
      <c r="F386" s="296" t="s">
        <v>878</v>
      </c>
      <c r="G386" s="295" t="s">
        <v>953</v>
      </c>
      <c r="H386" s="295" t="s">
        <v>1358</v>
      </c>
      <c r="I386" s="291"/>
      <c r="J386" s="297" t="s">
        <v>1416</v>
      </c>
      <c r="K386" s="297" t="s">
        <v>623</v>
      </c>
      <c r="L386" s="293" t="str">
        <f t="shared" si="25"/>
        <v>INSERT INTO Product (CMMF,Model,BarCode,Capacity,[Type],Product,[Range],[ModelName],[Color],[Status]) VALUES
('4200000247','L16017-LV0','8936008709800','','FAN','AsiaVina',N'Quạt Treo',N'',N'Xanh Lá','Discontinued')</v>
      </c>
      <c r="M386" s="333" t="s">
        <v>877</v>
      </c>
      <c r="N386" s="333" t="s">
        <v>683</v>
      </c>
      <c r="O386" s="292"/>
      <c r="P386" s="292"/>
      <c r="Q386" s="292"/>
      <c r="R386" s="292"/>
      <c r="S386" s="292"/>
      <c r="T386" s="292"/>
      <c r="U386" s="292"/>
      <c r="V386" s="292"/>
      <c r="W386" s="292"/>
      <c r="X386" s="292"/>
      <c r="Y386" s="292"/>
      <c r="Z386" s="292"/>
      <c r="AA386" s="292"/>
      <c r="AB386" s="292"/>
      <c r="AC386" s="292"/>
      <c r="AD386" s="292"/>
      <c r="AE386" s="292"/>
      <c r="AF386" s="292"/>
      <c r="AG386" s="292"/>
      <c r="AH386" s="292"/>
      <c r="AI386" s="292"/>
      <c r="AJ386" s="292"/>
      <c r="AK386" s="329"/>
      <c r="AL386" s="381"/>
      <c r="AM386" s="379" t="str">
        <f>"INSERT INTO ListedPrice
(ProductId,ActiveDate,Channel,Price)
VALUES("&amp;C386&amp;",'2020-05-01','MT',"&amp;AK386&amp;")"</f>
        <v>INSERT INTO ListedPrice
(ProductId,ActiveDate,Channel,Price)
VALUES(285,'2020-05-01','MT',)</v>
      </c>
      <c r="AN386" s="292"/>
      <c r="AO386" s="292"/>
    </row>
    <row r="387" spans="1:41" s="285" customFormat="1">
      <c r="A387" s="339">
        <v>4200005364</v>
      </c>
      <c r="B387" s="297" t="s">
        <v>838</v>
      </c>
      <c r="C387" s="290">
        <f>VLOOKUP(B387,Sheet1!$B$17:$C$451,2,0)</f>
        <v>286</v>
      </c>
      <c r="D387" s="291" t="s">
        <v>1297</v>
      </c>
      <c r="E387" s="291"/>
      <c r="F387" s="296" t="s">
        <v>878</v>
      </c>
      <c r="G387" s="295" t="s">
        <v>953</v>
      </c>
      <c r="H387" s="295" t="s">
        <v>1358</v>
      </c>
      <c r="I387" s="291" t="s">
        <v>1447</v>
      </c>
      <c r="J387" s="297" t="s">
        <v>1452</v>
      </c>
      <c r="K387" s="297" t="s">
        <v>623</v>
      </c>
      <c r="L387" s="293" t="str">
        <f t="shared" si="25"/>
        <v>INSERT INTO Product (CMMF,Model,BarCode,Capacity,[Type],Product,[Range],[ModelName],[Color],[Status]) VALUES
('4200005364','L16018-BV0','8936008702634','','FAN','AsiaVina',N'Quạt Treo',N'Spring Breeze',N'Xanh Lam','Discontinued')</v>
      </c>
      <c r="M387" s="292" t="s">
        <v>877</v>
      </c>
      <c r="N387" s="292" t="s">
        <v>683</v>
      </c>
      <c r="O387" s="292"/>
      <c r="P387" s="292"/>
      <c r="Q387" s="292"/>
      <c r="R387" s="292"/>
      <c r="S387" s="292"/>
      <c r="T387" s="292"/>
      <c r="U387" s="292"/>
      <c r="V387" s="292"/>
      <c r="W387" s="292"/>
      <c r="X387" s="292"/>
      <c r="Y387" s="292"/>
      <c r="Z387" s="292"/>
      <c r="AA387" s="292"/>
      <c r="AB387" s="292"/>
      <c r="AC387" s="292"/>
      <c r="AD387" s="292"/>
      <c r="AE387" s="292"/>
      <c r="AF387" s="292"/>
      <c r="AG387" s="292"/>
      <c r="AH387" s="292"/>
      <c r="AI387" s="292"/>
      <c r="AJ387" s="292"/>
      <c r="AK387" s="329">
        <v>0</v>
      </c>
      <c r="AL387" s="381">
        <v>330000</v>
      </c>
      <c r="AM387" s="379" t="str">
        <f>"INSERT INTO ListedPrice
(ProductId,ActiveDate,Channel,Price)
VALUES("&amp;C387&amp;",'2020-05-01','GT',"&amp;AL387&amp;")"</f>
        <v>INSERT INTO ListedPrice
(ProductId,ActiveDate,Channel,Price)
VALUES(286,'2020-05-01','GT',330000)</v>
      </c>
      <c r="AN387" s="292"/>
      <c r="AO387" s="292"/>
    </row>
    <row r="388" spans="1:41" s="285" customFormat="1">
      <c r="A388" s="339">
        <v>4200005365</v>
      </c>
      <c r="B388" s="297" t="s">
        <v>839</v>
      </c>
      <c r="C388" s="290">
        <f>VLOOKUP(B388,Sheet1!$B$17:$C$451,2,0)</f>
        <v>287</v>
      </c>
      <c r="D388" s="291" t="s">
        <v>1297</v>
      </c>
      <c r="E388" s="291"/>
      <c r="F388" s="296" t="s">
        <v>878</v>
      </c>
      <c r="G388" s="295" t="s">
        <v>953</v>
      </c>
      <c r="H388" s="295" t="s">
        <v>1358</v>
      </c>
      <c r="I388" s="291" t="s">
        <v>1447</v>
      </c>
      <c r="J388" s="297" t="s">
        <v>1452</v>
      </c>
      <c r="K388" s="297" t="s">
        <v>623</v>
      </c>
      <c r="L388" s="293" t="str">
        <f t="shared" si="25"/>
        <v>INSERT INTO Product (CMMF,Model,BarCode,Capacity,[Type],Product,[Range],[ModelName],[Color],[Status]) VALUES
('4200005365','L16018-BV1','8936008702634','','FAN','AsiaVina',N'Quạt Treo',N'Spring Breeze',N'Xanh Lam','Discontinued')</v>
      </c>
      <c r="M388" s="292" t="s">
        <v>877</v>
      </c>
      <c r="N388" s="292" t="s">
        <v>683</v>
      </c>
      <c r="O388" s="292"/>
      <c r="P388" s="292"/>
      <c r="Q388" s="292"/>
      <c r="R388" s="292"/>
      <c r="S388" s="292"/>
      <c r="T388" s="292"/>
      <c r="U388" s="292"/>
      <c r="V388" s="292"/>
      <c r="W388" s="292"/>
      <c r="X388" s="292"/>
      <c r="Y388" s="292"/>
      <c r="Z388" s="292"/>
      <c r="AA388" s="292"/>
      <c r="AB388" s="292"/>
      <c r="AC388" s="292"/>
      <c r="AD388" s="292"/>
      <c r="AE388" s="292"/>
      <c r="AF388" s="292"/>
      <c r="AG388" s="292"/>
      <c r="AH388" s="292"/>
      <c r="AI388" s="292"/>
      <c r="AJ388" s="292"/>
      <c r="AK388" s="329">
        <v>0</v>
      </c>
      <c r="AL388" s="381">
        <v>330000</v>
      </c>
      <c r="AM388" s="379" t="str">
        <f>"INSERT INTO ListedPrice
(ProductId,ActiveDate,Channel,Price)
VALUES("&amp;C388&amp;",'2020-05-01','GT',"&amp;AL388&amp;")"</f>
        <v>INSERT INTO ListedPrice
(ProductId,ActiveDate,Channel,Price)
VALUES(287,'2020-05-01','GT',330000)</v>
      </c>
      <c r="AN388" s="292"/>
      <c r="AO388" s="292"/>
    </row>
    <row r="389" spans="1:41">
      <c r="A389" s="341">
        <v>4200005366</v>
      </c>
      <c r="B389" s="293" t="s">
        <v>782</v>
      </c>
      <c r="C389" s="290">
        <f>VLOOKUP(B389,Sheet1!$B$17:$C$451,2,0)</f>
        <v>288</v>
      </c>
      <c r="D389" s="291" t="s">
        <v>1298</v>
      </c>
      <c r="E389" s="291"/>
      <c r="F389" s="292" t="s">
        <v>878</v>
      </c>
      <c r="G389" s="291" t="s">
        <v>953</v>
      </c>
      <c r="H389" s="295" t="s">
        <v>1358</v>
      </c>
      <c r="I389" s="291" t="s">
        <v>1447</v>
      </c>
      <c r="J389" s="293" t="s">
        <v>1416</v>
      </c>
      <c r="K389" s="293" t="s">
        <v>872</v>
      </c>
      <c r="L389" s="293" t="str">
        <f t="shared" si="25"/>
        <v>INSERT INTO Product (CMMF,Model,BarCode,Capacity,[Type],Product,[Range],[ModelName],[Color],[Status]) VALUES
('4200005366','L16018-GV0','8936008702665','','FAN','AsiaVina',N'Quạt Treo',N'Spring Breeze',N'Xanh Lá','On going')</v>
      </c>
      <c r="M389" s="292" t="s">
        <v>877</v>
      </c>
      <c r="N389" s="292" t="s">
        <v>683</v>
      </c>
      <c r="O389" s="292"/>
      <c r="P389" s="292"/>
      <c r="Q389" s="292"/>
      <c r="R389" s="292"/>
      <c r="S389" s="292"/>
      <c r="T389" s="292"/>
      <c r="U389" s="292"/>
      <c r="V389" s="292"/>
      <c r="W389" s="292"/>
      <c r="X389" s="292"/>
      <c r="Y389" s="292"/>
      <c r="Z389" s="292"/>
      <c r="AA389" s="292"/>
      <c r="AB389" s="292"/>
      <c r="AC389" s="292"/>
      <c r="AD389" s="292"/>
      <c r="AE389" s="292"/>
      <c r="AF389" s="292"/>
      <c r="AG389" s="292"/>
      <c r="AH389" s="292"/>
      <c r="AI389" s="292"/>
      <c r="AJ389" s="292"/>
      <c r="AK389" s="329">
        <v>0</v>
      </c>
      <c r="AL389" s="381">
        <v>330000</v>
      </c>
      <c r="AM389" s="379" t="str">
        <f>"INSERT INTO ListedPrice
(ProductId,ActiveDate,Channel,Price)
VALUES("&amp;C389&amp;",'2020-05-01','GT',"&amp;AL389&amp;")"</f>
        <v>INSERT INTO ListedPrice
(ProductId,ActiveDate,Channel,Price)
VALUES(288,'2020-05-01','GT',330000)</v>
      </c>
      <c r="AN389" s="292"/>
      <c r="AO389" s="292"/>
    </row>
    <row r="390" spans="1:41">
      <c r="A390" s="341">
        <v>4200005367</v>
      </c>
      <c r="B390" s="293" t="s">
        <v>784</v>
      </c>
      <c r="C390" s="290">
        <f>VLOOKUP(B390,Sheet1!$B$17:$C$451,2,0)</f>
        <v>289</v>
      </c>
      <c r="D390" s="291" t="s">
        <v>1298</v>
      </c>
      <c r="E390" s="291"/>
      <c r="F390" s="292" t="s">
        <v>878</v>
      </c>
      <c r="G390" s="291" t="s">
        <v>953</v>
      </c>
      <c r="H390" s="295" t="s">
        <v>1358</v>
      </c>
      <c r="I390" s="291" t="s">
        <v>1447</v>
      </c>
      <c r="J390" s="293" t="s">
        <v>1416</v>
      </c>
      <c r="K390" s="293" t="s">
        <v>872</v>
      </c>
      <c r="L390" s="293" t="str">
        <f t="shared" si="25"/>
        <v>INSERT INTO Product (CMMF,Model,BarCode,Capacity,[Type],Product,[Range],[ModelName],[Color],[Status]) VALUES
('4200005367','L16018-GV1','8936008702665','','FAN','AsiaVina',N'Quạt Treo',N'Spring Breeze',N'Xanh Lá','On going')</v>
      </c>
      <c r="M390" s="292" t="s">
        <v>877</v>
      </c>
      <c r="N390" s="292" t="s">
        <v>683</v>
      </c>
      <c r="O390" s="292"/>
      <c r="P390" s="292"/>
      <c r="Q390" s="292"/>
      <c r="R390" s="292"/>
      <c r="S390" s="292"/>
      <c r="T390" s="292"/>
      <c r="U390" s="292"/>
      <c r="V390" s="292"/>
      <c r="W390" s="292"/>
      <c r="X390" s="292"/>
      <c r="Y390" s="292"/>
      <c r="Z390" s="292"/>
      <c r="AA390" s="292"/>
      <c r="AB390" s="292"/>
      <c r="AC390" s="292" t="s">
        <v>872</v>
      </c>
      <c r="AD390" s="292" t="str">
        <f>"INSERT INTO ProductByAccount
( ProductId,AccountId)VALUES
("&amp;C390&amp;",1036)"</f>
        <v>INSERT INTO ProductByAccount
( ProductId,AccountId)VALUES
(289,1036)</v>
      </c>
      <c r="AE390" s="292"/>
      <c r="AF390" s="292"/>
      <c r="AG390" s="292"/>
      <c r="AH390" s="292"/>
      <c r="AI390" s="292"/>
      <c r="AJ390" s="292"/>
      <c r="AK390" s="329">
        <v>0</v>
      </c>
      <c r="AL390" s="381">
        <v>330000</v>
      </c>
      <c r="AM390" s="379" t="str">
        <f>"INSERT INTO ListedPrice
(ProductId,ActiveDate,Channel,Price)
VALUES("&amp;C390&amp;",'2020-05-01','GT',"&amp;AL390&amp;")"</f>
        <v>INSERT INTO ListedPrice
(ProductId,ActiveDate,Channel,Price)
VALUES(289,'2020-05-01','GT',330000)</v>
      </c>
      <c r="AN390" s="292"/>
      <c r="AO390" s="292"/>
    </row>
    <row r="391" spans="1:41" s="285" customFormat="1">
      <c r="A391" s="339">
        <v>4200005510</v>
      </c>
      <c r="B391" s="297" t="s">
        <v>939</v>
      </c>
      <c r="C391" s="290">
        <f>VLOOKUP(B391,Sheet1!$B$17:$C$451,2,0)</f>
        <v>290</v>
      </c>
      <c r="D391" s="291" t="s">
        <v>1299</v>
      </c>
      <c r="E391" s="291"/>
      <c r="F391" s="296" t="s">
        <v>878</v>
      </c>
      <c r="G391" s="295" t="s">
        <v>953</v>
      </c>
      <c r="H391" s="295" t="s">
        <v>1358</v>
      </c>
      <c r="I391" s="291" t="s">
        <v>1447</v>
      </c>
      <c r="J391" s="293" t="s">
        <v>1416</v>
      </c>
      <c r="K391" s="297" t="s">
        <v>623</v>
      </c>
      <c r="L391" s="293" t="str">
        <f t="shared" si="25"/>
        <v>INSERT INTO Product (CMMF,Model,BarCode,Capacity,[Type],Product,[Range],[ModelName],[Color],[Status]) VALUES
('4200005510','L16018-GV2','8936008708483','','FAN','AsiaVina',N'Quạt Treo',N'Spring Breeze',N'Xanh Lá','Discontinued')</v>
      </c>
      <c r="M391" s="293"/>
      <c r="N391" s="292" t="s">
        <v>683</v>
      </c>
      <c r="O391" s="292"/>
      <c r="P391" s="292"/>
      <c r="Q391" s="292"/>
      <c r="R391" s="292"/>
      <c r="S391" s="292"/>
      <c r="T391" s="292"/>
      <c r="U391" s="292"/>
      <c r="V391" s="292"/>
      <c r="W391" s="292"/>
      <c r="X391" s="292"/>
      <c r="Y391" s="292"/>
      <c r="Z391" s="292"/>
      <c r="AA391" s="292"/>
      <c r="AB391" s="292"/>
      <c r="AC391" s="292"/>
      <c r="AD391" s="292"/>
      <c r="AE391" s="292"/>
      <c r="AF391" s="292"/>
      <c r="AG391" s="292"/>
      <c r="AH391" s="292"/>
      <c r="AI391" s="292"/>
      <c r="AJ391" s="292"/>
      <c r="AK391" s="380">
        <v>483636</v>
      </c>
      <c r="AL391" s="381">
        <v>483636</v>
      </c>
      <c r="AM391" s="379" t="str">
        <f>"INSERT INTO ListedPrice
(ProductId,ActiveDate,Channel,Price)
VALUES("&amp;C391&amp;",'2020-05-01','GT',"&amp;AL391&amp;")"</f>
        <v>INSERT INTO ListedPrice
(ProductId,ActiveDate,Channel,Price)
VALUES(290,'2020-05-01','GT',483636)</v>
      </c>
      <c r="AN391" s="292"/>
      <c r="AO391" s="292"/>
    </row>
    <row r="392" spans="1:41" s="285" customFormat="1">
      <c r="A392" s="339">
        <v>4200005511</v>
      </c>
      <c r="B392" s="297" t="s">
        <v>940</v>
      </c>
      <c r="C392" s="290">
        <f>VLOOKUP(B392,Sheet1!$B$17:$C$451,2,0)</f>
        <v>291</v>
      </c>
      <c r="D392" s="291" t="s">
        <v>1300</v>
      </c>
      <c r="E392" s="291"/>
      <c r="F392" s="296" t="s">
        <v>878</v>
      </c>
      <c r="G392" s="295" t="s">
        <v>953</v>
      </c>
      <c r="H392" s="295" t="s">
        <v>1358</v>
      </c>
      <c r="I392" s="291" t="s">
        <v>1447</v>
      </c>
      <c r="J392" s="293" t="s">
        <v>1416</v>
      </c>
      <c r="K392" s="297" t="s">
        <v>623</v>
      </c>
      <c r="L392" s="293" t="str">
        <f t="shared" si="25"/>
        <v>INSERT INTO Product (CMMF,Model,BarCode,Capacity,[Type],Product,[Range],[ModelName],[Color],[Status]) VALUES
('4200005511','L16018-GV3','8936008708513','','FAN','AsiaVina',N'Quạt Treo',N'Spring Breeze',N'Xanh Lá','Discontinued')</v>
      </c>
      <c r="M392" s="333" t="s">
        <v>877</v>
      </c>
      <c r="N392" s="333" t="s">
        <v>683</v>
      </c>
      <c r="O392" s="292"/>
      <c r="P392" s="292"/>
      <c r="Q392" s="292"/>
      <c r="R392" s="292"/>
      <c r="S392" s="292"/>
      <c r="T392" s="292"/>
      <c r="U392" s="292"/>
      <c r="V392" s="292"/>
      <c r="W392" s="292"/>
      <c r="X392" s="292"/>
      <c r="Y392" s="292"/>
      <c r="Z392" s="292"/>
      <c r="AA392" s="292"/>
      <c r="AB392" s="292"/>
      <c r="AC392" s="292"/>
      <c r="AD392" s="292"/>
      <c r="AE392" s="292"/>
      <c r="AF392" s="292"/>
      <c r="AG392" s="292"/>
      <c r="AH392" s="292"/>
      <c r="AI392" s="292"/>
      <c r="AJ392" s="292"/>
      <c r="AK392" s="380">
        <v>483636</v>
      </c>
      <c r="AL392" s="381">
        <v>0</v>
      </c>
      <c r="AM392" s="379" t="str">
        <f>"INSERT INTO ListedPrice
(ProductId,ActiveDate,Channel,Price)
VALUES("&amp;C392&amp;",'2020-05-01','MT',"&amp;AK392&amp;")"</f>
        <v>INSERT INTO ListedPrice
(ProductId,ActiveDate,Channel,Price)
VALUES(291,'2020-05-01','MT',483636)</v>
      </c>
      <c r="AN392" s="292"/>
      <c r="AO392" s="292"/>
    </row>
    <row r="393" spans="1:41" s="287" customFormat="1">
      <c r="A393" s="338">
        <v>4200006872</v>
      </c>
      <c r="B393" s="301" t="s">
        <v>840</v>
      </c>
      <c r="C393" s="290">
        <f>VLOOKUP(B393,Sheet1!$B$17:$C$451,2,0)</f>
        <v>292</v>
      </c>
      <c r="D393" s="291" t="s">
        <v>1301</v>
      </c>
      <c r="E393" s="291"/>
      <c r="F393" s="302" t="s">
        <v>878</v>
      </c>
      <c r="G393" s="302" t="s">
        <v>953</v>
      </c>
      <c r="H393" s="295" t="s">
        <v>1358</v>
      </c>
      <c r="I393" s="291" t="s">
        <v>1447</v>
      </c>
      <c r="J393" s="301" t="s">
        <v>327</v>
      </c>
      <c r="K393" s="303" t="s">
        <v>516</v>
      </c>
      <c r="L393" s="293" t="str">
        <f t="shared" si="25"/>
        <v>INSERT INTO Product (CMMF,Model,BarCode,Capacity,[Type],Product,[Range],[ModelName],[Color],[Status]) VALUES
('4200006872','L16018-TV0','8936008700890','','FAN','AsiaVina',N'Quạt Treo',N'Spring Breeze',N'Trắng','New')</v>
      </c>
      <c r="M393" s="333" t="s">
        <v>877</v>
      </c>
      <c r="N393" s="333" t="s">
        <v>683</v>
      </c>
      <c r="O393" s="292"/>
      <c r="P393" s="292"/>
      <c r="Q393" s="292"/>
      <c r="R393" s="292"/>
      <c r="S393" s="292"/>
      <c r="T393" s="292"/>
      <c r="U393" s="292"/>
      <c r="V393" s="292"/>
      <c r="W393" s="292"/>
      <c r="X393" s="292"/>
      <c r="Y393" s="292"/>
      <c r="Z393" s="292"/>
      <c r="AA393" s="348" t="s">
        <v>516</v>
      </c>
      <c r="AB393" s="292" t="str">
        <f>"INSERT INTO ProductByAccount
( ProductId,AccountId)VALUES
("&amp;C393&amp;",1035)"</f>
        <v>INSERT INTO ProductByAccount
( ProductId,AccountId)VALUES
(292,1035)</v>
      </c>
      <c r="AC393" s="348" t="s">
        <v>516</v>
      </c>
      <c r="AD393" s="292" t="str">
        <f>"INSERT INTO ProductByAccount
( ProductId,AccountId)VALUES
("&amp;C393&amp;",1036)"</f>
        <v>INSERT INTO ProductByAccount
( ProductId,AccountId)VALUES
(292,1036)</v>
      </c>
      <c r="AE393" s="292" t="s">
        <v>872</v>
      </c>
      <c r="AF393" s="292" t="str">
        <f>"INSERT INTO ProductByAccount
( ProductId,AccountId)VALUES
("&amp;C393&amp;",1037)"</f>
        <v>INSERT INTO ProductByAccount
( ProductId,AccountId)VALUES
(292,1037)</v>
      </c>
      <c r="AG393" s="292"/>
      <c r="AH393" s="292"/>
      <c r="AI393" s="292"/>
      <c r="AJ393" s="292"/>
      <c r="AK393" s="380">
        <v>454545</v>
      </c>
      <c r="AL393" s="381">
        <v>0</v>
      </c>
      <c r="AM393" s="379"/>
      <c r="AN393" s="292"/>
      <c r="AO393" s="292"/>
    </row>
    <row r="394" spans="1:41" s="287" customFormat="1">
      <c r="A394" s="338">
        <v>4200006865</v>
      </c>
      <c r="B394" s="301" t="s">
        <v>841</v>
      </c>
      <c r="C394" s="290">
        <f>VLOOKUP(B394,Sheet1!$B$17:$C$451,2,0)</f>
        <v>293</v>
      </c>
      <c r="D394" s="291" t="s">
        <v>1302</v>
      </c>
      <c r="E394" s="291"/>
      <c r="F394" s="302" t="s">
        <v>878</v>
      </c>
      <c r="G394" s="302" t="s">
        <v>953</v>
      </c>
      <c r="H394" s="295" t="s">
        <v>1358</v>
      </c>
      <c r="I394" s="291" t="s">
        <v>1447</v>
      </c>
      <c r="J394" s="301" t="s">
        <v>294</v>
      </c>
      <c r="K394" s="303" t="s">
        <v>516</v>
      </c>
      <c r="L394" s="293" t="str">
        <f t="shared" si="25"/>
        <v>INSERT INTO Product (CMMF,Model,BarCode,Capacity,[Type],Product,[Range],[ModelName],[Color],[Status]) VALUES
('4200006865','L16018-XV0','8936008700777','','FAN','AsiaVina',N'Quạt Treo',N'Spring Breeze',N'Xám','New')</v>
      </c>
      <c r="M394" s="293"/>
      <c r="N394" s="292" t="s">
        <v>683</v>
      </c>
      <c r="O394" s="292"/>
      <c r="P394" s="292"/>
      <c r="Q394" s="292"/>
      <c r="R394" s="292"/>
      <c r="S394" s="292"/>
      <c r="T394" s="292"/>
      <c r="U394" s="292"/>
      <c r="V394" s="292"/>
      <c r="W394" s="292"/>
      <c r="X394" s="292"/>
      <c r="Y394" s="292"/>
      <c r="Z394" s="292"/>
      <c r="AA394" s="292"/>
      <c r="AB394" s="292"/>
      <c r="AC394" s="292"/>
      <c r="AD394" s="292"/>
      <c r="AE394" s="292"/>
      <c r="AF394" s="292"/>
      <c r="AG394" s="292"/>
      <c r="AH394" s="292"/>
      <c r="AI394" s="292"/>
      <c r="AJ394" s="292"/>
      <c r="AK394" s="329">
        <v>0</v>
      </c>
      <c r="AL394" s="381">
        <v>330000</v>
      </c>
      <c r="AM394" s="379" t="str">
        <f>"INSERT INTO ListedPrice
(ProductId,ActiveDate,Channel,Price)
VALUES("&amp;C394&amp;",'2020-05-01','GT',"&amp;AL394&amp;")"</f>
        <v>INSERT INTO ListedPrice
(ProductId,ActiveDate,Channel,Price)
VALUES(293,'2020-05-01','GT',330000)</v>
      </c>
      <c r="AN394" s="292"/>
      <c r="AO394" s="292"/>
    </row>
    <row r="395" spans="1:41" s="285" customFormat="1">
      <c r="A395" s="339">
        <v>4200005368</v>
      </c>
      <c r="B395" s="297" t="s">
        <v>842</v>
      </c>
      <c r="C395" s="290">
        <f>VLOOKUP(B395,Sheet1!$B$17:$C$451,2,0)</f>
        <v>294</v>
      </c>
      <c r="D395" s="291" t="s">
        <v>1303</v>
      </c>
      <c r="E395" s="291"/>
      <c r="F395" s="296" t="s">
        <v>878</v>
      </c>
      <c r="G395" s="295" t="s">
        <v>953</v>
      </c>
      <c r="H395" s="295" t="s">
        <v>1358</v>
      </c>
      <c r="I395" s="291" t="s">
        <v>1447</v>
      </c>
      <c r="J395" s="291" t="s">
        <v>982</v>
      </c>
      <c r="K395" s="297" t="s">
        <v>623</v>
      </c>
      <c r="L395" s="293" t="str">
        <f t="shared" si="25"/>
        <v>INSERT INTO Product (CMMF,Model,BarCode,Capacity,[Type],Product,[Range],[ModelName],[Color],[Status]) VALUES
('4200005368','L16019-BV0','8936008702931','','FAN','AsiaVina',N'Quạt Treo',N'Spring Breeze',N'Xanh lam','Discontinued')</v>
      </c>
      <c r="M395" s="293"/>
      <c r="N395" s="292" t="s">
        <v>683</v>
      </c>
      <c r="O395" s="292"/>
      <c r="P395" s="292"/>
      <c r="Q395" s="292"/>
      <c r="R395" s="292"/>
      <c r="S395" s="292"/>
      <c r="T395" s="292"/>
      <c r="U395" s="292"/>
      <c r="V395" s="292"/>
      <c r="W395" s="292"/>
      <c r="X395" s="292"/>
      <c r="Y395" s="292"/>
      <c r="Z395" s="292"/>
      <c r="AA395" s="292"/>
      <c r="AB395" s="292"/>
      <c r="AC395" s="292"/>
      <c r="AD395" s="292"/>
      <c r="AE395" s="292"/>
      <c r="AF395" s="292"/>
      <c r="AG395" s="292"/>
      <c r="AH395" s="292"/>
      <c r="AI395" s="292"/>
      <c r="AJ395" s="292"/>
      <c r="AK395" s="329">
        <v>0</v>
      </c>
      <c r="AL395" s="381">
        <v>470000</v>
      </c>
      <c r="AM395" s="379" t="str">
        <f>"INSERT INTO ListedPrice
(ProductId,ActiveDate,Channel,Price)
VALUES("&amp;C395&amp;",'2020-05-01','GT',"&amp;AL395&amp;")"</f>
        <v>INSERT INTO ListedPrice
(ProductId,ActiveDate,Channel,Price)
VALUES(294,'2020-05-01','GT',470000)</v>
      </c>
      <c r="AN395" s="292"/>
      <c r="AO395" s="292"/>
    </row>
    <row r="396" spans="1:41">
      <c r="A396" s="341">
        <v>4200005369</v>
      </c>
      <c r="B396" s="293" t="s">
        <v>779</v>
      </c>
      <c r="C396" s="290">
        <f>VLOOKUP(B396,Sheet1!$B$17:$C$451,2,0)</f>
        <v>295</v>
      </c>
      <c r="D396" s="291" t="s">
        <v>1304</v>
      </c>
      <c r="E396" s="291"/>
      <c r="F396" s="292" t="s">
        <v>878</v>
      </c>
      <c r="G396" s="291" t="s">
        <v>953</v>
      </c>
      <c r="H396" s="295" t="s">
        <v>1358</v>
      </c>
      <c r="I396" s="291" t="s">
        <v>1447</v>
      </c>
      <c r="J396" s="291" t="s">
        <v>1416</v>
      </c>
      <c r="K396" s="293" t="s">
        <v>872</v>
      </c>
      <c r="L396" s="293" t="str">
        <f t="shared" si="25"/>
        <v>INSERT INTO Product (CMMF,Model,BarCode,Capacity,[Type],Product,[Range],[ModelName],[Color],[Status]) VALUES
('4200005369','L16019-GV0','8936008702962','','FAN','AsiaVina',N'Quạt Treo',N'Spring Breeze',N'Xanh Lá','On going')</v>
      </c>
      <c r="M396" s="293"/>
      <c r="N396" s="292" t="s">
        <v>683</v>
      </c>
      <c r="O396" s="292"/>
      <c r="P396" s="292"/>
      <c r="Q396" s="292"/>
      <c r="R396" s="292"/>
      <c r="S396" s="292"/>
      <c r="T396" s="292"/>
      <c r="U396" s="292"/>
      <c r="V396" s="292"/>
      <c r="W396" s="292"/>
      <c r="X396" s="292"/>
      <c r="Y396" s="292"/>
      <c r="Z396" s="292"/>
      <c r="AA396" s="292"/>
      <c r="AB396" s="292"/>
      <c r="AC396" s="292"/>
      <c r="AD396" s="292"/>
      <c r="AE396" s="292"/>
      <c r="AF396" s="292"/>
      <c r="AG396" s="292"/>
      <c r="AH396" s="292"/>
      <c r="AI396" s="292"/>
      <c r="AJ396" s="292"/>
      <c r="AK396" s="329">
        <v>0</v>
      </c>
      <c r="AL396" s="381">
        <v>470000</v>
      </c>
      <c r="AM396" s="379" t="str">
        <f>"INSERT INTO ListedPrice
(ProductId,ActiveDate,Channel,Price)
VALUES("&amp;C396&amp;",'2020-05-01','GT',"&amp;AL396&amp;")"</f>
        <v>INSERT INTO ListedPrice
(ProductId,ActiveDate,Channel,Price)
VALUES(295,'2020-05-01','GT',470000)</v>
      </c>
      <c r="AN396" s="292"/>
      <c r="AO396" s="292"/>
    </row>
    <row r="397" spans="1:41" s="285" customFormat="1">
      <c r="A397" s="339">
        <v>4200005513</v>
      </c>
      <c r="B397" s="297" t="s">
        <v>941</v>
      </c>
      <c r="C397" s="290">
        <f>VLOOKUP(B397,Sheet1!$B$17:$C$451,2,0)</f>
        <v>296</v>
      </c>
      <c r="D397" s="291" t="s">
        <v>1305</v>
      </c>
      <c r="E397" s="291"/>
      <c r="F397" s="296" t="s">
        <v>878</v>
      </c>
      <c r="G397" s="295" t="s">
        <v>953</v>
      </c>
      <c r="H397" s="295" t="s">
        <v>1358</v>
      </c>
      <c r="I397" s="291" t="s">
        <v>1447</v>
      </c>
      <c r="J397" s="291" t="s">
        <v>1416</v>
      </c>
      <c r="K397" s="297" t="s">
        <v>623</v>
      </c>
      <c r="L397" s="293" t="str">
        <f t="shared" si="25"/>
        <v>INSERT INTO Product (CMMF,Model,BarCode,Capacity,[Type],Product,[Range],[ModelName],[Color],[Status]) VALUES
('4200005513','L16019-GV1','8936008708537','','FAN','AsiaVina',N'Quạt Treo',N'Spring Breeze',N'Xanh Lá','Discontinued')</v>
      </c>
      <c r="M397" s="293"/>
      <c r="N397" s="292" t="s">
        <v>683</v>
      </c>
      <c r="O397" s="292"/>
      <c r="P397" s="292"/>
      <c r="Q397" s="292"/>
      <c r="R397" s="292"/>
      <c r="S397" s="292"/>
      <c r="T397" s="292"/>
      <c r="U397" s="292"/>
      <c r="V397" s="292"/>
      <c r="W397" s="292"/>
      <c r="X397" s="292"/>
      <c r="Y397" s="292"/>
      <c r="Z397" s="292"/>
      <c r="AA397" s="292"/>
      <c r="AB397" s="292"/>
      <c r="AC397" s="292"/>
      <c r="AD397" s="292"/>
      <c r="AE397" s="292"/>
      <c r="AF397" s="292"/>
      <c r="AG397" s="292"/>
      <c r="AH397" s="292"/>
      <c r="AI397" s="292"/>
      <c r="AJ397" s="292"/>
      <c r="AK397" s="329">
        <v>0</v>
      </c>
      <c r="AL397" s="381">
        <v>470000</v>
      </c>
      <c r="AM397" s="379" t="str">
        <f>"INSERT INTO ListedPrice
(ProductId,ActiveDate,Channel,Price)
VALUES("&amp;C397&amp;",'2020-05-01','GT',"&amp;AL397&amp;")"</f>
        <v>INSERT INTO ListedPrice
(ProductId,ActiveDate,Channel,Price)
VALUES(296,'2020-05-01','GT',470000)</v>
      </c>
      <c r="AN397" s="292"/>
      <c r="AO397" s="292"/>
    </row>
    <row r="398" spans="1:41" s="287" customFormat="1">
      <c r="A398" s="338">
        <v>4200006866</v>
      </c>
      <c r="B398" s="301" t="s">
        <v>843</v>
      </c>
      <c r="C398" s="290">
        <f>VLOOKUP(B398,Sheet1!$B$17:$C$451,2,0)</f>
        <v>297</v>
      </c>
      <c r="D398" s="291" t="s">
        <v>1306</v>
      </c>
      <c r="E398" s="291"/>
      <c r="F398" s="302" t="s">
        <v>878</v>
      </c>
      <c r="G398" s="302" t="s">
        <v>953</v>
      </c>
      <c r="H398" s="295" t="s">
        <v>1358</v>
      </c>
      <c r="I398" s="291" t="s">
        <v>1447</v>
      </c>
      <c r="J398" s="291" t="s">
        <v>294</v>
      </c>
      <c r="K398" s="303" t="s">
        <v>516</v>
      </c>
      <c r="L398" s="293" t="str">
        <f t="shared" si="25"/>
        <v>INSERT INTO Product (CMMF,Model,BarCode,Capacity,[Type],Product,[Range],[ModelName],[Color],[Status]) VALUES
('4200006866','L16019-XV0','8936008700784','','FAN','AsiaVina',N'Quạt Treo',N'Spring Breeze',N'Xám','New')</v>
      </c>
      <c r="M398" s="293"/>
      <c r="N398" s="292" t="s">
        <v>683</v>
      </c>
      <c r="O398" s="292"/>
      <c r="P398" s="292"/>
      <c r="Q398" s="292"/>
      <c r="R398" s="292"/>
      <c r="S398" s="292"/>
      <c r="T398" s="292"/>
      <c r="U398" s="292"/>
      <c r="V398" s="292"/>
      <c r="W398" s="292"/>
      <c r="X398" s="292"/>
      <c r="Y398" s="292"/>
      <c r="Z398" s="292"/>
      <c r="AA398" s="292"/>
      <c r="AB398" s="292"/>
      <c r="AC398" s="292"/>
      <c r="AD398" s="292"/>
      <c r="AE398" s="292"/>
      <c r="AF398" s="292"/>
      <c r="AG398" s="292"/>
      <c r="AH398" s="292"/>
      <c r="AI398" s="292"/>
      <c r="AJ398" s="292"/>
      <c r="AK398" s="329">
        <v>0</v>
      </c>
      <c r="AL398" s="381">
        <v>470000</v>
      </c>
      <c r="AM398" s="379" t="str">
        <f>"INSERT INTO ListedPrice
(ProductId,ActiveDate,Channel,Price)
VALUES("&amp;C398&amp;",'2020-05-01','GT',"&amp;AL398&amp;")"</f>
        <v>INSERT INTO ListedPrice
(ProductId,ActiveDate,Channel,Price)
VALUES(297,'2020-05-01','GT',470000)</v>
      </c>
      <c r="AN398" s="292"/>
      <c r="AO398" s="292"/>
    </row>
    <row r="399" spans="1:41" s="285" customFormat="1">
      <c r="A399" s="347">
        <v>4200005373</v>
      </c>
      <c r="B399" s="294" t="s">
        <v>1388</v>
      </c>
      <c r="C399" s="290">
        <f>VLOOKUP(B399,Sheet1!$B$17:$C$451,2,0)</f>
        <v>298</v>
      </c>
      <c r="D399" s="295" t="s">
        <v>1275</v>
      </c>
      <c r="E399" s="295"/>
      <c r="F399" s="302" t="s">
        <v>878</v>
      </c>
      <c r="G399" s="302" t="s">
        <v>953</v>
      </c>
      <c r="H399" s="295" t="s">
        <v>1358</v>
      </c>
      <c r="I399" s="295"/>
      <c r="J399" s="294" t="s">
        <v>1389</v>
      </c>
      <c r="K399" s="297" t="s">
        <v>623</v>
      </c>
      <c r="L399" s="293" t="str">
        <f t="shared" si="25"/>
        <v>INSERT INTO Product (CMMF,Model,BarCode,Capacity,[Type],Product,[Range],[ModelName],[Color],[Status]) VALUES
('4200005373','L16020-DV0','8936008700272','','FAN','AsiaVina',N'Quạt Treo',N'',N'Đen bạc','Discontinued')</v>
      </c>
      <c r="M399" s="333" t="s">
        <v>877</v>
      </c>
      <c r="N399" s="333" t="s">
        <v>683</v>
      </c>
      <c r="O399" s="292"/>
      <c r="P399" s="292"/>
      <c r="Q399" s="292"/>
      <c r="R399" s="292"/>
      <c r="S399" s="292"/>
      <c r="T399" s="292"/>
      <c r="U399" s="292"/>
      <c r="V399" s="292"/>
      <c r="W399" s="292"/>
      <c r="X399" s="292"/>
      <c r="Y399" s="292"/>
      <c r="Z399" s="292"/>
      <c r="AA399" s="292"/>
      <c r="AB399" s="292"/>
      <c r="AC399" s="292"/>
      <c r="AD399" s="292"/>
      <c r="AE399" s="296"/>
      <c r="AF399" s="296"/>
      <c r="AG399" s="292"/>
      <c r="AH399" s="292"/>
      <c r="AI399" s="292"/>
      <c r="AJ399" s="292"/>
      <c r="AK399" s="308"/>
      <c r="AL399" s="381"/>
      <c r="AM399" s="379" t="str">
        <f>"INSERT INTO ListedPrice
(ProductId,ActiveDate,Channel,Price)
VALUES("&amp;C399&amp;",'2020-05-01','MT',"&amp;AK399&amp;")"</f>
        <v>INSERT INTO ListedPrice
(ProductId,ActiveDate,Channel,Price)
VALUES(298,'2020-05-01','MT',)</v>
      </c>
      <c r="AN399" s="296"/>
      <c r="AO399" s="296"/>
    </row>
    <row r="400" spans="1:41" s="285" customFormat="1">
      <c r="A400" s="339">
        <v>4200006211</v>
      </c>
      <c r="B400" s="307" t="s">
        <v>844</v>
      </c>
      <c r="C400" s="290">
        <f>VLOOKUP(B400,Sheet1!$B$17:$C$451,2,0)</f>
        <v>299</v>
      </c>
      <c r="D400" s="291" t="s">
        <v>1307</v>
      </c>
      <c r="E400" s="291"/>
      <c r="F400" s="295" t="s">
        <v>878</v>
      </c>
      <c r="G400" s="295" t="s">
        <v>953</v>
      </c>
      <c r="H400" s="291" t="s">
        <v>309</v>
      </c>
      <c r="I400" s="291" t="s">
        <v>1472</v>
      </c>
      <c r="J400" s="294" t="s">
        <v>292</v>
      </c>
      <c r="K400" s="297" t="s">
        <v>623</v>
      </c>
      <c r="L400" s="293" t="str">
        <f t="shared" si="25"/>
        <v>INSERT INTO Product (CMMF,Model,BarCode,Capacity,[Type],Product,[Range],[ModelName],[Color],[Status]) VALUES
('4200006211','L16021-DV0','8936008708773','','FAN','AsiaVina',N'Quạt treo',N'Xtra Power &amp; Clean',N'Đen','Discontinued')</v>
      </c>
      <c r="M400" s="292" t="s">
        <v>877</v>
      </c>
      <c r="N400" s="292" t="s">
        <v>683</v>
      </c>
      <c r="O400" s="292"/>
      <c r="P400" s="292"/>
      <c r="Q400" s="292"/>
      <c r="R400" s="292"/>
      <c r="S400" s="292"/>
      <c r="T400" s="292"/>
      <c r="U400" s="292"/>
      <c r="V400" s="292"/>
      <c r="W400" s="292"/>
      <c r="X400" s="292"/>
      <c r="Y400" s="292"/>
      <c r="Z400" s="292"/>
      <c r="AA400" s="296" t="s">
        <v>623</v>
      </c>
      <c r="AB400" s="292" t="str">
        <f>"INSERT INTO ProductByAccount
( ProductId,AccountId)VALUES
("&amp;C400&amp;",1035)"</f>
        <v>INSERT INTO ProductByAccount
( ProductId,AccountId)VALUES
(299,1035)</v>
      </c>
      <c r="AC400" s="296" t="s">
        <v>623</v>
      </c>
      <c r="AD400" s="292" t="str">
        <f>"INSERT INTO ProductByAccount
( ProductId,AccountId)VALUES
("&amp;C400&amp;",1036)"</f>
        <v>INSERT INTO ProductByAccount
( ProductId,AccountId)VALUES
(299,1036)</v>
      </c>
      <c r="AE400" s="292"/>
      <c r="AF400" s="292"/>
      <c r="AG400" s="292"/>
      <c r="AH400" s="292"/>
      <c r="AI400" s="292"/>
      <c r="AJ400" s="292"/>
      <c r="AK400" s="380">
        <v>590909</v>
      </c>
      <c r="AL400" s="381">
        <v>590909</v>
      </c>
      <c r="AM400" s="379" t="str">
        <f>"INSERT INTO ListedPrice
(ProductId,ActiveDate,Channel,Price)
VALUES("&amp;C400&amp;",'2020-05-01','GT',"&amp;AL400&amp;")"</f>
        <v>INSERT INTO ListedPrice
(ProductId,ActiveDate,Channel,Price)
VALUES(299,'2020-05-01','GT',590909)</v>
      </c>
      <c r="AN400" s="292"/>
      <c r="AO400" s="292"/>
    </row>
    <row r="401" spans="1:41" s="287" customFormat="1">
      <c r="A401" s="338">
        <v>4200006867</v>
      </c>
      <c r="B401" s="301" t="s">
        <v>845</v>
      </c>
      <c r="C401" s="290">
        <f>VLOOKUP(B401,Sheet1!$B$17:$C$451,2,0)</f>
        <v>300</v>
      </c>
      <c r="D401" s="291" t="s">
        <v>1308</v>
      </c>
      <c r="E401" s="291"/>
      <c r="F401" s="302" t="s">
        <v>878</v>
      </c>
      <c r="G401" s="302" t="s">
        <v>953</v>
      </c>
      <c r="H401" s="295" t="s">
        <v>1358</v>
      </c>
      <c r="I401" s="291" t="s">
        <v>1472</v>
      </c>
      <c r="J401" s="301" t="s">
        <v>294</v>
      </c>
      <c r="K401" s="303" t="s">
        <v>516</v>
      </c>
      <c r="L401" s="293" t="str">
        <f t="shared" si="25"/>
        <v>INSERT INTO Product (CMMF,Model,BarCode,Capacity,[Type],Product,[Range],[ModelName],[Color],[Status]) VALUES
('4200006867','L16021-XV0','8936008700791','','FAN','AsiaVina',N'Quạt Treo',N'Xtra Power &amp; Clean',N'Xám','New')</v>
      </c>
      <c r="M401" s="333" t="s">
        <v>877</v>
      </c>
      <c r="N401" s="333" t="s">
        <v>683</v>
      </c>
      <c r="O401" s="292"/>
      <c r="P401" s="292"/>
      <c r="Q401" s="292"/>
      <c r="R401" s="292"/>
      <c r="S401" s="292"/>
      <c r="T401" s="292"/>
      <c r="U401" s="292"/>
      <c r="V401" s="292"/>
      <c r="W401" s="292"/>
      <c r="X401" s="292"/>
      <c r="Y401" s="292"/>
      <c r="Z401" s="292"/>
      <c r="AA401" s="292"/>
      <c r="AB401" s="292"/>
      <c r="AC401" s="348" t="s">
        <v>516</v>
      </c>
      <c r="AD401" s="292" t="str">
        <f>"INSERT INTO ProductByAccount
( ProductId,AccountId)VALUES
("&amp;C401&amp;",1036)"</f>
        <v>INSERT INTO ProductByAccount
( ProductId,AccountId)VALUES
(300,1036)</v>
      </c>
      <c r="AE401" s="292"/>
      <c r="AF401" s="292"/>
      <c r="AG401" s="292"/>
      <c r="AH401" s="292"/>
      <c r="AI401" s="292"/>
      <c r="AJ401" s="292"/>
      <c r="AK401" s="380">
        <v>590909</v>
      </c>
      <c r="AL401" s="381">
        <v>0</v>
      </c>
      <c r="AM401" s="379" t="str">
        <f t="shared" ref="AM401:AM408" si="26">"INSERT INTO ListedPrice
(ProductId,ActiveDate,Channel,Price)
VALUES("&amp;C401&amp;",'2020-05-01','MT',"&amp;AK401&amp;")"</f>
        <v>INSERT INTO ListedPrice
(ProductId,ActiveDate,Channel,Price)
VALUES(300,'2020-05-01','MT',590909)</v>
      </c>
      <c r="AN401" s="292"/>
      <c r="AO401" s="292"/>
    </row>
    <row r="402" spans="1:41" s="285" customFormat="1">
      <c r="A402" s="336">
        <v>4200005879</v>
      </c>
      <c r="B402" s="294" t="s">
        <v>846</v>
      </c>
      <c r="C402" s="290">
        <f>VLOOKUP(B402,Sheet1!$B$17:$C$451,2,0)</f>
        <v>301</v>
      </c>
      <c r="D402" s="291" t="s">
        <v>1309</v>
      </c>
      <c r="E402" s="291"/>
      <c r="F402" s="295" t="s">
        <v>878</v>
      </c>
      <c r="G402" s="295" t="s">
        <v>953</v>
      </c>
      <c r="H402" s="295" t="s">
        <v>1358</v>
      </c>
      <c r="I402" s="291" t="s">
        <v>1470</v>
      </c>
      <c r="J402" s="294" t="s">
        <v>1452</v>
      </c>
      <c r="K402" s="297" t="s">
        <v>623</v>
      </c>
      <c r="L402" s="293" t="str">
        <f t="shared" si="25"/>
        <v>INSERT INTO Product (CMMF,Model,BarCode,Capacity,[Type],Product,[Range],[ModelName],[Color],[Status]) VALUES
('4200005879','L16022-BV1','8936008709398','','FAN','AsiaVina',N'Quạt Treo',N'Xtra Power &amp; Clean RC',N'Xanh Lam','Discontinued')</v>
      </c>
      <c r="M402" s="292" t="s">
        <v>877</v>
      </c>
      <c r="N402" s="292"/>
      <c r="O402" s="292"/>
      <c r="P402" s="292"/>
      <c r="Q402" s="292"/>
      <c r="R402" s="292"/>
      <c r="S402" s="292"/>
      <c r="T402" s="292"/>
      <c r="U402" s="292"/>
      <c r="V402" s="292"/>
      <c r="W402" s="292"/>
      <c r="X402" s="292"/>
      <c r="Y402" s="292"/>
      <c r="Z402" s="292"/>
      <c r="AA402" s="296" t="s">
        <v>623</v>
      </c>
      <c r="AB402" s="292" t="str">
        <f>"INSERT INTO ProductByAccount
( ProductId,AccountId)VALUES
("&amp;C402&amp;",1035)"</f>
        <v>INSERT INTO ProductByAccount
( ProductId,AccountId)VALUES
(301,1035)</v>
      </c>
      <c r="AC402" s="292"/>
      <c r="AD402" s="292"/>
      <c r="AE402" s="292" t="s">
        <v>1485</v>
      </c>
      <c r="AF402" s="292" t="str">
        <f>"INSERT INTO ProductByAccount
( ProductId,AccountId)VALUES
("&amp;C402&amp;",1037)"</f>
        <v>INSERT INTO ProductByAccount
( ProductId,AccountId)VALUES
(301,1037)</v>
      </c>
      <c r="AG402" s="292"/>
      <c r="AH402" s="292"/>
      <c r="AI402" s="292"/>
      <c r="AJ402" s="292"/>
      <c r="AK402" s="380">
        <v>772727</v>
      </c>
      <c r="AL402" s="381">
        <v>0</v>
      </c>
      <c r="AM402" s="379" t="str">
        <f t="shared" si="26"/>
        <v>INSERT INTO ListedPrice
(ProductId,ActiveDate,Channel,Price)
VALUES(301,'2020-05-01','MT',772727)</v>
      </c>
      <c r="AN402" s="292"/>
      <c r="AO402" s="292"/>
    </row>
    <row r="403" spans="1:41" s="285" customFormat="1">
      <c r="A403" s="336">
        <v>4200006212</v>
      </c>
      <c r="B403" s="294" t="s">
        <v>847</v>
      </c>
      <c r="C403" s="290">
        <f>VLOOKUP(B403,Sheet1!$B$17:$C$451,2,0)</f>
        <v>302</v>
      </c>
      <c r="D403" s="291" t="s">
        <v>1310</v>
      </c>
      <c r="E403" s="291"/>
      <c r="F403" s="295" t="s">
        <v>878</v>
      </c>
      <c r="G403" s="295" t="s">
        <v>953</v>
      </c>
      <c r="H403" s="291" t="s">
        <v>309</v>
      </c>
      <c r="I403" s="291" t="s">
        <v>1470</v>
      </c>
      <c r="J403" s="294" t="s">
        <v>292</v>
      </c>
      <c r="K403" s="297" t="s">
        <v>623</v>
      </c>
      <c r="L403" s="293" t="str">
        <f t="shared" si="25"/>
        <v>INSERT INTO Product (CMMF,Model,BarCode,Capacity,[Type],Product,[Range],[ModelName],[Color],[Status]) VALUES
('4200006212','L16022-DV0','8936008708780','','FAN','AsiaVina',N'Quạt treo',N'Xtra Power &amp; Clean RC',N'Đen','Discontinued')</v>
      </c>
      <c r="M403" s="292" t="s">
        <v>877</v>
      </c>
      <c r="N403" s="292"/>
      <c r="O403" s="292"/>
      <c r="P403" s="292"/>
      <c r="Q403" s="292"/>
      <c r="R403" s="292"/>
      <c r="S403" s="292"/>
      <c r="T403" s="292"/>
      <c r="U403" s="292"/>
      <c r="V403" s="292"/>
      <c r="W403" s="292"/>
      <c r="X403" s="292"/>
      <c r="Y403" s="292"/>
      <c r="Z403" s="292"/>
      <c r="AA403" s="292"/>
      <c r="AB403" s="292"/>
      <c r="AC403" s="296" t="s">
        <v>623</v>
      </c>
      <c r="AD403" s="292" t="str">
        <f>"INSERT INTO ProductByAccount
( ProductId,AccountId)VALUES
("&amp;C403&amp;",1036)"</f>
        <v>INSERT INTO ProductByAccount
( ProductId,AccountId)VALUES
(302,1036)</v>
      </c>
      <c r="AE403" s="292"/>
      <c r="AF403" s="292"/>
      <c r="AG403" s="292"/>
      <c r="AH403" s="292"/>
      <c r="AI403" s="292"/>
      <c r="AJ403" s="292"/>
      <c r="AK403" s="380">
        <v>772727</v>
      </c>
      <c r="AL403" s="381">
        <v>0</v>
      </c>
      <c r="AM403" s="379" t="str">
        <f t="shared" si="26"/>
        <v>INSERT INTO ListedPrice
(ProductId,ActiveDate,Channel,Price)
VALUES(302,'2020-05-01','MT',772727)</v>
      </c>
      <c r="AN403" s="292"/>
      <c r="AO403" s="292"/>
    </row>
    <row r="404" spans="1:41">
      <c r="A404" s="335">
        <v>4200005878</v>
      </c>
      <c r="B404" s="290" t="s">
        <v>848</v>
      </c>
      <c r="C404" s="290">
        <f>VLOOKUP(B404,Sheet1!$B$17:$C$451,2,0)</f>
        <v>303</v>
      </c>
      <c r="D404" s="291" t="s">
        <v>1311</v>
      </c>
      <c r="E404" s="291"/>
      <c r="F404" s="291" t="s">
        <v>878</v>
      </c>
      <c r="G404" s="291" t="s">
        <v>953</v>
      </c>
      <c r="H404" s="295" t="s">
        <v>1358</v>
      </c>
      <c r="I404" s="291" t="s">
        <v>1470</v>
      </c>
      <c r="J404" s="290" t="s">
        <v>1416</v>
      </c>
      <c r="K404" s="293" t="s">
        <v>872</v>
      </c>
      <c r="L404" s="293" t="str">
        <f t="shared" si="25"/>
        <v>INSERT INTO Product (CMMF,Model,BarCode,Capacity,[Type],Product,[Range],[ModelName],[Color],[Status]) VALUES
('4200005878','L16022-GV0','8936008709381','','FAN','AsiaVina',N'Quạt Treo',N'Xtra Power &amp; Clean RC',N'Xanh Lá','On going')</v>
      </c>
      <c r="M404" s="292" t="s">
        <v>877</v>
      </c>
      <c r="N404" s="292"/>
      <c r="O404" s="292"/>
      <c r="P404" s="292"/>
      <c r="Q404" s="292"/>
      <c r="R404" s="292"/>
      <c r="S404" s="292"/>
      <c r="T404" s="292"/>
      <c r="U404" s="292"/>
      <c r="V404" s="292"/>
      <c r="W404" s="292"/>
      <c r="X404" s="292"/>
      <c r="Y404" s="292"/>
      <c r="Z404" s="292"/>
      <c r="AA404" s="292"/>
      <c r="AB404" s="292"/>
      <c r="AC404" s="292" t="s">
        <v>872</v>
      </c>
      <c r="AD404" s="292" t="str">
        <f>"INSERT INTO ProductByAccount
( ProductId,AccountId)VALUES
("&amp;C404&amp;",1036)"</f>
        <v>INSERT INTO ProductByAccount
( ProductId,AccountId)VALUES
(303,1036)</v>
      </c>
      <c r="AE404" s="292"/>
      <c r="AF404" s="292"/>
      <c r="AG404" s="292"/>
      <c r="AH404" s="292"/>
      <c r="AI404" s="292"/>
      <c r="AJ404" s="292"/>
      <c r="AK404" s="380">
        <v>772727</v>
      </c>
      <c r="AL404" s="381">
        <v>0</v>
      </c>
      <c r="AM404" s="379" t="str">
        <f t="shared" si="26"/>
        <v>INSERT INTO ListedPrice
(ProductId,ActiveDate,Channel,Price)
VALUES(303,'2020-05-01','MT',772727)</v>
      </c>
      <c r="AN404" s="292"/>
      <c r="AO404" s="292"/>
    </row>
    <row r="405" spans="1:41" s="287" customFormat="1">
      <c r="A405" s="338">
        <v>4200006868</v>
      </c>
      <c r="B405" s="301" t="s">
        <v>849</v>
      </c>
      <c r="C405" s="290">
        <f>VLOOKUP(B405,Sheet1!$B$17:$C$451,2,0)</f>
        <v>304</v>
      </c>
      <c r="D405" s="291" t="s">
        <v>1312</v>
      </c>
      <c r="E405" s="291"/>
      <c r="F405" s="302" t="s">
        <v>878</v>
      </c>
      <c r="G405" s="302" t="s">
        <v>953</v>
      </c>
      <c r="H405" s="295" t="s">
        <v>1358</v>
      </c>
      <c r="I405" s="291" t="s">
        <v>1470</v>
      </c>
      <c r="J405" s="301" t="s">
        <v>1471</v>
      </c>
      <c r="K405" s="303" t="s">
        <v>516</v>
      </c>
      <c r="L405" s="293" t="str">
        <f t="shared" si="25"/>
        <v>INSERT INTO Product (CMMF,Model,BarCode,Capacity,[Type],Product,[Range],[ModelName],[Color],[Status]) VALUES
('4200006868','L16022-XV0','8936008700838','','FAN','AsiaVina',N'Quạt Treo',N'Xtra Power &amp; Clean RC',N'Xánh','New')</v>
      </c>
      <c r="M405" s="320" t="s">
        <v>877</v>
      </c>
      <c r="N405" s="333" t="s">
        <v>683</v>
      </c>
      <c r="O405" s="292"/>
      <c r="P405" s="292"/>
      <c r="Q405" s="292"/>
      <c r="R405" s="292"/>
      <c r="S405" s="292"/>
      <c r="T405" s="292"/>
      <c r="U405" s="292"/>
      <c r="V405" s="292"/>
      <c r="W405" s="292"/>
      <c r="X405" s="292"/>
      <c r="Y405" s="292"/>
      <c r="Z405" s="292"/>
      <c r="AA405" s="348" t="s">
        <v>516</v>
      </c>
      <c r="AB405" s="292" t="str">
        <f>"INSERT INTO ProductByAccount
( ProductId,AccountId)VALUES
("&amp;C405&amp;",1035)"</f>
        <v>INSERT INTO ProductByAccount
( ProductId,AccountId)VALUES
(304,1035)</v>
      </c>
      <c r="AC405" s="348" t="s">
        <v>516</v>
      </c>
      <c r="AD405" s="292" t="str">
        <f>"INSERT INTO ProductByAccount
( ProductId,AccountId)VALUES
("&amp;C405&amp;",1036)"</f>
        <v>INSERT INTO ProductByAccount
( ProductId,AccountId)VALUES
(304,1036)</v>
      </c>
      <c r="AE405" s="292" t="s">
        <v>872</v>
      </c>
      <c r="AF405" s="292" t="str">
        <f>"INSERT INTO ProductByAccount
( ProductId,AccountId)VALUES
("&amp;C405&amp;",1037)"</f>
        <v>INSERT INTO ProductByAccount
( ProductId,AccountId)VALUES
(304,1037)</v>
      </c>
      <c r="AG405" s="292"/>
      <c r="AH405" s="292"/>
      <c r="AI405" s="292"/>
      <c r="AJ405" s="292"/>
      <c r="AK405" s="380">
        <v>772727</v>
      </c>
      <c r="AL405" s="381">
        <v>0</v>
      </c>
      <c r="AM405" s="379" t="str">
        <f t="shared" si="26"/>
        <v>INSERT INTO ListedPrice
(ProductId,ActiveDate,Channel,Price)
VALUES(304,'2020-05-01','MT',772727)</v>
      </c>
      <c r="AN405" s="292"/>
      <c r="AO405" s="292"/>
    </row>
    <row r="406" spans="1:41" s="285" customFormat="1">
      <c r="A406" s="336">
        <v>4200005973</v>
      </c>
      <c r="B406" s="294" t="s">
        <v>851</v>
      </c>
      <c r="C406" s="290">
        <f>VLOOKUP(B406,Sheet1!$B$17:$C$451,2,0)</f>
        <v>305</v>
      </c>
      <c r="D406" s="291" t="s">
        <v>1313</v>
      </c>
      <c r="E406" s="291"/>
      <c r="F406" s="295" t="s">
        <v>878</v>
      </c>
      <c r="G406" s="295" t="s">
        <v>953</v>
      </c>
      <c r="H406" s="291" t="s">
        <v>309</v>
      </c>
      <c r="I406" s="291"/>
      <c r="J406" s="294"/>
      <c r="K406" s="297" t="s">
        <v>623</v>
      </c>
      <c r="L406" s="293" t="str">
        <f t="shared" si="25"/>
        <v>INSERT INTO Product (CMMF,Model,BarCode,Capacity,[Type],Product,[Range],[ModelName],[Color],[Status]) VALUES
('4200005973','L16023-DV0','8936008709497','','FAN','AsiaVina',N'Quạt treo',N'',N'','Discontinued')</v>
      </c>
      <c r="M406" s="292" t="s">
        <v>877</v>
      </c>
      <c r="N406" s="292"/>
      <c r="O406" s="292"/>
      <c r="P406" s="292"/>
      <c r="Q406" s="292"/>
      <c r="R406" s="292"/>
      <c r="S406" s="292"/>
      <c r="T406" s="292"/>
      <c r="U406" s="292"/>
      <c r="V406" s="292"/>
      <c r="W406" s="292"/>
      <c r="X406" s="292"/>
      <c r="Y406" s="292"/>
      <c r="Z406" s="292"/>
      <c r="AA406" s="292"/>
      <c r="AB406" s="292"/>
      <c r="AC406" s="296" t="s">
        <v>623</v>
      </c>
      <c r="AD406" s="292" t="str">
        <f>"INSERT INTO ProductByAccount
( ProductId,AccountId)VALUES
("&amp;C406&amp;",1036)"</f>
        <v>INSERT INTO ProductByAccount
( ProductId,AccountId)VALUES
(305,1036)</v>
      </c>
      <c r="AE406" s="292"/>
      <c r="AF406" s="292"/>
      <c r="AG406" s="292"/>
      <c r="AH406" s="292"/>
      <c r="AI406" s="292"/>
      <c r="AJ406" s="292"/>
      <c r="AK406" s="380">
        <v>927273</v>
      </c>
      <c r="AL406" s="381">
        <v>0</v>
      </c>
      <c r="AM406" s="379" t="str">
        <f t="shared" si="26"/>
        <v>INSERT INTO ListedPrice
(ProductId,ActiveDate,Channel,Price)
VALUES(305,'2020-05-01','MT',927273)</v>
      </c>
      <c r="AN406" s="292"/>
      <c r="AO406" s="292"/>
    </row>
    <row r="407" spans="1:41" s="285" customFormat="1">
      <c r="A407" s="336">
        <v>4200000150</v>
      </c>
      <c r="B407" s="294" t="s">
        <v>942</v>
      </c>
      <c r="C407" s="290">
        <f>VLOOKUP(B407,Sheet1!$B$17:$C$451,2,0)</f>
        <v>306</v>
      </c>
      <c r="D407" s="291" t="s">
        <v>1314</v>
      </c>
      <c r="E407" s="291"/>
      <c r="F407" s="295" t="s">
        <v>878</v>
      </c>
      <c r="G407" s="295" t="s">
        <v>953</v>
      </c>
      <c r="H407" s="291" t="s">
        <v>309</v>
      </c>
      <c r="I407" s="291"/>
      <c r="J407" s="294"/>
      <c r="K407" s="297" t="s">
        <v>623</v>
      </c>
      <c r="L407" s="293" t="str">
        <f t="shared" si="25"/>
        <v>INSERT INTO Product (CMMF,Model,BarCode,Capacity,[Type],Product,[Range],[ModelName],[Color],[Status]) VALUES
('4200000150','L18001-DV0','8936008703099','','FAN','AsiaVina',N'Quạt treo',N'',N'','Discontinued')</v>
      </c>
      <c r="M407" s="333" t="s">
        <v>877</v>
      </c>
      <c r="N407" s="333" t="s">
        <v>683</v>
      </c>
      <c r="O407" s="292"/>
      <c r="P407" s="292"/>
      <c r="Q407" s="292"/>
      <c r="R407" s="292"/>
      <c r="S407" s="292"/>
      <c r="T407" s="292"/>
      <c r="U407" s="292"/>
      <c r="V407" s="292"/>
      <c r="W407" s="292"/>
      <c r="X407" s="292"/>
      <c r="Y407" s="292"/>
      <c r="Z407" s="292"/>
      <c r="AA407" s="292"/>
      <c r="AB407" s="292"/>
      <c r="AC407" s="292"/>
      <c r="AD407" s="292"/>
      <c r="AE407" s="292"/>
      <c r="AF407" s="292"/>
      <c r="AG407" s="292"/>
      <c r="AH407" s="292"/>
      <c r="AI407" s="292"/>
      <c r="AJ407" s="292"/>
      <c r="AK407" s="380">
        <v>360909</v>
      </c>
      <c r="AL407" s="381">
        <v>0</v>
      </c>
      <c r="AM407" s="379" t="str">
        <f t="shared" si="26"/>
        <v>INSERT INTO ListedPrice
(ProductId,ActiveDate,Channel,Price)
VALUES(306,'2020-05-01','MT',360909)</v>
      </c>
      <c r="AN407" s="292"/>
      <c r="AO407" s="292"/>
    </row>
    <row r="408" spans="1:41">
      <c r="A408" s="341">
        <v>4200004742</v>
      </c>
      <c r="B408" s="320" t="s">
        <v>943</v>
      </c>
      <c r="C408" s="290">
        <f>VLOOKUP(B408,Sheet1!$B$17:$C$451,2,0)</f>
        <v>307</v>
      </c>
      <c r="D408" s="291" t="s">
        <v>1315</v>
      </c>
      <c r="E408" s="291"/>
      <c r="F408" s="292" t="s">
        <v>878</v>
      </c>
      <c r="G408" s="291" t="s">
        <v>953</v>
      </c>
      <c r="H408" s="291" t="s">
        <v>309</v>
      </c>
      <c r="I408" s="291" t="s">
        <v>676</v>
      </c>
      <c r="J408" s="299" t="s">
        <v>292</v>
      </c>
      <c r="K408" s="355" t="s">
        <v>1344</v>
      </c>
      <c r="L408" s="293" t="str">
        <f t="shared" si="25"/>
        <v>INSERT INTO Product (CMMF,Model,BarCode,Capacity,[Type],Product,[Range],[ModelName],[Color],[Status]) VALUES
('4200004742','L18002-DS1','8936008707196','','FAN','AsiaVina',N'Quạt treo',N'Heavy Duty',N'Đen','Update')</v>
      </c>
      <c r="M408" s="333" t="s">
        <v>877</v>
      </c>
      <c r="N408" s="333" t="s">
        <v>683</v>
      </c>
      <c r="O408" s="292"/>
      <c r="P408" s="292"/>
      <c r="Q408" s="292"/>
      <c r="R408" s="292"/>
      <c r="S408" s="292"/>
      <c r="T408" s="292"/>
      <c r="U408" s="292"/>
      <c r="V408" s="292"/>
      <c r="W408" s="292"/>
      <c r="X408" s="292"/>
      <c r="Y408" s="292"/>
      <c r="Z408" s="292"/>
      <c r="AA408" s="292"/>
      <c r="AB408" s="292"/>
      <c r="AC408" s="292"/>
      <c r="AD408" s="292"/>
      <c r="AE408" s="292"/>
      <c r="AF408" s="292"/>
      <c r="AG408" s="292"/>
      <c r="AH408" s="292"/>
      <c r="AI408" s="292"/>
      <c r="AJ408" s="292"/>
      <c r="AK408" s="329">
        <v>0</v>
      </c>
      <c r="AL408" s="381"/>
      <c r="AM408" s="379" t="str">
        <f t="shared" si="26"/>
        <v>INSERT INTO ListedPrice
(ProductId,ActiveDate,Channel,Price)
VALUES(307,'2020-05-01','MT',0)</v>
      </c>
      <c r="AN408" s="292"/>
      <c r="AO408" s="292"/>
    </row>
    <row r="409" spans="1:41">
      <c r="A409" s="341">
        <v>4200000152</v>
      </c>
      <c r="B409" s="293" t="s">
        <v>767</v>
      </c>
      <c r="C409" s="290">
        <f>VLOOKUP(B409,Sheet1!$B$17:$C$451,2,0)</f>
        <v>308</v>
      </c>
      <c r="D409" s="291" t="s">
        <v>1315</v>
      </c>
      <c r="E409" s="291"/>
      <c r="F409" s="292" t="s">
        <v>878</v>
      </c>
      <c r="G409" s="291" t="s">
        <v>953</v>
      </c>
      <c r="H409" s="291" t="s">
        <v>309</v>
      </c>
      <c r="I409" s="291" t="s">
        <v>676</v>
      </c>
      <c r="J409" s="299" t="s">
        <v>292</v>
      </c>
      <c r="K409" s="293" t="s">
        <v>872</v>
      </c>
      <c r="L409" s="293" t="str">
        <f t="shared" si="25"/>
        <v>INSERT INTO Product (CMMF,Model,BarCode,Capacity,[Type],Product,[Range],[ModelName],[Color],[Status]) VALUES
('4200000152','L18002-DV0','8936008707196','','FAN','AsiaVina',N'Quạt treo',N'Heavy Duty',N'Đen','On going')</v>
      </c>
      <c r="M409" s="293"/>
      <c r="N409" s="292" t="s">
        <v>683</v>
      </c>
      <c r="O409" s="292"/>
      <c r="P409" s="292"/>
      <c r="Q409" s="292"/>
      <c r="R409" s="292"/>
      <c r="S409" s="292"/>
      <c r="T409" s="292"/>
      <c r="U409" s="292"/>
      <c r="V409" s="292"/>
      <c r="W409" s="292"/>
      <c r="X409" s="292"/>
      <c r="Y409" s="292"/>
      <c r="Z409" s="292"/>
      <c r="AA409" s="292"/>
      <c r="AB409" s="292"/>
      <c r="AC409" s="292"/>
      <c r="AD409" s="292"/>
      <c r="AE409" s="292"/>
      <c r="AF409" s="292"/>
      <c r="AG409" s="292"/>
      <c r="AH409" s="292"/>
      <c r="AI409" s="292"/>
      <c r="AJ409" s="292"/>
      <c r="AK409" s="329">
        <v>0</v>
      </c>
      <c r="AL409" s="381">
        <v>380000</v>
      </c>
      <c r="AM409" s="379" t="str">
        <f>"INSERT INTO ListedPrice
(ProductId,ActiveDate,Channel,Price)
VALUES("&amp;C409&amp;",'2020-05-01','GT',"&amp;AL409&amp;")"</f>
        <v>INSERT INTO ListedPrice
(ProductId,ActiveDate,Channel,Price)
VALUES(308,'2020-05-01','GT',380000)</v>
      </c>
      <c r="AN409" s="292"/>
      <c r="AO409" s="292"/>
    </row>
    <row r="410" spans="1:41">
      <c r="A410" s="350">
        <v>4200004584</v>
      </c>
      <c r="B410" s="293" t="s">
        <v>1464</v>
      </c>
      <c r="C410" s="290">
        <f>VLOOKUP(B410,Sheet1!$B$17:$C$451,2,0)</f>
        <v>309</v>
      </c>
      <c r="D410" s="291" t="s">
        <v>1315</v>
      </c>
      <c r="E410" s="291"/>
      <c r="F410" s="292" t="s">
        <v>878</v>
      </c>
      <c r="G410" s="291" t="s">
        <v>953</v>
      </c>
      <c r="H410" s="291" t="s">
        <v>309</v>
      </c>
      <c r="I410" s="291" t="s">
        <v>676</v>
      </c>
      <c r="J410" s="299" t="s">
        <v>292</v>
      </c>
      <c r="K410" s="355" t="s">
        <v>1344</v>
      </c>
      <c r="L410" s="293" t="str">
        <f t="shared" si="25"/>
        <v>INSERT INTO Product (CMMF,Model,BarCode,Capacity,[Type],Product,[Range],[ModelName],[Color],[Status]) VALUES
('4200004584','L18002-DV1','8936008707196','','FAN','AsiaVina',N'Quạt treo',N'Heavy Duty',N'Đen','Update')</v>
      </c>
      <c r="M410" s="333" t="s">
        <v>877</v>
      </c>
      <c r="N410" s="333" t="s">
        <v>683</v>
      </c>
      <c r="O410" s="292"/>
      <c r="P410" s="292"/>
      <c r="Q410" s="292"/>
      <c r="R410" s="292"/>
      <c r="S410" s="292"/>
      <c r="T410" s="292"/>
      <c r="U410" s="292"/>
      <c r="V410" s="292"/>
      <c r="W410" s="292"/>
      <c r="X410" s="292"/>
      <c r="Y410" s="292"/>
      <c r="Z410" s="292"/>
      <c r="AA410" s="292"/>
      <c r="AB410" s="292"/>
      <c r="AC410" s="292"/>
      <c r="AD410" s="292"/>
      <c r="AE410" s="292"/>
      <c r="AF410" s="292"/>
      <c r="AG410" s="292"/>
      <c r="AH410" s="292"/>
      <c r="AI410" s="292"/>
      <c r="AJ410" s="292"/>
      <c r="AK410" s="329"/>
      <c r="AL410" s="381"/>
      <c r="AM410" s="379" t="str">
        <f>"INSERT INTO ListedPrice
(ProductId,ActiveDate,Channel,Price)
VALUES("&amp;C410&amp;",'2020-05-01','MT',"&amp;AK410&amp;")"</f>
        <v>INSERT INTO ListedPrice
(ProductId,ActiveDate,Channel,Price)
VALUES(309,'2020-05-01','MT',)</v>
      </c>
      <c r="AN410" s="292"/>
      <c r="AO410" s="292"/>
    </row>
    <row r="411" spans="1:41" s="287" customFormat="1">
      <c r="A411" s="338">
        <v>4200006869</v>
      </c>
      <c r="B411" s="301" t="s">
        <v>852</v>
      </c>
      <c r="C411" s="290">
        <f>VLOOKUP(B411,Sheet1!$B$17:$C$451,2,0)</f>
        <v>310</v>
      </c>
      <c r="D411" s="291" t="s">
        <v>1315</v>
      </c>
      <c r="E411" s="291"/>
      <c r="F411" s="302" t="s">
        <v>878</v>
      </c>
      <c r="G411" s="302" t="s">
        <v>953</v>
      </c>
      <c r="H411" s="291" t="s">
        <v>309</v>
      </c>
      <c r="I411" s="291" t="s">
        <v>676</v>
      </c>
      <c r="J411" s="299" t="s">
        <v>292</v>
      </c>
      <c r="K411" s="303" t="s">
        <v>516</v>
      </c>
      <c r="L411" s="293" t="str">
        <f t="shared" si="25"/>
        <v>INSERT INTO Product (CMMF,Model,BarCode,Capacity,[Type],Product,[Range],[ModelName],[Color],[Status]) VALUES
('4200006869','L18002-DV3','8936008707196','','FAN','AsiaVina',N'Quạt treo',N'Heavy Duty',N'Đen','New')</v>
      </c>
      <c r="M411" s="293"/>
      <c r="N411" s="292" t="s">
        <v>683</v>
      </c>
      <c r="O411" s="292"/>
      <c r="P411" s="292"/>
      <c r="Q411" s="292"/>
      <c r="R411" s="292"/>
      <c r="S411" s="292"/>
      <c r="T411" s="292"/>
      <c r="U411" s="292"/>
      <c r="V411" s="292"/>
      <c r="W411" s="292"/>
      <c r="X411" s="292"/>
      <c r="Y411" s="292"/>
      <c r="Z411" s="292"/>
      <c r="AA411" s="292"/>
      <c r="AB411" s="292"/>
      <c r="AC411" s="292"/>
      <c r="AD411" s="292"/>
      <c r="AE411" s="292"/>
      <c r="AF411" s="292"/>
      <c r="AG411" s="292"/>
      <c r="AH411" s="292"/>
      <c r="AI411" s="292"/>
      <c r="AJ411" s="292"/>
      <c r="AK411" s="329">
        <v>0</v>
      </c>
      <c r="AL411" s="381">
        <v>380000</v>
      </c>
      <c r="AM411" s="379" t="str">
        <f>"INSERT INTO ListedPrice
(ProductId,ActiveDate,Channel,Price)
VALUES("&amp;C411&amp;",'2020-05-01','GT',"&amp;AL411&amp;")"</f>
        <v>INSERT INTO ListedPrice
(ProductId,ActiveDate,Channel,Price)
VALUES(310,'2020-05-01','GT',380000)</v>
      </c>
      <c r="AN411" s="292"/>
      <c r="AO411" s="292"/>
    </row>
    <row r="412" spans="1:41">
      <c r="A412" s="335">
        <v>4200005962</v>
      </c>
      <c r="B412" s="314" t="s">
        <v>944</v>
      </c>
      <c r="C412" s="290">
        <f>VLOOKUP(B412,Sheet1!$B$17:$C$451,2,0)</f>
        <v>311</v>
      </c>
      <c r="D412" s="291" t="s">
        <v>1316</v>
      </c>
      <c r="E412" s="291"/>
      <c r="F412" s="291" t="s">
        <v>418</v>
      </c>
      <c r="G412" s="291" t="s">
        <v>953</v>
      </c>
      <c r="H412" s="291" t="s">
        <v>309</v>
      </c>
      <c r="I412" s="291"/>
      <c r="J412" s="290"/>
      <c r="K412" s="355" t="s">
        <v>1344</v>
      </c>
      <c r="L412" s="293" t="str">
        <f t="shared" si="25"/>
        <v>INSERT INTO Product (CMMF,Model,BarCode,Capacity,[Type],Product,[Range],[ModelName],[Color],[Status]) VALUES
('4200005962','L18004-DS1','8936008709718','','Fan','AsiaVina',N'Quạt treo',N'',N'','Update')</v>
      </c>
      <c r="M412" s="333" t="s">
        <v>877</v>
      </c>
      <c r="N412" s="333" t="s">
        <v>683</v>
      </c>
      <c r="O412" s="292"/>
      <c r="P412" s="292"/>
      <c r="Q412" s="292"/>
      <c r="R412" s="292"/>
      <c r="S412" s="292"/>
      <c r="T412" s="292"/>
      <c r="U412" s="292"/>
      <c r="V412" s="292"/>
      <c r="W412" s="292"/>
      <c r="X412" s="292"/>
      <c r="Y412" s="292"/>
      <c r="Z412" s="292"/>
      <c r="AA412" s="292"/>
      <c r="AB412" s="292"/>
      <c r="AC412" s="292"/>
      <c r="AD412" s="292"/>
      <c r="AE412" s="292"/>
      <c r="AF412" s="292"/>
      <c r="AG412" s="292"/>
      <c r="AH412" s="292"/>
      <c r="AI412" s="292"/>
      <c r="AJ412" s="292"/>
      <c r="AK412" s="329">
        <v>0</v>
      </c>
      <c r="AL412" s="381">
        <v>0</v>
      </c>
      <c r="AM412" s="379" t="str">
        <f>"INSERT INTO ListedPrice
(ProductId,ActiveDate,Channel,Price)
VALUES("&amp;C412&amp;",'2020-05-01','MT',"&amp;AK412&amp;")"</f>
        <v>INSERT INTO ListedPrice
(ProductId,ActiveDate,Channel,Price)
VALUES(311,'2020-05-01','MT',0)</v>
      </c>
      <c r="AN412" s="292"/>
      <c r="AO412" s="292"/>
    </row>
    <row r="413" spans="1:41" s="285" customFormat="1">
      <c r="A413" s="339">
        <v>4200000210</v>
      </c>
      <c r="B413" s="297" t="s">
        <v>861</v>
      </c>
      <c r="C413" s="290">
        <f>VLOOKUP(B413,Sheet1!$B$17:$C$451,2,0)</f>
        <v>312</v>
      </c>
      <c r="D413" s="291" t="s">
        <v>1316</v>
      </c>
      <c r="E413" s="291"/>
      <c r="F413" s="296" t="s">
        <v>878</v>
      </c>
      <c r="G413" s="295" t="s">
        <v>953</v>
      </c>
      <c r="H413" s="291" t="s">
        <v>309</v>
      </c>
      <c r="I413" s="291"/>
      <c r="J413" s="299" t="s">
        <v>292</v>
      </c>
      <c r="K413" s="297" t="s">
        <v>623</v>
      </c>
      <c r="L413" s="293" t="str">
        <f t="shared" si="25"/>
        <v>INSERT INTO Product (CMMF,Model,BarCode,Capacity,[Type],Product,[Range],[ModelName],[Color],[Status]) VALUES
('4200000210','L18004-DV0','8936008709718','','FAN','AsiaVina',N'Quạt treo',N'',N'Đen','Discontinued')</v>
      </c>
      <c r="M413" s="333" t="s">
        <v>877</v>
      </c>
      <c r="N413" s="333" t="s">
        <v>683</v>
      </c>
      <c r="O413" s="292"/>
      <c r="P413" s="292"/>
      <c r="Q413" s="292"/>
      <c r="R413" s="292"/>
      <c r="S413" s="292"/>
      <c r="T413" s="292"/>
      <c r="U413" s="292"/>
      <c r="V413" s="292"/>
      <c r="W413" s="292"/>
      <c r="X413" s="292"/>
      <c r="Y413" s="292"/>
      <c r="Z413" s="292"/>
      <c r="AA413" s="292"/>
      <c r="AB413" s="292"/>
      <c r="AC413" s="292"/>
      <c r="AD413" s="292"/>
      <c r="AE413" s="292"/>
      <c r="AF413" s="292"/>
      <c r="AG413" s="292"/>
      <c r="AH413" s="292"/>
      <c r="AI413" s="292"/>
      <c r="AJ413" s="292"/>
      <c r="AK413" s="380">
        <v>481818</v>
      </c>
      <c r="AL413" s="381">
        <v>0</v>
      </c>
      <c r="AM413" s="379" t="str">
        <f>"INSERT INTO ListedPrice
(ProductId,ActiveDate,Channel,Price)
VALUES("&amp;C413&amp;",'2020-05-01','MT',"&amp;AK413&amp;")"</f>
        <v>INSERT INTO ListedPrice
(ProductId,ActiveDate,Channel,Price)
VALUES(312,'2020-05-01','MT',481818)</v>
      </c>
      <c r="AN413" s="292"/>
      <c r="AO413" s="292"/>
    </row>
    <row r="414" spans="1:41">
      <c r="A414" s="341">
        <v>4200004743</v>
      </c>
      <c r="B414" s="320" t="s">
        <v>870</v>
      </c>
      <c r="C414" s="290">
        <f>VLOOKUP(B414,Sheet1!$B$17:$C$451,2,0)</f>
        <v>313</v>
      </c>
      <c r="D414" s="291" t="s">
        <v>1317</v>
      </c>
      <c r="E414" s="291"/>
      <c r="F414" s="292" t="s">
        <v>878</v>
      </c>
      <c r="G414" s="291" t="s">
        <v>953</v>
      </c>
      <c r="H414" s="291" t="s">
        <v>309</v>
      </c>
      <c r="I414" s="291" t="s">
        <v>676</v>
      </c>
      <c r="J414" s="299" t="s">
        <v>292</v>
      </c>
      <c r="K414" s="355" t="s">
        <v>1344</v>
      </c>
      <c r="L414" s="293" t="str">
        <f t="shared" si="25"/>
        <v>INSERT INTO Product (CMMF,Model,BarCode,Capacity,[Type],Product,[Range],[ModelName],[Color],[Status]) VALUES
('4200004743','L20002-DS2','8936008700135','','FAN','AsiaVina',N'Quạt treo',N'Heavy Duty',N'Đen','Update')</v>
      </c>
      <c r="M414" s="320" t="s">
        <v>877</v>
      </c>
      <c r="N414" s="333" t="s">
        <v>683</v>
      </c>
      <c r="O414" s="292"/>
      <c r="P414" s="292"/>
      <c r="Q414" s="292"/>
      <c r="R414" s="292"/>
      <c r="S414" s="292"/>
      <c r="T414" s="292"/>
      <c r="U414" s="292"/>
      <c r="V414" s="292"/>
      <c r="W414" s="292"/>
      <c r="X414" s="292"/>
      <c r="Y414" s="292"/>
      <c r="Z414" s="292"/>
      <c r="AA414" s="292"/>
      <c r="AB414" s="292"/>
      <c r="AC414" s="292"/>
      <c r="AD414" s="292"/>
      <c r="AE414" s="292"/>
      <c r="AF414" s="292"/>
      <c r="AG414" s="292"/>
      <c r="AH414" s="292"/>
      <c r="AI414" s="292"/>
      <c r="AJ414" s="292"/>
      <c r="AK414" s="329">
        <v>0</v>
      </c>
      <c r="AL414" s="381"/>
      <c r="AM414" s="379" t="str">
        <f>"INSERT INTO ListedPrice
(ProductId,ActiveDate,Channel,Price)
VALUES("&amp;C414&amp;",'2020-05-01','MT',"&amp;AK414&amp;")"</f>
        <v>INSERT INTO ListedPrice
(ProductId,ActiveDate,Channel,Price)
VALUES(313,'2020-05-01','MT',0)</v>
      </c>
      <c r="AN414" s="292"/>
      <c r="AO414" s="292"/>
    </row>
    <row r="415" spans="1:41">
      <c r="A415" s="341">
        <v>4200000156</v>
      </c>
      <c r="B415" s="293" t="s">
        <v>775</v>
      </c>
      <c r="C415" s="290">
        <f>VLOOKUP(B415,Sheet1!$B$17:$C$451,2,0)</f>
        <v>314</v>
      </c>
      <c r="D415" s="291" t="s">
        <v>1317</v>
      </c>
      <c r="E415" s="291"/>
      <c r="F415" s="292" t="s">
        <v>878</v>
      </c>
      <c r="G415" s="291" t="s">
        <v>953</v>
      </c>
      <c r="H415" s="291" t="s">
        <v>309</v>
      </c>
      <c r="I415" s="291" t="s">
        <v>676</v>
      </c>
      <c r="J415" s="299" t="s">
        <v>292</v>
      </c>
      <c r="K415" s="293" t="s">
        <v>872</v>
      </c>
      <c r="L415" s="293" t="str">
        <f t="shared" si="25"/>
        <v>INSERT INTO Product (CMMF,Model,BarCode,Capacity,[Type],Product,[Range],[ModelName],[Color],[Status]) VALUES
('4200000156','L20002-DV0','8936008700135','','FAN','AsiaVina',N'Quạt treo',N'Heavy Duty',N'Đen','On going')</v>
      </c>
      <c r="M415" s="293"/>
      <c r="N415" s="292" t="s">
        <v>683</v>
      </c>
      <c r="O415" s="292"/>
      <c r="P415" s="292"/>
      <c r="Q415" s="292"/>
      <c r="R415" s="292"/>
      <c r="S415" s="292"/>
      <c r="T415" s="292"/>
      <c r="U415" s="292"/>
      <c r="V415" s="292"/>
      <c r="W415" s="292"/>
      <c r="X415" s="292"/>
      <c r="Y415" s="292"/>
      <c r="Z415" s="292"/>
      <c r="AA415" s="348" t="s">
        <v>516</v>
      </c>
      <c r="AB415" s="292" t="str">
        <f>"INSERT INTO ProductByAccount
( ProductId,AccountId)VALUES
("&amp;C415&amp;",1035)"</f>
        <v>INSERT INTO ProductByAccount
( ProductId,AccountId)VALUES
(314,1035)</v>
      </c>
      <c r="AC415" s="292"/>
      <c r="AD415" s="292"/>
      <c r="AE415" s="292"/>
      <c r="AF415" s="292"/>
      <c r="AG415" s="292"/>
      <c r="AH415" s="292"/>
      <c r="AI415" s="292"/>
      <c r="AJ415" s="292"/>
      <c r="AK415" s="380">
        <v>551818</v>
      </c>
      <c r="AL415" s="381">
        <v>551818</v>
      </c>
      <c r="AM415" s="379" t="str">
        <f>"INSERT INTO ListedPrice
(ProductId,ActiveDate,Channel,Price)
VALUES("&amp;C415&amp;",'2020-05-01','GT',"&amp;AL415&amp;")"</f>
        <v>INSERT INTO ListedPrice
(ProductId,ActiveDate,Channel,Price)
VALUES(314,'2020-05-01','GT',551818)</v>
      </c>
      <c r="AN415" s="292"/>
      <c r="AO415" s="292"/>
    </row>
    <row r="416" spans="1:41">
      <c r="A416" s="341">
        <v>4200000286</v>
      </c>
      <c r="B416" s="320" t="s">
        <v>868</v>
      </c>
      <c r="C416" s="290">
        <f>VLOOKUP(B416,Sheet1!$B$17:$C$451,2,0)</f>
        <v>315</v>
      </c>
      <c r="D416" s="291" t="s">
        <v>1318</v>
      </c>
      <c r="E416" s="291"/>
      <c r="F416" s="292" t="s">
        <v>878</v>
      </c>
      <c r="G416" s="291" t="s">
        <v>953</v>
      </c>
      <c r="H416" s="291" t="s">
        <v>309</v>
      </c>
      <c r="I416" s="291" t="s">
        <v>676</v>
      </c>
      <c r="J416" s="299" t="s">
        <v>292</v>
      </c>
      <c r="K416" s="355" t="s">
        <v>1344</v>
      </c>
      <c r="L416" s="293" t="str">
        <f t="shared" si="25"/>
        <v>INSERT INTO Product (CMMF,Model,BarCode,Capacity,[Type],Product,[Range],[ModelName],[Color],[Status]) VALUES
('4200000286','L24001-DS0','8936008703297','','FAN','AsiaVina',N'Quạt treo',N'Heavy Duty',N'Đen','Update')</v>
      </c>
      <c r="M416" s="320" t="s">
        <v>877</v>
      </c>
      <c r="N416" s="320" t="s">
        <v>683</v>
      </c>
      <c r="O416" s="292"/>
      <c r="P416" s="292"/>
      <c r="Q416" s="333"/>
      <c r="R416" s="333"/>
      <c r="S416" s="292"/>
      <c r="T416" s="292"/>
      <c r="U416" s="292"/>
      <c r="V416" s="292"/>
      <c r="W416" s="292"/>
      <c r="X416" s="292"/>
      <c r="Y416" s="292"/>
      <c r="Z416" s="292"/>
      <c r="AA416" s="292"/>
      <c r="AB416" s="292"/>
      <c r="AC416" s="292"/>
      <c r="AD416" s="292"/>
      <c r="AE416" s="292"/>
      <c r="AF416" s="292"/>
      <c r="AG416" s="292"/>
      <c r="AH416" s="292"/>
      <c r="AI416" s="292"/>
      <c r="AJ416" s="292"/>
      <c r="AK416" s="329">
        <v>0</v>
      </c>
      <c r="AL416" s="381">
        <v>0</v>
      </c>
      <c r="AM416" s="379" t="str">
        <f>"INSERT INTO ListedPrice
(ProductId,ActiveDate,Channel,Price)
VALUES("&amp;C416&amp;",'2020-05-01','MT',"&amp;AK416&amp;")"</f>
        <v>INSERT INTO ListedPrice
(ProductId,ActiveDate,Channel,Price)
VALUES(315,'2020-05-01','MT',0)</v>
      </c>
      <c r="AN416" s="292"/>
      <c r="AO416" s="292"/>
    </row>
    <row r="417" spans="1:41">
      <c r="A417" s="341">
        <v>4200000157</v>
      </c>
      <c r="B417" s="293" t="s">
        <v>770</v>
      </c>
      <c r="C417" s="290">
        <f>VLOOKUP(B417,Sheet1!$B$17:$C$451,2,0)</f>
        <v>316</v>
      </c>
      <c r="D417" s="291" t="s">
        <v>1318</v>
      </c>
      <c r="E417" s="291"/>
      <c r="F417" s="292" t="s">
        <v>878</v>
      </c>
      <c r="G417" s="291" t="s">
        <v>953</v>
      </c>
      <c r="H417" s="291" t="s">
        <v>309</v>
      </c>
      <c r="I417" s="291" t="s">
        <v>676</v>
      </c>
      <c r="J417" s="299" t="s">
        <v>292</v>
      </c>
      <c r="K417" s="293" t="s">
        <v>872</v>
      </c>
      <c r="L417" s="293" t="str">
        <f t="shared" si="25"/>
        <v>INSERT INTO Product (CMMF,Model,BarCode,Capacity,[Type],Product,[Range],[ModelName],[Color],[Status]) VALUES
('4200000157','L24001-DV0','8936008703297','','FAN','AsiaVina',N'Quạt treo',N'Heavy Duty',N'Đen','On going')</v>
      </c>
      <c r="M417" s="293"/>
      <c r="N417" s="292" t="s">
        <v>683</v>
      </c>
      <c r="O417" s="292"/>
      <c r="P417" s="292"/>
      <c r="Q417" s="333"/>
      <c r="R417" s="333"/>
      <c r="S417" s="292"/>
      <c r="T417" s="292"/>
      <c r="U417" s="292"/>
      <c r="V417" s="292"/>
      <c r="W417" s="292"/>
      <c r="X417" s="292"/>
      <c r="Y417" s="292"/>
      <c r="Z417" s="292"/>
      <c r="AA417" s="292"/>
      <c r="AB417" s="292"/>
      <c r="AC417" s="292"/>
      <c r="AD417" s="292"/>
      <c r="AE417" s="292"/>
      <c r="AF417" s="292"/>
      <c r="AG417" s="292"/>
      <c r="AH417" s="292"/>
      <c r="AI417" s="292"/>
      <c r="AJ417" s="292"/>
      <c r="AK417" s="380">
        <v>1124545</v>
      </c>
      <c r="AL417" s="381">
        <v>1124545</v>
      </c>
      <c r="AM417" s="379" t="str">
        <f>"INSERT INTO ListedPrice
(ProductId,ActiveDate,Channel,Price)
VALUES("&amp;C417&amp;",'2020-05-01','GT',"&amp;AL417&amp;")"</f>
        <v>INSERT INTO ListedPrice
(ProductId,ActiveDate,Channel,Price)
VALUES(316,'2020-05-01','GT',1124545)</v>
      </c>
      <c r="AN417" s="292"/>
      <c r="AO417" s="292"/>
    </row>
    <row r="418" spans="1:41">
      <c r="A418" s="341">
        <v>4200000309</v>
      </c>
      <c r="B418" s="293" t="s">
        <v>790</v>
      </c>
      <c r="C418" s="290">
        <f>VLOOKUP(B418,Sheet1!$B$17:$C$451,2,0)</f>
        <v>317</v>
      </c>
      <c r="D418" s="291" t="s">
        <v>1282</v>
      </c>
      <c r="E418" s="291"/>
      <c r="F418" s="292" t="s">
        <v>878</v>
      </c>
      <c r="G418" s="291" t="s">
        <v>953</v>
      </c>
      <c r="H418" s="291" t="s">
        <v>319</v>
      </c>
      <c r="I418" s="291" t="s">
        <v>1465</v>
      </c>
      <c r="J418" s="293" t="s">
        <v>1390</v>
      </c>
      <c r="K418" s="293" t="s">
        <v>872</v>
      </c>
      <c r="L418" s="293" t="str">
        <f t="shared" si="25"/>
        <v>INSERT INTO Product (CMMF,Model,BarCode,Capacity,[Type],Product,[Range],[ModelName],[Color],[Status]) VALUES
('4200000309','F12001-LV1','8936008702054','','FAN','AsiaVina',N'Quạt hộp',N'Box fan',N'Lá Mạ','On going')</v>
      </c>
      <c r="M418" s="292" t="s">
        <v>877</v>
      </c>
      <c r="N418" s="292" t="s">
        <v>683</v>
      </c>
      <c r="O418" s="292"/>
      <c r="P418" s="292"/>
      <c r="Q418" s="292"/>
      <c r="R418" s="292"/>
      <c r="S418" s="292"/>
      <c r="T418" s="292"/>
      <c r="U418" s="292"/>
      <c r="V418" s="292"/>
      <c r="W418" s="292"/>
      <c r="X418" s="292"/>
      <c r="Y418" s="292"/>
      <c r="Z418" s="292"/>
      <c r="AA418" s="292"/>
      <c r="AB418" s="292"/>
      <c r="AC418" s="292" t="s">
        <v>872</v>
      </c>
      <c r="AD418" s="292" t="str">
        <f>"INSERT INTO ProductByAccount
( ProductId,AccountId)VALUES
("&amp;C418&amp;",1036)"</f>
        <v>INSERT INTO ProductByAccount
( ProductId,AccountId)VALUES
(317,1036)</v>
      </c>
      <c r="AE418" s="292"/>
      <c r="AF418" s="292"/>
      <c r="AG418" s="292"/>
      <c r="AH418" s="292"/>
      <c r="AI418" s="292"/>
      <c r="AJ418" s="292"/>
      <c r="AK418" s="380">
        <v>490000</v>
      </c>
      <c r="AL418" s="381">
        <v>490000</v>
      </c>
      <c r="AM418" s="379" t="str">
        <f>"INSERT INTO ListedPrice
(ProductId,ActiveDate,Channel,Price)
VALUES("&amp;C418&amp;",'2020-05-01','GT',"&amp;AL418&amp;")"</f>
        <v>INSERT INTO ListedPrice
(ProductId,ActiveDate,Channel,Price)
VALUES(317,'2020-05-01','GT',490000)</v>
      </c>
      <c r="AN418" s="292"/>
      <c r="AO418" s="292"/>
    </row>
    <row r="419" spans="1:41">
      <c r="A419" s="341">
        <v>4200000314</v>
      </c>
      <c r="B419" s="293" t="s">
        <v>773</v>
      </c>
      <c r="C419" s="290">
        <f>VLOOKUP(B419,Sheet1!$B$17:$C$451,2,0)</f>
        <v>318</v>
      </c>
      <c r="D419" s="291" t="s">
        <v>1283</v>
      </c>
      <c r="E419" s="291"/>
      <c r="F419" s="292" t="s">
        <v>878</v>
      </c>
      <c r="G419" s="291" t="s">
        <v>953</v>
      </c>
      <c r="H419" s="291" t="s">
        <v>319</v>
      </c>
      <c r="I419" s="291" t="s">
        <v>1465</v>
      </c>
      <c r="J419" s="293" t="s">
        <v>294</v>
      </c>
      <c r="K419" s="293" t="s">
        <v>872</v>
      </c>
      <c r="L419" s="293" t="str">
        <f t="shared" si="25"/>
        <v>INSERT INTO Product (CMMF,Model,BarCode,Capacity,[Type],Product,[Range],[ModelName],[Color],[Status]) VALUES
('4200000314','F12001-XV1','8936008702023','','FAN','AsiaVina',N'Quạt hộp',N'Box fan',N'Xám','On going')</v>
      </c>
      <c r="M419" s="292" t="s">
        <v>877</v>
      </c>
      <c r="N419" s="292" t="s">
        <v>683</v>
      </c>
      <c r="O419" s="292"/>
      <c r="P419" s="292"/>
      <c r="Q419" s="292"/>
      <c r="R419" s="292"/>
      <c r="S419" s="292"/>
      <c r="T419" s="292"/>
      <c r="U419" s="292"/>
      <c r="V419" s="292"/>
      <c r="W419" s="292"/>
      <c r="X419" s="292"/>
      <c r="Y419" s="292"/>
      <c r="Z419" s="292"/>
      <c r="AA419" s="292"/>
      <c r="AB419" s="292"/>
      <c r="AC419" s="292" t="s">
        <v>872</v>
      </c>
      <c r="AD419" s="292" t="str">
        <f>"INSERT INTO ProductByAccount
( ProductId,AccountId)VALUES
("&amp;C419&amp;",1036)"</f>
        <v>INSERT INTO ProductByAccount
( ProductId,AccountId)VALUES
(318,1036)</v>
      </c>
      <c r="AE419" s="292" t="s">
        <v>1485</v>
      </c>
      <c r="AF419" s="292" t="str">
        <f>"INSERT INTO ProductByAccount
( ProductId,AccountId)VALUES
("&amp;C419&amp;",1037)"</f>
        <v>INSERT INTO ProductByAccount
( ProductId,AccountId)VALUES
(318,1037)</v>
      </c>
      <c r="AG419" s="292"/>
      <c r="AH419" s="292"/>
      <c r="AI419" s="292"/>
      <c r="AJ419" s="292"/>
      <c r="AK419" s="380">
        <v>490000</v>
      </c>
      <c r="AL419" s="381">
        <v>490000</v>
      </c>
      <c r="AM419" s="379" t="str">
        <f>"INSERT INTO ListedPrice
(ProductId,ActiveDate,Channel,Price)
VALUES("&amp;C419&amp;",'2020-05-01','GT',"&amp;AL419&amp;")"</f>
        <v>INSERT INTO ListedPrice
(ProductId,ActiveDate,Channel,Price)
VALUES(318,'2020-05-01','GT',490000)</v>
      </c>
      <c r="AN419" s="292"/>
      <c r="AO419" s="292"/>
    </row>
    <row r="420" spans="1:41" s="285" customFormat="1">
      <c r="A420" s="339">
        <v>4200000316</v>
      </c>
      <c r="B420" s="297" t="s">
        <v>929</v>
      </c>
      <c r="C420" s="290">
        <f>VLOOKUP(B420,Sheet1!$B$17:$C$451,2,0)</f>
        <v>319</v>
      </c>
      <c r="D420" s="291" t="s">
        <v>1284</v>
      </c>
      <c r="E420" s="291"/>
      <c r="F420" s="296" t="s">
        <v>878</v>
      </c>
      <c r="G420" s="295" t="s">
        <v>953</v>
      </c>
      <c r="H420" s="291" t="s">
        <v>319</v>
      </c>
      <c r="I420" s="291" t="s">
        <v>1465</v>
      </c>
      <c r="J420" s="297" t="s">
        <v>1416</v>
      </c>
      <c r="K420" s="297" t="s">
        <v>623</v>
      </c>
      <c r="L420" s="293" t="str">
        <f t="shared" si="25"/>
        <v>INSERT INTO Product (CMMF,Model,BarCode,Capacity,[Type],Product,[Range],[ModelName],[Color],[Status]) VALUES
('4200000316','F12004-LV1','8936008707752','','FAN','AsiaVina',N'Quạt hộp',N'Box fan',N'Xanh Lá','Discontinued')</v>
      </c>
      <c r="M420" s="333" t="s">
        <v>877</v>
      </c>
      <c r="N420" s="333" t="s">
        <v>683</v>
      </c>
      <c r="O420" s="292"/>
      <c r="P420" s="292"/>
      <c r="Q420" s="292"/>
      <c r="R420" s="292"/>
      <c r="S420" s="292"/>
      <c r="T420" s="292"/>
      <c r="U420" s="292"/>
      <c r="V420" s="292"/>
      <c r="W420" s="292"/>
      <c r="X420" s="292"/>
      <c r="Y420" s="292"/>
      <c r="Z420" s="292"/>
      <c r="AA420" s="292"/>
      <c r="AB420" s="292"/>
      <c r="AC420" s="292"/>
      <c r="AD420" s="292"/>
      <c r="AE420" s="292"/>
      <c r="AF420" s="292"/>
      <c r="AG420" s="292"/>
      <c r="AH420" s="292"/>
      <c r="AI420" s="292"/>
      <c r="AJ420" s="292"/>
      <c r="AK420" s="380">
        <v>406364</v>
      </c>
      <c r="AL420" s="381">
        <v>0</v>
      </c>
      <c r="AM420" s="379" t="str">
        <f>"INSERT INTO ListedPrice
(ProductId,ActiveDate,Channel,Price)
VALUES("&amp;C420&amp;",'2020-05-01','MT',"&amp;AK420&amp;")"</f>
        <v>INSERT INTO ListedPrice
(ProductId,ActiveDate,Channel,Price)
VALUES(319,'2020-05-01','MT',406364)</v>
      </c>
      <c r="AN420" s="292"/>
      <c r="AO420" s="292"/>
    </row>
    <row r="421" spans="1:41" s="285" customFormat="1">
      <c r="A421" s="339">
        <v>4200004508</v>
      </c>
      <c r="B421" s="297" t="s">
        <v>930</v>
      </c>
      <c r="C421" s="290">
        <f>VLOOKUP(B421,Sheet1!$B$17:$C$451,2,0)</f>
        <v>320</v>
      </c>
      <c r="D421" s="291" t="s">
        <v>1285</v>
      </c>
      <c r="E421" s="291"/>
      <c r="F421" s="296" t="s">
        <v>878</v>
      </c>
      <c r="G421" s="295" t="s">
        <v>953</v>
      </c>
      <c r="H421" s="291" t="s">
        <v>319</v>
      </c>
      <c r="I421" s="291" t="s">
        <v>1465</v>
      </c>
      <c r="J421" s="297" t="s">
        <v>327</v>
      </c>
      <c r="K421" s="297" t="s">
        <v>623</v>
      </c>
      <c r="L421" s="293" t="str">
        <f t="shared" si="25"/>
        <v>INSERT INTO Product (CMMF,Model,BarCode,Capacity,[Type],Product,[Range],[ModelName],[Color],[Status]) VALUES
('4200004508','F12004-TV1','8936008709640','','FAN','AsiaVina',N'Quạt hộp',N'Box fan',N'Trắng','Discontinued')</v>
      </c>
      <c r="M421" s="333" t="s">
        <v>877</v>
      </c>
      <c r="N421" s="333" t="s">
        <v>683</v>
      </c>
      <c r="O421" s="292"/>
      <c r="P421" s="292"/>
      <c r="Q421" s="292"/>
      <c r="R421" s="292"/>
      <c r="S421" s="292"/>
      <c r="T421" s="292"/>
      <c r="U421" s="292"/>
      <c r="V421" s="292"/>
      <c r="W421" s="292"/>
      <c r="X421" s="292"/>
      <c r="Y421" s="292"/>
      <c r="Z421" s="292"/>
      <c r="AA421" s="292"/>
      <c r="AB421" s="292"/>
      <c r="AC421" s="292"/>
      <c r="AD421" s="292"/>
      <c r="AE421" s="292"/>
      <c r="AF421" s="292"/>
      <c r="AG421" s="292"/>
      <c r="AH421" s="292"/>
      <c r="AI421" s="292"/>
      <c r="AJ421" s="292"/>
      <c r="AK421" s="329">
        <v>0</v>
      </c>
      <c r="AL421" s="381"/>
      <c r="AM421" s="379" t="str">
        <f>"INSERT INTO ListedPrice
(ProductId,ActiveDate,Channel,Price)
VALUES("&amp;C421&amp;",'2020-05-01','MT',"&amp;AK421&amp;")"</f>
        <v>INSERT INTO ListedPrice
(ProductId,ActiveDate,Channel,Price)
VALUES(320,'2020-05-01','MT',0)</v>
      </c>
      <c r="AN421" s="292"/>
      <c r="AO421" s="292"/>
    </row>
    <row r="422" spans="1:41" s="285" customFormat="1">
      <c r="A422" s="339">
        <v>4200000317</v>
      </c>
      <c r="B422" s="297" t="s">
        <v>931</v>
      </c>
      <c r="C422" s="290">
        <f>VLOOKUP(B422,Sheet1!$B$17:$C$451,2,0)</f>
        <v>321</v>
      </c>
      <c r="D422" s="291" t="s">
        <v>1286</v>
      </c>
      <c r="E422" s="291"/>
      <c r="F422" s="296" t="s">
        <v>878</v>
      </c>
      <c r="G422" s="295" t="s">
        <v>953</v>
      </c>
      <c r="H422" s="291" t="s">
        <v>319</v>
      </c>
      <c r="I422" s="291" t="s">
        <v>1465</v>
      </c>
      <c r="J422" s="297" t="s">
        <v>294</v>
      </c>
      <c r="K422" s="297" t="s">
        <v>623</v>
      </c>
      <c r="L422" s="293" t="str">
        <f t="shared" si="25"/>
        <v>INSERT INTO Product (CMMF,Model,BarCode,Capacity,[Type],Product,[Range],[ModelName],[Color],[Status]) VALUES
('4200000317','F12004-XV1','8936008707721','','FAN','AsiaVina',N'Quạt hộp',N'Box fan',N'Xám','Discontinued')</v>
      </c>
      <c r="M422" s="333" t="s">
        <v>877</v>
      </c>
      <c r="N422" s="333" t="s">
        <v>683</v>
      </c>
      <c r="O422" s="292"/>
      <c r="P422" s="292"/>
      <c r="Q422" s="292"/>
      <c r="R422" s="292"/>
      <c r="S422" s="292"/>
      <c r="T422" s="292"/>
      <c r="U422" s="292"/>
      <c r="V422" s="292"/>
      <c r="W422" s="292"/>
      <c r="X422" s="292"/>
      <c r="Y422" s="292"/>
      <c r="Z422" s="292"/>
      <c r="AA422" s="292"/>
      <c r="AB422" s="292"/>
      <c r="AC422" s="292"/>
      <c r="AD422" s="292"/>
      <c r="AE422" s="292"/>
      <c r="AF422" s="292"/>
      <c r="AG422" s="292"/>
      <c r="AH422" s="292"/>
      <c r="AI422" s="292"/>
      <c r="AJ422" s="292"/>
      <c r="AK422" s="380">
        <v>406364</v>
      </c>
      <c r="AL422" s="381">
        <v>0</v>
      </c>
      <c r="AM422" s="379" t="str">
        <f>"INSERT INTO ListedPrice
(ProductId,ActiveDate,Channel,Price)
VALUES("&amp;C422&amp;",'2020-05-01','MT',"&amp;AK422&amp;")"</f>
        <v>INSERT INTO ListedPrice
(ProductId,ActiveDate,Channel,Price)
VALUES(321,'2020-05-01','MT',406364)</v>
      </c>
      <c r="AN422" s="292"/>
      <c r="AO422" s="292"/>
    </row>
    <row r="423" spans="1:41">
      <c r="A423" s="341">
        <v>4200000315</v>
      </c>
      <c r="B423" s="293" t="s">
        <v>787</v>
      </c>
      <c r="C423" s="290">
        <f>VLOOKUP(B423,Sheet1!$B$17:$C$451,2,0)</f>
        <v>322</v>
      </c>
      <c r="D423" s="291" t="s">
        <v>1287</v>
      </c>
      <c r="E423" s="291"/>
      <c r="F423" s="292" t="s">
        <v>878</v>
      </c>
      <c r="G423" s="291" t="s">
        <v>953</v>
      </c>
      <c r="H423" s="291" t="s">
        <v>319</v>
      </c>
      <c r="I423" s="291" t="s">
        <v>1465</v>
      </c>
      <c r="J423" s="293" t="s">
        <v>1416</v>
      </c>
      <c r="K423" s="293" t="s">
        <v>872</v>
      </c>
      <c r="L423" s="293" t="str">
        <f t="shared" ref="L423:L437" si="27">"INSERT INTO Product (CMMF,Model,BarCode,Capacity,[Type],Product,[Range],[ModelName],[Color],[Status]) VALUES
('"&amp;A423&amp;"','"&amp;B423&amp;"','"&amp;D423&amp;"','"&amp;E423&amp;"','"&amp;F423&amp;"','"&amp;G423&amp;"',N'"&amp;H423&amp;"',N'"&amp;I423&amp;"',N'"&amp;J423&amp;"','"&amp;K423&amp;"')"</f>
        <v>INSERT INTO Product (CMMF,Model,BarCode,Capacity,[Type],Product,[Range],[ModelName],[Color],[Status]) VALUES
('4200000315','F16001-LV1','8936008701958','','FAN','AsiaVina',N'Quạt hộp',N'Box fan',N'Xanh Lá','On going')</v>
      </c>
      <c r="M423" s="292" t="s">
        <v>877</v>
      </c>
      <c r="N423" s="292" t="s">
        <v>683</v>
      </c>
      <c r="O423" s="292"/>
      <c r="P423" s="292"/>
      <c r="Q423" s="333"/>
      <c r="R423" s="333"/>
      <c r="S423" s="292"/>
      <c r="T423" s="292"/>
      <c r="U423" s="292"/>
      <c r="V423" s="292"/>
      <c r="W423" s="292"/>
      <c r="X423" s="292"/>
      <c r="Y423" s="292"/>
      <c r="Z423" s="292"/>
      <c r="AA423" s="292"/>
      <c r="AB423" s="292"/>
      <c r="AC423" s="292" t="s">
        <v>872</v>
      </c>
      <c r="AD423" s="292" t="str">
        <f>"INSERT INTO ProductByAccount
( ProductId,AccountId)VALUES
("&amp;C423&amp;",1036)"</f>
        <v>INSERT INTO ProductByAccount
( ProductId,AccountId)VALUES
(322,1036)</v>
      </c>
      <c r="AE423" s="292"/>
      <c r="AF423" s="292"/>
      <c r="AG423" s="292"/>
      <c r="AH423" s="292"/>
      <c r="AI423" s="292"/>
      <c r="AJ423" s="292"/>
      <c r="AK423" s="380">
        <v>640000</v>
      </c>
      <c r="AL423" s="381">
        <v>640000</v>
      </c>
      <c r="AM423" s="379" t="str">
        <f>"INSERT INTO ListedPrice
(ProductId,ActiveDate,Channel,Price)
VALUES("&amp;C423&amp;",'2020-05-01','GT',"&amp;AL423&amp;")"</f>
        <v>INSERT INTO ListedPrice
(ProductId,ActiveDate,Channel,Price)
VALUES(322,'2020-05-01','GT',640000)</v>
      </c>
      <c r="AN423" s="292"/>
      <c r="AO423" s="292"/>
    </row>
    <row r="424" spans="1:41">
      <c r="A424" s="341">
        <v>4200000311</v>
      </c>
      <c r="B424" s="293" t="s">
        <v>772</v>
      </c>
      <c r="C424" s="290">
        <f>VLOOKUP(B424,Sheet1!$B$17:$C$451,2,0)</f>
        <v>323</v>
      </c>
      <c r="D424" s="291" t="s">
        <v>1288</v>
      </c>
      <c r="E424" s="291"/>
      <c r="F424" s="292" t="s">
        <v>878</v>
      </c>
      <c r="G424" s="291" t="s">
        <v>953</v>
      </c>
      <c r="H424" s="291" t="s">
        <v>319</v>
      </c>
      <c r="I424" s="291" t="s">
        <v>1465</v>
      </c>
      <c r="J424" s="293" t="s">
        <v>294</v>
      </c>
      <c r="K424" s="293" t="s">
        <v>872</v>
      </c>
      <c r="L424" s="293" t="str">
        <f t="shared" si="27"/>
        <v>INSERT INTO Product (CMMF,Model,BarCode,Capacity,[Type],Product,[Range],[ModelName],[Color],[Status]) VALUES
('4200000311','F16001-XV1','8936008707622','','FAN','AsiaVina',N'Quạt hộp',N'Box fan',N'Xám','On going')</v>
      </c>
      <c r="M424" s="292" t="s">
        <v>877</v>
      </c>
      <c r="N424" s="292" t="s">
        <v>683</v>
      </c>
      <c r="O424" s="292"/>
      <c r="P424" s="292"/>
      <c r="Q424" s="333"/>
      <c r="R424" s="333"/>
      <c r="S424" s="292"/>
      <c r="T424" s="292"/>
      <c r="U424" s="292"/>
      <c r="V424" s="292"/>
      <c r="W424" s="292"/>
      <c r="X424" s="292"/>
      <c r="Y424" s="292"/>
      <c r="Z424" s="292"/>
      <c r="AA424" s="292"/>
      <c r="AB424" s="292"/>
      <c r="AC424" s="292" t="s">
        <v>872</v>
      </c>
      <c r="AD424" s="292" t="str">
        <f>"INSERT INTO ProductByAccount
( ProductId,AccountId)VALUES
("&amp;C424&amp;",1036)"</f>
        <v>INSERT INTO ProductByAccount
( ProductId,AccountId)VALUES
(323,1036)</v>
      </c>
      <c r="AE424" s="292" t="s">
        <v>1485</v>
      </c>
      <c r="AF424" s="292" t="str">
        <f>"INSERT INTO ProductByAccount
( ProductId,AccountId)VALUES
("&amp;C424&amp;",1037)"</f>
        <v>INSERT INTO ProductByAccount
( ProductId,AccountId)VALUES
(323,1037)</v>
      </c>
      <c r="AG424" s="292"/>
      <c r="AH424" s="292"/>
      <c r="AI424" s="292"/>
      <c r="AJ424" s="292"/>
      <c r="AK424" s="380">
        <v>640000</v>
      </c>
      <c r="AL424" s="381">
        <v>640000</v>
      </c>
      <c r="AM424" s="379" t="str">
        <f>"INSERT INTO ListedPrice
(ProductId,ActiveDate,Channel,Price)
VALUES("&amp;C424&amp;",'2020-05-01','GT',"&amp;AL424&amp;")"</f>
        <v>INSERT INTO ListedPrice
(ProductId,ActiveDate,Channel,Price)
VALUES(323,'2020-05-01','GT',640000)</v>
      </c>
      <c r="AN424" s="292"/>
      <c r="AO424" s="292"/>
    </row>
    <row r="425" spans="1:41" s="285" customFormat="1">
      <c r="A425" s="339">
        <v>4200000279</v>
      </c>
      <c r="B425" s="297" t="s">
        <v>932</v>
      </c>
      <c r="C425" s="290">
        <f>VLOOKUP(B425,Sheet1!$B$17:$C$451,2,0)</f>
        <v>324</v>
      </c>
      <c r="D425" s="291" t="s">
        <v>1289</v>
      </c>
      <c r="E425" s="291"/>
      <c r="F425" s="296" t="s">
        <v>878</v>
      </c>
      <c r="G425" s="295" t="s">
        <v>953</v>
      </c>
      <c r="H425" s="295" t="s">
        <v>1356</v>
      </c>
      <c r="I425" s="291"/>
      <c r="J425" s="297" t="s">
        <v>902</v>
      </c>
      <c r="K425" s="297" t="s">
        <v>623</v>
      </c>
      <c r="L425" s="293" t="str">
        <f t="shared" si="27"/>
        <v>INSERT INTO Product (CMMF,Model,BarCode,Capacity,[Type],Product,[Range],[ModelName],[Color],[Status]) VALUES
('4200000279','HF1401-TV0','8936008705390','','FAN','AsiaVina',N'Quạt Sưởi',N'',N'White','Discontinued')</v>
      </c>
      <c r="M425" s="292" t="s">
        <v>877</v>
      </c>
      <c r="N425" s="292" t="s">
        <v>683</v>
      </c>
      <c r="O425" s="292"/>
      <c r="P425" s="292"/>
      <c r="Q425" s="292"/>
      <c r="R425" s="292"/>
      <c r="S425" s="292"/>
      <c r="T425" s="292"/>
      <c r="U425" s="292"/>
      <c r="V425" s="292"/>
      <c r="W425" s="292"/>
      <c r="X425" s="292"/>
      <c r="Y425" s="292"/>
      <c r="Z425" s="292"/>
      <c r="AA425" s="292"/>
      <c r="AB425" s="292"/>
      <c r="AC425" s="292"/>
      <c r="AD425" s="292"/>
      <c r="AE425" s="292" t="s">
        <v>1485</v>
      </c>
      <c r="AF425" s="292" t="str">
        <f>"INSERT INTO ProductByAccount
( ProductId,AccountId)VALUES
("&amp;C425&amp;",1037)"</f>
        <v>INSERT INTO ProductByAccount
( ProductId,AccountId)VALUES
(324,1037)</v>
      </c>
      <c r="AG425" s="292"/>
      <c r="AH425" s="292"/>
      <c r="AI425" s="292"/>
      <c r="AJ425" s="292"/>
      <c r="AK425" s="380">
        <v>790909</v>
      </c>
      <c r="AL425" s="381">
        <v>0</v>
      </c>
      <c r="AM425" s="379" t="str">
        <f>"INSERT INTO ListedPrice
(ProductId,ActiveDate,Channel,Price)
VALUES("&amp;C425&amp;",'2020-05-01','MT',"&amp;AK425&amp;")"</f>
        <v>INSERT INTO ListedPrice
(ProductId,ActiveDate,Channel,Price)
VALUES(324,'2020-05-01','MT',790909)</v>
      </c>
      <c r="AN425" s="292"/>
      <c r="AO425" s="292"/>
    </row>
    <row r="426" spans="1:41">
      <c r="A426" s="341">
        <v>4200000162</v>
      </c>
      <c r="B426" s="293" t="s">
        <v>785</v>
      </c>
      <c r="C426" s="290">
        <f>VLOOKUP(B426,Sheet1!$B$17:$C$451,2,0)</f>
        <v>325</v>
      </c>
      <c r="D426" s="291" t="s">
        <v>1333</v>
      </c>
      <c r="E426" s="291"/>
      <c r="F426" s="292" t="s">
        <v>878</v>
      </c>
      <c r="G426" s="291" t="s">
        <v>953</v>
      </c>
      <c r="H426" s="291" t="s">
        <v>1359</v>
      </c>
      <c r="I426" s="291" t="s">
        <v>1461</v>
      </c>
      <c r="J426" s="313" t="s">
        <v>1463</v>
      </c>
      <c r="K426" s="293" t="s">
        <v>872</v>
      </c>
      <c r="L426" s="293" t="str">
        <f t="shared" si="27"/>
        <v>INSERT INTO Product (CMMF,Model,BarCode,Capacity,[Type],Product,[Range],[ModelName],[Color],[Status]) VALUES
('4200000162','X16001-SV0','8936008704317','','FAN','AsiaVina',N'Quạt Trần Đảo',N'Orbital',N'Trắng Sữa','On going')</v>
      </c>
      <c r="M426" s="293"/>
      <c r="N426" s="292" t="s">
        <v>683</v>
      </c>
      <c r="O426" s="292"/>
      <c r="P426" s="292"/>
      <c r="Q426" s="292"/>
      <c r="R426" s="292"/>
      <c r="S426" s="292"/>
      <c r="T426" s="292"/>
      <c r="U426" s="292"/>
      <c r="V426" s="292"/>
      <c r="W426" s="292"/>
      <c r="X426" s="292"/>
      <c r="Y426" s="292"/>
      <c r="Z426" s="292"/>
      <c r="AA426" s="292"/>
      <c r="AB426" s="292"/>
      <c r="AC426" s="292"/>
      <c r="AD426" s="292"/>
      <c r="AE426" s="292"/>
      <c r="AF426" s="292"/>
      <c r="AG426" s="292"/>
      <c r="AH426" s="292"/>
      <c r="AI426" s="292"/>
      <c r="AJ426" s="292"/>
      <c r="AK426" s="329"/>
      <c r="AL426" s="381">
        <v>370000</v>
      </c>
      <c r="AM426" s="379" t="str">
        <f>"INSERT INTO ListedPrice
(ProductId,ActiveDate,Channel,Price)
VALUES("&amp;C426&amp;",'2020-05-01','GT',"&amp;AL426&amp;")"</f>
        <v>INSERT INTO ListedPrice
(ProductId,ActiveDate,Channel,Price)
VALUES(325,'2020-05-01','GT',370000)</v>
      </c>
      <c r="AN426" s="292"/>
      <c r="AO426" s="292"/>
    </row>
    <row r="427" spans="1:41">
      <c r="A427" s="335">
        <v>4200000228</v>
      </c>
      <c r="B427" s="314" t="s">
        <v>869</v>
      </c>
      <c r="C427" s="290">
        <f>VLOOKUP(B427,Sheet1!$B$17:$C$451,2,0)</f>
        <v>326</v>
      </c>
      <c r="D427" s="291" t="s">
        <v>1334</v>
      </c>
      <c r="E427" s="291"/>
      <c r="F427" s="291" t="s">
        <v>878</v>
      </c>
      <c r="G427" s="291" t="s">
        <v>953</v>
      </c>
      <c r="H427" s="291" t="s">
        <v>1359</v>
      </c>
      <c r="I427" s="291" t="s">
        <v>1461</v>
      </c>
      <c r="J427" s="290" t="s">
        <v>294</v>
      </c>
      <c r="K427" s="355" t="s">
        <v>1344</v>
      </c>
      <c r="L427" s="293" t="str">
        <f t="shared" si="27"/>
        <v>INSERT INTO Product (CMMF,Model,BarCode,Capacity,[Type],Product,[Range],[ModelName],[Color],[Status]) VALUES
('4200000228','X16001-XS0','8936008704324','','FAN','AsiaVina',N'Quạt Trần Đảo',N'Orbital',N'Xám','Update')</v>
      </c>
      <c r="M427" s="333" t="s">
        <v>877</v>
      </c>
      <c r="N427" s="333" t="s">
        <v>683</v>
      </c>
      <c r="O427" s="292"/>
      <c r="P427" s="292"/>
      <c r="Q427" s="292"/>
      <c r="R427" s="292"/>
      <c r="S427" s="292"/>
      <c r="T427" s="292"/>
      <c r="U427" s="292"/>
      <c r="V427" s="292"/>
      <c r="W427" s="292"/>
      <c r="X427" s="292"/>
      <c r="Y427" s="292"/>
      <c r="Z427" s="292"/>
      <c r="AA427" s="292"/>
      <c r="AB427" s="292"/>
      <c r="AC427" s="292"/>
      <c r="AD427" s="292"/>
      <c r="AE427" s="292"/>
      <c r="AF427" s="292"/>
      <c r="AG427" s="292"/>
      <c r="AH427" s="292"/>
      <c r="AI427" s="292"/>
      <c r="AJ427" s="292"/>
      <c r="AK427" s="329"/>
      <c r="AL427" s="381">
        <v>0</v>
      </c>
      <c r="AM427" s="379" t="str">
        <f>"INSERT INTO ListedPrice
(ProductId,ActiveDate,Channel,Price)
VALUES("&amp;C427&amp;",'2020-05-01','MT',"&amp;AK427&amp;")"</f>
        <v>INSERT INTO ListedPrice
(ProductId,ActiveDate,Channel,Price)
VALUES(326,'2020-05-01','MT',)</v>
      </c>
      <c r="AN427" s="292"/>
      <c r="AO427" s="292"/>
    </row>
    <row r="428" spans="1:41">
      <c r="A428" s="335">
        <v>4200000206</v>
      </c>
      <c r="B428" s="314" t="s">
        <v>859</v>
      </c>
      <c r="C428" s="290">
        <f>VLOOKUP(B428,Sheet1!$B$17:$C$451,2,0)</f>
        <v>327</v>
      </c>
      <c r="D428" s="291" t="s">
        <v>1334</v>
      </c>
      <c r="E428" s="291"/>
      <c r="F428" s="291" t="s">
        <v>878</v>
      </c>
      <c r="G428" s="291" t="s">
        <v>953</v>
      </c>
      <c r="H428" s="291" t="s">
        <v>1359</v>
      </c>
      <c r="I428" s="291" t="s">
        <v>1461</v>
      </c>
      <c r="J428" s="290" t="s">
        <v>294</v>
      </c>
      <c r="K428" s="355" t="s">
        <v>1344</v>
      </c>
      <c r="L428" s="293" t="str">
        <f t="shared" si="27"/>
        <v>INSERT INTO Product (CMMF,Model,BarCode,Capacity,[Type],Product,[Range],[ModelName],[Color],[Status]) VALUES
('4200000206','X16001-XM0','8936008704324','','FAN','AsiaVina',N'Quạt Trần Đảo',N'Orbital',N'Xám','Update')</v>
      </c>
      <c r="M428" s="333" t="s">
        <v>877</v>
      </c>
      <c r="N428" s="333" t="s">
        <v>683</v>
      </c>
      <c r="O428" s="292"/>
      <c r="P428" s="292"/>
      <c r="Q428" s="292"/>
      <c r="R428" s="292"/>
      <c r="S428" s="292"/>
      <c r="T428" s="292"/>
      <c r="U428" s="292"/>
      <c r="V428" s="292"/>
      <c r="W428" s="292"/>
      <c r="X428" s="292"/>
      <c r="Y428" s="292"/>
      <c r="Z428" s="292"/>
      <c r="AA428" s="292"/>
      <c r="AB428" s="292"/>
      <c r="AC428" s="292"/>
      <c r="AD428" s="292"/>
      <c r="AE428" s="292"/>
      <c r="AF428" s="292"/>
      <c r="AG428" s="292"/>
      <c r="AH428" s="292"/>
      <c r="AI428" s="292"/>
      <c r="AJ428" s="292"/>
      <c r="AK428" s="329"/>
      <c r="AL428" s="381">
        <v>0</v>
      </c>
      <c r="AM428" s="379" t="str">
        <f>"INSERT INTO ListedPrice
(ProductId,ActiveDate,Channel,Price)
VALUES("&amp;C428&amp;",'2020-05-01','MT',"&amp;AK428&amp;")"</f>
        <v>INSERT INTO ListedPrice
(ProductId,ActiveDate,Channel,Price)
VALUES(327,'2020-05-01','MT',)</v>
      </c>
      <c r="AN428" s="292"/>
      <c r="AO428" s="292"/>
    </row>
    <row r="429" spans="1:41">
      <c r="A429" s="341">
        <v>4200000163</v>
      </c>
      <c r="B429" s="293" t="s">
        <v>769</v>
      </c>
      <c r="C429" s="290">
        <f>VLOOKUP(B429,Sheet1!$B$17:$C$451,2,0)</f>
        <v>328</v>
      </c>
      <c r="D429" s="291" t="s">
        <v>1334</v>
      </c>
      <c r="E429" s="291"/>
      <c r="F429" s="292" t="s">
        <v>878</v>
      </c>
      <c r="G429" s="291" t="s">
        <v>953</v>
      </c>
      <c r="H429" s="291" t="s">
        <v>1359</v>
      </c>
      <c r="I429" s="291" t="s">
        <v>1461</v>
      </c>
      <c r="J429" s="293" t="s">
        <v>294</v>
      </c>
      <c r="K429" s="293" t="s">
        <v>872</v>
      </c>
      <c r="L429" s="293" t="str">
        <f t="shared" si="27"/>
        <v>INSERT INTO Product (CMMF,Model,BarCode,Capacity,[Type],Product,[Range],[ModelName],[Color],[Status]) VALUES
('4200000163','X16001-XV0','8936008704324','','FAN','AsiaVina',N'Quạt Trần Đảo',N'Orbital',N'Xám','On going')</v>
      </c>
      <c r="M429" s="293"/>
      <c r="N429" s="292" t="s">
        <v>683</v>
      </c>
      <c r="O429" s="292"/>
      <c r="P429" s="292"/>
      <c r="Q429" s="292"/>
      <c r="R429" s="292"/>
      <c r="S429" s="292"/>
      <c r="T429" s="292"/>
      <c r="U429" s="292"/>
      <c r="V429" s="292"/>
      <c r="W429" s="292"/>
      <c r="X429" s="292"/>
      <c r="Y429" s="292"/>
      <c r="Z429" s="292"/>
      <c r="AA429" s="292"/>
      <c r="AB429" s="292"/>
      <c r="AC429" s="292" t="s">
        <v>872</v>
      </c>
      <c r="AD429" s="292" t="str">
        <f>"INSERT INTO ProductByAccount
( ProductId,AccountId)VALUES
("&amp;C429&amp;",1036)"</f>
        <v>INSERT INTO ProductByAccount
( ProductId,AccountId)VALUES
(328,1036)</v>
      </c>
      <c r="AE429" s="292"/>
      <c r="AF429" s="292"/>
      <c r="AG429" s="292"/>
      <c r="AH429" s="292"/>
      <c r="AI429" s="292"/>
      <c r="AJ429" s="292"/>
      <c r="AK429" s="329"/>
      <c r="AL429" s="381">
        <v>370000</v>
      </c>
      <c r="AM429" s="379" t="str">
        <f t="shared" ref="AM429:AM437" si="28">"INSERT INTO ListedPrice
(ProductId,ActiveDate,Channel,Price)
VALUES("&amp;C429&amp;",'2020-05-01','GT',"&amp;AL429&amp;")"</f>
        <v>INSERT INTO ListedPrice
(ProductId,ActiveDate,Channel,Price)
VALUES(328,'2020-05-01','GT',370000)</v>
      </c>
      <c r="AN429" s="292"/>
      <c r="AO429" s="292"/>
    </row>
    <row r="430" spans="1:41" s="286" customFormat="1">
      <c r="A430" s="340">
        <v>4200000211</v>
      </c>
      <c r="B430" s="313" t="s">
        <v>786</v>
      </c>
      <c r="C430" s="290">
        <f>VLOOKUP(B430,Sheet1!$B$17:$C$451,2,0)</f>
        <v>329</v>
      </c>
      <c r="D430" s="291" t="s">
        <v>1335</v>
      </c>
      <c r="E430" s="291"/>
      <c r="F430" s="300" t="s">
        <v>878</v>
      </c>
      <c r="G430" s="299" t="s">
        <v>953</v>
      </c>
      <c r="H430" s="291" t="s">
        <v>1359</v>
      </c>
      <c r="I430" s="291" t="s">
        <v>1462</v>
      </c>
      <c r="J430" s="313" t="s">
        <v>1463</v>
      </c>
      <c r="K430" s="300" t="s">
        <v>873</v>
      </c>
      <c r="L430" s="293" t="str">
        <f t="shared" si="27"/>
        <v>INSERT INTO Product (CMMF,Model,BarCode,Capacity,[Type],Product,[Range],[ModelName],[Color],[Status]) VALUES
('4200000211','X16002-SV0','8936008704300','','FAN','AsiaVina',N'Quạt Trần Đảo',N'Orbital With RC',N'Trắng Sữa','To be discontinued')</v>
      </c>
      <c r="M430" s="292"/>
      <c r="N430" s="292" t="s">
        <v>683</v>
      </c>
      <c r="O430" s="292"/>
      <c r="P430" s="292"/>
      <c r="Q430" s="292"/>
      <c r="R430" s="292"/>
      <c r="S430" s="292"/>
      <c r="T430" s="292"/>
      <c r="U430" s="292"/>
      <c r="V430" s="292"/>
      <c r="W430" s="292"/>
      <c r="X430" s="292"/>
      <c r="Y430" s="292"/>
      <c r="Z430" s="292"/>
      <c r="AA430" s="292"/>
      <c r="AB430" s="292"/>
      <c r="AC430" s="292"/>
      <c r="AD430" s="292"/>
      <c r="AE430" s="292"/>
      <c r="AF430" s="292"/>
      <c r="AG430" s="292"/>
      <c r="AH430" s="292"/>
      <c r="AI430" s="292"/>
      <c r="AJ430" s="292"/>
      <c r="AK430" s="380">
        <v>583636</v>
      </c>
      <c r="AL430" s="381">
        <v>583636</v>
      </c>
      <c r="AM430" s="379" t="str">
        <f t="shared" si="28"/>
        <v>INSERT INTO ListedPrice
(ProductId,ActiveDate,Channel,Price)
VALUES(329,'2020-05-01','GT',583636)</v>
      </c>
      <c r="AN430" s="292"/>
      <c r="AO430" s="292"/>
    </row>
    <row r="431" spans="1:41">
      <c r="A431" s="341">
        <v>4200000164</v>
      </c>
      <c r="B431" s="293" t="s">
        <v>777</v>
      </c>
      <c r="C431" s="290">
        <f>VLOOKUP(B431,Sheet1!$B$17:$C$451,2,0)</f>
        <v>330</v>
      </c>
      <c r="D431" s="291" t="s">
        <v>1335</v>
      </c>
      <c r="E431" s="291"/>
      <c r="F431" s="292" t="s">
        <v>878</v>
      </c>
      <c r="G431" s="291" t="s">
        <v>953</v>
      </c>
      <c r="H431" s="291" t="s">
        <v>1359</v>
      </c>
      <c r="I431" s="291" t="s">
        <v>1462</v>
      </c>
      <c r="J431" s="293" t="s">
        <v>294</v>
      </c>
      <c r="K431" s="293" t="s">
        <v>872</v>
      </c>
      <c r="L431" s="293" t="str">
        <f t="shared" si="27"/>
        <v>INSERT INTO Product (CMMF,Model,BarCode,Capacity,[Type],Product,[Range],[ModelName],[Color],[Status]) VALUES
('4200000164','X16002-XV0','8936008704300','','FAN','AsiaVina',N'Quạt Trần Đảo',N'Orbital With RC',N'Xám','On going')</v>
      </c>
      <c r="M431" s="293"/>
      <c r="N431" s="292" t="s">
        <v>683</v>
      </c>
      <c r="O431" s="292"/>
      <c r="P431" s="292"/>
      <c r="Q431" s="292"/>
      <c r="R431" s="292"/>
      <c r="S431" s="292"/>
      <c r="T431" s="292"/>
      <c r="U431" s="292"/>
      <c r="V431" s="292"/>
      <c r="W431" s="292"/>
      <c r="X431" s="292"/>
      <c r="Y431" s="292"/>
      <c r="Z431" s="292"/>
      <c r="AA431" s="292"/>
      <c r="AB431" s="292"/>
      <c r="AC431" s="292"/>
      <c r="AD431" s="292"/>
      <c r="AE431" s="292"/>
      <c r="AF431" s="292"/>
      <c r="AG431" s="292"/>
      <c r="AH431" s="292"/>
      <c r="AI431" s="292"/>
      <c r="AJ431" s="292"/>
      <c r="AK431" s="380">
        <v>583636</v>
      </c>
      <c r="AL431" s="381">
        <v>583636</v>
      </c>
      <c r="AM431" s="379" t="str">
        <f t="shared" si="28"/>
        <v>INSERT INTO ListedPrice
(ProductId,ActiveDate,Channel,Price)
VALUES(330,'2020-05-01','GT',583636)</v>
      </c>
      <c r="AN431" s="292"/>
      <c r="AO431" s="292"/>
    </row>
    <row r="432" spans="1:41">
      <c r="A432" s="341">
        <v>4200000111</v>
      </c>
      <c r="B432" s="293" t="s">
        <v>796</v>
      </c>
      <c r="C432" s="290">
        <f>VLOOKUP(B432,Sheet1!$B$17:$C$451,2,0)</f>
        <v>331</v>
      </c>
      <c r="D432" s="291" t="s">
        <v>1336</v>
      </c>
      <c r="E432" s="291"/>
      <c r="F432" s="292" t="s">
        <v>878</v>
      </c>
      <c r="G432" s="291" t="s">
        <v>953</v>
      </c>
      <c r="H432" s="291" t="s">
        <v>1360</v>
      </c>
      <c r="I432" s="291" t="s">
        <v>1466</v>
      </c>
      <c r="J432" s="293" t="s">
        <v>1463</v>
      </c>
      <c r="K432" s="293" t="s">
        <v>872</v>
      </c>
      <c r="L432" s="293" t="str">
        <f t="shared" si="27"/>
        <v>INSERT INTO Product (CMMF,Model,BarCode,Capacity,[Type],Product,[Range],[ModelName],[Color],[Status]) VALUES
('4200000111','H08001-SV0','8936008702313','','FAN','AsiaVina',N'Quạt khác',N'Ventilation',N'Trắng Sữa','On going')</v>
      </c>
      <c r="M432" s="293"/>
      <c r="N432" s="292" t="s">
        <v>683</v>
      </c>
      <c r="O432" s="292"/>
      <c r="P432" s="292"/>
      <c r="Q432" s="292"/>
      <c r="R432" s="292"/>
      <c r="S432" s="292"/>
      <c r="T432" s="292"/>
      <c r="U432" s="292"/>
      <c r="V432" s="292"/>
      <c r="W432" s="292"/>
      <c r="X432" s="292"/>
      <c r="Y432" s="292"/>
      <c r="Z432" s="292"/>
      <c r="AA432" s="292"/>
      <c r="AB432" s="292"/>
      <c r="AC432" s="292"/>
      <c r="AD432" s="292"/>
      <c r="AE432" s="292"/>
      <c r="AF432" s="292"/>
      <c r="AG432" s="292"/>
      <c r="AH432" s="292"/>
      <c r="AI432" s="292"/>
      <c r="AJ432" s="292"/>
      <c r="AK432" s="380">
        <v>335455</v>
      </c>
      <c r="AL432" s="381">
        <v>335455</v>
      </c>
      <c r="AM432" s="379" t="str">
        <f t="shared" si="28"/>
        <v>INSERT INTO ListedPrice
(ProductId,ActiveDate,Channel,Price)
VALUES(331,'2020-05-01','GT',335455)</v>
      </c>
      <c r="AN432" s="292"/>
      <c r="AO432" s="292"/>
    </row>
    <row r="433" spans="1:41">
      <c r="A433" s="341">
        <v>4200000112</v>
      </c>
      <c r="B433" s="293" t="s">
        <v>797</v>
      </c>
      <c r="C433" s="290">
        <f>VLOOKUP(B433,Sheet1!$B$17:$C$451,2,0)</f>
        <v>332</v>
      </c>
      <c r="D433" s="291" t="s">
        <v>1337</v>
      </c>
      <c r="E433" s="291"/>
      <c r="F433" s="292" t="s">
        <v>878</v>
      </c>
      <c r="G433" s="291" t="s">
        <v>953</v>
      </c>
      <c r="H433" s="291" t="s">
        <v>1360</v>
      </c>
      <c r="I433" s="291" t="s">
        <v>1466</v>
      </c>
      <c r="J433" s="293" t="s">
        <v>1463</v>
      </c>
      <c r="K433" s="293" t="s">
        <v>872</v>
      </c>
      <c r="L433" s="293" t="str">
        <f t="shared" si="27"/>
        <v>INSERT INTO Product (CMMF,Model,BarCode,Capacity,[Type],Product,[Range],[ModelName],[Color],[Status]) VALUES
('4200000112','H10001-SV0','8936008702214','','FAN','AsiaVina',N'Quạt khác',N'Ventilation',N'Trắng Sữa','On going')</v>
      </c>
      <c r="M433" s="293"/>
      <c r="N433" s="292" t="s">
        <v>683</v>
      </c>
      <c r="O433" s="292"/>
      <c r="P433" s="292"/>
      <c r="Q433" s="292"/>
      <c r="R433" s="292"/>
      <c r="S433" s="292"/>
      <c r="T433" s="292"/>
      <c r="U433" s="292"/>
      <c r="V433" s="292"/>
      <c r="W433" s="292"/>
      <c r="X433" s="292"/>
      <c r="Y433" s="292"/>
      <c r="Z433" s="292"/>
      <c r="AA433" s="292"/>
      <c r="AB433" s="292"/>
      <c r="AC433" s="292"/>
      <c r="AD433" s="292"/>
      <c r="AE433" s="292"/>
      <c r="AF433" s="292"/>
      <c r="AG433" s="292"/>
      <c r="AH433" s="292"/>
      <c r="AI433" s="292"/>
      <c r="AJ433" s="292"/>
      <c r="AK433" s="380">
        <v>365455</v>
      </c>
      <c r="AL433" s="381">
        <v>365455</v>
      </c>
      <c r="AM433" s="379" t="str">
        <f t="shared" si="28"/>
        <v>INSERT INTO ListedPrice
(ProductId,ActiveDate,Channel,Price)
VALUES(332,'2020-05-01','GT',365455)</v>
      </c>
      <c r="AN433" s="292"/>
      <c r="AO433" s="292"/>
    </row>
    <row r="434" spans="1:41" s="285" customFormat="1">
      <c r="A434" s="339">
        <v>4200000308</v>
      </c>
      <c r="B434" s="297" t="s">
        <v>836</v>
      </c>
      <c r="C434" s="290">
        <f>VLOOKUP(B434,Sheet1!$B$17:$C$451,2,0)</f>
        <v>333</v>
      </c>
      <c r="D434" s="291" t="s">
        <v>1338</v>
      </c>
      <c r="E434" s="291"/>
      <c r="F434" s="296" t="s">
        <v>878</v>
      </c>
      <c r="G434" s="295" t="s">
        <v>953</v>
      </c>
      <c r="H434" s="295" t="s">
        <v>1357</v>
      </c>
      <c r="I434" s="291" t="s">
        <v>1460</v>
      </c>
      <c r="J434" s="297" t="s">
        <v>887</v>
      </c>
      <c r="K434" s="297" t="s">
        <v>623</v>
      </c>
      <c r="L434" s="293" t="str">
        <f t="shared" si="27"/>
        <v>INSERT INTO Product (CMMF,Model,BarCode,Capacity,[Type],Product,[Range],[ModelName],[Color],[Status]) VALUES
('4200000308','J48004-SV0','8936008705420','','FAN','AsiaVina',N'Quạt Trần',N'Ceiling',N'Grey','Discontinued')</v>
      </c>
      <c r="M434" s="293"/>
      <c r="N434" s="292" t="s">
        <v>683</v>
      </c>
      <c r="O434" s="292"/>
      <c r="P434" s="292"/>
      <c r="Q434" s="292"/>
      <c r="R434" s="292"/>
      <c r="S434" s="292"/>
      <c r="T434" s="292"/>
      <c r="U434" s="292"/>
      <c r="V434" s="292"/>
      <c r="W434" s="292"/>
      <c r="X434" s="292"/>
      <c r="Y434" s="292"/>
      <c r="Z434" s="292"/>
      <c r="AA434" s="292"/>
      <c r="AB434" s="292"/>
      <c r="AC434" s="292"/>
      <c r="AD434" s="292"/>
      <c r="AE434" s="292"/>
      <c r="AF434" s="292"/>
      <c r="AG434" s="292"/>
      <c r="AH434" s="292"/>
      <c r="AI434" s="292"/>
      <c r="AJ434" s="292"/>
      <c r="AK434" s="380">
        <v>845455</v>
      </c>
      <c r="AL434" s="381">
        <v>845455</v>
      </c>
      <c r="AM434" s="379" t="str">
        <f t="shared" si="28"/>
        <v>INSERT INTO ListedPrice
(ProductId,ActiveDate,Channel,Price)
VALUES(333,'2020-05-01','GT',845455)</v>
      </c>
      <c r="AN434" s="292"/>
      <c r="AO434" s="292"/>
    </row>
    <row r="435" spans="1:41">
      <c r="A435" s="341">
        <v>4200000307</v>
      </c>
      <c r="B435" s="293" t="s">
        <v>793</v>
      </c>
      <c r="C435" s="290">
        <f>VLOOKUP(B435,Sheet1!$B$17:$C$451,2,0)</f>
        <v>334</v>
      </c>
      <c r="D435" s="291" t="s">
        <v>1339</v>
      </c>
      <c r="E435" s="291"/>
      <c r="F435" s="292" t="s">
        <v>878</v>
      </c>
      <c r="G435" s="291" t="s">
        <v>953</v>
      </c>
      <c r="H435" s="295" t="s">
        <v>1357</v>
      </c>
      <c r="I435" s="291" t="s">
        <v>1460</v>
      </c>
      <c r="J435" s="293" t="s">
        <v>887</v>
      </c>
      <c r="K435" s="293" t="s">
        <v>872</v>
      </c>
      <c r="L435" s="293" t="str">
        <f t="shared" si="27"/>
        <v>INSERT INTO Product (CMMF,Model,BarCode,Capacity,[Type],Product,[Range],[ModelName],[Color],[Status]) VALUES
('4200000307','J56004-SV0','8936008705437','','FAN','AsiaVina',N'Quạt Trần',N'Ceiling',N'Grey','On going')</v>
      </c>
      <c r="M435" s="293"/>
      <c r="N435" s="292" t="s">
        <v>683</v>
      </c>
      <c r="O435" s="292"/>
      <c r="P435" s="292"/>
      <c r="Q435" s="292"/>
      <c r="R435" s="292"/>
      <c r="S435" s="292"/>
      <c r="T435" s="292"/>
      <c r="U435" s="292"/>
      <c r="V435" s="292"/>
      <c r="W435" s="292"/>
      <c r="X435" s="292"/>
      <c r="Y435" s="292"/>
      <c r="Z435" s="292"/>
      <c r="AA435" s="292"/>
      <c r="AB435" s="292"/>
      <c r="AC435" s="292"/>
      <c r="AD435" s="292"/>
      <c r="AE435" s="292"/>
      <c r="AF435" s="292"/>
      <c r="AG435" s="292"/>
      <c r="AH435" s="292"/>
      <c r="AI435" s="292"/>
      <c r="AJ435" s="292"/>
      <c r="AK435" s="380">
        <v>909091</v>
      </c>
      <c r="AL435" s="381">
        <v>845455</v>
      </c>
      <c r="AM435" s="379" t="str">
        <f t="shared" si="28"/>
        <v>INSERT INTO ListedPrice
(ProductId,ActiveDate,Channel,Price)
VALUES(334,'2020-05-01','GT',845455)</v>
      </c>
      <c r="AN435" s="292"/>
      <c r="AO435" s="292"/>
    </row>
    <row r="436" spans="1:41">
      <c r="A436" s="341">
        <v>4200000158</v>
      </c>
      <c r="B436" s="293" t="s">
        <v>794</v>
      </c>
      <c r="C436" s="290">
        <f>VLOOKUP(B436,Sheet1!$B$17:$C$451,2,0)</f>
        <v>335</v>
      </c>
      <c r="D436" s="291" t="s">
        <v>1340</v>
      </c>
      <c r="E436" s="291"/>
      <c r="F436" s="292" t="s">
        <v>878</v>
      </c>
      <c r="G436" s="291" t="s">
        <v>953</v>
      </c>
      <c r="H436" s="291" t="s">
        <v>1360</v>
      </c>
      <c r="I436" s="291" t="s">
        <v>1467</v>
      </c>
      <c r="J436" s="293" t="s">
        <v>1463</v>
      </c>
      <c r="K436" s="293" t="s">
        <v>872</v>
      </c>
      <c r="L436" s="293" t="str">
        <f t="shared" si="27"/>
        <v>INSERT INTO Product (CMMF,Model,BarCode,Capacity,[Type],Product,[Range],[ModelName],[Color],[Status]) VALUES
('4200000158','QS1001-SV0','8936008700197','','FAN','AsiaVina',N'Quạt khác',N'Re- Chargeable',N'Trắng Sữa','On going')</v>
      </c>
      <c r="M436" s="293"/>
      <c r="N436" s="292" t="s">
        <v>683</v>
      </c>
      <c r="O436" s="292"/>
      <c r="P436" s="292"/>
      <c r="Q436" s="292"/>
      <c r="R436" s="292"/>
      <c r="S436" s="292"/>
      <c r="T436" s="292"/>
      <c r="U436" s="292"/>
      <c r="V436" s="292"/>
      <c r="W436" s="292"/>
      <c r="X436" s="292"/>
      <c r="Y436" s="292"/>
      <c r="Z436" s="292"/>
      <c r="AA436" s="292"/>
      <c r="AB436" s="292"/>
      <c r="AC436" s="292"/>
      <c r="AD436" s="292"/>
      <c r="AE436" s="292"/>
      <c r="AF436" s="292"/>
      <c r="AG436" s="292"/>
      <c r="AH436" s="292"/>
      <c r="AI436" s="292"/>
      <c r="AJ436" s="292"/>
      <c r="AK436" s="380">
        <v>791818</v>
      </c>
      <c r="AL436" s="381">
        <v>791818</v>
      </c>
      <c r="AM436" s="379" t="str">
        <f t="shared" si="28"/>
        <v>INSERT INTO ListedPrice
(ProductId,ActiveDate,Channel,Price)
VALUES(335,'2020-05-01','GT',791818)</v>
      </c>
      <c r="AN436" s="292"/>
      <c r="AO436" s="292"/>
    </row>
    <row r="437" spans="1:41">
      <c r="A437" s="344">
        <v>4200000161</v>
      </c>
      <c r="B437" s="321" t="s">
        <v>795</v>
      </c>
      <c r="C437" s="290">
        <f>VLOOKUP(B437,Sheet1!$B$17:$C$451,2,0)</f>
        <v>336</v>
      </c>
      <c r="D437" s="291" t="s">
        <v>1341</v>
      </c>
      <c r="E437" s="322"/>
      <c r="F437" s="323" t="s">
        <v>878</v>
      </c>
      <c r="G437" s="322" t="s">
        <v>953</v>
      </c>
      <c r="H437" s="291" t="s">
        <v>1360</v>
      </c>
      <c r="I437" s="322" t="s">
        <v>1466</v>
      </c>
      <c r="J437" s="321" t="s">
        <v>1463</v>
      </c>
      <c r="K437" s="321" t="s">
        <v>872</v>
      </c>
      <c r="L437" s="293" t="str">
        <f t="shared" si="27"/>
        <v>INSERT INTO Product (CMMF,Model,BarCode,Capacity,[Type],Product,[Range],[ModelName],[Color],[Status]) VALUES
('4200000161','V04001-SV0','8936008704218','','FAN','AsiaVina',N'Quạt khác',N'Ventilation',N'Trắng Sữa','On going')</v>
      </c>
      <c r="M437" s="321"/>
      <c r="N437" s="292" t="s">
        <v>683</v>
      </c>
      <c r="O437" s="292"/>
      <c r="P437" s="292"/>
      <c r="Q437" s="292"/>
      <c r="R437" s="292"/>
      <c r="S437" s="292"/>
      <c r="T437" s="292"/>
      <c r="U437" s="292"/>
      <c r="V437" s="292"/>
      <c r="W437" s="292"/>
      <c r="X437" s="292"/>
      <c r="Y437" s="292"/>
      <c r="Z437" s="292"/>
      <c r="AA437" s="292"/>
      <c r="AB437" s="292"/>
      <c r="AC437" s="292"/>
      <c r="AD437" s="292"/>
      <c r="AE437" s="292"/>
      <c r="AF437" s="292"/>
      <c r="AG437" s="292"/>
      <c r="AH437" s="292"/>
      <c r="AI437" s="292"/>
      <c r="AJ437" s="292"/>
      <c r="AK437" s="380">
        <v>309091</v>
      </c>
      <c r="AL437" s="381">
        <v>309091</v>
      </c>
      <c r="AM437" s="379" t="str">
        <f t="shared" si="28"/>
        <v>INSERT INTO ListedPrice
(ProductId,ActiveDate,Channel,Price)
VALUES(336,'2020-05-01','GT',309091)</v>
      </c>
      <c r="AN437" s="323"/>
      <c r="AO437" s="323"/>
    </row>
  </sheetData>
  <phoneticPr fontId="23" type="noConversion"/>
  <conditionalFormatting sqref="A51">
    <cfRule type="duplicateValues" dxfId="284" priority="656"/>
  </conditionalFormatting>
  <conditionalFormatting sqref="A51">
    <cfRule type="duplicateValues" dxfId="283" priority="654"/>
    <cfRule type="duplicateValues" dxfId="282" priority="655"/>
  </conditionalFormatting>
  <conditionalFormatting sqref="A51">
    <cfRule type="duplicateValues" dxfId="281" priority="653"/>
  </conditionalFormatting>
  <conditionalFormatting sqref="A51">
    <cfRule type="duplicateValues" dxfId="280" priority="652"/>
  </conditionalFormatting>
  <conditionalFormatting sqref="A51">
    <cfRule type="duplicateValues" dxfId="279" priority="651"/>
  </conditionalFormatting>
  <conditionalFormatting sqref="A74">
    <cfRule type="duplicateValues" dxfId="278" priority="650"/>
  </conditionalFormatting>
  <conditionalFormatting sqref="A74">
    <cfRule type="duplicateValues" dxfId="277" priority="649"/>
  </conditionalFormatting>
  <conditionalFormatting sqref="A37">
    <cfRule type="duplicateValues" dxfId="276" priority="648"/>
  </conditionalFormatting>
  <conditionalFormatting sqref="A37">
    <cfRule type="duplicateValues" dxfId="275" priority="647"/>
  </conditionalFormatting>
  <conditionalFormatting sqref="A140">
    <cfRule type="duplicateValues" dxfId="274" priority="646"/>
  </conditionalFormatting>
  <conditionalFormatting sqref="A140:B140 D140">
    <cfRule type="duplicateValues" dxfId="273" priority="645"/>
  </conditionalFormatting>
  <conditionalFormatting sqref="A274">
    <cfRule type="duplicateValues" dxfId="272" priority="644"/>
  </conditionalFormatting>
  <conditionalFormatting sqref="A274:B274 D274">
    <cfRule type="duplicateValues" dxfId="271" priority="643"/>
  </conditionalFormatting>
  <conditionalFormatting sqref="A320">
    <cfRule type="duplicateValues" dxfId="270" priority="640"/>
  </conditionalFormatting>
  <conditionalFormatting sqref="A320:B320 D320">
    <cfRule type="duplicateValues" dxfId="269" priority="639"/>
  </conditionalFormatting>
  <conditionalFormatting sqref="A409:A410">
    <cfRule type="duplicateValues" dxfId="268" priority="638"/>
  </conditionalFormatting>
  <conditionalFormatting sqref="A409:B410 D409:D410">
    <cfRule type="duplicateValues" dxfId="267" priority="637"/>
  </conditionalFormatting>
  <conditionalFormatting sqref="A226 A222:A224">
    <cfRule type="duplicateValues" dxfId="266" priority="658"/>
  </conditionalFormatting>
  <conditionalFormatting sqref="A222:B224 A226:B226 D226 D222:D224">
    <cfRule type="duplicateValues" dxfId="265" priority="659"/>
  </conditionalFormatting>
  <conditionalFormatting sqref="A411">
    <cfRule type="duplicateValues" dxfId="264" priority="636"/>
  </conditionalFormatting>
  <conditionalFormatting sqref="A411:B411 D411">
    <cfRule type="duplicateValues" dxfId="263" priority="635"/>
  </conditionalFormatting>
  <conditionalFormatting sqref="A415">
    <cfRule type="duplicateValues" dxfId="262" priority="633"/>
  </conditionalFormatting>
  <conditionalFormatting sqref="A415:B415 D415">
    <cfRule type="duplicateValues" dxfId="261" priority="634"/>
  </conditionalFormatting>
  <conditionalFormatting sqref="A416">
    <cfRule type="duplicateValues" dxfId="260" priority="631"/>
  </conditionalFormatting>
  <conditionalFormatting sqref="A416:B416 D416">
    <cfRule type="duplicateValues" dxfId="259" priority="632"/>
  </conditionalFormatting>
  <conditionalFormatting sqref="A65">
    <cfRule type="duplicateValues" dxfId="258" priority="629"/>
  </conditionalFormatting>
  <conditionalFormatting sqref="A65:B65 D65">
    <cfRule type="duplicateValues" dxfId="257" priority="630"/>
  </conditionalFormatting>
  <conditionalFormatting sqref="A225">
    <cfRule type="duplicateValues" dxfId="256" priority="627"/>
  </conditionalFormatting>
  <conditionalFormatting sqref="A225:B225 D225">
    <cfRule type="duplicateValues" dxfId="255" priority="628"/>
  </conditionalFormatting>
  <conditionalFormatting sqref="A163">
    <cfRule type="duplicateValues" dxfId="254" priority="625"/>
  </conditionalFormatting>
  <conditionalFormatting sqref="A163">
    <cfRule type="duplicateValues" dxfId="253" priority="626"/>
  </conditionalFormatting>
  <conditionalFormatting sqref="A142:A147">
    <cfRule type="duplicateValues" dxfId="252" priority="623"/>
  </conditionalFormatting>
  <conditionalFormatting sqref="A112">
    <cfRule type="duplicateValues" dxfId="251" priority="621"/>
  </conditionalFormatting>
  <conditionalFormatting sqref="A112:B112 D112">
    <cfRule type="duplicateValues" dxfId="250" priority="622"/>
  </conditionalFormatting>
  <conditionalFormatting sqref="A111">
    <cfRule type="duplicateValues" dxfId="249" priority="619"/>
  </conditionalFormatting>
  <conditionalFormatting sqref="A111:B111 D111">
    <cfRule type="duplicateValues" dxfId="248" priority="620"/>
  </conditionalFormatting>
  <conditionalFormatting sqref="A270">
    <cfRule type="duplicateValues" dxfId="247" priority="615"/>
  </conditionalFormatting>
  <conditionalFormatting sqref="A270:B270 D270">
    <cfRule type="duplicateValues" dxfId="246" priority="616"/>
  </conditionalFormatting>
  <conditionalFormatting sqref="A417">
    <cfRule type="duplicateValues" dxfId="245" priority="603"/>
  </conditionalFormatting>
  <conditionalFormatting sqref="A417:B417 D417">
    <cfRule type="duplicateValues" dxfId="244" priority="604"/>
  </conditionalFormatting>
  <conditionalFormatting sqref="A417">
    <cfRule type="duplicateValues" dxfId="243" priority="602"/>
  </conditionalFormatting>
  <conditionalFormatting sqref="A339">
    <cfRule type="duplicateValues" dxfId="242" priority="600"/>
  </conditionalFormatting>
  <conditionalFormatting sqref="A339">
    <cfRule type="duplicateValues" dxfId="241" priority="599"/>
  </conditionalFormatting>
  <conditionalFormatting sqref="A339:B339 D339">
    <cfRule type="duplicateValues" dxfId="240" priority="601"/>
  </conditionalFormatting>
  <conditionalFormatting sqref="A341:A342">
    <cfRule type="duplicateValues" dxfId="239" priority="597"/>
  </conditionalFormatting>
  <conditionalFormatting sqref="A341:A342">
    <cfRule type="duplicateValues" dxfId="238" priority="596"/>
  </conditionalFormatting>
  <conditionalFormatting sqref="A341:B342 D341:D342">
    <cfRule type="duplicateValues" dxfId="237" priority="598"/>
  </conditionalFormatting>
  <conditionalFormatting sqref="A343">
    <cfRule type="duplicateValues" dxfId="236" priority="594"/>
  </conditionalFormatting>
  <conditionalFormatting sqref="A343">
    <cfRule type="duplicateValues" dxfId="235" priority="593"/>
  </conditionalFormatting>
  <conditionalFormatting sqref="A343:B343 D343">
    <cfRule type="duplicateValues" dxfId="234" priority="595"/>
  </conditionalFormatting>
  <conditionalFormatting sqref="A344">
    <cfRule type="duplicateValues" dxfId="233" priority="591"/>
  </conditionalFormatting>
  <conditionalFormatting sqref="A344">
    <cfRule type="duplicateValues" dxfId="232" priority="590"/>
  </conditionalFormatting>
  <conditionalFormatting sqref="A344:B344 D344">
    <cfRule type="duplicateValues" dxfId="231" priority="592"/>
  </conditionalFormatting>
  <conditionalFormatting sqref="A345">
    <cfRule type="duplicateValues" dxfId="230" priority="588"/>
  </conditionalFormatting>
  <conditionalFormatting sqref="A345">
    <cfRule type="duplicateValues" dxfId="229" priority="587"/>
  </conditionalFormatting>
  <conditionalFormatting sqref="A345:B345 D345">
    <cfRule type="duplicateValues" dxfId="228" priority="589"/>
  </conditionalFormatting>
  <conditionalFormatting sqref="A346">
    <cfRule type="duplicateValues" dxfId="227" priority="585"/>
  </conditionalFormatting>
  <conditionalFormatting sqref="A346">
    <cfRule type="duplicateValues" dxfId="226" priority="584"/>
  </conditionalFormatting>
  <conditionalFormatting sqref="A346:B346 D346">
    <cfRule type="duplicateValues" dxfId="225" priority="586"/>
  </conditionalFormatting>
  <conditionalFormatting sqref="A347">
    <cfRule type="duplicateValues" dxfId="224" priority="582"/>
  </conditionalFormatting>
  <conditionalFormatting sqref="A347">
    <cfRule type="duplicateValues" dxfId="223" priority="581"/>
  </conditionalFormatting>
  <conditionalFormatting sqref="A347:B347 D347">
    <cfRule type="duplicateValues" dxfId="222" priority="583"/>
  </conditionalFormatting>
  <conditionalFormatting sqref="A348">
    <cfRule type="duplicateValues" dxfId="221" priority="579"/>
  </conditionalFormatting>
  <conditionalFormatting sqref="A348">
    <cfRule type="duplicateValues" dxfId="220" priority="578"/>
  </conditionalFormatting>
  <conditionalFormatting sqref="A348:B348 D348">
    <cfRule type="duplicateValues" dxfId="219" priority="580"/>
  </conditionalFormatting>
  <conditionalFormatting sqref="A349">
    <cfRule type="duplicateValues" dxfId="218" priority="576"/>
  </conditionalFormatting>
  <conditionalFormatting sqref="A349">
    <cfRule type="duplicateValues" dxfId="217" priority="575"/>
  </conditionalFormatting>
  <conditionalFormatting sqref="A349:B349 D349">
    <cfRule type="duplicateValues" dxfId="216" priority="577"/>
  </conditionalFormatting>
  <conditionalFormatting sqref="A350">
    <cfRule type="duplicateValues" dxfId="215" priority="573"/>
  </conditionalFormatting>
  <conditionalFormatting sqref="A350">
    <cfRule type="duplicateValues" dxfId="214" priority="572"/>
  </conditionalFormatting>
  <conditionalFormatting sqref="A350:B350 D350">
    <cfRule type="duplicateValues" dxfId="213" priority="574"/>
  </conditionalFormatting>
  <conditionalFormatting sqref="A351">
    <cfRule type="duplicateValues" dxfId="212" priority="570"/>
  </conditionalFormatting>
  <conditionalFormatting sqref="A351">
    <cfRule type="duplicateValues" dxfId="211" priority="569"/>
  </conditionalFormatting>
  <conditionalFormatting sqref="A351:B351 D351">
    <cfRule type="duplicateValues" dxfId="210" priority="571"/>
  </conditionalFormatting>
  <conditionalFormatting sqref="A354">
    <cfRule type="duplicateValues" dxfId="209" priority="567"/>
  </conditionalFormatting>
  <conditionalFormatting sqref="A354">
    <cfRule type="duplicateValues" dxfId="208" priority="566"/>
  </conditionalFormatting>
  <conditionalFormatting sqref="A354:B354 D354">
    <cfRule type="duplicateValues" dxfId="207" priority="568"/>
  </conditionalFormatting>
  <conditionalFormatting sqref="A355">
    <cfRule type="duplicateValues" dxfId="206" priority="564"/>
  </conditionalFormatting>
  <conditionalFormatting sqref="A355">
    <cfRule type="duplicateValues" dxfId="205" priority="563"/>
  </conditionalFormatting>
  <conditionalFormatting sqref="A355:B355 D355">
    <cfRule type="duplicateValues" dxfId="204" priority="565"/>
  </conditionalFormatting>
  <conditionalFormatting sqref="A357">
    <cfRule type="duplicateValues" dxfId="203" priority="561"/>
  </conditionalFormatting>
  <conditionalFormatting sqref="A357">
    <cfRule type="duplicateValues" dxfId="202" priority="560"/>
  </conditionalFormatting>
  <conditionalFormatting sqref="A357:B357 D357">
    <cfRule type="duplicateValues" dxfId="201" priority="562"/>
  </conditionalFormatting>
  <conditionalFormatting sqref="A358">
    <cfRule type="duplicateValues" dxfId="200" priority="558"/>
  </conditionalFormatting>
  <conditionalFormatting sqref="A358">
    <cfRule type="duplicateValues" dxfId="199" priority="557"/>
  </conditionalFormatting>
  <conditionalFormatting sqref="A358:B358 D358">
    <cfRule type="duplicateValues" dxfId="198" priority="559"/>
  </conditionalFormatting>
  <conditionalFormatting sqref="A359">
    <cfRule type="duplicateValues" dxfId="197" priority="555"/>
  </conditionalFormatting>
  <conditionalFormatting sqref="A359">
    <cfRule type="duplicateValues" dxfId="196" priority="554"/>
  </conditionalFormatting>
  <conditionalFormatting sqref="A359:B359 D359">
    <cfRule type="duplicateValues" dxfId="195" priority="556"/>
  </conditionalFormatting>
  <conditionalFormatting sqref="A360">
    <cfRule type="duplicateValues" dxfId="194" priority="552"/>
  </conditionalFormatting>
  <conditionalFormatting sqref="A360">
    <cfRule type="duplicateValues" dxfId="193" priority="551"/>
  </conditionalFormatting>
  <conditionalFormatting sqref="A360:B360 D360">
    <cfRule type="duplicateValues" dxfId="192" priority="553"/>
  </conditionalFormatting>
  <conditionalFormatting sqref="A362">
    <cfRule type="duplicateValues" dxfId="191" priority="549"/>
  </conditionalFormatting>
  <conditionalFormatting sqref="A362">
    <cfRule type="duplicateValues" dxfId="190" priority="548"/>
  </conditionalFormatting>
  <conditionalFormatting sqref="A362:B362 D362">
    <cfRule type="duplicateValues" dxfId="189" priority="550"/>
  </conditionalFormatting>
  <conditionalFormatting sqref="A363">
    <cfRule type="duplicateValues" dxfId="188" priority="546"/>
  </conditionalFormatting>
  <conditionalFormatting sqref="A363">
    <cfRule type="duplicateValues" dxfId="187" priority="545"/>
  </conditionalFormatting>
  <conditionalFormatting sqref="A363:B363 D363">
    <cfRule type="duplicateValues" dxfId="186" priority="547"/>
  </conditionalFormatting>
  <conditionalFormatting sqref="A356">
    <cfRule type="duplicateValues" dxfId="185" priority="543"/>
  </conditionalFormatting>
  <conditionalFormatting sqref="A356">
    <cfRule type="duplicateValues" dxfId="184" priority="542"/>
  </conditionalFormatting>
  <conditionalFormatting sqref="A356:B356 D356">
    <cfRule type="duplicateValues" dxfId="183" priority="544"/>
  </conditionalFormatting>
  <conditionalFormatting sqref="B354:B355 B320 B349 B351 B358 D358 D351 D349 D320 D354:D355">
    <cfRule type="duplicateValues" dxfId="182" priority="540"/>
  </conditionalFormatting>
  <conditionalFormatting sqref="A118">
    <cfRule type="duplicateValues" dxfId="181" priority="534"/>
  </conditionalFormatting>
  <conditionalFormatting sqref="A118">
    <cfRule type="duplicateValues" dxfId="180" priority="533"/>
  </conditionalFormatting>
  <conditionalFormatting sqref="A118">
    <cfRule type="duplicateValues" dxfId="179" priority="535"/>
  </conditionalFormatting>
  <conditionalFormatting sqref="A118">
    <cfRule type="duplicateValues" dxfId="178" priority="532"/>
  </conditionalFormatting>
  <conditionalFormatting sqref="A119">
    <cfRule type="duplicateValues" dxfId="177" priority="530"/>
  </conditionalFormatting>
  <conditionalFormatting sqref="A119">
    <cfRule type="duplicateValues" dxfId="176" priority="529"/>
  </conditionalFormatting>
  <conditionalFormatting sqref="A119">
    <cfRule type="duplicateValues" dxfId="175" priority="531"/>
  </conditionalFormatting>
  <conditionalFormatting sqref="A119">
    <cfRule type="duplicateValues" dxfId="174" priority="528"/>
  </conditionalFormatting>
  <conditionalFormatting sqref="A120">
    <cfRule type="duplicateValues" dxfId="173" priority="526"/>
  </conditionalFormatting>
  <conditionalFormatting sqref="A120">
    <cfRule type="duplicateValues" dxfId="172" priority="525"/>
  </conditionalFormatting>
  <conditionalFormatting sqref="A120">
    <cfRule type="duplicateValues" dxfId="171" priority="527"/>
  </conditionalFormatting>
  <conditionalFormatting sqref="A120">
    <cfRule type="duplicateValues" dxfId="170" priority="524"/>
  </conditionalFormatting>
  <conditionalFormatting sqref="A180">
    <cfRule type="duplicateValues" dxfId="169" priority="518"/>
  </conditionalFormatting>
  <conditionalFormatting sqref="A180">
    <cfRule type="duplicateValues" dxfId="168" priority="517"/>
  </conditionalFormatting>
  <conditionalFormatting sqref="A180">
    <cfRule type="duplicateValues" dxfId="167" priority="519"/>
  </conditionalFormatting>
  <conditionalFormatting sqref="A180">
    <cfRule type="duplicateValues" dxfId="166" priority="516"/>
  </conditionalFormatting>
  <conditionalFormatting sqref="A181">
    <cfRule type="duplicateValues" dxfId="165" priority="514"/>
  </conditionalFormatting>
  <conditionalFormatting sqref="A181">
    <cfRule type="duplicateValues" dxfId="164" priority="513"/>
  </conditionalFormatting>
  <conditionalFormatting sqref="A181">
    <cfRule type="duplicateValues" dxfId="163" priority="515"/>
  </conditionalFormatting>
  <conditionalFormatting sqref="A181">
    <cfRule type="duplicateValues" dxfId="162" priority="512"/>
  </conditionalFormatting>
  <conditionalFormatting sqref="A182">
    <cfRule type="duplicateValues" dxfId="161" priority="510"/>
  </conditionalFormatting>
  <conditionalFormatting sqref="A182">
    <cfRule type="duplicateValues" dxfId="160" priority="509"/>
  </conditionalFormatting>
  <conditionalFormatting sqref="A182">
    <cfRule type="duplicateValues" dxfId="159" priority="511"/>
  </conditionalFormatting>
  <conditionalFormatting sqref="A182">
    <cfRule type="duplicateValues" dxfId="158" priority="508"/>
  </conditionalFormatting>
  <conditionalFormatting sqref="A122">
    <cfRule type="duplicateValues" dxfId="157" priority="506"/>
  </conditionalFormatting>
  <conditionalFormatting sqref="A122">
    <cfRule type="duplicateValues" dxfId="156" priority="505"/>
  </conditionalFormatting>
  <conditionalFormatting sqref="A122">
    <cfRule type="duplicateValues" dxfId="155" priority="507"/>
  </conditionalFormatting>
  <conditionalFormatting sqref="A122">
    <cfRule type="duplicateValues" dxfId="154" priority="504"/>
  </conditionalFormatting>
  <conditionalFormatting sqref="A109">
    <cfRule type="duplicateValues" dxfId="153" priority="502"/>
  </conditionalFormatting>
  <conditionalFormatting sqref="A109">
    <cfRule type="duplicateValues" dxfId="152" priority="501"/>
  </conditionalFormatting>
  <conditionalFormatting sqref="A109">
    <cfRule type="duplicateValues" dxfId="151" priority="503"/>
  </conditionalFormatting>
  <conditionalFormatting sqref="A109">
    <cfRule type="duplicateValues" dxfId="150" priority="500"/>
  </conditionalFormatting>
  <conditionalFormatting sqref="A110">
    <cfRule type="duplicateValues" dxfId="149" priority="498"/>
  </conditionalFormatting>
  <conditionalFormatting sqref="A110">
    <cfRule type="duplicateValues" dxfId="148" priority="497"/>
  </conditionalFormatting>
  <conditionalFormatting sqref="A110">
    <cfRule type="duplicateValues" dxfId="147" priority="499"/>
  </conditionalFormatting>
  <conditionalFormatting sqref="A110">
    <cfRule type="duplicateValues" dxfId="146" priority="496"/>
  </conditionalFormatting>
  <conditionalFormatting sqref="A123">
    <cfRule type="duplicateValues" dxfId="145" priority="494"/>
  </conditionalFormatting>
  <conditionalFormatting sqref="A123">
    <cfRule type="duplicateValues" dxfId="144" priority="493"/>
  </conditionalFormatting>
  <conditionalFormatting sqref="A123">
    <cfRule type="duplicateValues" dxfId="143" priority="495"/>
  </conditionalFormatting>
  <conditionalFormatting sqref="A123">
    <cfRule type="duplicateValues" dxfId="142" priority="492"/>
  </conditionalFormatting>
  <conditionalFormatting sqref="A124">
    <cfRule type="duplicateValues" dxfId="141" priority="490"/>
  </conditionalFormatting>
  <conditionalFormatting sqref="A124">
    <cfRule type="duplicateValues" dxfId="140" priority="489"/>
  </conditionalFormatting>
  <conditionalFormatting sqref="A124">
    <cfRule type="duplicateValues" dxfId="139" priority="491"/>
  </conditionalFormatting>
  <conditionalFormatting sqref="A124">
    <cfRule type="duplicateValues" dxfId="138" priority="488"/>
  </conditionalFormatting>
  <conditionalFormatting sqref="A217">
    <cfRule type="duplicateValues" dxfId="137" priority="486"/>
  </conditionalFormatting>
  <conditionalFormatting sqref="A217">
    <cfRule type="duplicateValues" dxfId="136" priority="485"/>
  </conditionalFormatting>
  <conditionalFormatting sqref="A217">
    <cfRule type="duplicateValues" dxfId="135" priority="487"/>
  </conditionalFormatting>
  <conditionalFormatting sqref="A217">
    <cfRule type="duplicateValues" dxfId="134" priority="484"/>
  </conditionalFormatting>
  <conditionalFormatting sqref="A235">
    <cfRule type="duplicateValues" dxfId="133" priority="482"/>
  </conditionalFormatting>
  <conditionalFormatting sqref="A235">
    <cfRule type="duplicateValues" dxfId="132" priority="481"/>
  </conditionalFormatting>
  <conditionalFormatting sqref="A235">
    <cfRule type="duplicateValues" dxfId="131" priority="483"/>
  </conditionalFormatting>
  <conditionalFormatting sqref="A235">
    <cfRule type="duplicateValues" dxfId="130" priority="480"/>
  </conditionalFormatting>
  <conditionalFormatting sqref="A236">
    <cfRule type="duplicateValues" dxfId="129" priority="478"/>
  </conditionalFormatting>
  <conditionalFormatting sqref="A236">
    <cfRule type="duplicateValues" dxfId="128" priority="477"/>
  </conditionalFormatting>
  <conditionalFormatting sqref="A236:B236 D236">
    <cfRule type="duplicateValues" dxfId="127" priority="479"/>
  </conditionalFormatting>
  <conditionalFormatting sqref="A212">
    <cfRule type="duplicateValues" dxfId="126" priority="474"/>
  </conditionalFormatting>
  <conditionalFormatting sqref="A212">
    <cfRule type="duplicateValues" dxfId="125" priority="473"/>
  </conditionalFormatting>
  <conditionalFormatting sqref="A212:B212 D212">
    <cfRule type="duplicateValues" dxfId="124" priority="475"/>
  </conditionalFormatting>
  <conditionalFormatting sqref="A218">
    <cfRule type="duplicateValues" dxfId="123" priority="470"/>
  </conditionalFormatting>
  <conditionalFormatting sqref="A218">
    <cfRule type="duplicateValues" dxfId="122" priority="469"/>
  </conditionalFormatting>
  <conditionalFormatting sqref="A218">
    <cfRule type="duplicateValues" dxfId="121" priority="471"/>
  </conditionalFormatting>
  <conditionalFormatting sqref="A218">
    <cfRule type="duplicateValues" dxfId="120" priority="468"/>
  </conditionalFormatting>
  <conditionalFormatting sqref="A231">
    <cfRule type="duplicateValues" dxfId="119" priority="466"/>
  </conditionalFormatting>
  <conditionalFormatting sqref="A231">
    <cfRule type="duplicateValues" dxfId="118" priority="465"/>
  </conditionalFormatting>
  <conditionalFormatting sqref="A231">
    <cfRule type="duplicateValues" dxfId="117" priority="467"/>
  </conditionalFormatting>
  <conditionalFormatting sqref="A231">
    <cfRule type="duplicateValues" dxfId="116" priority="464"/>
  </conditionalFormatting>
  <conditionalFormatting sqref="A232">
    <cfRule type="duplicateValues" dxfId="115" priority="462"/>
  </conditionalFormatting>
  <conditionalFormatting sqref="A232">
    <cfRule type="duplicateValues" dxfId="114" priority="461"/>
  </conditionalFormatting>
  <conditionalFormatting sqref="A232">
    <cfRule type="duplicateValues" dxfId="113" priority="463"/>
  </conditionalFormatting>
  <conditionalFormatting sqref="A232">
    <cfRule type="duplicateValues" dxfId="112" priority="460"/>
  </conditionalFormatting>
  <conditionalFormatting sqref="A212">
    <cfRule type="duplicateValues" dxfId="111" priority="458"/>
  </conditionalFormatting>
  <conditionalFormatting sqref="A212">
    <cfRule type="duplicateValues" dxfId="110" priority="457"/>
  </conditionalFormatting>
  <conditionalFormatting sqref="A212">
    <cfRule type="duplicateValues" dxfId="109" priority="459"/>
  </conditionalFormatting>
  <conditionalFormatting sqref="A212">
    <cfRule type="duplicateValues" dxfId="108" priority="456"/>
  </conditionalFormatting>
  <conditionalFormatting sqref="A232">
    <cfRule type="duplicateValues" dxfId="107" priority="454"/>
  </conditionalFormatting>
  <conditionalFormatting sqref="A232">
    <cfRule type="duplicateValues" dxfId="106" priority="453"/>
  </conditionalFormatting>
  <conditionalFormatting sqref="A232">
    <cfRule type="duplicateValues" dxfId="105" priority="455"/>
  </conditionalFormatting>
  <conditionalFormatting sqref="A232">
    <cfRule type="duplicateValues" dxfId="104" priority="452"/>
  </conditionalFormatting>
  <conditionalFormatting sqref="A235">
    <cfRule type="duplicateValues" dxfId="103" priority="450"/>
  </conditionalFormatting>
  <conditionalFormatting sqref="A235">
    <cfRule type="duplicateValues" dxfId="102" priority="449"/>
  </conditionalFormatting>
  <conditionalFormatting sqref="A235">
    <cfRule type="duplicateValues" dxfId="101" priority="451"/>
  </conditionalFormatting>
  <conditionalFormatting sqref="A235">
    <cfRule type="duplicateValues" dxfId="100" priority="448"/>
  </conditionalFormatting>
  <conditionalFormatting sqref="A236">
    <cfRule type="duplicateValues" dxfId="99" priority="446"/>
  </conditionalFormatting>
  <conditionalFormatting sqref="A236">
    <cfRule type="duplicateValues" dxfId="98" priority="445"/>
  </conditionalFormatting>
  <conditionalFormatting sqref="A236">
    <cfRule type="duplicateValues" dxfId="97" priority="447"/>
  </conditionalFormatting>
  <conditionalFormatting sqref="A236">
    <cfRule type="duplicateValues" dxfId="96" priority="444"/>
  </conditionalFormatting>
  <conditionalFormatting sqref="A352">
    <cfRule type="duplicateValues" dxfId="95" priority="441"/>
  </conditionalFormatting>
  <conditionalFormatting sqref="A352">
    <cfRule type="duplicateValues" dxfId="94" priority="440"/>
  </conditionalFormatting>
  <conditionalFormatting sqref="A352:B352 D352">
    <cfRule type="duplicateValues" dxfId="93" priority="442"/>
  </conditionalFormatting>
  <conditionalFormatting sqref="A353">
    <cfRule type="duplicateValues" dxfId="92" priority="438"/>
  </conditionalFormatting>
  <conditionalFormatting sqref="A353">
    <cfRule type="duplicateValues" dxfId="91" priority="437"/>
  </conditionalFormatting>
  <conditionalFormatting sqref="A353:B353 D353">
    <cfRule type="duplicateValues" dxfId="90" priority="439"/>
  </conditionalFormatting>
  <conditionalFormatting sqref="A352:B353 D352:D353">
    <cfRule type="duplicateValues" dxfId="89" priority="436"/>
  </conditionalFormatting>
  <conditionalFormatting sqref="B352:B353 D352:D353">
    <cfRule type="duplicateValues" dxfId="88" priority="435"/>
  </conditionalFormatting>
  <conditionalFormatting sqref="A428">
    <cfRule type="duplicateValues" dxfId="87" priority="433"/>
  </conditionalFormatting>
  <conditionalFormatting sqref="A428">
    <cfRule type="duplicateValues" dxfId="86" priority="432"/>
  </conditionalFormatting>
  <conditionalFormatting sqref="A428:B428 D428">
    <cfRule type="duplicateValues" dxfId="85" priority="434"/>
  </conditionalFormatting>
  <conditionalFormatting sqref="A428">
    <cfRule type="duplicateValues" dxfId="84" priority="430"/>
  </conditionalFormatting>
  <conditionalFormatting sqref="A294">
    <cfRule type="duplicateValues" dxfId="83" priority="429"/>
  </conditionalFormatting>
  <conditionalFormatting sqref="A294">
    <cfRule type="duplicateValues" dxfId="82" priority="427"/>
  </conditionalFormatting>
  <conditionalFormatting sqref="B294:B299 D294:D299">
    <cfRule type="duplicateValues" dxfId="81" priority="428"/>
  </conditionalFormatting>
  <conditionalFormatting sqref="A370">
    <cfRule type="duplicateValues" dxfId="80" priority="425"/>
  </conditionalFormatting>
  <conditionalFormatting sqref="A370">
    <cfRule type="duplicateValues" dxfId="79" priority="424"/>
  </conditionalFormatting>
  <conditionalFormatting sqref="A370:B370 D370">
    <cfRule type="duplicateValues" dxfId="78" priority="426"/>
  </conditionalFormatting>
  <conditionalFormatting sqref="A370">
    <cfRule type="duplicateValues" dxfId="77" priority="422"/>
  </conditionalFormatting>
  <conditionalFormatting sqref="A42">
    <cfRule type="duplicateValues" dxfId="76" priority="420"/>
  </conditionalFormatting>
  <conditionalFormatting sqref="A42:B42 D42">
    <cfRule type="duplicateValues" dxfId="75" priority="421"/>
  </conditionalFormatting>
  <conditionalFormatting sqref="A41">
    <cfRule type="duplicateValues" dxfId="74" priority="415"/>
  </conditionalFormatting>
  <conditionalFormatting sqref="A41">
    <cfRule type="duplicateValues" dxfId="73" priority="414"/>
  </conditionalFormatting>
  <conditionalFormatting sqref="A41:B41 D41">
    <cfRule type="duplicateValues" dxfId="72" priority="416"/>
  </conditionalFormatting>
  <conditionalFormatting sqref="A41">
    <cfRule type="duplicateValues" dxfId="71" priority="412"/>
  </conditionalFormatting>
  <conditionalFormatting sqref="A361">
    <cfRule type="duplicateValues" dxfId="70" priority="405"/>
  </conditionalFormatting>
  <conditionalFormatting sqref="A361">
    <cfRule type="duplicateValues" dxfId="69" priority="404"/>
  </conditionalFormatting>
  <conditionalFormatting sqref="A361:B361 D361">
    <cfRule type="duplicateValues" dxfId="68" priority="406"/>
  </conditionalFormatting>
  <conditionalFormatting sqref="A361">
    <cfRule type="duplicateValues" dxfId="67" priority="402"/>
  </conditionalFormatting>
  <conditionalFormatting sqref="A187">
    <cfRule type="duplicateValues" dxfId="66" priority="395"/>
  </conditionalFormatting>
  <conditionalFormatting sqref="A187">
    <cfRule type="duplicateValues" dxfId="65" priority="394"/>
  </conditionalFormatting>
  <conditionalFormatting sqref="A187">
    <cfRule type="duplicateValues" dxfId="64" priority="396"/>
  </conditionalFormatting>
  <conditionalFormatting sqref="A187">
    <cfRule type="duplicateValues" dxfId="63" priority="393"/>
  </conditionalFormatting>
  <conditionalFormatting sqref="A187">
    <cfRule type="duplicateValues" dxfId="62" priority="392"/>
  </conditionalFormatting>
  <conditionalFormatting sqref="A188">
    <cfRule type="duplicateValues" dxfId="61" priority="390"/>
  </conditionalFormatting>
  <conditionalFormatting sqref="A188">
    <cfRule type="duplicateValues" dxfId="60" priority="389"/>
  </conditionalFormatting>
  <conditionalFormatting sqref="A188">
    <cfRule type="duplicateValues" dxfId="59" priority="391"/>
  </conditionalFormatting>
  <conditionalFormatting sqref="A188">
    <cfRule type="duplicateValues" dxfId="58" priority="388"/>
  </conditionalFormatting>
  <conditionalFormatting sqref="A188">
    <cfRule type="duplicateValues" dxfId="57" priority="387"/>
  </conditionalFormatting>
  <conditionalFormatting sqref="A183">
    <cfRule type="duplicateValues" dxfId="56" priority="385"/>
  </conditionalFormatting>
  <conditionalFormatting sqref="A183">
    <cfRule type="duplicateValues" dxfId="55" priority="384"/>
  </conditionalFormatting>
  <conditionalFormatting sqref="A183">
    <cfRule type="duplicateValues" dxfId="54" priority="386"/>
  </conditionalFormatting>
  <conditionalFormatting sqref="A183">
    <cfRule type="duplicateValues" dxfId="53" priority="383"/>
  </conditionalFormatting>
  <conditionalFormatting sqref="A183">
    <cfRule type="duplicateValues" dxfId="52" priority="382"/>
  </conditionalFormatting>
  <conditionalFormatting sqref="A184">
    <cfRule type="duplicateValues" dxfId="51" priority="380"/>
  </conditionalFormatting>
  <conditionalFormatting sqref="A184">
    <cfRule type="duplicateValues" dxfId="50" priority="379"/>
  </conditionalFormatting>
  <conditionalFormatting sqref="A184">
    <cfRule type="duplicateValues" dxfId="49" priority="381"/>
  </conditionalFormatting>
  <conditionalFormatting sqref="A184">
    <cfRule type="duplicateValues" dxfId="48" priority="378"/>
  </conditionalFormatting>
  <conditionalFormatting sqref="A184">
    <cfRule type="duplicateValues" dxfId="47" priority="377"/>
  </conditionalFormatting>
  <conditionalFormatting sqref="A185">
    <cfRule type="duplicateValues" dxfId="46" priority="375"/>
  </conditionalFormatting>
  <conditionalFormatting sqref="A185">
    <cfRule type="duplicateValues" dxfId="45" priority="374"/>
  </conditionalFormatting>
  <conditionalFormatting sqref="A185">
    <cfRule type="duplicateValues" dxfId="44" priority="376"/>
  </conditionalFormatting>
  <conditionalFormatting sqref="A185">
    <cfRule type="duplicateValues" dxfId="43" priority="373"/>
  </conditionalFormatting>
  <conditionalFormatting sqref="A185">
    <cfRule type="duplicateValues" dxfId="42" priority="372"/>
  </conditionalFormatting>
  <conditionalFormatting sqref="A186">
    <cfRule type="duplicateValues" dxfId="41" priority="370"/>
  </conditionalFormatting>
  <conditionalFormatting sqref="A186">
    <cfRule type="duplicateValues" dxfId="40" priority="369"/>
  </conditionalFormatting>
  <conditionalFormatting sqref="A186">
    <cfRule type="duplicateValues" dxfId="39" priority="371"/>
  </conditionalFormatting>
  <conditionalFormatting sqref="A186">
    <cfRule type="duplicateValues" dxfId="38" priority="368"/>
  </conditionalFormatting>
  <conditionalFormatting sqref="A186">
    <cfRule type="duplicateValues" dxfId="37" priority="367"/>
  </conditionalFormatting>
  <conditionalFormatting sqref="A234">
    <cfRule type="duplicateValues" dxfId="36" priority="365"/>
  </conditionalFormatting>
  <conditionalFormatting sqref="A373">
    <cfRule type="duplicateValues" dxfId="35" priority="356"/>
  </conditionalFormatting>
  <conditionalFormatting sqref="A373">
    <cfRule type="duplicateValues" dxfId="34" priority="355"/>
  </conditionalFormatting>
  <conditionalFormatting sqref="A373:B373 D373">
    <cfRule type="duplicateValues" dxfId="33" priority="357"/>
  </conditionalFormatting>
  <conditionalFormatting sqref="A373">
    <cfRule type="duplicateValues" dxfId="32" priority="353"/>
  </conditionalFormatting>
  <conditionalFormatting sqref="A148">
    <cfRule type="duplicateValues" dxfId="31" priority="37"/>
  </conditionalFormatting>
  <conditionalFormatting sqref="A148">
    <cfRule type="duplicateValues" dxfId="30" priority="36"/>
  </conditionalFormatting>
  <conditionalFormatting sqref="A148:B148 D148">
    <cfRule type="duplicateValues" dxfId="29" priority="38"/>
  </conditionalFormatting>
  <conditionalFormatting sqref="A148:B148">
    <cfRule type="duplicateValues" dxfId="28" priority="35"/>
  </conditionalFormatting>
  <conditionalFormatting sqref="A148">
    <cfRule type="duplicateValues" dxfId="27" priority="34"/>
  </conditionalFormatting>
  <conditionalFormatting sqref="A148">
    <cfRule type="duplicateValues" dxfId="26" priority="39" stopIfTrue="1"/>
  </conditionalFormatting>
  <conditionalFormatting sqref="D121">
    <cfRule type="duplicateValues" dxfId="25" priority="20"/>
  </conditionalFormatting>
  <conditionalFormatting sqref="A121">
    <cfRule type="duplicateValues" dxfId="24" priority="18"/>
  </conditionalFormatting>
  <conditionalFormatting sqref="A121">
    <cfRule type="duplicateValues" dxfId="23" priority="21" stopIfTrue="1"/>
  </conditionalFormatting>
  <conditionalFormatting sqref="D121">
    <cfRule type="duplicateValues" dxfId="22" priority="22" stopIfTrue="1"/>
  </conditionalFormatting>
  <conditionalFormatting sqref="D164:D170 D143:D147">
    <cfRule type="duplicateValues" dxfId="21" priority="2416"/>
  </conditionalFormatting>
  <conditionalFormatting sqref="D105:D120 A295:A326 D2:E2 A2:C3 D122:D326 D328:D437 D3:D103 A237:B293 A43:B103 A105:B108 A328:B351 A111:B117 A233:B233 A219:B230 A213:B216 A189:B211 A149:B179 A125:B147 A374:B427 B300:B326 A362:B369 A371:B372 A354:B360 A429:B437 A4:B40 C4:C437">
    <cfRule type="duplicateValues" dxfId="20" priority="2683"/>
  </conditionalFormatting>
  <conditionalFormatting sqref="D105:D120 A295:A319 A38:A40 D122:D326 D328:D437 D3:D103 A3:A36 A237:B269 A43:B64 A105:B108 A328:B338 B3:C3 A125:B139 A66:B103 A149:B162 A141:B141 A233:B233 A227:B230 A189:B211 A164:B179 A275:B293 A374:B408 A418:B427 B300:B319 A371:B372 A364:B369 A340:B340 A321:B326 A271:B273 A113:B117 A219:B221 A213:B216 A412:B414 A429:B437 B4:B40 C4:C437">
    <cfRule type="duplicateValues" dxfId="19" priority="2698"/>
  </conditionalFormatting>
  <conditionalFormatting sqref="D328:D437 D122:D326 D3:D103 D105:D120">
    <cfRule type="duplicateValues" dxfId="18" priority="2757" stopIfTrue="1"/>
  </conditionalFormatting>
  <conditionalFormatting sqref="A327">
    <cfRule type="duplicateValues" dxfId="17" priority="8"/>
  </conditionalFormatting>
  <conditionalFormatting sqref="A327:B327 D327">
    <cfRule type="duplicateValues" dxfId="16" priority="9"/>
  </conditionalFormatting>
  <conditionalFormatting sqref="A327:B327">
    <cfRule type="duplicateValues" dxfId="15" priority="10"/>
  </conditionalFormatting>
  <conditionalFormatting sqref="A327">
    <cfRule type="duplicateValues" dxfId="14" priority="11"/>
  </conditionalFormatting>
  <conditionalFormatting sqref="A327">
    <cfRule type="duplicateValues" dxfId="13" priority="12"/>
  </conditionalFormatting>
  <conditionalFormatting sqref="D327">
    <cfRule type="duplicateValues" dxfId="12" priority="13" stopIfTrue="1"/>
  </conditionalFormatting>
  <conditionalFormatting sqref="A327">
    <cfRule type="duplicateValues" dxfId="11" priority="14" stopIfTrue="1"/>
  </conditionalFormatting>
  <conditionalFormatting sqref="A104">
    <cfRule type="duplicateValues" dxfId="10" priority="1"/>
  </conditionalFormatting>
  <conditionalFormatting sqref="A104:B104 D104">
    <cfRule type="duplicateValues" dxfId="9" priority="2"/>
  </conditionalFormatting>
  <conditionalFormatting sqref="A104:B104">
    <cfRule type="duplicateValues" dxfId="8" priority="3"/>
  </conditionalFormatting>
  <conditionalFormatting sqref="A104">
    <cfRule type="duplicateValues" dxfId="7" priority="4"/>
  </conditionalFormatting>
  <conditionalFormatting sqref="A104">
    <cfRule type="duplicateValues" dxfId="6" priority="5"/>
  </conditionalFormatting>
  <conditionalFormatting sqref="D104">
    <cfRule type="duplicateValues" dxfId="5" priority="6" stopIfTrue="1"/>
  </conditionalFormatting>
  <conditionalFormatting sqref="A104">
    <cfRule type="duplicateValues" dxfId="4" priority="7" stopIfTrue="1"/>
  </conditionalFormatting>
  <conditionalFormatting sqref="A429:A437 A354:A360 A371:A372 A362:A369 A295:A326 A374:A427 A43:A103 A122:A147 A189:A233 A149:A182 A328:A351 A105:A120 A235:A293 A2:A40">
    <cfRule type="duplicateValues" dxfId="3" priority="2870"/>
  </conditionalFormatting>
  <conditionalFormatting sqref="A429:A437 A412:A414 A213:A216 A219:A221 A113:A117 A321:A326 A271:A273 A66:A73 A275:A293 A340 A364:A369 A371:A372 A295:A319 A418:A427 A374:A408 A164:A179 A189:A211 A227:A230 A233 A149:A162 A141 A75:A103 A125:A139 A43:A50 A38:A40 A52:A64 A328:A338 A105:A108 A237:A269 A2:A36">
    <cfRule type="duplicateValues" dxfId="2" priority="2988"/>
  </conditionalFormatting>
  <conditionalFormatting sqref="A429:A437 A340 A364:A369 A371:A372 A295:A326 A418:A427 A374:A416 A125:A147 A149:A179 A189:A211 A213:A216 A219:A230 A233 A43:A103 A111:A117 A328:A338 A105:A108 A237:A293 A2:A40">
    <cfRule type="duplicateValues" dxfId="1" priority="3019"/>
  </conditionalFormatting>
  <conditionalFormatting sqref="A328:A437 A122:A147 A105:A120 A149:A326 A2:A103">
    <cfRule type="duplicateValues" dxfId="0" priority="3042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51"/>
  <sheetViews>
    <sheetView topLeftCell="A428" workbookViewId="0">
      <selection activeCell="G443" sqref="G443"/>
    </sheetView>
  </sheetViews>
  <sheetFormatPr defaultRowHeight="15.75"/>
  <sheetData>
    <row r="2" spans="2:3" ht="26.25">
      <c r="B2" s="289" t="s">
        <v>1431</v>
      </c>
      <c r="C2" t="str">
        <f>"INSERT INTO ObjectData(ObjectType,ObjectCode,ObjectName,[Active])VALUES('Account','"&amp;B2&amp;"','"&amp;B2&amp;"',1)"</f>
        <v>INSERT INTO ObjectData(ObjectType,ObjectCode,ObjectName,[Active])VALUES('Account','Co.op/Xtra','Co.op/Xtra',1)</v>
      </c>
    </row>
    <row r="3" spans="2:3">
      <c r="B3" s="289" t="s">
        <v>1432</v>
      </c>
      <c r="C3" t="str">
        <f t="shared" ref="C3:C12" si="0">"INSERT INTO ObjectData(ObjectType,ObjectCode,ObjectName,[Active])VALUES('Account','"&amp;B3&amp;"','"&amp;B3&amp;"',1)"</f>
        <v>INSERT INTO ObjectData(ObjectType,ObjectCode,ObjectName,[Active])VALUES('Account','Mega','Mega',1)</v>
      </c>
    </row>
    <row r="4" spans="2:3">
      <c r="B4" s="289" t="s">
        <v>1433</v>
      </c>
      <c r="C4" t="str">
        <f t="shared" si="0"/>
        <v>INSERT INTO ObjectData(ObjectType,ObjectCode,ObjectName,[Active])VALUES('Account','Emart','Emart',1)</v>
      </c>
    </row>
    <row r="5" spans="2:3">
      <c r="B5" s="289" t="s">
        <v>1434</v>
      </c>
      <c r="C5" t="str">
        <f t="shared" si="0"/>
        <v>INSERT INTO ObjectData(ObjectType,ObjectCode,ObjectName,[Active])VALUES('Account','Aeon','Aeon',1)</v>
      </c>
    </row>
    <row r="6" spans="2:3">
      <c r="B6" s="289" t="s">
        <v>1435</v>
      </c>
      <c r="C6" t="str">
        <f t="shared" si="0"/>
        <v>INSERT INTO ObjectData(ObjectType,ObjectCode,ObjectName,[Active])VALUES('Account','Lotte','Lotte',1)</v>
      </c>
    </row>
    <row r="7" spans="2:3">
      <c r="B7" s="289" t="s">
        <v>1436</v>
      </c>
      <c r="C7" t="str">
        <f t="shared" si="0"/>
        <v>INSERT INTO ObjectData(ObjectType,ObjectCode,ObjectName,[Active])VALUES('Account','Lan Chi','Lan Chi',1)</v>
      </c>
    </row>
    <row r="8" spans="2:3" ht="26.25">
      <c r="B8" s="289" t="s">
        <v>1437</v>
      </c>
      <c r="C8" t="str">
        <f t="shared" si="0"/>
        <v>INSERT INTO ObjectData(ObjectType,ObjectCode,ObjectName,[Active])VALUES('Account','Cao Phong','Cao Phong',1)</v>
      </c>
    </row>
    <row r="9" spans="2:3" ht="26.25">
      <c r="B9" s="289" t="s">
        <v>1438</v>
      </c>
      <c r="C9" t="str">
        <f t="shared" si="0"/>
        <v>INSERT INTO ObjectData(ObjectType,ObjectCode,ObjectName,[Active])VALUES('Account','Nguyễn Kim','Nguyễn Kim',1)</v>
      </c>
    </row>
    <row r="10" spans="2:3">
      <c r="B10" s="289" t="s">
        <v>1439</v>
      </c>
      <c r="C10" t="str">
        <f t="shared" si="0"/>
        <v>INSERT INTO ObjectData(ObjectType,ObjectCode,ObjectName,[Active])VALUES('Account','DMX','DMX',1)</v>
      </c>
    </row>
    <row r="11" spans="2:3">
      <c r="B11" s="289" t="s">
        <v>1440</v>
      </c>
      <c r="C11" t="str">
        <f t="shared" si="0"/>
        <v>INSERT INTO ObjectData(ObjectType,ObjectCode,ObjectName,[Active])VALUES('Account','Pico','Pico',1)</v>
      </c>
    </row>
    <row r="12" spans="2:3" ht="26.25">
      <c r="B12" s="289" t="s">
        <v>1441</v>
      </c>
      <c r="C12" t="str">
        <f t="shared" si="0"/>
        <v>INSERT INTO ObjectData(ObjectType,ObjectCode,ObjectName,[Active])VALUES('Account','GT-Long Bình','GT-Long Bình',1)</v>
      </c>
    </row>
    <row r="15" spans="2:3">
      <c r="B15" t="s">
        <v>1504</v>
      </c>
      <c r="C15">
        <v>-1</v>
      </c>
    </row>
    <row r="16" spans="2:3">
      <c r="B16" t="s">
        <v>1505</v>
      </c>
      <c r="C16">
        <v>0</v>
      </c>
    </row>
    <row r="17" spans="2:3">
      <c r="B17" t="s">
        <v>131</v>
      </c>
      <c r="C17">
        <v>1</v>
      </c>
    </row>
    <row r="18" spans="2:3">
      <c r="B18" t="s">
        <v>132</v>
      </c>
      <c r="C18">
        <v>2</v>
      </c>
    </row>
    <row r="19" spans="2:3">
      <c r="B19" t="s">
        <v>613</v>
      </c>
      <c r="C19">
        <v>3</v>
      </c>
    </row>
    <row r="20" spans="2:3">
      <c r="B20" t="s">
        <v>610</v>
      </c>
      <c r="C20">
        <v>4</v>
      </c>
    </row>
    <row r="21" spans="2:3">
      <c r="B21" t="s">
        <v>743</v>
      </c>
      <c r="C21">
        <v>5</v>
      </c>
    </row>
    <row r="22" spans="2:3">
      <c r="B22" t="s">
        <v>736</v>
      </c>
      <c r="C22">
        <v>6</v>
      </c>
    </row>
    <row r="23" spans="2:3">
      <c r="B23" t="s">
        <v>731</v>
      </c>
      <c r="C23">
        <v>7</v>
      </c>
    </row>
    <row r="24" spans="2:3">
      <c r="B24" t="s">
        <v>539</v>
      </c>
      <c r="C24">
        <v>8</v>
      </c>
    </row>
    <row r="25" spans="2:3">
      <c r="B25" t="s">
        <v>540</v>
      </c>
      <c r="C25">
        <v>9</v>
      </c>
    </row>
    <row r="26" spans="2:3">
      <c r="B26" t="s">
        <v>741</v>
      </c>
      <c r="C26">
        <v>10</v>
      </c>
    </row>
    <row r="27" spans="2:3">
      <c r="B27" t="s">
        <v>742</v>
      </c>
      <c r="C27">
        <v>11</v>
      </c>
    </row>
    <row r="28" spans="2:3">
      <c r="B28" t="s">
        <v>732</v>
      </c>
      <c r="C28">
        <v>12</v>
      </c>
    </row>
    <row r="29" spans="2:3">
      <c r="B29" t="s">
        <v>740</v>
      </c>
      <c r="C29">
        <v>13</v>
      </c>
    </row>
    <row r="30" spans="2:3">
      <c r="B30" t="s">
        <v>733</v>
      </c>
      <c r="C30">
        <v>14</v>
      </c>
    </row>
    <row r="31" spans="2:3">
      <c r="B31" t="s">
        <v>735</v>
      </c>
      <c r="C31">
        <v>15</v>
      </c>
    </row>
    <row r="32" spans="2:3">
      <c r="B32" t="s">
        <v>734</v>
      </c>
      <c r="C32">
        <v>16</v>
      </c>
    </row>
    <row r="33" spans="2:3">
      <c r="B33" t="s">
        <v>737</v>
      </c>
      <c r="C33">
        <v>17</v>
      </c>
    </row>
    <row r="34" spans="2:3">
      <c r="B34" t="s">
        <v>738</v>
      </c>
      <c r="C34">
        <v>18</v>
      </c>
    </row>
    <row r="35" spans="2:3">
      <c r="B35" t="s">
        <v>739</v>
      </c>
      <c r="C35">
        <v>19</v>
      </c>
    </row>
    <row r="36" spans="2:3">
      <c r="B36" t="s">
        <v>1383</v>
      </c>
      <c r="C36">
        <v>20</v>
      </c>
    </row>
    <row r="37" spans="2:3">
      <c r="B37" t="s">
        <v>122</v>
      </c>
      <c r="C37">
        <v>21</v>
      </c>
    </row>
    <row r="38" spans="2:3">
      <c r="B38" t="s">
        <v>538</v>
      </c>
      <c r="C38">
        <v>22</v>
      </c>
    </row>
    <row r="39" spans="2:3">
      <c r="B39" t="s">
        <v>453</v>
      </c>
      <c r="C39">
        <v>23</v>
      </c>
    </row>
    <row r="40" spans="2:3">
      <c r="B40" t="s">
        <v>717</v>
      </c>
      <c r="C40">
        <v>24</v>
      </c>
    </row>
    <row r="41" spans="2:3">
      <c r="B41" t="s">
        <v>720</v>
      </c>
      <c r="C41">
        <v>25</v>
      </c>
    </row>
    <row r="42" spans="2:3">
      <c r="B42" t="s">
        <v>719</v>
      </c>
      <c r="C42">
        <v>26</v>
      </c>
    </row>
    <row r="43" spans="2:3">
      <c r="B43" t="s">
        <v>718</v>
      </c>
      <c r="C43">
        <v>27</v>
      </c>
    </row>
    <row r="44" spans="2:3">
      <c r="B44" t="s">
        <v>435</v>
      </c>
      <c r="C44">
        <v>28</v>
      </c>
    </row>
    <row r="45" spans="2:3">
      <c r="B45" t="s">
        <v>716</v>
      </c>
      <c r="C45">
        <v>29</v>
      </c>
    </row>
    <row r="46" spans="2:3">
      <c r="B46" t="s">
        <v>721</v>
      </c>
      <c r="C46">
        <v>30</v>
      </c>
    </row>
    <row r="47" spans="2:3">
      <c r="B47" t="s">
        <v>722</v>
      </c>
      <c r="C47">
        <v>31</v>
      </c>
    </row>
    <row r="48" spans="2:3">
      <c r="B48" t="s">
        <v>724</v>
      </c>
      <c r="C48">
        <v>32</v>
      </c>
    </row>
    <row r="49" spans="2:3">
      <c r="B49" t="s">
        <v>723</v>
      </c>
      <c r="C49">
        <v>33</v>
      </c>
    </row>
    <row r="50" spans="2:3">
      <c r="B50" t="s">
        <v>725</v>
      </c>
      <c r="C50">
        <v>34</v>
      </c>
    </row>
    <row r="51" spans="2:3">
      <c r="B51" t="s">
        <v>726</v>
      </c>
      <c r="C51">
        <v>35</v>
      </c>
    </row>
    <row r="52" spans="2:3">
      <c r="B52" t="s">
        <v>729</v>
      </c>
      <c r="C52">
        <v>36</v>
      </c>
    </row>
    <row r="53" spans="2:3">
      <c r="B53" t="s">
        <v>727</v>
      </c>
      <c r="C53">
        <v>37</v>
      </c>
    </row>
    <row r="54" spans="2:3">
      <c r="B54" t="s">
        <v>952</v>
      </c>
      <c r="C54">
        <v>38</v>
      </c>
    </row>
    <row r="55" spans="2:3">
      <c r="B55" t="s">
        <v>730</v>
      </c>
      <c r="C55">
        <v>39</v>
      </c>
    </row>
    <row r="56" spans="2:3">
      <c r="B56" t="s">
        <v>728</v>
      </c>
      <c r="C56">
        <v>40</v>
      </c>
    </row>
    <row r="57" spans="2:3">
      <c r="B57" t="s">
        <v>414</v>
      </c>
      <c r="C57">
        <v>41</v>
      </c>
    </row>
    <row r="58" spans="2:3">
      <c r="B58" t="s">
        <v>415</v>
      </c>
      <c r="C58">
        <v>42</v>
      </c>
    </row>
    <row r="59" spans="2:3">
      <c r="B59" t="s">
        <v>417</v>
      </c>
      <c r="C59">
        <v>43</v>
      </c>
    </row>
    <row r="60" spans="2:3">
      <c r="B60" t="s">
        <v>416</v>
      </c>
      <c r="C60">
        <v>44</v>
      </c>
    </row>
    <row r="61" spans="2:3">
      <c r="B61" t="s">
        <v>468</v>
      </c>
      <c r="C61">
        <v>45</v>
      </c>
    </row>
    <row r="62" spans="2:3">
      <c r="B62" t="s">
        <v>470</v>
      </c>
      <c r="C62">
        <v>46</v>
      </c>
    </row>
    <row r="63" spans="2:3">
      <c r="B63" t="s">
        <v>412</v>
      </c>
      <c r="C63">
        <v>47</v>
      </c>
    </row>
    <row r="64" spans="2:3">
      <c r="B64" t="s">
        <v>413</v>
      </c>
      <c r="C64">
        <v>48</v>
      </c>
    </row>
    <row r="65" spans="2:3">
      <c r="B65" t="s">
        <v>636</v>
      </c>
      <c r="C65">
        <v>49</v>
      </c>
    </row>
    <row r="66" spans="2:3">
      <c r="B66" t="s">
        <v>637</v>
      </c>
      <c r="C66">
        <v>50</v>
      </c>
    </row>
    <row r="67" spans="2:3">
      <c r="B67" t="s">
        <v>472</v>
      </c>
      <c r="C67">
        <v>51</v>
      </c>
    </row>
    <row r="68" spans="2:3">
      <c r="B68" t="s">
        <v>473</v>
      </c>
      <c r="C68">
        <v>52</v>
      </c>
    </row>
    <row r="69" spans="2:3">
      <c r="B69" t="s">
        <v>474</v>
      </c>
      <c r="C69">
        <v>53</v>
      </c>
    </row>
    <row r="70" spans="2:3">
      <c r="B70" t="s">
        <v>625</v>
      </c>
      <c r="C70">
        <v>54</v>
      </c>
    </row>
    <row r="71" spans="2:3">
      <c r="B71" t="s">
        <v>626</v>
      </c>
      <c r="C71">
        <v>55</v>
      </c>
    </row>
    <row r="72" spans="2:3">
      <c r="B72" t="s">
        <v>627</v>
      </c>
      <c r="C72">
        <v>56</v>
      </c>
    </row>
    <row r="73" spans="2:3">
      <c r="B73" t="s">
        <v>628</v>
      </c>
      <c r="C73">
        <v>57</v>
      </c>
    </row>
    <row r="74" spans="2:3">
      <c r="B74" t="s">
        <v>405</v>
      </c>
      <c r="C74">
        <v>58</v>
      </c>
    </row>
    <row r="75" spans="2:3">
      <c r="B75" t="s">
        <v>407</v>
      </c>
      <c r="C75">
        <v>59</v>
      </c>
    </row>
    <row r="76" spans="2:3">
      <c r="B76" t="s">
        <v>408</v>
      </c>
      <c r="C76">
        <v>60</v>
      </c>
    </row>
    <row r="77" spans="2:3">
      <c r="B77" t="s">
        <v>409</v>
      </c>
      <c r="C77">
        <v>61</v>
      </c>
    </row>
    <row r="78" spans="2:3">
      <c r="B78" t="s">
        <v>410</v>
      </c>
      <c r="C78">
        <v>62</v>
      </c>
    </row>
    <row r="79" spans="2:3">
      <c r="B79" t="s">
        <v>465</v>
      </c>
      <c r="C79">
        <v>63</v>
      </c>
    </row>
    <row r="80" spans="2:3">
      <c r="B80" t="s">
        <v>466</v>
      </c>
      <c r="C80">
        <v>64</v>
      </c>
    </row>
    <row r="81" spans="2:3">
      <c r="B81" t="s">
        <v>398</v>
      </c>
      <c r="C81">
        <v>65</v>
      </c>
    </row>
    <row r="82" spans="2:3">
      <c r="B82" t="s">
        <v>399</v>
      </c>
      <c r="C82">
        <v>66</v>
      </c>
    </row>
    <row r="83" spans="2:3">
      <c r="B83" t="s">
        <v>400</v>
      </c>
      <c r="C83">
        <v>67</v>
      </c>
    </row>
    <row r="84" spans="2:3">
      <c r="B84" t="s">
        <v>401</v>
      </c>
      <c r="C84">
        <v>68</v>
      </c>
    </row>
    <row r="85" spans="2:3">
      <c r="B85" t="s">
        <v>402</v>
      </c>
      <c r="C85">
        <v>69</v>
      </c>
    </row>
    <row r="86" spans="2:3">
      <c r="B86" t="s">
        <v>640</v>
      </c>
      <c r="C86">
        <v>70</v>
      </c>
    </row>
    <row r="87" spans="2:3">
      <c r="B87" t="s">
        <v>641</v>
      </c>
      <c r="C87">
        <v>71</v>
      </c>
    </row>
    <row r="88" spans="2:3">
      <c r="B88" t="s">
        <v>642</v>
      </c>
      <c r="C88">
        <v>72</v>
      </c>
    </row>
    <row r="89" spans="2:3">
      <c r="B89" t="s">
        <v>638</v>
      </c>
      <c r="C89">
        <v>73</v>
      </c>
    </row>
    <row r="90" spans="2:3">
      <c r="B90" t="s">
        <v>639</v>
      </c>
      <c r="C90">
        <v>74</v>
      </c>
    </row>
    <row r="91" spans="2:3">
      <c r="B91" t="s">
        <v>457</v>
      </c>
      <c r="C91">
        <v>75</v>
      </c>
    </row>
    <row r="92" spans="2:3">
      <c r="B92" t="s">
        <v>458</v>
      </c>
      <c r="C92">
        <v>76</v>
      </c>
    </row>
    <row r="93" spans="2:3">
      <c r="B93" t="s">
        <v>459</v>
      </c>
      <c r="C93">
        <v>77</v>
      </c>
    </row>
    <row r="94" spans="2:3">
      <c r="B94" t="s">
        <v>467</v>
      </c>
      <c r="C94">
        <v>78</v>
      </c>
    </row>
    <row r="95" spans="2:3">
      <c r="B95" t="s">
        <v>444</v>
      </c>
      <c r="C95">
        <v>79</v>
      </c>
    </row>
    <row r="96" spans="2:3">
      <c r="B96" t="s">
        <v>445</v>
      </c>
      <c r="C96">
        <v>80</v>
      </c>
    </row>
    <row r="97" spans="2:3">
      <c r="B97" t="s">
        <v>446</v>
      </c>
      <c r="C97">
        <v>81</v>
      </c>
    </row>
    <row r="98" spans="2:3">
      <c r="B98" t="s">
        <v>744</v>
      </c>
      <c r="C98">
        <v>82</v>
      </c>
    </row>
    <row r="99" spans="2:3">
      <c r="B99" t="s">
        <v>745</v>
      </c>
      <c r="C99">
        <v>83</v>
      </c>
    </row>
    <row r="100" spans="2:3">
      <c r="B100" t="s">
        <v>746</v>
      </c>
      <c r="C100">
        <v>84</v>
      </c>
    </row>
    <row r="101" spans="2:3">
      <c r="B101" t="s">
        <v>747</v>
      </c>
      <c r="C101">
        <v>85</v>
      </c>
    </row>
    <row r="102" spans="2:3">
      <c r="B102" t="s">
        <v>748</v>
      </c>
      <c r="C102">
        <v>86</v>
      </c>
    </row>
    <row r="103" spans="2:3">
      <c r="B103" t="s">
        <v>749</v>
      </c>
      <c r="C103">
        <v>87</v>
      </c>
    </row>
    <row r="104" spans="2:3">
      <c r="B104" t="s">
        <v>529</v>
      </c>
      <c r="C104">
        <v>88</v>
      </c>
    </row>
    <row r="105" spans="2:3">
      <c r="B105" t="s">
        <v>517</v>
      </c>
      <c r="C105">
        <v>89</v>
      </c>
    </row>
    <row r="106" spans="2:3">
      <c r="B106" t="s">
        <v>1412</v>
      </c>
      <c r="C106">
        <v>90</v>
      </c>
    </row>
    <row r="107" spans="2:3">
      <c r="B107" t="s">
        <v>360</v>
      </c>
      <c r="C107">
        <v>91</v>
      </c>
    </row>
    <row r="108" spans="2:3">
      <c r="B108" t="s">
        <v>1342</v>
      </c>
      <c r="C108">
        <v>92</v>
      </c>
    </row>
    <row r="109" spans="2:3">
      <c r="B109" t="s">
        <v>753</v>
      </c>
      <c r="C109">
        <v>93</v>
      </c>
    </row>
    <row r="110" spans="2:3">
      <c r="B110" t="s">
        <v>750</v>
      </c>
      <c r="C110">
        <v>94</v>
      </c>
    </row>
    <row r="111" spans="2:3">
      <c r="B111" t="s">
        <v>752</v>
      </c>
      <c r="C111">
        <v>95</v>
      </c>
    </row>
    <row r="112" spans="2:3">
      <c r="B112" t="s">
        <v>751</v>
      </c>
      <c r="C112">
        <v>96</v>
      </c>
    </row>
    <row r="113" spans="2:3">
      <c r="B113" t="s">
        <v>368</v>
      </c>
      <c r="C113">
        <v>97</v>
      </c>
    </row>
    <row r="114" spans="2:3">
      <c r="B114" t="s">
        <v>950</v>
      </c>
      <c r="C114">
        <v>98</v>
      </c>
    </row>
    <row r="115" spans="2:3">
      <c r="B115" t="s">
        <v>447</v>
      </c>
      <c r="C115">
        <v>99</v>
      </c>
    </row>
    <row r="116" spans="2:3">
      <c r="B116" t="s">
        <v>448</v>
      </c>
      <c r="C116">
        <v>100</v>
      </c>
    </row>
    <row r="117" spans="2:3">
      <c r="B117" t="s">
        <v>442</v>
      </c>
      <c r="C117">
        <v>101</v>
      </c>
    </row>
    <row r="118" spans="2:3">
      <c r="B118" t="s">
        <v>450</v>
      </c>
      <c r="C118">
        <v>102</v>
      </c>
    </row>
    <row r="119" spans="2:3">
      <c r="B119" t="s">
        <v>449</v>
      </c>
      <c r="C119">
        <v>103</v>
      </c>
    </row>
    <row r="120" spans="2:3">
      <c r="B120" t="s">
        <v>527</v>
      </c>
      <c r="C120">
        <v>104</v>
      </c>
    </row>
    <row r="121" spans="2:3">
      <c r="B121" t="s">
        <v>366</v>
      </c>
      <c r="C121">
        <v>105</v>
      </c>
    </row>
    <row r="122" spans="2:3">
      <c r="B122" t="s">
        <v>645</v>
      </c>
      <c r="C122">
        <v>106</v>
      </c>
    </row>
    <row r="123" spans="2:3">
      <c r="B123" t="s">
        <v>528</v>
      </c>
      <c r="C123">
        <v>107</v>
      </c>
    </row>
    <row r="124" spans="2:3">
      <c r="B124" t="s">
        <v>602</v>
      </c>
      <c r="C124">
        <v>108</v>
      </c>
    </row>
    <row r="125" spans="2:3">
      <c r="B125" t="s">
        <v>352</v>
      </c>
      <c r="C125">
        <v>109</v>
      </c>
    </row>
    <row r="126" spans="2:3">
      <c r="B126" t="s">
        <v>351</v>
      </c>
      <c r="C126">
        <v>110</v>
      </c>
    </row>
    <row r="127" spans="2:3">
      <c r="B127" t="s">
        <v>600</v>
      </c>
      <c r="C127">
        <v>111</v>
      </c>
    </row>
    <row r="128" spans="2:3">
      <c r="B128" t="s">
        <v>438</v>
      </c>
      <c r="C128">
        <v>112</v>
      </c>
    </row>
    <row r="129" spans="2:3">
      <c r="B129" t="s">
        <v>350</v>
      </c>
      <c r="C129">
        <v>113</v>
      </c>
    </row>
    <row r="130" spans="2:3">
      <c r="B130" t="s">
        <v>349</v>
      </c>
      <c r="C130">
        <v>114</v>
      </c>
    </row>
    <row r="131" spans="2:3">
      <c r="B131" t="s">
        <v>565</v>
      </c>
      <c r="C131">
        <v>115</v>
      </c>
    </row>
    <row r="132" spans="2:3">
      <c r="B132" t="s">
        <v>761</v>
      </c>
      <c r="C132">
        <v>116</v>
      </c>
    </row>
    <row r="133" spans="2:3">
      <c r="B133" t="s">
        <v>762</v>
      </c>
      <c r="C133">
        <v>117</v>
      </c>
    </row>
    <row r="134" spans="2:3">
      <c r="B134" t="s">
        <v>348</v>
      </c>
      <c r="C134">
        <v>118</v>
      </c>
    </row>
    <row r="135" spans="2:3">
      <c r="B135" t="s">
        <v>347</v>
      </c>
      <c r="C135">
        <v>119</v>
      </c>
    </row>
    <row r="136" spans="2:3">
      <c r="B136" t="s">
        <v>346</v>
      </c>
      <c r="C136">
        <v>120</v>
      </c>
    </row>
    <row r="137" spans="2:3">
      <c r="B137" t="s">
        <v>439</v>
      </c>
      <c r="C137">
        <v>121</v>
      </c>
    </row>
    <row r="138" spans="2:3">
      <c r="B138" t="s">
        <v>440</v>
      </c>
      <c r="C138">
        <v>122</v>
      </c>
    </row>
    <row r="139" spans="2:3">
      <c r="B139" t="s">
        <v>1405</v>
      </c>
      <c r="C139">
        <v>123</v>
      </c>
    </row>
    <row r="140" spans="2:3">
      <c r="B140" t="s">
        <v>345</v>
      </c>
      <c r="C140">
        <v>124</v>
      </c>
    </row>
    <row r="141" spans="2:3">
      <c r="B141" t="s">
        <v>441</v>
      </c>
      <c r="C141">
        <v>125</v>
      </c>
    </row>
    <row r="142" spans="2:3">
      <c r="B142" t="s">
        <v>1402</v>
      </c>
      <c r="C142">
        <v>126</v>
      </c>
    </row>
    <row r="143" spans="2:3">
      <c r="B143" t="s">
        <v>1410</v>
      </c>
      <c r="C143">
        <v>127</v>
      </c>
    </row>
    <row r="144" spans="2:3">
      <c r="B144" t="s">
        <v>344</v>
      </c>
      <c r="C144">
        <v>128</v>
      </c>
    </row>
    <row r="145" spans="2:3">
      <c r="B145" t="s">
        <v>1404</v>
      </c>
      <c r="C145">
        <v>129</v>
      </c>
    </row>
    <row r="146" spans="2:3">
      <c r="B146" t="s">
        <v>763</v>
      </c>
      <c r="C146">
        <v>130</v>
      </c>
    </row>
    <row r="147" spans="2:3">
      <c r="B147" t="s">
        <v>764</v>
      </c>
      <c r="C147">
        <v>131</v>
      </c>
    </row>
    <row r="148" spans="2:3">
      <c r="B148" t="s">
        <v>759</v>
      </c>
      <c r="C148">
        <v>132</v>
      </c>
    </row>
    <row r="149" spans="2:3">
      <c r="B149" t="s">
        <v>758</v>
      </c>
      <c r="C149">
        <v>133</v>
      </c>
    </row>
    <row r="150" spans="2:3">
      <c r="B150" t="s">
        <v>701</v>
      </c>
      <c r="C150">
        <v>134</v>
      </c>
    </row>
    <row r="151" spans="2:3">
      <c r="B151" t="s">
        <v>702</v>
      </c>
      <c r="C151">
        <v>135</v>
      </c>
    </row>
    <row r="152" spans="2:3">
      <c r="B152" t="s">
        <v>754</v>
      </c>
      <c r="C152">
        <v>136</v>
      </c>
    </row>
    <row r="153" spans="2:3">
      <c r="B153" t="s">
        <v>755</v>
      </c>
      <c r="C153">
        <v>137</v>
      </c>
    </row>
    <row r="154" spans="2:3">
      <c r="B154" t="s">
        <v>756</v>
      </c>
      <c r="C154">
        <v>138</v>
      </c>
    </row>
    <row r="155" spans="2:3">
      <c r="B155" t="s">
        <v>757</v>
      </c>
      <c r="C155">
        <v>139</v>
      </c>
    </row>
    <row r="156" spans="2:3">
      <c r="B156" t="s">
        <v>760</v>
      </c>
      <c r="C156">
        <v>140</v>
      </c>
    </row>
    <row r="157" spans="2:3">
      <c r="B157" t="s">
        <v>1407</v>
      </c>
      <c r="C157">
        <v>141</v>
      </c>
    </row>
    <row r="158" spans="2:3">
      <c r="B158" t="s">
        <v>1391</v>
      </c>
      <c r="C158">
        <v>142</v>
      </c>
    </row>
    <row r="159" spans="2:3">
      <c r="B159" t="s">
        <v>1392</v>
      </c>
      <c r="C159">
        <v>143</v>
      </c>
    </row>
    <row r="160" spans="2:3">
      <c r="B160" t="s">
        <v>1420</v>
      </c>
      <c r="C160">
        <v>144</v>
      </c>
    </row>
    <row r="161" spans="2:3">
      <c r="B161" t="s">
        <v>386</v>
      </c>
      <c r="C161">
        <v>145</v>
      </c>
    </row>
    <row r="162" spans="2:3">
      <c r="B162" t="s">
        <v>378</v>
      </c>
      <c r="C162">
        <v>146</v>
      </c>
    </row>
    <row r="163" spans="2:3">
      <c r="B163" t="s">
        <v>1396</v>
      </c>
      <c r="C163">
        <v>147</v>
      </c>
    </row>
    <row r="164" spans="2:3">
      <c r="B164" t="s">
        <v>373</v>
      </c>
      <c r="C164">
        <v>148</v>
      </c>
    </row>
    <row r="165" spans="2:3">
      <c r="B165" t="s">
        <v>621</v>
      </c>
      <c r="C165">
        <v>149</v>
      </c>
    </row>
    <row r="166" spans="2:3">
      <c r="B166" t="s">
        <v>1421</v>
      </c>
      <c r="C166">
        <v>150</v>
      </c>
    </row>
    <row r="167" spans="2:3">
      <c r="B167" t="s">
        <v>1424</v>
      </c>
      <c r="C167">
        <v>151</v>
      </c>
    </row>
    <row r="168" spans="2:3">
      <c r="B168" t="s">
        <v>857</v>
      </c>
      <c r="C168">
        <v>152</v>
      </c>
    </row>
    <row r="169" spans="2:3">
      <c r="B169" t="s">
        <v>856</v>
      </c>
      <c r="C169">
        <v>153</v>
      </c>
    </row>
    <row r="170" spans="2:3">
      <c r="B170" t="s">
        <v>858</v>
      </c>
      <c r="C170">
        <v>154</v>
      </c>
    </row>
    <row r="171" spans="2:3">
      <c r="B171" t="s">
        <v>854</v>
      </c>
      <c r="C171">
        <v>155</v>
      </c>
    </row>
    <row r="172" spans="2:3">
      <c r="B172" t="s">
        <v>945</v>
      </c>
      <c r="C172">
        <v>156</v>
      </c>
    </row>
    <row r="173" spans="2:3">
      <c r="B173" t="s">
        <v>419</v>
      </c>
      <c r="C173">
        <v>157</v>
      </c>
    </row>
    <row r="174" spans="2:3">
      <c r="B174" t="s">
        <v>946</v>
      </c>
      <c r="C174">
        <v>158</v>
      </c>
    </row>
    <row r="175" spans="2:3">
      <c r="B175" t="s">
        <v>523</v>
      </c>
      <c r="C175">
        <v>159</v>
      </c>
    </row>
    <row r="176" spans="2:3">
      <c r="B176" t="s">
        <v>947</v>
      </c>
      <c r="C176">
        <v>160</v>
      </c>
    </row>
    <row r="177" spans="2:3">
      <c r="B177" t="s">
        <v>948</v>
      </c>
      <c r="C177">
        <v>161</v>
      </c>
    </row>
    <row r="178" spans="2:3">
      <c r="B178" t="s">
        <v>855</v>
      </c>
      <c r="C178">
        <v>162</v>
      </c>
    </row>
    <row r="179" spans="2:3">
      <c r="B179" t="s">
        <v>949</v>
      </c>
      <c r="C179">
        <v>163</v>
      </c>
    </row>
    <row r="180" spans="2:3">
      <c r="B180" t="s">
        <v>522</v>
      </c>
      <c r="C180">
        <v>164</v>
      </c>
    </row>
    <row r="181" spans="2:3">
      <c r="B181" t="s">
        <v>521</v>
      </c>
      <c r="C181">
        <v>165</v>
      </c>
    </row>
    <row r="182" spans="2:3">
      <c r="B182" t="s">
        <v>520</v>
      </c>
      <c r="C182">
        <v>166</v>
      </c>
    </row>
    <row r="183" spans="2:3">
      <c r="B183" t="s">
        <v>524</v>
      </c>
      <c r="C183">
        <v>167</v>
      </c>
    </row>
    <row r="184" spans="2:3">
      <c r="B184" t="s">
        <v>525</v>
      </c>
      <c r="C184">
        <v>168</v>
      </c>
    </row>
    <row r="185" spans="2:3">
      <c r="B185" t="s">
        <v>853</v>
      </c>
      <c r="C185">
        <v>169</v>
      </c>
    </row>
    <row r="186" spans="2:3">
      <c r="B186" t="s">
        <v>789</v>
      </c>
      <c r="C186">
        <v>170</v>
      </c>
    </row>
    <row r="187" spans="2:3">
      <c r="B187" t="s">
        <v>812</v>
      </c>
      <c r="C187">
        <v>171</v>
      </c>
    </row>
    <row r="188" spans="2:3">
      <c r="B188" t="s">
        <v>813</v>
      </c>
      <c r="C188">
        <v>172</v>
      </c>
    </row>
    <row r="189" spans="2:3">
      <c r="B189" t="s">
        <v>904</v>
      </c>
      <c r="C189">
        <v>173</v>
      </c>
    </row>
    <row r="190" spans="2:3">
      <c r="B190" t="s">
        <v>906</v>
      </c>
      <c r="C190">
        <v>174</v>
      </c>
    </row>
    <row r="191" spans="2:3">
      <c r="B191" t="s">
        <v>907</v>
      </c>
      <c r="C191">
        <v>175</v>
      </c>
    </row>
    <row r="192" spans="2:3">
      <c r="B192" t="s">
        <v>814</v>
      </c>
      <c r="C192">
        <v>176</v>
      </c>
    </row>
    <row r="193" spans="2:3">
      <c r="B193" t="s">
        <v>908</v>
      </c>
      <c r="C193">
        <v>177</v>
      </c>
    </row>
    <row r="194" spans="2:3">
      <c r="B194" t="s">
        <v>771</v>
      </c>
      <c r="C194">
        <v>178</v>
      </c>
    </row>
    <row r="195" spans="2:3">
      <c r="B195" t="s">
        <v>815</v>
      </c>
      <c r="C195">
        <v>179</v>
      </c>
    </row>
    <row r="196" spans="2:3">
      <c r="B196" t="s">
        <v>816</v>
      </c>
      <c r="C196">
        <v>180</v>
      </c>
    </row>
    <row r="197" spans="2:3">
      <c r="B197" t="s">
        <v>909</v>
      </c>
      <c r="C197">
        <v>181</v>
      </c>
    </row>
    <row r="198" spans="2:3">
      <c r="B198" t="s">
        <v>910</v>
      </c>
      <c r="C198">
        <v>182</v>
      </c>
    </row>
    <row r="199" spans="2:3">
      <c r="B199" t="s">
        <v>911</v>
      </c>
      <c r="C199">
        <v>183</v>
      </c>
    </row>
    <row r="200" spans="2:3">
      <c r="B200" t="s">
        <v>912</v>
      </c>
      <c r="C200">
        <v>184</v>
      </c>
    </row>
    <row r="201" spans="2:3">
      <c r="B201" t="s">
        <v>866</v>
      </c>
      <c r="C201">
        <v>185</v>
      </c>
    </row>
    <row r="202" spans="2:3">
      <c r="B202" t="s">
        <v>867</v>
      </c>
      <c r="C202">
        <v>186</v>
      </c>
    </row>
    <row r="203" spans="2:3">
      <c r="B203" t="s">
        <v>879</v>
      </c>
      <c r="C203">
        <v>187</v>
      </c>
    </row>
    <row r="204" spans="2:3">
      <c r="B204" t="s">
        <v>880</v>
      </c>
      <c r="C204">
        <v>188</v>
      </c>
    </row>
    <row r="205" spans="2:3">
      <c r="B205" t="s">
        <v>881</v>
      </c>
      <c r="C205">
        <v>189</v>
      </c>
    </row>
    <row r="206" spans="2:3">
      <c r="B206" t="s">
        <v>883</v>
      </c>
      <c r="C206">
        <v>190</v>
      </c>
    </row>
    <row r="207" spans="2:3">
      <c r="B207" t="s">
        <v>884</v>
      </c>
      <c r="C207">
        <v>191</v>
      </c>
    </row>
    <row r="208" spans="2:3">
      <c r="B208" t="s">
        <v>774</v>
      </c>
      <c r="C208">
        <v>192</v>
      </c>
    </row>
    <row r="209" spans="2:3">
      <c r="B209" t="s">
        <v>798</v>
      </c>
      <c r="C209">
        <v>193</v>
      </c>
    </row>
    <row r="210" spans="2:3">
      <c r="B210" t="s">
        <v>799</v>
      </c>
      <c r="C210">
        <v>194</v>
      </c>
    </row>
    <row r="211" spans="2:3">
      <c r="B211" t="s">
        <v>1453</v>
      </c>
      <c r="C211">
        <v>195</v>
      </c>
    </row>
    <row r="212" spans="2:3">
      <c r="B212" t="s">
        <v>1454</v>
      </c>
      <c r="C212">
        <v>196</v>
      </c>
    </row>
    <row r="213" spans="2:3">
      <c r="B213" t="s">
        <v>1455</v>
      </c>
      <c r="C213">
        <v>197</v>
      </c>
    </row>
    <row r="214" spans="2:3">
      <c r="B214" t="s">
        <v>1456</v>
      </c>
      <c r="C214">
        <v>198</v>
      </c>
    </row>
    <row r="215" spans="2:3">
      <c r="B215" t="s">
        <v>800</v>
      </c>
      <c r="C215">
        <v>199</v>
      </c>
    </row>
    <row r="216" spans="2:3">
      <c r="B216" t="s">
        <v>766</v>
      </c>
      <c r="C216">
        <v>200</v>
      </c>
    </row>
    <row r="217" spans="2:3">
      <c r="B217" t="s">
        <v>781</v>
      </c>
      <c r="C217">
        <v>201</v>
      </c>
    </row>
    <row r="218" spans="2:3">
      <c r="B218" t="s">
        <v>888</v>
      </c>
      <c r="C218">
        <v>202</v>
      </c>
    </row>
    <row r="219" spans="2:3">
      <c r="B219" t="s">
        <v>889</v>
      </c>
      <c r="C219">
        <v>203</v>
      </c>
    </row>
    <row r="220" spans="2:3">
      <c r="B220" t="s">
        <v>890</v>
      </c>
      <c r="C220">
        <v>204</v>
      </c>
    </row>
    <row r="221" spans="2:3">
      <c r="B221" t="s">
        <v>891</v>
      </c>
      <c r="C221">
        <v>205</v>
      </c>
    </row>
    <row r="222" spans="2:3">
      <c r="B222" t="s">
        <v>892</v>
      </c>
      <c r="C222">
        <v>206</v>
      </c>
    </row>
    <row r="223" spans="2:3">
      <c r="B223" t="s">
        <v>802</v>
      </c>
      <c r="C223">
        <v>207</v>
      </c>
    </row>
    <row r="224" spans="2:3">
      <c r="B224" t="s">
        <v>788</v>
      </c>
      <c r="C224">
        <v>208</v>
      </c>
    </row>
    <row r="225" spans="2:3">
      <c r="B225" t="s">
        <v>792</v>
      </c>
      <c r="C225">
        <v>209</v>
      </c>
    </row>
    <row r="226" spans="2:3">
      <c r="B226" t="s">
        <v>894</v>
      </c>
      <c r="C226">
        <v>210</v>
      </c>
    </row>
    <row r="227" spans="2:3">
      <c r="B227" t="s">
        <v>896</v>
      </c>
      <c r="C227">
        <v>211</v>
      </c>
    </row>
    <row r="228" spans="2:3">
      <c r="B228" t="s">
        <v>803</v>
      </c>
      <c r="C228">
        <v>212</v>
      </c>
    </row>
    <row r="229" spans="2:3">
      <c r="B229" t="s">
        <v>804</v>
      </c>
      <c r="C229">
        <v>213</v>
      </c>
    </row>
    <row r="230" spans="2:3">
      <c r="B230" t="s">
        <v>898</v>
      </c>
      <c r="C230">
        <v>214</v>
      </c>
    </row>
    <row r="231" spans="2:3">
      <c r="B231" t="s">
        <v>900</v>
      </c>
      <c r="C231">
        <v>215</v>
      </c>
    </row>
    <row r="232" spans="2:3">
      <c r="B232" t="s">
        <v>901</v>
      </c>
      <c r="C232">
        <v>216</v>
      </c>
    </row>
    <row r="233" spans="2:3">
      <c r="B233" t="s">
        <v>805</v>
      </c>
      <c r="C233">
        <v>217</v>
      </c>
    </row>
    <row r="234" spans="2:3">
      <c r="B234" t="s">
        <v>783</v>
      </c>
      <c r="C234">
        <v>218</v>
      </c>
    </row>
    <row r="235" spans="2:3">
      <c r="B235" t="s">
        <v>903</v>
      </c>
      <c r="C235">
        <v>219</v>
      </c>
    </row>
    <row r="236" spans="2:3">
      <c r="B236" t="s">
        <v>806</v>
      </c>
      <c r="C236">
        <v>220</v>
      </c>
    </row>
    <row r="237" spans="2:3">
      <c r="B237" t="s">
        <v>807</v>
      </c>
      <c r="C237">
        <v>221</v>
      </c>
    </row>
    <row r="238" spans="2:3">
      <c r="B238" t="s">
        <v>808</v>
      </c>
      <c r="C238">
        <v>222</v>
      </c>
    </row>
    <row r="239" spans="2:3">
      <c r="B239" t="s">
        <v>809</v>
      </c>
      <c r="C239">
        <v>223</v>
      </c>
    </row>
    <row r="240" spans="2:3">
      <c r="B240" t="s">
        <v>810</v>
      </c>
      <c r="C240">
        <v>224</v>
      </c>
    </row>
    <row r="241" spans="2:3">
      <c r="B241" t="s">
        <v>811</v>
      </c>
      <c r="C241">
        <v>225</v>
      </c>
    </row>
    <row r="242" spans="2:3">
      <c r="B242" t="s">
        <v>1386</v>
      </c>
      <c r="C242">
        <v>226</v>
      </c>
    </row>
    <row r="243" spans="2:3">
      <c r="B243" t="s">
        <v>913</v>
      </c>
      <c r="C243">
        <v>227</v>
      </c>
    </row>
    <row r="244" spans="2:3">
      <c r="B244" t="s">
        <v>914</v>
      </c>
      <c r="C244">
        <v>228</v>
      </c>
    </row>
    <row r="245" spans="2:3">
      <c r="B245" t="s">
        <v>915</v>
      </c>
      <c r="C245">
        <v>229</v>
      </c>
    </row>
    <row r="246" spans="2:3">
      <c r="B246" t="s">
        <v>916</v>
      </c>
      <c r="C246">
        <v>230</v>
      </c>
    </row>
    <row r="247" spans="2:3">
      <c r="B247" t="s">
        <v>917</v>
      </c>
      <c r="C247">
        <v>231</v>
      </c>
    </row>
    <row r="248" spans="2:3">
      <c r="B248" t="s">
        <v>918</v>
      </c>
      <c r="C248">
        <v>232</v>
      </c>
    </row>
    <row r="249" spans="2:3">
      <c r="B249" t="s">
        <v>919</v>
      </c>
      <c r="C249">
        <v>233</v>
      </c>
    </row>
    <row r="250" spans="2:3">
      <c r="B250" t="s">
        <v>981</v>
      </c>
      <c r="C250">
        <v>234</v>
      </c>
    </row>
    <row r="251" spans="2:3">
      <c r="B251" t="s">
        <v>920</v>
      </c>
      <c r="C251">
        <v>235</v>
      </c>
    </row>
    <row r="252" spans="2:3">
      <c r="B252" t="s">
        <v>817</v>
      </c>
      <c r="C252">
        <v>236</v>
      </c>
    </row>
    <row r="253" spans="2:3">
      <c r="B253" t="s">
        <v>921</v>
      </c>
      <c r="C253">
        <v>237</v>
      </c>
    </row>
    <row r="254" spans="2:3">
      <c r="B254" t="s">
        <v>922</v>
      </c>
      <c r="C254">
        <v>238</v>
      </c>
    </row>
    <row r="255" spans="2:3">
      <c r="B255" t="s">
        <v>923</v>
      </c>
      <c r="C255">
        <v>239</v>
      </c>
    </row>
    <row r="256" spans="2:3">
      <c r="B256" t="s">
        <v>924</v>
      </c>
      <c r="C256">
        <v>240</v>
      </c>
    </row>
    <row r="257" spans="2:3">
      <c r="B257" t="s">
        <v>1384</v>
      </c>
      <c r="C257">
        <v>241</v>
      </c>
    </row>
    <row r="258" spans="2:3">
      <c r="B258" t="s">
        <v>818</v>
      </c>
      <c r="C258">
        <v>242</v>
      </c>
    </row>
    <row r="259" spans="2:3">
      <c r="B259" t="s">
        <v>819</v>
      </c>
      <c r="C259">
        <v>243</v>
      </c>
    </row>
    <row r="260" spans="2:3">
      <c r="B260" t="s">
        <v>820</v>
      </c>
      <c r="C260">
        <v>244</v>
      </c>
    </row>
    <row r="261" spans="2:3">
      <c r="B261" t="s">
        <v>821</v>
      </c>
      <c r="C261">
        <v>245</v>
      </c>
    </row>
    <row r="262" spans="2:3">
      <c r="B262" t="s">
        <v>822</v>
      </c>
      <c r="C262">
        <v>246</v>
      </c>
    </row>
    <row r="263" spans="2:3">
      <c r="B263" t="s">
        <v>850</v>
      </c>
      <c r="C263">
        <v>247</v>
      </c>
    </row>
    <row r="264" spans="2:3">
      <c r="B264" t="s">
        <v>823</v>
      </c>
      <c r="C264">
        <v>248</v>
      </c>
    </row>
    <row r="265" spans="2:3">
      <c r="B265" t="s">
        <v>824</v>
      </c>
      <c r="C265">
        <v>249</v>
      </c>
    </row>
    <row r="266" spans="2:3">
      <c r="B266" t="s">
        <v>791</v>
      </c>
      <c r="C266">
        <v>250</v>
      </c>
    </row>
    <row r="267" spans="2:3">
      <c r="B267" t="s">
        <v>825</v>
      </c>
      <c r="C267">
        <v>251</v>
      </c>
    </row>
    <row r="268" spans="2:3">
      <c r="B268" t="s">
        <v>826</v>
      </c>
      <c r="C268">
        <v>252</v>
      </c>
    </row>
    <row r="269" spans="2:3">
      <c r="B269" t="s">
        <v>827</v>
      </c>
      <c r="C269">
        <v>253</v>
      </c>
    </row>
    <row r="270" spans="2:3">
      <c r="B270" t="s">
        <v>828</v>
      </c>
      <c r="C270">
        <v>254</v>
      </c>
    </row>
    <row r="271" spans="2:3">
      <c r="B271" t="s">
        <v>829</v>
      </c>
      <c r="C271">
        <v>255</v>
      </c>
    </row>
    <row r="272" spans="2:3">
      <c r="B272" t="s">
        <v>830</v>
      </c>
      <c r="C272">
        <v>256</v>
      </c>
    </row>
    <row r="273" spans="2:3">
      <c r="B273" t="s">
        <v>831</v>
      </c>
      <c r="C273">
        <v>257</v>
      </c>
    </row>
    <row r="274" spans="2:3">
      <c r="B274" t="s">
        <v>832</v>
      </c>
      <c r="C274">
        <v>258</v>
      </c>
    </row>
    <row r="275" spans="2:3">
      <c r="B275" t="s">
        <v>860</v>
      </c>
      <c r="C275">
        <v>259</v>
      </c>
    </row>
    <row r="276" spans="2:3">
      <c r="B276" t="s">
        <v>768</v>
      </c>
      <c r="C276">
        <v>260</v>
      </c>
    </row>
    <row r="277" spans="2:3">
      <c r="B277" t="s">
        <v>834</v>
      </c>
      <c r="C277">
        <v>261</v>
      </c>
    </row>
    <row r="278" spans="2:3">
      <c r="B278" t="s">
        <v>833</v>
      </c>
      <c r="C278">
        <v>262</v>
      </c>
    </row>
    <row r="279" spans="2:3">
      <c r="B279" t="s">
        <v>865</v>
      </c>
      <c r="C279">
        <v>263</v>
      </c>
    </row>
    <row r="280" spans="2:3">
      <c r="B280" t="s">
        <v>925</v>
      </c>
      <c r="C280">
        <v>264</v>
      </c>
    </row>
    <row r="281" spans="2:3">
      <c r="B281" t="s">
        <v>926</v>
      </c>
      <c r="C281">
        <v>265</v>
      </c>
    </row>
    <row r="282" spans="2:3">
      <c r="B282" t="s">
        <v>927</v>
      </c>
      <c r="C282">
        <v>266</v>
      </c>
    </row>
    <row r="283" spans="2:3">
      <c r="B283" t="s">
        <v>835</v>
      </c>
      <c r="C283">
        <v>267</v>
      </c>
    </row>
    <row r="284" spans="2:3">
      <c r="B284" t="s">
        <v>928</v>
      </c>
      <c r="C284">
        <v>268</v>
      </c>
    </row>
    <row r="285" spans="2:3">
      <c r="B285" t="s">
        <v>864</v>
      </c>
      <c r="C285">
        <v>269</v>
      </c>
    </row>
    <row r="286" spans="2:3">
      <c r="B286" t="s">
        <v>862</v>
      </c>
      <c r="C286">
        <v>270</v>
      </c>
    </row>
    <row r="287" spans="2:3">
      <c r="B287" t="s">
        <v>778</v>
      </c>
      <c r="C287">
        <v>271</v>
      </c>
    </row>
    <row r="288" spans="2:3">
      <c r="B288" t="s">
        <v>801</v>
      </c>
      <c r="C288">
        <v>272</v>
      </c>
    </row>
    <row r="289" spans="2:3">
      <c r="B289" t="s">
        <v>863</v>
      </c>
      <c r="C289">
        <v>273</v>
      </c>
    </row>
    <row r="290" spans="2:3">
      <c r="B290" t="s">
        <v>776</v>
      </c>
      <c r="C290">
        <v>274</v>
      </c>
    </row>
    <row r="291" spans="2:3">
      <c r="B291" t="s">
        <v>933</v>
      </c>
      <c r="C291">
        <v>275</v>
      </c>
    </row>
    <row r="292" spans="2:3">
      <c r="B292" t="s">
        <v>934</v>
      </c>
      <c r="C292">
        <v>276</v>
      </c>
    </row>
    <row r="293" spans="2:3">
      <c r="B293" t="s">
        <v>935</v>
      </c>
      <c r="C293">
        <v>277</v>
      </c>
    </row>
    <row r="294" spans="2:3">
      <c r="B294" t="s">
        <v>1418</v>
      </c>
      <c r="C294">
        <v>278</v>
      </c>
    </row>
    <row r="295" spans="2:3">
      <c r="B295" t="s">
        <v>936</v>
      </c>
      <c r="C295">
        <v>279</v>
      </c>
    </row>
    <row r="296" spans="2:3">
      <c r="B296" t="s">
        <v>765</v>
      </c>
      <c r="C296">
        <v>280</v>
      </c>
    </row>
    <row r="297" spans="2:3">
      <c r="B297" t="s">
        <v>780</v>
      </c>
      <c r="C297">
        <v>281</v>
      </c>
    </row>
    <row r="298" spans="2:3">
      <c r="B298" t="s">
        <v>837</v>
      </c>
      <c r="C298">
        <v>282</v>
      </c>
    </row>
    <row r="299" spans="2:3">
      <c r="B299" t="s">
        <v>937</v>
      </c>
      <c r="C299">
        <v>283</v>
      </c>
    </row>
    <row r="300" spans="2:3">
      <c r="B300" t="s">
        <v>938</v>
      </c>
      <c r="C300">
        <v>284</v>
      </c>
    </row>
    <row r="301" spans="2:3">
      <c r="B301" t="s">
        <v>1414</v>
      </c>
      <c r="C301">
        <v>285</v>
      </c>
    </row>
    <row r="302" spans="2:3">
      <c r="B302" t="s">
        <v>838</v>
      </c>
      <c r="C302">
        <v>286</v>
      </c>
    </row>
    <row r="303" spans="2:3">
      <c r="B303" t="s">
        <v>839</v>
      </c>
      <c r="C303">
        <v>287</v>
      </c>
    </row>
    <row r="304" spans="2:3">
      <c r="B304" t="s">
        <v>782</v>
      </c>
      <c r="C304">
        <v>288</v>
      </c>
    </row>
    <row r="305" spans="2:3">
      <c r="B305" t="s">
        <v>784</v>
      </c>
      <c r="C305">
        <v>289</v>
      </c>
    </row>
    <row r="306" spans="2:3">
      <c r="B306" t="s">
        <v>939</v>
      </c>
      <c r="C306">
        <v>290</v>
      </c>
    </row>
    <row r="307" spans="2:3">
      <c r="B307" t="s">
        <v>940</v>
      </c>
      <c r="C307">
        <v>291</v>
      </c>
    </row>
    <row r="308" spans="2:3">
      <c r="B308" t="s">
        <v>840</v>
      </c>
      <c r="C308">
        <v>292</v>
      </c>
    </row>
    <row r="309" spans="2:3">
      <c r="B309" t="s">
        <v>841</v>
      </c>
      <c r="C309">
        <v>293</v>
      </c>
    </row>
    <row r="310" spans="2:3">
      <c r="B310" t="s">
        <v>842</v>
      </c>
      <c r="C310">
        <v>294</v>
      </c>
    </row>
    <row r="311" spans="2:3">
      <c r="B311" t="s">
        <v>779</v>
      </c>
      <c r="C311">
        <v>295</v>
      </c>
    </row>
    <row r="312" spans="2:3">
      <c r="B312" t="s">
        <v>941</v>
      </c>
      <c r="C312">
        <v>296</v>
      </c>
    </row>
    <row r="313" spans="2:3">
      <c r="B313" t="s">
        <v>843</v>
      </c>
      <c r="C313">
        <v>297</v>
      </c>
    </row>
    <row r="314" spans="2:3">
      <c r="B314" t="s">
        <v>1388</v>
      </c>
      <c r="C314">
        <v>298</v>
      </c>
    </row>
    <row r="315" spans="2:3">
      <c r="B315" t="s">
        <v>844</v>
      </c>
      <c r="C315">
        <v>299</v>
      </c>
    </row>
    <row r="316" spans="2:3">
      <c r="B316" t="s">
        <v>845</v>
      </c>
      <c r="C316">
        <v>300</v>
      </c>
    </row>
    <row r="317" spans="2:3">
      <c r="B317" t="s">
        <v>846</v>
      </c>
      <c r="C317">
        <v>301</v>
      </c>
    </row>
    <row r="318" spans="2:3">
      <c r="B318" t="s">
        <v>847</v>
      </c>
      <c r="C318">
        <v>302</v>
      </c>
    </row>
    <row r="319" spans="2:3">
      <c r="B319" t="s">
        <v>848</v>
      </c>
      <c r="C319">
        <v>303</v>
      </c>
    </row>
    <row r="320" spans="2:3">
      <c r="B320" t="s">
        <v>849</v>
      </c>
      <c r="C320">
        <v>304</v>
      </c>
    </row>
    <row r="321" spans="2:3">
      <c r="B321" t="s">
        <v>851</v>
      </c>
      <c r="C321">
        <v>305</v>
      </c>
    </row>
    <row r="322" spans="2:3">
      <c r="B322" t="s">
        <v>942</v>
      </c>
      <c r="C322">
        <v>306</v>
      </c>
    </row>
    <row r="323" spans="2:3">
      <c r="B323" t="s">
        <v>943</v>
      </c>
      <c r="C323">
        <v>307</v>
      </c>
    </row>
    <row r="324" spans="2:3">
      <c r="B324" t="s">
        <v>767</v>
      </c>
      <c r="C324">
        <v>308</v>
      </c>
    </row>
    <row r="325" spans="2:3">
      <c r="B325" t="s">
        <v>1464</v>
      </c>
      <c r="C325">
        <v>309</v>
      </c>
    </row>
    <row r="326" spans="2:3">
      <c r="B326" t="s">
        <v>852</v>
      </c>
      <c r="C326">
        <v>310</v>
      </c>
    </row>
    <row r="327" spans="2:3">
      <c r="B327" t="s">
        <v>944</v>
      </c>
      <c r="C327">
        <v>311</v>
      </c>
    </row>
    <row r="328" spans="2:3">
      <c r="B328" t="s">
        <v>861</v>
      </c>
      <c r="C328">
        <v>312</v>
      </c>
    </row>
    <row r="329" spans="2:3">
      <c r="B329" t="s">
        <v>870</v>
      </c>
      <c r="C329">
        <v>313</v>
      </c>
    </row>
    <row r="330" spans="2:3">
      <c r="B330" t="s">
        <v>775</v>
      </c>
      <c r="C330">
        <v>314</v>
      </c>
    </row>
    <row r="331" spans="2:3">
      <c r="B331" t="s">
        <v>868</v>
      </c>
      <c r="C331">
        <v>315</v>
      </c>
    </row>
    <row r="332" spans="2:3">
      <c r="B332" t="s">
        <v>770</v>
      </c>
      <c r="C332">
        <v>316</v>
      </c>
    </row>
    <row r="333" spans="2:3">
      <c r="B333" t="s">
        <v>790</v>
      </c>
      <c r="C333">
        <v>317</v>
      </c>
    </row>
    <row r="334" spans="2:3">
      <c r="B334" t="s">
        <v>773</v>
      </c>
      <c r="C334">
        <v>318</v>
      </c>
    </row>
    <row r="335" spans="2:3">
      <c r="B335" t="s">
        <v>929</v>
      </c>
      <c r="C335">
        <v>319</v>
      </c>
    </row>
    <row r="336" spans="2:3">
      <c r="B336" t="s">
        <v>930</v>
      </c>
      <c r="C336">
        <v>320</v>
      </c>
    </row>
    <row r="337" spans="2:3">
      <c r="B337" t="s">
        <v>931</v>
      </c>
      <c r="C337">
        <v>321</v>
      </c>
    </row>
    <row r="338" spans="2:3">
      <c r="B338" t="s">
        <v>787</v>
      </c>
      <c r="C338">
        <v>322</v>
      </c>
    </row>
    <row r="339" spans="2:3">
      <c r="B339" t="s">
        <v>772</v>
      </c>
      <c r="C339">
        <v>323</v>
      </c>
    </row>
    <row r="340" spans="2:3">
      <c r="B340" t="s">
        <v>932</v>
      </c>
      <c r="C340">
        <v>324</v>
      </c>
    </row>
    <row r="341" spans="2:3">
      <c r="B341" t="s">
        <v>785</v>
      </c>
      <c r="C341">
        <v>325</v>
      </c>
    </row>
    <row r="342" spans="2:3">
      <c r="B342" t="s">
        <v>869</v>
      </c>
      <c r="C342">
        <v>326</v>
      </c>
    </row>
    <row r="343" spans="2:3">
      <c r="B343" t="s">
        <v>859</v>
      </c>
      <c r="C343">
        <v>327</v>
      </c>
    </row>
    <row r="344" spans="2:3">
      <c r="B344" t="s">
        <v>769</v>
      </c>
      <c r="C344">
        <v>328</v>
      </c>
    </row>
    <row r="345" spans="2:3">
      <c r="B345" t="s">
        <v>786</v>
      </c>
      <c r="C345">
        <v>329</v>
      </c>
    </row>
    <row r="346" spans="2:3">
      <c r="B346" t="s">
        <v>777</v>
      </c>
      <c r="C346">
        <v>330</v>
      </c>
    </row>
    <row r="347" spans="2:3">
      <c r="B347" t="s">
        <v>796</v>
      </c>
      <c r="C347">
        <v>331</v>
      </c>
    </row>
    <row r="348" spans="2:3">
      <c r="B348" t="s">
        <v>797</v>
      </c>
      <c r="C348">
        <v>332</v>
      </c>
    </row>
    <row r="349" spans="2:3">
      <c r="B349" t="s">
        <v>836</v>
      </c>
      <c r="C349">
        <v>333</v>
      </c>
    </row>
    <row r="350" spans="2:3">
      <c r="B350" t="s">
        <v>793</v>
      </c>
      <c r="C350">
        <v>334</v>
      </c>
    </row>
    <row r="351" spans="2:3">
      <c r="B351" t="s">
        <v>794</v>
      </c>
      <c r="C351">
        <v>335</v>
      </c>
    </row>
    <row r="352" spans="2:3">
      <c r="B352" t="s">
        <v>795</v>
      </c>
      <c r="C352">
        <v>336</v>
      </c>
    </row>
    <row r="353" spans="2:3">
      <c r="B353" t="s">
        <v>15</v>
      </c>
      <c r="C353">
        <v>337</v>
      </c>
    </row>
    <row r="354" spans="2:3">
      <c r="B354" t="s">
        <v>491</v>
      </c>
      <c r="C354">
        <v>338</v>
      </c>
    </row>
    <row r="355" spans="2:3">
      <c r="B355" t="s">
        <v>709</v>
      </c>
      <c r="C355">
        <v>339</v>
      </c>
    </row>
    <row r="356" spans="2:3">
      <c r="B356" t="s">
        <v>492</v>
      </c>
      <c r="C356">
        <v>340</v>
      </c>
    </row>
    <row r="357" spans="2:3">
      <c r="B357" t="s">
        <v>705</v>
      </c>
      <c r="C357">
        <v>341</v>
      </c>
    </row>
    <row r="358" spans="2:3">
      <c r="B358" t="s">
        <v>493</v>
      </c>
      <c r="C358">
        <v>342</v>
      </c>
    </row>
    <row r="359" spans="2:3">
      <c r="B359" t="s">
        <v>495</v>
      </c>
      <c r="C359">
        <v>343</v>
      </c>
    </row>
    <row r="360" spans="2:3">
      <c r="B360" t="s">
        <v>706</v>
      </c>
      <c r="C360">
        <v>344</v>
      </c>
    </row>
    <row r="361" spans="2:3">
      <c r="B361" t="s">
        <v>494</v>
      </c>
      <c r="C361">
        <v>345</v>
      </c>
    </row>
    <row r="362" spans="2:3">
      <c r="B362" t="s">
        <v>707</v>
      </c>
      <c r="C362">
        <v>346</v>
      </c>
    </row>
    <row r="363" spans="2:3">
      <c r="B363" t="s">
        <v>497</v>
      </c>
      <c r="C363">
        <v>347</v>
      </c>
    </row>
    <row r="364" spans="2:3">
      <c r="B364" t="s">
        <v>496</v>
      </c>
      <c r="C364">
        <v>348</v>
      </c>
    </row>
    <row r="365" spans="2:3">
      <c r="B365" t="s">
        <v>708</v>
      </c>
      <c r="C365">
        <v>349</v>
      </c>
    </row>
    <row r="366" spans="2:3">
      <c r="B366" t="s">
        <v>1428</v>
      </c>
      <c r="C366">
        <v>350</v>
      </c>
    </row>
    <row r="367" spans="2:3">
      <c r="B367" t="s">
        <v>121</v>
      </c>
      <c r="C367">
        <v>351</v>
      </c>
    </row>
    <row r="368" spans="2:3">
      <c r="B368" t="s">
        <v>153</v>
      </c>
      <c r="C368">
        <v>352</v>
      </c>
    </row>
    <row r="369" spans="2:3">
      <c r="B369" t="s">
        <v>154</v>
      </c>
      <c r="C369">
        <v>353</v>
      </c>
    </row>
    <row r="370" spans="2:3">
      <c r="B370" t="s">
        <v>155</v>
      </c>
      <c r="C370">
        <v>354</v>
      </c>
    </row>
    <row r="371" spans="2:3">
      <c r="B371" t="s">
        <v>156</v>
      </c>
      <c r="C371">
        <v>355</v>
      </c>
    </row>
    <row r="372" spans="2:3">
      <c r="B372" t="s">
        <v>72</v>
      </c>
      <c r="C372">
        <v>356</v>
      </c>
    </row>
    <row r="373" spans="2:3">
      <c r="B373" t="s">
        <v>874</v>
      </c>
      <c r="C373">
        <v>357</v>
      </c>
    </row>
    <row r="374" spans="2:3">
      <c r="B374" t="s">
        <v>236</v>
      </c>
      <c r="C374">
        <v>358</v>
      </c>
    </row>
    <row r="375" spans="2:3">
      <c r="B375" t="s">
        <v>237</v>
      </c>
      <c r="C375">
        <v>359</v>
      </c>
    </row>
    <row r="376" spans="2:3">
      <c r="B376" t="s">
        <v>238</v>
      </c>
      <c r="C376">
        <v>360</v>
      </c>
    </row>
    <row r="377" spans="2:3">
      <c r="B377" t="s">
        <v>712</v>
      </c>
      <c r="C377">
        <v>361</v>
      </c>
    </row>
    <row r="378" spans="2:3">
      <c r="B378" t="s">
        <v>250</v>
      </c>
      <c r="C378">
        <v>362</v>
      </c>
    </row>
    <row r="379" spans="2:3">
      <c r="B379" t="s">
        <v>251</v>
      </c>
      <c r="C379">
        <v>363</v>
      </c>
    </row>
    <row r="380" spans="2:3">
      <c r="B380" t="s">
        <v>252</v>
      </c>
      <c r="C380">
        <v>364</v>
      </c>
    </row>
    <row r="381" spans="2:3">
      <c r="B381" t="s">
        <v>254</v>
      </c>
      <c r="C381">
        <v>365</v>
      </c>
    </row>
    <row r="382" spans="2:3">
      <c r="B382" t="s">
        <v>255</v>
      </c>
      <c r="C382">
        <v>366</v>
      </c>
    </row>
    <row r="383" spans="2:3">
      <c r="B383" t="s">
        <v>256</v>
      </c>
      <c r="C383">
        <v>367</v>
      </c>
    </row>
    <row r="384" spans="2:3">
      <c r="B384" t="s">
        <v>268</v>
      </c>
      <c r="C384">
        <v>368</v>
      </c>
    </row>
    <row r="385" spans="2:3">
      <c r="B385" t="s">
        <v>269</v>
      </c>
      <c r="C385">
        <v>369</v>
      </c>
    </row>
    <row r="386" spans="2:3">
      <c r="B386" t="s">
        <v>270</v>
      </c>
      <c r="C386">
        <v>370</v>
      </c>
    </row>
    <row r="387" spans="2:3">
      <c r="B387" t="s">
        <v>279</v>
      </c>
      <c r="C387">
        <v>371</v>
      </c>
    </row>
    <row r="388" spans="2:3">
      <c r="B388" t="s">
        <v>280</v>
      </c>
      <c r="C388">
        <v>372</v>
      </c>
    </row>
    <row r="389" spans="2:3">
      <c r="B389" t="s">
        <v>281</v>
      </c>
      <c r="C389">
        <v>373</v>
      </c>
    </row>
    <row r="390" spans="2:3">
      <c r="B390" t="s">
        <v>713</v>
      </c>
      <c r="C390">
        <v>374</v>
      </c>
    </row>
    <row r="391" spans="2:3">
      <c r="B391" t="s">
        <v>714</v>
      </c>
      <c r="C391">
        <v>375</v>
      </c>
    </row>
    <row r="392" spans="2:3">
      <c r="B392" t="s">
        <v>715</v>
      </c>
      <c r="C392">
        <v>376</v>
      </c>
    </row>
    <row r="393" spans="2:3">
      <c r="B393" t="s">
        <v>1489</v>
      </c>
      <c r="C393">
        <v>377</v>
      </c>
    </row>
    <row r="394" spans="2:3">
      <c r="B394" t="s">
        <v>1490</v>
      </c>
      <c r="C394">
        <v>378</v>
      </c>
    </row>
    <row r="395" spans="2:3">
      <c r="B395" t="s">
        <v>1491</v>
      </c>
      <c r="C395">
        <v>379</v>
      </c>
    </row>
    <row r="396" spans="2:3">
      <c r="B396" t="s">
        <v>506</v>
      </c>
      <c r="C396">
        <v>380</v>
      </c>
    </row>
    <row r="397" spans="2:3">
      <c r="B397" t="s">
        <v>163</v>
      </c>
      <c r="C397">
        <v>381</v>
      </c>
    </row>
    <row r="398" spans="2:3">
      <c r="B398" t="s">
        <v>1429</v>
      </c>
      <c r="C398">
        <v>382</v>
      </c>
    </row>
    <row r="399" spans="2:3">
      <c r="B399" t="s">
        <v>18</v>
      </c>
      <c r="C399">
        <v>383</v>
      </c>
    </row>
    <row r="400" spans="2:3">
      <c r="B400" t="s">
        <v>19</v>
      </c>
      <c r="C400">
        <v>384</v>
      </c>
    </row>
    <row r="401" spans="2:3">
      <c r="B401" t="s">
        <v>20</v>
      </c>
      <c r="C401">
        <v>385</v>
      </c>
    </row>
    <row r="402" spans="2:3">
      <c r="B402" t="s">
        <v>21</v>
      </c>
      <c r="C402">
        <v>386</v>
      </c>
    </row>
    <row r="403" spans="2:3">
      <c r="B403" t="s">
        <v>16</v>
      </c>
      <c r="C403">
        <v>387</v>
      </c>
    </row>
    <row r="404" spans="2:3">
      <c r="B404" t="s">
        <v>65</v>
      </c>
      <c r="C404">
        <v>388</v>
      </c>
    </row>
    <row r="405" spans="2:3">
      <c r="B405" t="s">
        <v>51</v>
      </c>
      <c r="C405">
        <v>389</v>
      </c>
    </row>
    <row r="406" spans="2:3">
      <c r="B406" t="s">
        <v>52</v>
      </c>
      <c r="C406">
        <v>390</v>
      </c>
    </row>
    <row r="407" spans="2:3">
      <c r="B407" t="s">
        <v>53</v>
      </c>
      <c r="C407">
        <v>391</v>
      </c>
    </row>
    <row r="408" spans="2:3">
      <c r="B408" t="s">
        <v>54</v>
      </c>
      <c r="C408">
        <v>392</v>
      </c>
    </row>
    <row r="409" spans="2:3">
      <c r="B409" t="s">
        <v>55</v>
      </c>
      <c r="C409">
        <v>393</v>
      </c>
    </row>
    <row r="410" spans="2:3">
      <c r="B410" t="s">
        <v>56</v>
      </c>
      <c r="C410">
        <v>394</v>
      </c>
    </row>
    <row r="411" spans="2:3">
      <c r="B411" t="s">
        <v>57</v>
      </c>
      <c r="C411">
        <v>395</v>
      </c>
    </row>
    <row r="412" spans="2:3">
      <c r="B412" t="s">
        <v>80</v>
      </c>
      <c r="C412">
        <v>396</v>
      </c>
    </row>
    <row r="413" spans="2:3">
      <c r="B413" t="s">
        <v>95</v>
      </c>
      <c r="C413">
        <v>397</v>
      </c>
    </row>
    <row r="414" spans="2:3">
      <c r="B414" t="s">
        <v>127</v>
      </c>
      <c r="C414">
        <v>398</v>
      </c>
    </row>
    <row r="415" spans="2:3">
      <c r="B415" t="s">
        <v>108</v>
      </c>
      <c r="C415">
        <v>399</v>
      </c>
    </row>
    <row r="416" spans="2:3">
      <c r="B416" t="s">
        <v>875</v>
      </c>
      <c r="C416">
        <v>400</v>
      </c>
    </row>
    <row r="417" spans="2:3">
      <c r="B417" t="s">
        <v>876</v>
      </c>
      <c r="C417">
        <v>401</v>
      </c>
    </row>
    <row r="418" spans="2:3">
      <c r="B418" t="s">
        <v>170</v>
      </c>
      <c r="C418">
        <v>402</v>
      </c>
    </row>
    <row r="419" spans="2:3">
      <c r="B419" t="s">
        <v>697</v>
      </c>
      <c r="C419">
        <v>403</v>
      </c>
    </row>
    <row r="420" spans="2:3">
      <c r="B420" t="s">
        <v>171</v>
      </c>
      <c r="C420">
        <v>404</v>
      </c>
    </row>
    <row r="421" spans="2:3">
      <c r="B421" t="s">
        <v>698</v>
      </c>
      <c r="C421">
        <v>405</v>
      </c>
    </row>
    <row r="422" spans="2:3">
      <c r="B422" t="s">
        <v>172</v>
      </c>
      <c r="C422">
        <v>406</v>
      </c>
    </row>
    <row r="423" spans="2:3">
      <c r="B423" t="s">
        <v>699</v>
      </c>
      <c r="C423">
        <v>407</v>
      </c>
    </row>
    <row r="424" spans="2:3">
      <c r="B424" t="s">
        <v>229</v>
      </c>
      <c r="C424">
        <v>408</v>
      </c>
    </row>
    <row r="425" spans="2:3">
      <c r="B425" t="s">
        <v>230</v>
      </c>
      <c r="C425">
        <v>409</v>
      </c>
    </row>
    <row r="426" spans="2:3">
      <c r="B426" t="s">
        <v>231</v>
      </c>
      <c r="C426">
        <v>410</v>
      </c>
    </row>
    <row r="427" spans="2:3">
      <c r="B427" t="s">
        <v>232</v>
      </c>
      <c r="C427">
        <v>411</v>
      </c>
    </row>
    <row r="428" spans="2:3">
      <c r="B428" t="s">
        <v>233</v>
      </c>
      <c r="C428">
        <v>412</v>
      </c>
    </row>
    <row r="429" spans="2:3">
      <c r="B429" t="s">
        <v>234</v>
      </c>
      <c r="C429">
        <v>413</v>
      </c>
    </row>
    <row r="430" spans="2:3">
      <c r="B430" t="s">
        <v>244</v>
      </c>
      <c r="C430">
        <v>414</v>
      </c>
    </row>
    <row r="431" spans="2:3">
      <c r="B431" t="s">
        <v>245</v>
      </c>
      <c r="C431">
        <v>415</v>
      </c>
    </row>
    <row r="432" spans="2:3">
      <c r="B432" t="s">
        <v>246</v>
      </c>
      <c r="C432">
        <v>416</v>
      </c>
    </row>
    <row r="433" spans="2:11">
      <c r="B433" t="s">
        <v>247</v>
      </c>
      <c r="C433">
        <v>417</v>
      </c>
    </row>
    <row r="434" spans="2:11">
      <c r="B434" t="s">
        <v>260</v>
      </c>
      <c r="C434">
        <v>418</v>
      </c>
    </row>
    <row r="435" spans="2:11">
      <c r="B435" t="s">
        <v>261</v>
      </c>
      <c r="C435">
        <v>419</v>
      </c>
      <c r="G435">
        <v>1029</v>
      </c>
      <c r="H435" t="s">
        <v>1431</v>
      </c>
      <c r="I435" t="s">
        <v>1431</v>
      </c>
      <c r="J435" t="s">
        <v>1508</v>
      </c>
      <c r="K435">
        <v>1</v>
      </c>
    </row>
    <row r="436" spans="2:11">
      <c r="B436" t="s">
        <v>262</v>
      </c>
      <c r="C436">
        <v>420</v>
      </c>
      <c r="G436">
        <v>1030</v>
      </c>
      <c r="H436" t="s">
        <v>1432</v>
      </c>
      <c r="I436" t="s">
        <v>1432</v>
      </c>
      <c r="J436" t="s">
        <v>1508</v>
      </c>
      <c r="K436">
        <v>1</v>
      </c>
    </row>
    <row r="437" spans="2:11">
      <c r="B437" t="s">
        <v>263</v>
      </c>
      <c r="C437">
        <v>421</v>
      </c>
      <c r="G437">
        <v>1031</v>
      </c>
      <c r="H437" t="s">
        <v>1433</v>
      </c>
      <c r="I437" t="s">
        <v>1433</v>
      </c>
      <c r="J437" t="s">
        <v>1508</v>
      </c>
      <c r="K437">
        <v>1</v>
      </c>
    </row>
    <row r="438" spans="2:11">
      <c r="B438" t="s">
        <v>264</v>
      </c>
      <c r="C438">
        <v>422</v>
      </c>
      <c r="G438">
        <v>1032</v>
      </c>
      <c r="H438" t="s">
        <v>1434</v>
      </c>
      <c r="I438" t="s">
        <v>1434</v>
      </c>
      <c r="J438" t="s">
        <v>1508</v>
      </c>
      <c r="K438">
        <v>1</v>
      </c>
    </row>
    <row r="439" spans="2:11">
      <c r="B439" t="s">
        <v>265</v>
      </c>
      <c r="C439">
        <v>423</v>
      </c>
      <c r="G439">
        <v>1033</v>
      </c>
      <c r="H439" t="s">
        <v>1435</v>
      </c>
      <c r="I439" t="s">
        <v>1435</v>
      </c>
      <c r="J439" t="s">
        <v>1508</v>
      </c>
      <c r="K439">
        <v>1</v>
      </c>
    </row>
    <row r="440" spans="2:11">
      <c r="B440" t="s">
        <v>271</v>
      </c>
      <c r="C440">
        <v>424</v>
      </c>
      <c r="G440">
        <v>1034</v>
      </c>
      <c r="H440" t="s">
        <v>1436</v>
      </c>
      <c r="I440" t="s">
        <v>1436</v>
      </c>
      <c r="J440" t="s">
        <v>1508</v>
      </c>
      <c r="K440">
        <v>1</v>
      </c>
    </row>
    <row r="441" spans="2:11">
      <c r="B441" t="s">
        <v>272</v>
      </c>
      <c r="C441">
        <v>425</v>
      </c>
      <c r="G441">
        <v>1035</v>
      </c>
      <c r="H441" t="s">
        <v>1437</v>
      </c>
      <c r="I441" t="s">
        <v>1437</v>
      </c>
      <c r="J441" t="s">
        <v>1508</v>
      </c>
      <c r="K441">
        <v>1</v>
      </c>
    </row>
    <row r="442" spans="2:11">
      <c r="B442" t="s">
        <v>273</v>
      </c>
      <c r="C442">
        <v>426</v>
      </c>
      <c r="G442">
        <v>1036</v>
      </c>
      <c r="H442" t="s">
        <v>1509</v>
      </c>
      <c r="I442" t="s">
        <v>1510</v>
      </c>
      <c r="J442" t="s">
        <v>1508</v>
      </c>
      <c r="K442">
        <v>1</v>
      </c>
    </row>
    <row r="443" spans="2:11">
      <c r="B443" t="s">
        <v>275</v>
      </c>
      <c r="C443">
        <v>427</v>
      </c>
      <c r="G443">
        <v>1037</v>
      </c>
      <c r="H443" t="s">
        <v>1439</v>
      </c>
      <c r="I443" t="s">
        <v>1439</v>
      </c>
      <c r="J443" t="s">
        <v>1508</v>
      </c>
      <c r="K443">
        <v>1</v>
      </c>
    </row>
    <row r="444" spans="2:11">
      <c r="B444" t="s">
        <v>276</v>
      </c>
      <c r="C444">
        <v>428</v>
      </c>
      <c r="G444">
        <v>1038</v>
      </c>
      <c r="H444" t="s">
        <v>1440</v>
      </c>
      <c r="I444" t="s">
        <v>1440</v>
      </c>
      <c r="J444" t="s">
        <v>1508</v>
      </c>
      <c r="K444">
        <v>1</v>
      </c>
    </row>
    <row r="445" spans="2:11">
      <c r="B445" t="s">
        <v>277</v>
      </c>
      <c r="C445">
        <v>429</v>
      </c>
      <c r="G445">
        <v>1039</v>
      </c>
      <c r="H445" t="s">
        <v>1441</v>
      </c>
      <c r="I445" t="s">
        <v>1441</v>
      </c>
      <c r="J445" t="s">
        <v>1508</v>
      </c>
      <c r="K445">
        <v>1</v>
      </c>
    </row>
    <row r="446" spans="2:11">
      <c r="B446" t="s">
        <v>710</v>
      </c>
      <c r="C446">
        <v>430</v>
      </c>
    </row>
    <row r="447" spans="2:11">
      <c r="B447" t="s">
        <v>711</v>
      </c>
      <c r="C447">
        <v>431</v>
      </c>
    </row>
    <row r="448" spans="2:11">
      <c r="B448" t="s">
        <v>689</v>
      </c>
      <c r="C448">
        <v>432</v>
      </c>
    </row>
    <row r="449" spans="2:3">
      <c r="B449" t="s">
        <v>694</v>
      </c>
      <c r="C449">
        <v>433</v>
      </c>
    </row>
    <row r="450" spans="2:3">
      <c r="B450" t="s">
        <v>695</v>
      </c>
      <c r="C450">
        <v>434</v>
      </c>
    </row>
    <row r="451" spans="2:3">
      <c r="B451" t="s">
        <v>696</v>
      </c>
      <c r="C451">
        <v>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341"/>
  <sheetViews>
    <sheetView zoomScaleNormal="100" workbookViewId="0">
      <pane xSplit="3" ySplit="3" topLeftCell="D190" activePane="bottomRight" state="frozen"/>
      <selection activeCell="W12" sqref="W12"/>
      <selection pane="topRight" activeCell="W12" sqref="W12"/>
      <selection pane="bottomLeft" activeCell="W12" sqref="W12"/>
      <selection pane="bottomRight" activeCell="H196" sqref="H196:H296"/>
    </sheetView>
  </sheetViews>
  <sheetFormatPr defaultRowHeight="15.75"/>
  <cols>
    <col min="1" max="1" width="4.125" bestFit="1" customWidth="1"/>
    <col min="2" max="2" width="5.5" customWidth="1"/>
    <col min="3" max="3" width="4.75" bestFit="1" customWidth="1"/>
    <col min="4" max="4" width="14.125" customWidth="1"/>
    <col min="5" max="5" width="15" customWidth="1"/>
    <col min="6" max="6" width="6.25" customWidth="1"/>
    <col min="7" max="7" width="13.5" bestFit="1" customWidth="1"/>
    <col min="8" max="8" width="9" customWidth="1"/>
    <col min="9" max="9" width="14.875" bestFit="1" customWidth="1"/>
    <col min="10" max="10" width="9" customWidth="1"/>
    <col min="11" max="11" width="9" style="5" customWidth="1"/>
    <col min="12" max="12" width="11" style="6" customWidth="1"/>
    <col min="13" max="13" width="10.25" style="7" customWidth="1"/>
    <col min="14" max="17" width="4.5" customWidth="1"/>
    <col min="18" max="18" width="2.375" style="32" customWidth="1"/>
    <col min="19" max="19" width="15.875" style="7" customWidth="1"/>
  </cols>
  <sheetData>
    <row r="1" spans="1:19" ht="16.5" customHeight="1" thickBot="1"/>
    <row r="2" spans="1:19" s="4" customFormat="1" ht="20.25" customHeight="1">
      <c r="A2" s="411" t="s">
        <v>176</v>
      </c>
      <c r="B2" s="407" t="s">
        <v>177</v>
      </c>
      <c r="C2" s="407" t="s">
        <v>178</v>
      </c>
      <c r="D2" s="407" t="s">
        <v>179</v>
      </c>
      <c r="E2" s="407" t="s">
        <v>180</v>
      </c>
      <c r="F2" s="407" t="s">
        <v>181</v>
      </c>
      <c r="G2" s="407" t="s">
        <v>182</v>
      </c>
      <c r="H2" s="407" t="s">
        <v>183</v>
      </c>
      <c r="I2" s="407" t="s">
        <v>184</v>
      </c>
      <c r="J2" s="407" t="s">
        <v>185</v>
      </c>
      <c r="K2" s="407" t="s">
        <v>138</v>
      </c>
      <c r="L2" s="409" t="s">
        <v>186</v>
      </c>
      <c r="M2" s="403"/>
      <c r="N2" s="404"/>
      <c r="O2" s="404"/>
      <c r="P2" s="404"/>
      <c r="Q2" s="405"/>
      <c r="R2" s="28"/>
      <c r="S2" s="406" t="s">
        <v>138</v>
      </c>
    </row>
    <row r="3" spans="1:19" s="1" customFormat="1" ht="30.75" customHeight="1">
      <c r="A3" s="412"/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10"/>
      <c r="M3" s="46" t="s">
        <v>100</v>
      </c>
      <c r="N3" s="46" t="s">
        <v>187</v>
      </c>
      <c r="O3" s="46" t="s">
        <v>188</v>
      </c>
      <c r="P3" s="46" t="s">
        <v>189</v>
      </c>
      <c r="Q3" s="33" t="s">
        <v>190</v>
      </c>
      <c r="R3" s="28"/>
      <c r="S3" s="406"/>
    </row>
    <row r="4" spans="1:19" s="4" customFormat="1" ht="18" customHeight="1">
      <c r="A4" s="34">
        <v>2018</v>
      </c>
      <c r="B4" s="9">
        <v>7</v>
      </c>
      <c r="C4" s="9">
        <v>30</v>
      </c>
      <c r="D4" s="41" t="s">
        <v>227</v>
      </c>
      <c r="E4" s="41" t="s">
        <v>228</v>
      </c>
      <c r="F4" s="9" t="s">
        <v>23</v>
      </c>
      <c r="G4" s="10" t="s">
        <v>191</v>
      </c>
      <c r="H4" s="18" t="s">
        <v>203</v>
      </c>
      <c r="I4" s="36" t="s">
        <v>15</v>
      </c>
      <c r="J4" s="13" t="s">
        <v>206</v>
      </c>
      <c r="K4" s="42">
        <v>176000</v>
      </c>
      <c r="L4" s="20">
        <f t="shared" ref="L4:L67" si="0">K4*P4</f>
        <v>0</v>
      </c>
      <c r="M4" s="24"/>
      <c r="N4" s="14"/>
      <c r="O4" s="14"/>
      <c r="P4" s="16">
        <f>N4+O4-Q4</f>
        <v>0</v>
      </c>
      <c r="Q4" s="35"/>
      <c r="R4" s="29"/>
      <c r="S4" s="40"/>
    </row>
    <row r="5" spans="1:19" s="4" customFormat="1" ht="18" customHeight="1">
      <c r="A5" s="34">
        <v>2018</v>
      </c>
      <c r="B5" s="9">
        <v>7</v>
      </c>
      <c r="C5" s="9">
        <v>30</v>
      </c>
      <c r="D5" s="27" t="s">
        <v>227</v>
      </c>
      <c r="E5" s="27" t="s">
        <v>228</v>
      </c>
      <c r="F5" s="9" t="s">
        <v>23</v>
      </c>
      <c r="G5" s="10" t="s">
        <v>191</v>
      </c>
      <c r="H5" s="12" t="s">
        <v>1</v>
      </c>
      <c r="I5" s="36" t="s">
        <v>5</v>
      </c>
      <c r="J5" s="13" t="s">
        <v>206</v>
      </c>
      <c r="K5" s="21">
        <v>208000</v>
      </c>
      <c r="L5" s="20">
        <f t="shared" si="0"/>
        <v>0</v>
      </c>
      <c r="M5" s="24"/>
      <c r="N5" s="14"/>
      <c r="O5" s="14"/>
      <c r="P5" s="16">
        <f t="shared" ref="P5:P68" si="1">N5+O5-Q5</f>
        <v>0</v>
      </c>
      <c r="Q5" s="35"/>
      <c r="R5" s="29"/>
      <c r="S5" s="40"/>
    </row>
    <row r="6" spans="1:19" s="4" customFormat="1" ht="18" customHeight="1">
      <c r="A6" s="34">
        <v>2018</v>
      </c>
      <c r="B6" s="9">
        <v>7</v>
      </c>
      <c r="C6" s="9">
        <v>30</v>
      </c>
      <c r="D6" s="27" t="s">
        <v>227</v>
      </c>
      <c r="E6" s="27" t="s">
        <v>228</v>
      </c>
      <c r="F6" s="9" t="s">
        <v>23</v>
      </c>
      <c r="G6" s="10" t="s">
        <v>191</v>
      </c>
      <c r="H6" s="12" t="s">
        <v>1</v>
      </c>
      <c r="I6" s="36" t="s">
        <v>7</v>
      </c>
      <c r="J6" s="13" t="s">
        <v>206</v>
      </c>
      <c r="K6" s="21">
        <v>274000</v>
      </c>
      <c r="L6" s="20">
        <f t="shared" si="0"/>
        <v>0</v>
      </c>
      <c r="M6" s="24"/>
      <c r="N6" s="14"/>
      <c r="O6" s="14"/>
      <c r="P6" s="16">
        <f t="shared" si="1"/>
        <v>0</v>
      </c>
      <c r="Q6" s="35"/>
      <c r="R6" s="29"/>
      <c r="S6" s="40"/>
    </row>
    <row r="7" spans="1:19" s="4" customFormat="1" ht="18" customHeight="1">
      <c r="A7" s="34">
        <v>2018</v>
      </c>
      <c r="B7" s="9">
        <v>7</v>
      </c>
      <c r="C7" s="9">
        <v>30</v>
      </c>
      <c r="D7" s="27" t="s">
        <v>227</v>
      </c>
      <c r="E7" s="27" t="s">
        <v>228</v>
      </c>
      <c r="F7" s="9" t="s">
        <v>23</v>
      </c>
      <c r="G7" s="10" t="s">
        <v>191</v>
      </c>
      <c r="H7" s="12" t="s">
        <v>1</v>
      </c>
      <c r="I7" s="36" t="s">
        <v>24</v>
      </c>
      <c r="J7" s="13" t="s">
        <v>206</v>
      </c>
      <c r="K7" s="21">
        <v>197000</v>
      </c>
      <c r="L7" s="20">
        <f t="shared" si="0"/>
        <v>0</v>
      </c>
      <c r="M7" s="24"/>
      <c r="N7" s="14"/>
      <c r="O7" s="14"/>
      <c r="P7" s="16">
        <f t="shared" si="1"/>
        <v>0</v>
      </c>
      <c r="Q7" s="35"/>
      <c r="R7" s="29"/>
      <c r="S7" s="40"/>
    </row>
    <row r="8" spans="1:19" s="4" customFormat="1" ht="18" customHeight="1">
      <c r="A8" s="34">
        <v>2018</v>
      </c>
      <c r="B8" s="9">
        <v>7</v>
      </c>
      <c r="C8" s="9">
        <v>30</v>
      </c>
      <c r="D8" s="27" t="s">
        <v>227</v>
      </c>
      <c r="E8" s="27" t="s">
        <v>228</v>
      </c>
      <c r="F8" s="9" t="s">
        <v>23</v>
      </c>
      <c r="G8" s="10" t="s">
        <v>191</v>
      </c>
      <c r="H8" s="12" t="s">
        <v>1</v>
      </c>
      <c r="I8" s="9" t="s">
        <v>6</v>
      </c>
      <c r="J8" s="13" t="s">
        <v>206</v>
      </c>
      <c r="K8" s="21">
        <v>252000</v>
      </c>
      <c r="L8" s="20">
        <f t="shared" si="0"/>
        <v>0</v>
      </c>
      <c r="M8" s="24"/>
      <c r="N8" s="14"/>
      <c r="O8" s="14"/>
      <c r="P8" s="16">
        <f t="shared" si="1"/>
        <v>0</v>
      </c>
      <c r="Q8" s="35"/>
      <c r="R8" s="29"/>
      <c r="S8" s="40"/>
    </row>
    <row r="9" spans="1:19" s="4" customFormat="1" ht="18" customHeight="1">
      <c r="A9" s="34">
        <v>2018</v>
      </c>
      <c r="B9" s="9">
        <v>7</v>
      </c>
      <c r="C9" s="9">
        <v>30</v>
      </c>
      <c r="D9" s="27" t="s">
        <v>227</v>
      </c>
      <c r="E9" s="27" t="s">
        <v>228</v>
      </c>
      <c r="F9" s="9" t="s">
        <v>23</v>
      </c>
      <c r="G9" s="10" t="s">
        <v>191</v>
      </c>
      <c r="H9" s="12" t="s">
        <v>1</v>
      </c>
      <c r="I9" s="9" t="s">
        <v>8</v>
      </c>
      <c r="J9" s="13" t="s">
        <v>206</v>
      </c>
      <c r="K9" s="21">
        <v>384000</v>
      </c>
      <c r="L9" s="20">
        <f t="shared" si="0"/>
        <v>0</v>
      </c>
      <c r="M9" s="24"/>
      <c r="N9" s="14"/>
      <c r="O9" s="14"/>
      <c r="P9" s="16">
        <f t="shared" si="1"/>
        <v>0</v>
      </c>
      <c r="Q9" s="35"/>
      <c r="R9" s="29"/>
      <c r="S9" s="40"/>
    </row>
    <row r="10" spans="1:19" s="4" customFormat="1" ht="18" customHeight="1">
      <c r="A10" s="34">
        <v>2018</v>
      </c>
      <c r="B10" s="9">
        <v>7</v>
      </c>
      <c r="C10" s="9">
        <v>30</v>
      </c>
      <c r="D10" s="27" t="s">
        <v>227</v>
      </c>
      <c r="E10" s="27" t="s">
        <v>228</v>
      </c>
      <c r="F10" s="9" t="s">
        <v>23</v>
      </c>
      <c r="G10" s="10" t="s">
        <v>191</v>
      </c>
      <c r="H10" s="12" t="s">
        <v>25</v>
      </c>
      <c r="I10" s="36" t="s">
        <v>26</v>
      </c>
      <c r="J10" s="13" t="s">
        <v>206</v>
      </c>
      <c r="K10" s="21">
        <v>252000</v>
      </c>
      <c r="L10" s="20">
        <f t="shared" si="0"/>
        <v>0</v>
      </c>
      <c r="M10" s="24"/>
      <c r="N10" s="14"/>
      <c r="O10" s="14"/>
      <c r="P10" s="16">
        <f t="shared" si="1"/>
        <v>0</v>
      </c>
      <c r="Q10" s="35"/>
      <c r="R10" s="29"/>
      <c r="S10" s="40"/>
    </row>
    <row r="11" spans="1:19" s="4" customFormat="1" ht="18" customHeight="1">
      <c r="A11" s="34">
        <v>2018</v>
      </c>
      <c r="B11" s="9">
        <v>7</v>
      </c>
      <c r="C11" s="9">
        <v>30</v>
      </c>
      <c r="D11" s="27" t="s">
        <v>227</v>
      </c>
      <c r="E11" s="27" t="s">
        <v>228</v>
      </c>
      <c r="F11" s="9" t="s">
        <v>23</v>
      </c>
      <c r="G11" s="10" t="s">
        <v>191</v>
      </c>
      <c r="H11" s="12" t="s">
        <v>25</v>
      </c>
      <c r="I11" s="36" t="s">
        <v>27</v>
      </c>
      <c r="J11" s="13" t="s">
        <v>206</v>
      </c>
      <c r="K11" s="21">
        <v>296000</v>
      </c>
      <c r="L11" s="20">
        <f t="shared" si="0"/>
        <v>0</v>
      </c>
      <c r="M11" s="24"/>
      <c r="N11" s="14"/>
      <c r="O11" s="14"/>
      <c r="P11" s="16">
        <f t="shared" si="1"/>
        <v>0</v>
      </c>
      <c r="Q11" s="35"/>
      <c r="R11" s="29"/>
      <c r="S11" s="40"/>
    </row>
    <row r="12" spans="1:19" s="4" customFormat="1" ht="18" customHeight="1">
      <c r="A12" s="34">
        <v>2018</v>
      </c>
      <c r="B12" s="9">
        <v>7</v>
      </c>
      <c r="C12" s="9">
        <v>30</v>
      </c>
      <c r="D12" s="27" t="s">
        <v>227</v>
      </c>
      <c r="E12" s="27" t="s">
        <v>228</v>
      </c>
      <c r="F12" s="9" t="s">
        <v>23</v>
      </c>
      <c r="G12" s="10" t="s">
        <v>191</v>
      </c>
      <c r="H12" s="12" t="s">
        <v>25</v>
      </c>
      <c r="I12" s="36" t="s">
        <v>28</v>
      </c>
      <c r="J12" s="13" t="s">
        <v>206</v>
      </c>
      <c r="K12" s="21">
        <v>351000</v>
      </c>
      <c r="L12" s="20">
        <f t="shared" si="0"/>
        <v>0</v>
      </c>
      <c r="M12" s="24"/>
      <c r="N12" s="14"/>
      <c r="O12" s="14"/>
      <c r="P12" s="16">
        <f t="shared" si="1"/>
        <v>0</v>
      </c>
      <c r="Q12" s="35"/>
      <c r="R12" s="29"/>
      <c r="S12" s="40"/>
    </row>
    <row r="13" spans="1:19" s="4" customFormat="1" ht="18" customHeight="1">
      <c r="A13" s="34">
        <v>2018</v>
      </c>
      <c r="B13" s="9">
        <v>7</v>
      </c>
      <c r="C13" s="9">
        <v>30</v>
      </c>
      <c r="D13" s="27" t="s">
        <v>227</v>
      </c>
      <c r="E13" s="27" t="s">
        <v>228</v>
      </c>
      <c r="F13" s="9" t="s">
        <v>23</v>
      </c>
      <c r="G13" s="10" t="s">
        <v>191</v>
      </c>
      <c r="H13" s="12" t="s">
        <v>2</v>
      </c>
      <c r="I13" s="36" t="s">
        <v>29</v>
      </c>
      <c r="J13" s="13" t="s">
        <v>206</v>
      </c>
      <c r="K13" s="42">
        <v>199000</v>
      </c>
      <c r="L13" s="20">
        <f t="shared" si="0"/>
        <v>0</v>
      </c>
      <c r="M13" s="24"/>
      <c r="N13" s="14"/>
      <c r="O13" s="14"/>
      <c r="P13" s="16">
        <f t="shared" si="1"/>
        <v>0</v>
      </c>
      <c r="Q13" s="35"/>
      <c r="R13" s="29"/>
      <c r="S13" s="40"/>
    </row>
    <row r="14" spans="1:19" s="4" customFormat="1" ht="18" customHeight="1">
      <c r="A14" s="34">
        <v>2018</v>
      </c>
      <c r="B14" s="9">
        <v>7</v>
      </c>
      <c r="C14" s="9">
        <v>30</v>
      </c>
      <c r="D14" s="27" t="s">
        <v>227</v>
      </c>
      <c r="E14" s="27" t="s">
        <v>228</v>
      </c>
      <c r="F14" s="9" t="s">
        <v>23</v>
      </c>
      <c r="G14" s="10" t="s">
        <v>191</v>
      </c>
      <c r="H14" s="12" t="s">
        <v>2</v>
      </c>
      <c r="I14" s="36" t="s">
        <v>9</v>
      </c>
      <c r="J14" s="13" t="s">
        <v>206</v>
      </c>
      <c r="K14" s="42">
        <v>222900</v>
      </c>
      <c r="L14" s="20">
        <f t="shared" si="0"/>
        <v>0</v>
      </c>
      <c r="M14" s="24"/>
      <c r="N14" s="14"/>
      <c r="O14" s="14"/>
      <c r="P14" s="16">
        <f t="shared" si="1"/>
        <v>0</v>
      </c>
      <c r="Q14" s="35"/>
      <c r="R14" s="29"/>
      <c r="S14" s="40"/>
    </row>
    <row r="15" spans="1:19" s="4" customFormat="1" ht="18" customHeight="1">
      <c r="A15" s="34">
        <v>2018</v>
      </c>
      <c r="B15" s="9">
        <v>7</v>
      </c>
      <c r="C15" s="9">
        <v>30</v>
      </c>
      <c r="D15" s="27" t="s">
        <v>227</v>
      </c>
      <c r="E15" s="27" t="s">
        <v>228</v>
      </c>
      <c r="F15" s="9" t="s">
        <v>23</v>
      </c>
      <c r="G15" s="10" t="s">
        <v>191</v>
      </c>
      <c r="H15" s="12" t="s">
        <v>2</v>
      </c>
      <c r="I15" s="36" t="s">
        <v>10</v>
      </c>
      <c r="J15" s="13" t="s">
        <v>206</v>
      </c>
      <c r="K15" s="42">
        <v>260900</v>
      </c>
      <c r="L15" s="20">
        <f t="shared" si="0"/>
        <v>0</v>
      </c>
      <c r="M15" s="24"/>
      <c r="N15" s="14"/>
      <c r="O15" s="14"/>
      <c r="P15" s="16">
        <f t="shared" si="1"/>
        <v>0</v>
      </c>
      <c r="Q15" s="35"/>
      <c r="R15" s="29"/>
      <c r="S15" s="40"/>
    </row>
    <row r="16" spans="1:19" s="4" customFormat="1" ht="18" customHeight="1">
      <c r="A16" s="34">
        <v>2018</v>
      </c>
      <c r="B16" s="9">
        <v>7</v>
      </c>
      <c r="C16" s="9">
        <v>30</v>
      </c>
      <c r="D16" s="27" t="s">
        <v>227</v>
      </c>
      <c r="E16" s="27" t="s">
        <v>228</v>
      </c>
      <c r="F16" s="9" t="s">
        <v>23</v>
      </c>
      <c r="G16" s="10" t="s">
        <v>191</v>
      </c>
      <c r="H16" s="12" t="s">
        <v>2</v>
      </c>
      <c r="I16" s="36" t="s">
        <v>12</v>
      </c>
      <c r="J16" s="13" t="s">
        <v>206</v>
      </c>
      <c r="K16" s="42">
        <v>347900</v>
      </c>
      <c r="L16" s="20">
        <f t="shared" si="0"/>
        <v>0</v>
      </c>
      <c r="M16" s="24"/>
      <c r="N16" s="14"/>
      <c r="O16" s="14"/>
      <c r="P16" s="16">
        <f t="shared" si="1"/>
        <v>0</v>
      </c>
      <c r="Q16" s="35"/>
      <c r="R16" s="29"/>
      <c r="S16" s="40"/>
    </row>
    <row r="17" spans="1:19" s="4" customFormat="1" ht="18" customHeight="1">
      <c r="A17" s="34">
        <v>2018</v>
      </c>
      <c r="B17" s="9">
        <v>7</v>
      </c>
      <c r="C17" s="9">
        <v>30</v>
      </c>
      <c r="D17" s="27" t="s">
        <v>227</v>
      </c>
      <c r="E17" s="27" t="s">
        <v>228</v>
      </c>
      <c r="F17" s="9" t="s">
        <v>23</v>
      </c>
      <c r="G17" s="10" t="s">
        <v>191</v>
      </c>
      <c r="H17" s="12" t="s">
        <v>2</v>
      </c>
      <c r="I17" s="36" t="s">
        <v>11</v>
      </c>
      <c r="J17" s="13" t="s">
        <v>206</v>
      </c>
      <c r="K17" s="42">
        <v>310900</v>
      </c>
      <c r="L17" s="20">
        <f t="shared" si="0"/>
        <v>0</v>
      </c>
      <c r="M17" s="24"/>
      <c r="N17" s="14"/>
      <c r="O17" s="14"/>
      <c r="P17" s="16">
        <f t="shared" si="1"/>
        <v>0</v>
      </c>
      <c r="Q17" s="35"/>
      <c r="R17" s="29"/>
      <c r="S17" s="40"/>
    </row>
    <row r="18" spans="1:19" s="4" customFormat="1" ht="18" customHeight="1">
      <c r="A18" s="34">
        <v>2018</v>
      </c>
      <c r="B18" s="9">
        <v>7</v>
      </c>
      <c r="C18" s="9">
        <v>30</v>
      </c>
      <c r="D18" s="27" t="s">
        <v>227</v>
      </c>
      <c r="E18" s="27" t="s">
        <v>228</v>
      </c>
      <c r="F18" s="9" t="s">
        <v>23</v>
      </c>
      <c r="G18" s="10" t="s">
        <v>191</v>
      </c>
      <c r="H18" s="12" t="s">
        <v>2</v>
      </c>
      <c r="I18" s="36" t="s">
        <v>14</v>
      </c>
      <c r="J18" s="13" t="s">
        <v>206</v>
      </c>
      <c r="K18" s="42">
        <v>590900</v>
      </c>
      <c r="L18" s="20">
        <f t="shared" si="0"/>
        <v>0</v>
      </c>
      <c r="M18" s="24"/>
      <c r="N18" s="14"/>
      <c r="O18" s="14"/>
      <c r="P18" s="16">
        <f t="shared" si="1"/>
        <v>0</v>
      </c>
      <c r="Q18" s="35"/>
      <c r="R18" s="29"/>
      <c r="S18" s="40"/>
    </row>
    <row r="19" spans="1:19" s="4" customFormat="1" ht="18" customHeight="1">
      <c r="A19" s="34">
        <v>2018</v>
      </c>
      <c r="B19" s="9">
        <v>7</v>
      </c>
      <c r="C19" s="9">
        <v>30</v>
      </c>
      <c r="D19" s="27" t="s">
        <v>227</v>
      </c>
      <c r="E19" s="27" t="s">
        <v>228</v>
      </c>
      <c r="F19" s="9" t="s">
        <v>23</v>
      </c>
      <c r="G19" s="10" t="s">
        <v>191</v>
      </c>
      <c r="H19" s="12" t="s">
        <v>2</v>
      </c>
      <c r="I19" s="36" t="s">
        <v>13</v>
      </c>
      <c r="J19" s="13" t="s">
        <v>206</v>
      </c>
      <c r="K19" s="42">
        <v>464900</v>
      </c>
      <c r="L19" s="20">
        <f t="shared" si="0"/>
        <v>0</v>
      </c>
      <c r="M19" s="24"/>
      <c r="N19" s="14"/>
      <c r="O19" s="14"/>
      <c r="P19" s="16">
        <f t="shared" si="1"/>
        <v>0</v>
      </c>
      <c r="Q19" s="35"/>
      <c r="R19" s="29"/>
      <c r="S19" s="40"/>
    </row>
    <row r="20" spans="1:19" s="4" customFormat="1" ht="18" customHeight="1">
      <c r="A20" s="34">
        <v>2018</v>
      </c>
      <c r="B20" s="9">
        <v>7</v>
      </c>
      <c r="C20" s="9">
        <v>30</v>
      </c>
      <c r="D20" s="27" t="s">
        <v>227</v>
      </c>
      <c r="E20" s="27" t="s">
        <v>228</v>
      </c>
      <c r="F20" s="9" t="s">
        <v>23</v>
      </c>
      <c r="G20" s="10" t="s">
        <v>191</v>
      </c>
      <c r="H20" s="12" t="s">
        <v>30</v>
      </c>
      <c r="I20" s="36" t="s">
        <v>63</v>
      </c>
      <c r="J20" s="13" t="s">
        <v>223</v>
      </c>
      <c r="K20" s="43">
        <v>289000</v>
      </c>
      <c r="L20" s="20">
        <f t="shared" si="0"/>
        <v>0</v>
      </c>
      <c r="M20" s="24"/>
      <c r="N20" s="14"/>
      <c r="O20" s="14"/>
      <c r="P20" s="16">
        <f t="shared" si="1"/>
        <v>0</v>
      </c>
      <c r="Q20" s="35"/>
      <c r="R20" s="29"/>
      <c r="S20" s="40"/>
    </row>
    <row r="21" spans="1:19" s="4" customFormat="1" ht="18" customHeight="1">
      <c r="A21" s="34">
        <v>2018</v>
      </c>
      <c r="B21" s="9">
        <v>7</v>
      </c>
      <c r="C21" s="9">
        <v>30</v>
      </c>
      <c r="D21" s="27" t="s">
        <v>227</v>
      </c>
      <c r="E21" s="27" t="s">
        <v>228</v>
      </c>
      <c r="F21" s="9" t="s">
        <v>23</v>
      </c>
      <c r="G21" s="10" t="s">
        <v>191</v>
      </c>
      <c r="H21" s="12" t="s">
        <v>30</v>
      </c>
      <c r="I21" s="36" t="s">
        <v>64</v>
      </c>
      <c r="J21" s="13" t="s">
        <v>223</v>
      </c>
      <c r="K21" s="43">
        <v>396000</v>
      </c>
      <c r="L21" s="20">
        <f t="shared" si="0"/>
        <v>0</v>
      </c>
      <c r="M21" s="24"/>
      <c r="N21" s="14"/>
      <c r="O21" s="14"/>
      <c r="P21" s="16">
        <f t="shared" si="1"/>
        <v>0</v>
      </c>
      <c r="Q21" s="35"/>
      <c r="R21" s="29"/>
      <c r="S21" s="40"/>
    </row>
    <row r="22" spans="1:19" s="4" customFormat="1" ht="18" customHeight="1">
      <c r="A22" s="34">
        <v>2018</v>
      </c>
      <c r="B22" s="9">
        <v>7</v>
      </c>
      <c r="C22" s="9">
        <v>30</v>
      </c>
      <c r="D22" s="27" t="s">
        <v>227</v>
      </c>
      <c r="E22" s="27" t="s">
        <v>228</v>
      </c>
      <c r="F22" s="9" t="s">
        <v>23</v>
      </c>
      <c r="G22" s="10" t="s">
        <v>191</v>
      </c>
      <c r="H22" s="12" t="s">
        <v>76</v>
      </c>
      <c r="I22" s="36" t="s">
        <v>70</v>
      </c>
      <c r="J22" s="13" t="s">
        <v>221</v>
      </c>
      <c r="K22" s="42">
        <v>220900</v>
      </c>
      <c r="L22" s="20">
        <f t="shared" si="0"/>
        <v>0</v>
      </c>
      <c r="M22" s="24"/>
      <c r="N22" s="14"/>
      <c r="O22" s="14"/>
      <c r="P22" s="16">
        <f t="shared" si="1"/>
        <v>0</v>
      </c>
      <c r="Q22" s="35"/>
      <c r="R22" s="29"/>
      <c r="S22" s="40"/>
    </row>
    <row r="23" spans="1:19" s="4" customFormat="1" ht="18" customHeight="1">
      <c r="A23" s="34">
        <v>2018</v>
      </c>
      <c r="B23" s="9">
        <v>7</v>
      </c>
      <c r="C23" s="9">
        <v>30</v>
      </c>
      <c r="D23" s="27" t="s">
        <v>227</v>
      </c>
      <c r="E23" s="27" t="s">
        <v>228</v>
      </c>
      <c r="F23" s="9" t="s">
        <v>23</v>
      </c>
      <c r="G23" s="10" t="s">
        <v>191</v>
      </c>
      <c r="H23" s="12" t="s">
        <v>76</v>
      </c>
      <c r="I23" s="9" t="s">
        <v>71</v>
      </c>
      <c r="J23" s="13" t="s">
        <v>221</v>
      </c>
      <c r="K23" s="42">
        <v>276900</v>
      </c>
      <c r="L23" s="20">
        <f t="shared" si="0"/>
        <v>0</v>
      </c>
      <c r="M23" s="24"/>
      <c r="N23" s="14"/>
      <c r="O23" s="14"/>
      <c r="P23" s="16">
        <f t="shared" si="1"/>
        <v>0</v>
      </c>
      <c r="Q23" s="35"/>
      <c r="R23" s="29"/>
      <c r="S23" s="40"/>
    </row>
    <row r="24" spans="1:19" s="4" customFormat="1" ht="18" customHeight="1">
      <c r="A24" s="34">
        <v>2018</v>
      </c>
      <c r="B24" s="9">
        <v>7</v>
      </c>
      <c r="C24" s="9">
        <v>30</v>
      </c>
      <c r="D24" s="27" t="s">
        <v>227</v>
      </c>
      <c r="E24" s="27" t="s">
        <v>228</v>
      </c>
      <c r="F24" s="9" t="s">
        <v>23</v>
      </c>
      <c r="G24" s="10" t="s">
        <v>191</v>
      </c>
      <c r="H24" s="12" t="s">
        <v>76</v>
      </c>
      <c r="I24" s="9" t="s">
        <v>72</v>
      </c>
      <c r="J24" s="13" t="s">
        <v>221</v>
      </c>
      <c r="K24" s="42">
        <v>333900</v>
      </c>
      <c r="L24" s="20">
        <f t="shared" si="0"/>
        <v>0</v>
      </c>
      <c r="M24" s="24"/>
      <c r="N24" s="14"/>
      <c r="O24" s="14"/>
      <c r="P24" s="16">
        <f t="shared" si="1"/>
        <v>0</v>
      </c>
      <c r="Q24" s="35"/>
      <c r="R24" s="29"/>
      <c r="S24" s="40"/>
    </row>
    <row r="25" spans="1:19" s="4" customFormat="1" ht="18" customHeight="1">
      <c r="A25" s="34">
        <v>2018</v>
      </c>
      <c r="B25" s="9">
        <v>7</v>
      </c>
      <c r="C25" s="9">
        <v>30</v>
      </c>
      <c r="D25" s="27" t="s">
        <v>227</v>
      </c>
      <c r="E25" s="27" t="s">
        <v>228</v>
      </c>
      <c r="F25" s="9" t="s">
        <v>23</v>
      </c>
      <c r="G25" s="10" t="s">
        <v>191</v>
      </c>
      <c r="H25" s="12" t="s">
        <v>76</v>
      </c>
      <c r="I25" s="9" t="s">
        <v>73</v>
      </c>
      <c r="J25" s="13" t="s">
        <v>221</v>
      </c>
      <c r="K25" s="21">
        <v>338000</v>
      </c>
      <c r="L25" s="20">
        <f t="shared" si="0"/>
        <v>0</v>
      </c>
      <c r="M25" s="24"/>
      <c r="N25" s="14"/>
      <c r="O25" s="14"/>
      <c r="P25" s="16">
        <f t="shared" si="1"/>
        <v>0</v>
      </c>
      <c r="Q25" s="35"/>
      <c r="R25" s="29"/>
      <c r="S25" s="40"/>
    </row>
    <row r="26" spans="1:19" s="4" customFormat="1" ht="18" customHeight="1">
      <c r="A26" s="34">
        <v>2018</v>
      </c>
      <c r="B26" s="9">
        <v>7</v>
      </c>
      <c r="C26" s="9">
        <v>30</v>
      </c>
      <c r="D26" s="27" t="s">
        <v>227</v>
      </c>
      <c r="E26" s="27" t="s">
        <v>228</v>
      </c>
      <c r="F26" s="9" t="s">
        <v>23</v>
      </c>
      <c r="G26" s="10" t="s">
        <v>191</v>
      </c>
      <c r="H26" s="12" t="s">
        <v>77</v>
      </c>
      <c r="I26" s="36" t="s">
        <v>69</v>
      </c>
      <c r="J26" s="13" t="s">
        <v>221</v>
      </c>
      <c r="K26" s="42">
        <v>365900</v>
      </c>
      <c r="L26" s="20">
        <f t="shared" si="0"/>
        <v>0</v>
      </c>
      <c r="M26" s="24"/>
      <c r="N26" s="14"/>
      <c r="O26" s="14"/>
      <c r="P26" s="16">
        <f t="shared" si="1"/>
        <v>0</v>
      </c>
      <c r="Q26" s="35"/>
      <c r="R26" s="29"/>
      <c r="S26" s="40"/>
    </row>
    <row r="27" spans="1:19" s="4" customFormat="1" ht="18" customHeight="1">
      <c r="A27" s="34">
        <v>2018</v>
      </c>
      <c r="B27" s="9">
        <v>7</v>
      </c>
      <c r="C27" s="9">
        <v>30</v>
      </c>
      <c r="D27" s="27" t="s">
        <v>227</v>
      </c>
      <c r="E27" s="27" t="s">
        <v>228</v>
      </c>
      <c r="F27" s="9" t="s">
        <v>23</v>
      </c>
      <c r="G27" s="10" t="s">
        <v>191</v>
      </c>
      <c r="H27" s="12" t="s">
        <v>77</v>
      </c>
      <c r="I27" s="36" t="s">
        <v>74</v>
      </c>
      <c r="J27" s="13" t="s">
        <v>221</v>
      </c>
      <c r="K27" s="42">
        <v>443900</v>
      </c>
      <c r="L27" s="20">
        <f t="shared" si="0"/>
        <v>0</v>
      </c>
      <c r="M27" s="24"/>
      <c r="N27" s="14"/>
      <c r="O27" s="14"/>
      <c r="P27" s="16">
        <f t="shared" si="1"/>
        <v>0</v>
      </c>
      <c r="Q27" s="35"/>
      <c r="R27" s="29"/>
      <c r="S27" s="40"/>
    </row>
    <row r="28" spans="1:19" s="4" customFormat="1" ht="18" customHeight="1">
      <c r="A28" s="34">
        <v>2018</v>
      </c>
      <c r="B28" s="9">
        <v>7</v>
      </c>
      <c r="C28" s="9">
        <v>30</v>
      </c>
      <c r="D28" s="27" t="s">
        <v>227</v>
      </c>
      <c r="E28" s="27" t="s">
        <v>228</v>
      </c>
      <c r="F28" s="9" t="s">
        <v>23</v>
      </c>
      <c r="G28" s="10" t="s">
        <v>191</v>
      </c>
      <c r="H28" s="12" t="s">
        <v>77</v>
      </c>
      <c r="I28" s="36" t="s">
        <v>75</v>
      </c>
      <c r="J28" s="13" t="s">
        <v>221</v>
      </c>
      <c r="K28" s="42">
        <v>493900</v>
      </c>
      <c r="L28" s="20">
        <f t="shared" si="0"/>
        <v>0</v>
      </c>
      <c r="M28" s="24"/>
      <c r="N28" s="14"/>
      <c r="O28" s="14"/>
      <c r="P28" s="16">
        <f t="shared" si="1"/>
        <v>0</v>
      </c>
      <c r="Q28" s="35"/>
      <c r="R28" s="29"/>
      <c r="S28" s="40"/>
    </row>
    <row r="29" spans="1:19" s="4" customFormat="1" ht="18" customHeight="1">
      <c r="A29" s="34">
        <v>2018</v>
      </c>
      <c r="B29" s="9">
        <v>7</v>
      </c>
      <c r="C29" s="9">
        <v>30</v>
      </c>
      <c r="D29" s="27" t="s">
        <v>227</v>
      </c>
      <c r="E29" s="27" t="s">
        <v>228</v>
      </c>
      <c r="F29" s="9" t="s">
        <v>23</v>
      </c>
      <c r="G29" s="10" t="s">
        <v>191</v>
      </c>
      <c r="H29" s="12" t="s">
        <v>34</v>
      </c>
      <c r="I29" s="9" t="s">
        <v>101</v>
      </c>
      <c r="J29" s="13" t="s">
        <v>206</v>
      </c>
      <c r="K29" s="43">
        <v>179000</v>
      </c>
      <c r="L29" s="20">
        <f t="shared" si="0"/>
        <v>0</v>
      </c>
      <c r="M29" s="24"/>
      <c r="N29" s="14"/>
      <c r="O29" s="14"/>
      <c r="P29" s="16">
        <f t="shared" si="1"/>
        <v>0</v>
      </c>
      <c r="Q29" s="35"/>
      <c r="R29" s="29"/>
      <c r="S29" s="40"/>
    </row>
    <row r="30" spans="1:19" s="4" customFormat="1" ht="18" customHeight="1">
      <c r="A30" s="34">
        <v>2018</v>
      </c>
      <c r="B30" s="9">
        <v>7</v>
      </c>
      <c r="C30" s="9">
        <v>30</v>
      </c>
      <c r="D30" s="27" t="s">
        <v>227</v>
      </c>
      <c r="E30" s="27" t="s">
        <v>228</v>
      </c>
      <c r="F30" s="9" t="s">
        <v>23</v>
      </c>
      <c r="G30" s="10" t="s">
        <v>191</v>
      </c>
      <c r="H30" s="12" t="s">
        <v>34</v>
      </c>
      <c r="I30" s="9" t="s">
        <v>102</v>
      </c>
      <c r="J30" s="13" t="s">
        <v>206</v>
      </c>
      <c r="K30" s="43">
        <v>199000</v>
      </c>
      <c r="L30" s="20">
        <f t="shared" si="0"/>
        <v>0</v>
      </c>
      <c r="M30" s="24"/>
      <c r="N30" s="14"/>
      <c r="O30" s="14"/>
      <c r="P30" s="16">
        <f t="shared" si="1"/>
        <v>0</v>
      </c>
      <c r="Q30" s="35"/>
      <c r="R30" s="29"/>
      <c r="S30" s="40"/>
    </row>
    <row r="31" spans="1:19" s="4" customFormat="1" ht="18" customHeight="1">
      <c r="A31" s="34">
        <v>2018</v>
      </c>
      <c r="B31" s="9">
        <v>7</v>
      </c>
      <c r="C31" s="9">
        <v>30</v>
      </c>
      <c r="D31" s="27" t="s">
        <v>227</v>
      </c>
      <c r="E31" s="27" t="s">
        <v>228</v>
      </c>
      <c r="F31" s="9" t="s">
        <v>23</v>
      </c>
      <c r="G31" s="10" t="s">
        <v>191</v>
      </c>
      <c r="H31" s="12" t="s">
        <v>34</v>
      </c>
      <c r="I31" s="9" t="s">
        <v>103</v>
      </c>
      <c r="J31" s="13" t="s">
        <v>206</v>
      </c>
      <c r="K31" s="43">
        <v>229000</v>
      </c>
      <c r="L31" s="20">
        <f t="shared" si="0"/>
        <v>0</v>
      </c>
      <c r="M31" s="24"/>
      <c r="N31" s="14"/>
      <c r="O31" s="14"/>
      <c r="P31" s="16">
        <f t="shared" si="1"/>
        <v>0</v>
      </c>
      <c r="Q31" s="35"/>
      <c r="R31" s="29"/>
      <c r="S31" s="40"/>
    </row>
    <row r="32" spans="1:19" s="4" customFormat="1" ht="18" customHeight="1">
      <c r="A32" s="34">
        <v>2018</v>
      </c>
      <c r="B32" s="9">
        <v>7</v>
      </c>
      <c r="C32" s="9">
        <v>30</v>
      </c>
      <c r="D32" s="27" t="s">
        <v>227</v>
      </c>
      <c r="E32" s="27" t="s">
        <v>228</v>
      </c>
      <c r="F32" s="9" t="s">
        <v>23</v>
      </c>
      <c r="G32" s="10" t="s">
        <v>191</v>
      </c>
      <c r="H32" s="12" t="s">
        <v>34</v>
      </c>
      <c r="I32" s="9" t="s">
        <v>104</v>
      </c>
      <c r="J32" s="13" t="s">
        <v>206</v>
      </c>
      <c r="K32" s="43">
        <v>249000</v>
      </c>
      <c r="L32" s="20">
        <f t="shared" si="0"/>
        <v>0</v>
      </c>
      <c r="M32" s="24"/>
      <c r="N32" s="14"/>
      <c r="O32" s="14"/>
      <c r="P32" s="16">
        <f t="shared" si="1"/>
        <v>0</v>
      </c>
      <c r="Q32" s="35"/>
      <c r="R32" s="29"/>
      <c r="S32" s="40"/>
    </row>
    <row r="33" spans="1:19" s="4" customFormat="1" ht="18" customHeight="1">
      <c r="A33" s="34">
        <v>2018</v>
      </c>
      <c r="B33" s="9">
        <v>7</v>
      </c>
      <c r="C33" s="9">
        <v>30</v>
      </c>
      <c r="D33" s="27" t="s">
        <v>227</v>
      </c>
      <c r="E33" s="27" t="s">
        <v>228</v>
      </c>
      <c r="F33" s="9" t="s">
        <v>23</v>
      </c>
      <c r="G33" s="10" t="s">
        <v>191</v>
      </c>
      <c r="H33" s="12" t="s">
        <v>34</v>
      </c>
      <c r="I33" s="9" t="s">
        <v>105</v>
      </c>
      <c r="J33" s="13" t="s">
        <v>206</v>
      </c>
      <c r="K33" s="43">
        <v>309000</v>
      </c>
      <c r="L33" s="20">
        <f t="shared" si="0"/>
        <v>0</v>
      </c>
      <c r="M33" s="24"/>
      <c r="N33" s="14"/>
      <c r="O33" s="14"/>
      <c r="P33" s="16">
        <f t="shared" si="1"/>
        <v>0</v>
      </c>
      <c r="Q33" s="35"/>
      <c r="R33" s="29"/>
      <c r="S33" s="40"/>
    </row>
    <row r="34" spans="1:19" s="4" customFormat="1" ht="18" customHeight="1">
      <c r="A34" s="34">
        <v>2018</v>
      </c>
      <c r="B34" s="9">
        <v>7</v>
      </c>
      <c r="C34" s="9">
        <v>30</v>
      </c>
      <c r="D34" s="27" t="s">
        <v>227</v>
      </c>
      <c r="E34" s="27" t="s">
        <v>228</v>
      </c>
      <c r="F34" s="9" t="s">
        <v>23</v>
      </c>
      <c r="G34" s="10" t="s">
        <v>191</v>
      </c>
      <c r="H34" s="12" t="s">
        <v>34</v>
      </c>
      <c r="I34" s="9" t="s">
        <v>106</v>
      </c>
      <c r="J34" s="13" t="s">
        <v>206</v>
      </c>
      <c r="K34" s="43">
        <v>349000</v>
      </c>
      <c r="L34" s="20">
        <f t="shared" si="0"/>
        <v>0</v>
      </c>
      <c r="M34" s="24"/>
      <c r="N34" s="14"/>
      <c r="O34" s="14"/>
      <c r="P34" s="16">
        <f t="shared" si="1"/>
        <v>0</v>
      </c>
      <c r="Q34" s="35"/>
      <c r="R34" s="29"/>
      <c r="S34" s="40"/>
    </row>
    <row r="35" spans="1:19" s="4" customFormat="1" ht="18" customHeight="1">
      <c r="A35" s="34">
        <v>2018</v>
      </c>
      <c r="B35" s="9">
        <v>7</v>
      </c>
      <c r="C35" s="9">
        <v>30</v>
      </c>
      <c r="D35" s="27" t="s">
        <v>227</v>
      </c>
      <c r="E35" s="27" t="s">
        <v>228</v>
      </c>
      <c r="F35" s="9" t="s">
        <v>23</v>
      </c>
      <c r="G35" s="10" t="s">
        <v>191</v>
      </c>
      <c r="H35" s="12" t="s">
        <v>34</v>
      </c>
      <c r="I35" s="9" t="s">
        <v>128</v>
      </c>
      <c r="J35" s="13" t="s">
        <v>206</v>
      </c>
      <c r="K35" s="42">
        <v>398000</v>
      </c>
      <c r="L35" s="20">
        <f t="shared" si="0"/>
        <v>0</v>
      </c>
      <c r="M35" s="24"/>
      <c r="N35" s="14"/>
      <c r="O35" s="14"/>
      <c r="P35" s="16">
        <f t="shared" si="1"/>
        <v>0</v>
      </c>
      <c r="Q35" s="35"/>
      <c r="R35" s="29"/>
      <c r="S35" s="40"/>
    </row>
    <row r="36" spans="1:19" s="4" customFormat="1" ht="18" customHeight="1">
      <c r="A36" s="34">
        <v>2018</v>
      </c>
      <c r="B36" s="9">
        <v>7</v>
      </c>
      <c r="C36" s="9">
        <v>30</v>
      </c>
      <c r="D36" s="27" t="s">
        <v>227</v>
      </c>
      <c r="E36" s="27" t="s">
        <v>228</v>
      </c>
      <c r="F36" s="9" t="s">
        <v>23</v>
      </c>
      <c r="G36" s="10" t="s">
        <v>191</v>
      </c>
      <c r="H36" s="12" t="s">
        <v>129</v>
      </c>
      <c r="I36" s="9" t="s">
        <v>120</v>
      </c>
      <c r="J36" s="13" t="s">
        <v>206</v>
      </c>
      <c r="K36" s="43">
        <v>189000</v>
      </c>
      <c r="L36" s="20">
        <f t="shared" si="0"/>
        <v>0</v>
      </c>
      <c r="M36" s="24"/>
      <c r="N36" s="14"/>
      <c r="O36" s="14"/>
      <c r="P36" s="16">
        <f t="shared" si="1"/>
        <v>0</v>
      </c>
      <c r="Q36" s="35"/>
      <c r="R36" s="29"/>
      <c r="S36" s="40"/>
    </row>
    <row r="37" spans="1:19" s="4" customFormat="1" ht="18" customHeight="1">
      <c r="A37" s="34">
        <v>2018</v>
      </c>
      <c r="B37" s="9">
        <v>7</v>
      </c>
      <c r="C37" s="9">
        <v>30</v>
      </c>
      <c r="D37" s="27" t="s">
        <v>227</v>
      </c>
      <c r="E37" s="27" t="s">
        <v>228</v>
      </c>
      <c r="F37" s="9" t="s">
        <v>23</v>
      </c>
      <c r="G37" s="10" t="s">
        <v>191</v>
      </c>
      <c r="H37" s="12" t="s">
        <v>129</v>
      </c>
      <c r="I37" s="9" t="s">
        <v>121</v>
      </c>
      <c r="J37" s="13" t="s">
        <v>206</v>
      </c>
      <c r="K37" s="43">
        <v>239000</v>
      </c>
      <c r="L37" s="20">
        <f t="shared" si="0"/>
        <v>0</v>
      </c>
      <c r="M37" s="24"/>
      <c r="N37" s="14"/>
      <c r="O37" s="14"/>
      <c r="P37" s="16">
        <f t="shared" si="1"/>
        <v>0</v>
      </c>
      <c r="Q37" s="35"/>
      <c r="R37" s="29"/>
      <c r="S37" s="40"/>
    </row>
    <row r="38" spans="1:19" s="4" customFormat="1" ht="18" customHeight="1">
      <c r="A38" s="34">
        <v>2018</v>
      </c>
      <c r="B38" s="9">
        <v>7</v>
      </c>
      <c r="C38" s="9">
        <v>30</v>
      </c>
      <c r="D38" s="27" t="s">
        <v>227</v>
      </c>
      <c r="E38" s="27" t="s">
        <v>228</v>
      </c>
      <c r="F38" s="9" t="s">
        <v>23</v>
      </c>
      <c r="G38" s="10" t="s">
        <v>191</v>
      </c>
      <c r="H38" s="12" t="s">
        <v>129</v>
      </c>
      <c r="I38" s="9" t="s">
        <v>111</v>
      </c>
      <c r="J38" s="13" t="s">
        <v>206</v>
      </c>
      <c r="K38" s="43">
        <v>289000</v>
      </c>
      <c r="L38" s="20">
        <f t="shared" si="0"/>
        <v>0</v>
      </c>
      <c r="M38" s="24"/>
      <c r="N38" s="14"/>
      <c r="O38" s="14"/>
      <c r="P38" s="16">
        <f t="shared" si="1"/>
        <v>0</v>
      </c>
      <c r="Q38" s="35"/>
      <c r="R38" s="29"/>
      <c r="S38" s="40"/>
    </row>
    <row r="39" spans="1:19" s="4" customFormat="1" ht="18" customHeight="1">
      <c r="A39" s="34">
        <v>2018</v>
      </c>
      <c r="B39" s="9">
        <v>7</v>
      </c>
      <c r="C39" s="9">
        <v>30</v>
      </c>
      <c r="D39" s="27" t="s">
        <v>227</v>
      </c>
      <c r="E39" s="27" t="s">
        <v>228</v>
      </c>
      <c r="F39" s="9" t="s">
        <v>23</v>
      </c>
      <c r="G39" s="10" t="s">
        <v>191</v>
      </c>
      <c r="H39" s="12" t="s">
        <v>129</v>
      </c>
      <c r="I39" s="9" t="s">
        <v>130</v>
      </c>
      <c r="J39" s="13" t="s">
        <v>206</v>
      </c>
      <c r="K39" s="43">
        <v>359000</v>
      </c>
      <c r="L39" s="20">
        <f t="shared" si="0"/>
        <v>0</v>
      </c>
      <c r="M39" s="24"/>
      <c r="N39" s="14"/>
      <c r="O39" s="14"/>
      <c r="P39" s="16">
        <f t="shared" si="1"/>
        <v>0</v>
      </c>
      <c r="Q39" s="35"/>
      <c r="R39" s="29"/>
      <c r="S39" s="40"/>
    </row>
    <row r="40" spans="1:19" s="3" customFormat="1" ht="18" customHeight="1">
      <c r="A40" s="34">
        <v>2018</v>
      </c>
      <c r="B40" s="9">
        <v>7</v>
      </c>
      <c r="C40" s="9">
        <v>30</v>
      </c>
      <c r="D40" s="27" t="s">
        <v>227</v>
      </c>
      <c r="E40" s="27" t="s">
        <v>228</v>
      </c>
      <c r="F40" s="9" t="s">
        <v>23</v>
      </c>
      <c r="G40" s="10" t="s">
        <v>191</v>
      </c>
      <c r="H40" s="12"/>
      <c r="I40" s="9" t="s">
        <v>153</v>
      </c>
      <c r="J40" s="13" t="s">
        <v>206</v>
      </c>
      <c r="K40" s="42">
        <v>225900</v>
      </c>
      <c r="L40" s="20">
        <f t="shared" si="0"/>
        <v>0</v>
      </c>
      <c r="M40" s="24"/>
      <c r="N40" s="14"/>
      <c r="O40" s="14"/>
      <c r="P40" s="16">
        <f t="shared" si="1"/>
        <v>0</v>
      </c>
      <c r="Q40" s="35"/>
      <c r="R40" s="29"/>
      <c r="S40" s="40"/>
    </row>
    <row r="41" spans="1:19" s="3" customFormat="1" ht="18" customHeight="1">
      <c r="A41" s="34">
        <v>2018</v>
      </c>
      <c r="B41" s="9">
        <v>7</v>
      </c>
      <c r="C41" s="9">
        <v>30</v>
      </c>
      <c r="D41" s="27" t="s">
        <v>227</v>
      </c>
      <c r="E41" s="27" t="s">
        <v>228</v>
      </c>
      <c r="F41" s="9" t="s">
        <v>23</v>
      </c>
      <c r="G41" s="10" t="s">
        <v>191</v>
      </c>
      <c r="H41" s="12"/>
      <c r="I41" s="9" t="s">
        <v>154</v>
      </c>
      <c r="J41" s="13" t="s">
        <v>206</v>
      </c>
      <c r="K41" s="42">
        <v>260900</v>
      </c>
      <c r="L41" s="20">
        <f t="shared" si="0"/>
        <v>0</v>
      </c>
      <c r="M41" s="24"/>
      <c r="N41" s="14"/>
      <c r="O41" s="14"/>
      <c r="P41" s="16">
        <f t="shared" si="1"/>
        <v>0</v>
      </c>
      <c r="Q41" s="35"/>
      <c r="R41" s="29"/>
      <c r="S41" s="40"/>
    </row>
    <row r="42" spans="1:19" s="3" customFormat="1" ht="18" customHeight="1">
      <c r="A42" s="34">
        <v>2018</v>
      </c>
      <c r="B42" s="9">
        <v>7</v>
      </c>
      <c r="C42" s="9">
        <v>30</v>
      </c>
      <c r="D42" s="27" t="s">
        <v>227</v>
      </c>
      <c r="E42" s="27" t="s">
        <v>228</v>
      </c>
      <c r="F42" s="9" t="s">
        <v>23</v>
      </c>
      <c r="G42" s="10" t="s">
        <v>191</v>
      </c>
      <c r="H42" s="12"/>
      <c r="I42" s="9" t="s">
        <v>155</v>
      </c>
      <c r="J42" s="13" t="s">
        <v>206</v>
      </c>
      <c r="K42" s="42">
        <v>294900</v>
      </c>
      <c r="L42" s="20">
        <f t="shared" si="0"/>
        <v>0</v>
      </c>
      <c r="M42" s="24"/>
      <c r="N42" s="14"/>
      <c r="O42" s="14"/>
      <c r="P42" s="16">
        <f t="shared" si="1"/>
        <v>0</v>
      </c>
      <c r="Q42" s="35"/>
      <c r="R42" s="29"/>
      <c r="S42" s="40"/>
    </row>
    <row r="43" spans="1:19" s="3" customFormat="1" ht="18" customHeight="1">
      <c r="A43" s="34">
        <v>2018</v>
      </c>
      <c r="B43" s="9">
        <v>7</v>
      </c>
      <c r="C43" s="9">
        <v>30</v>
      </c>
      <c r="D43" s="27" t="s">
        <v>227</v>
      </c>
      <c r="E43" s="27" t="s">
        <v>228</v>
      </c>
      <c r="F43" s="9" t="s">
        <v>23</v>
      </c>
      <c r="G43" s="10" t="s">
        <v>191</v>
      </c>
      <c r="H43" s="12"/>
      <c r="I43" s="9" t="s">
        <v>156</v>
      </c>
      <c r="J43" s="13" t="s">
        <v>206</v>
      </c>
      <c r="K43" s="42">
        <v>328900</v>
      </c>
      <c r="L43" s="20">
        <f t="shared" si="0"/>
        <v>0</v>
      </c>
      <c r="M43" s="24"/>
      <c r="N43" s="14"/>
      <c r="O43" s="14"/>
      <c r="P43" s="16">
        <f t="shared" si="1"/>
        <v>0</v>
      </c>
      <c r="Q43" s="35"/>
      <c r="R43" s="29"/>
      <c r="S43" s="40"/>
    </row>
    <row r="44" spans="1:19" s="4" customFormat="1" ht="18" customHeight="1">
      <c r="A44" s="34">
        <v>2018</v>
      </c>
      <c r="B44" s="9">
        <v>7</v>
      </c>
      <c r="C44" s="9">
        <v>30</v>
      </c>
      <c r="D44" s="27" t="s">
        <v>227</v>
      </c>
      <c r="E44" s="27" t="s">
        <v>228</v>
      </c>
      <c r="F44" s="9" t="s">
        <v>23</v>
      </c>
      <c r="G44" s="10" t="s">
        <v>191</v>
      </c>
      <c r="H44" s="12" t="s">
        <v>239</v>
      </c>
      <c r="I44" s="39" t="s">
        <v>236</v>
      </c>
      <c r="J44" s="13" t="s">
        <v>240</v>
      </c>
      <c r="K44" s="42">
        <v>309900</v>
      </c>
      <c r="L44" s="20">
        <f t="shared" si="0"/>
        <v>0</v>
      </c>
      <c r="M44" s="24"/>
      <c r="N44" s="14"/>
      <c r="O44" s="14"/>
      <c r="P44" s="16">
        <f t="shared" si="1"/>
        <v>0</v>
      </c>
      <c r="Q44" s="35"/>
      <c r="R44" s="29"/>
      <c r="S44" s="40"/>
    </row>
    <row r="45" spans="1:19" s="4" customFormat="1" ht="18" customHeight="1">
      <c r="A45" s="34">
        <v>2018</v>
      </c>
      <c r="B45" s="9">
        <v>7</v>
      </c>
      <c r="C45" s="9">
        <v>30</v>
      </c>
      <c r="D45" s="27" t="s">
        <v>227</v>
      </c>
      <c r="E45" s="27" t="s">
        <v>228</v>
      </c>
      <c r="F45" s="9" t="s">
        <v>23</v>
      </c>
      <c r="G45" s="10" t="s">
        <v>191</v>
      </c>
      <c r="H45" s="12" t="s">
        <v>239</v>
      </c>
      <c r="I45" s="39" t="s">
        <v>237</v>
      </c>
      <c r="J45" s="13" t="s">
        <v>240</v>
      </c>
      <c r="K45" s="42">
        <v>359900</v>
      </c>
      <c r="L45" s="20">
        <f t="shared" si="0"/>
        <v>0</v>
      </c>
      <c r="M45" s="24"/>
      <c r="N45" s="14"/>
      <c r="O45" s="14"/>
      <c r="P45" s="16">
        <f t="shared" si="1"/>
        <v>0</v>
      </c>
      <c r="Q45" s="35"/>
      <c r="R45" s="29"/>
      <c r="S45" s="40"/>
    </row>
    <row r="46" spans="1:19" s="4" customFormat="1" ht="18" customHeight="1">
      <c r="A46" s="34">
        <v>2018</v>
      </c>
      <c r="B46" s="9">
        <v>7</v>
      </c>
      <c r="C46" s="9">
        <v>30</v>
      </c>
      <c r="D46" s="27" t="s">
        <v>227</v>
      </c>
      <c r="E46" s="27" t="s">
        <v>228</v>
      </c>
      <c r="F46" s="9" t="s">
        <v>23</v>
      </c>
      <c r="G46" s="10" t="s">
        <v>191</v>
      </c>
      <c r="H46" s="12" t="s">
        <v>239</v>
      </c>
      <c r="I46" s="39" t="s">
        <v>238</v>
      </c>
      <c r="J46" s="13" t="s">
        <v>240</v>
      </c>
      <c r="K46" s="42">
        <v>389900</v>
      </c>
      <c r="L46" s="20">
        <f t="shared" si="0"/>
        <v>0</v>
      </c>
      <c r="M46" s="24"/>
      <c r="N46" s="14"/>
      <c r="O46" s="14"/>
      <c r="P46" s="16">
        <f t="shared" si="1"/>
        <v>0</v>
      </c>
      <c r="Q46" s="35"/>
      <c r="R46" s="29"/>
      <c r="S46" s="40"/>
    </row>
    <row r="47" spans="1:19" s="4" customFormat="1" ht="18" customHeight="1">
      <c r="A47" s="34">
        <v>2018</v>
      </c>
      <c r="B47" s="9">
        <v>7</v>
      </c>
      <c r="C47" s="9">
        <v>30</v>
      </c>
      <c r="D47" s="27" t="s">
        <v>227</v>
      </c>
      <c r="E47" s="27" t="s">
        <v>228</v>
      </c>
      <c r="F47" s="9" t="s">
        <v>23</v>
      </c>
      <c r="G47" s="10" t="s">
        <v>191</v>
      </c>
      <c r="H47" s="18" t="s">
        <v>258</v>
      </c>
      <c r="I47" s="39" t="s">
        <v>250</v>
      </c>
      <c r="J47" s="13" t="s">
        <v>253</v>
      </c>
      <c r="K47" s="42">
        <v>303900</v>
      </c>
      <c r="L47" s="20">
        <f t="shared" si="0"/>
        <v>0</v>
      </c>
      <c r="M47" s="24"/>
      <c r="N47" s="14"/>
      <c r="O47" s="14"/>
      <c r="P47" s="16">
        <f t="shared" si="1"/>
        <v>0</v>
      </c>
      <c r="Q47" s="35"/>
      <c r="R47" s="29"/>
      <c r="S47" s="40"/>
    </row>
    <row r="48" spans="1:19" s="4" customFormat="1" ht="18" customHeight="1">
      <c r="A48" s="34">
        <v>2018</v>
      </c>
      <c r="B48" s="9">
        <v>7</v>
      </c>
      <c r="C48" s="9">
        <v>30</v>
      </c>
      <c r="D48" s="27" t="s">
        <v>227</v>
      </c>
      <c r="E48" s="27" t="s">
        <v>228</v>
      </c>
      <c r="F48" s="9" t="s">
        <v>23</v>
      </c>
      <c r="G48" s="10" t="s">
        <v>191</v>
      </c>
      <c r="H48" s="18" t="s">
        <v>258</v>
      </c>
      <c r="I48" s="39" t="s">
        <v>251</v>
      </c>
      <c r="J48" s="13" t="s">
        <v>253</v>
      </c>
      <c r="K48" s="42">
        <v>353900</v>
      </c>
      <c r="L48" s="20">
        <f t="shared" si="0"/>
        <v>0</v>
      </c>
      <c r="M48" s="24"/>
      <c r="N48" s="14"/>
      <c r="O48" s="14"/>
      <c r="P48" s="16">
        <f t="shared" si="1"/>
        <v>0</v>
      </c>
      <c r="Q48" s="35"/>
      <c r="R48" s="29"/>
      <c r="S48" s="40"/>
    </row>
    <row r="49" spans="1:19" s="4" customFormat="1" ht="18" customHeight="1">
      <c r="A49" s="34">
        <v>2018</v>
      </c>
      <c r="B49" s="9">
        <v>7</v>
      </c>
      <c r="C49" s="9">
        <v>30</v>
      </c>
      <c r="D49" s="27" t="s">
        <v>227</v>
      </c>
      <c r="E49" s="27" t="s">
        <v>228</v>
      </c>
      <c r="F49" s="9" t="s">
        <v>23</v>
      </c>
      <c r="G49" s="10" t="s">
        <v>191</v>
      </c>
      <c r="H49" s="18" t="s">
        <v>258</v>
      </c>
      <c r="I49" s="39" t="s">
        <v>252</v>
      </c>
      <c r="J49" s="13" t="s">
        <v>253</v>
      </c>
      <c r="K49" s="42">
        <v>393900</v>
      </c>
      <c r="L49" s="20">
        <f t="shared" si="0"/>
        <v>0</v>
      </c>
      <c r="M49" s="24"/>
      <c r="N49" s="14"/>
      <c r="O49" s="14"/>
      <c r="P49" s="16">
        <f t="shared" si="1"/>
        <v>0</v>
      </c>
      <c r="Q49" s="35"/>
      <c r="R49" s="29"/>
      <c r="S49" s="40"/>
    </row>
    <row r="50" spans="1:19" s="4" customFormat="1" ht="18" customHeight="1">
      <c r="A50" s="34">
        <v>2018</v>
      </c>
      <c r="B50" s="9">
        <v>7</v>
      </c>
      <c r="C50" s="9">
        <v>30</v>
      </c>
      <c r="D50" s="27" t="s">
        <v>227</v>
      </c>
      <c r="E50" s="27" t="s">
        <v>228</v>
      </c>
      <c r="F50" s="9" t="s">
        <v>23</v>
      </c>
      <c r="G50" s="10" t="s">
        <v>191</v>
      </c>
      <c r="H50" s="18" t="s">
        <v>257</v>
      </c>
      <c r="I50" s="39" t="s">
        <v>254</v>
      </c>
      <c r="J50" s="13" t="s">
        <v>253</v>
      </c>
      <c r="K50" s="42">
        <v>299900</v>
      </c>
      <c r="L50" s="20">
        <f t="shared" si="0"/>
        <v>0</v>
      </c>
      <c r="M50" s="24"/>
      <c r="N50" s="14"/>
      <c r="O50" s="14"/>
      <c r="P50" s="16">
        <f t="shared" si="1"/>
        <v>0</v>
      </c>
      <c r="Q50" s="35"/>
      <c r="R50" s="29"/>
      <c r="S50" s="40"/>
    </row>
    <row r="51" spans="1:19" s="4" customFormat="1" ht="18" customHeight="1">
      <c r="A51" s="34">
        <v>2018</v>
      </c>
      <c r="B51" s="9">
        <v>7</v>
      </c>
      <c r="C51" s="9">
        <v>30</v>
      </c>
      <c r="D51" s="27" t="s">
        <v>227</v>
      </c>
      <c r="E51" s="27" t="s">
        <v>228</v>
      </c>
      <c r="F51" s="9" t="s">
        <v>23</v>
      </c>
      <c r="G51" s="10" t="s">
        <v>191</v>
      </c>
      <c r="H51" s="18" t="s">
        <v>257</v>
      </c>
      <c r="I51" s="39" t="s">
        <v>255</v>
      </c>
      <c r="J51" s="13" t="s">
        <v>253</v>
      </c>
      <c r="K51" s="42">
        <v>359900</v>
      </c>
      <c r="L51" s="20">
        <f t="shared" si="0"/>
        <v>0</v>
      </c>
      <c r="M51" s="24"/>
      <c r="N51" s="14"/>
      <c r="O51" s="14"/>
      <c r="P51" s="16">
        <f t="shared" si="1"/>
        <v>0</v>
      </c>
      <c r="Q51" s="35"/>
      <c r="R51" s="29"/>
      <c r="S51" s="40"/>
    </row>
    <row r="52" spans="1:19" s="4" customFormat="1" ht="18" customHeight="1">
      <c r="A52" s="34">
        <v>2018</v>
      </c>
      <c r="B52" s="9">
        <v>7</v>
      </c>
      <c r="C52" s="9">
        <v>30</v>
      </c>
      <c r="D52" s="27" t="s">
        <v>227</v>
      </c>
      <c r="E52" s="27" t="s">
        <v>228</v>
      </c>
      <c r="F52" s="9" t="s">
        <v>23</v>
      </c>
      <c r="G52" s="10" t="s">
        <v>191</v>
      </c>
      <c r="H52" s="18" t="s">
        <v>257</v>
      </c>
      <c r="I52" s="39" t="s">
        <v>256</v>
      </c>
      <c r="J52" s="13" t="s">
        <v>253</v>
      </c>
      <c r="K52" s="42">
        <v>399900</v>
      </c>
      <c r="L52" s="20">
        <f t="shared" si="0"/>
        <v>0</v>
      </c>
      <c r="M52" s="24"/>
      <c r="N52" s="14"/>
      <c r="O52" s="14"/>
      <c r="P52" s="16">
        <f t="shared" si="1"/>
        <v>0</v>
      </c>
      <c r="Q52" s="35"/>
      <c r="R52" s="29"/>
      <c r="S52" s="40"/>
    </row>
    <row r="53" spans="1:19" s="4" customFormat="1" ht="18" customHeight="1">
      <c r="A53" s="34">
        <v>2018</v>
      </c>
      <c r="B53" s="9">
        <v>7</v>
      </c>
      <c r="C53" s="9">
        <v>30</v>
      </c>
      <c r="D53" s="27" t="s">
        <v>227</v>
      </c>
      <c r="E53" s="27" t="s">
        <v>228</v>
      </c>
      <c r="F53" s="9" t="s">
        <v>23</v>
      </c>
      <c r="G53" s="10" t="s">
        <v>191</v>
      </c>
      <c r="H53" s="18" t="s">
        <v>267</v>
      </c>
      <c r="I53" s="39" t="s">
        <v>268</v>
      </c>
      <c r="J53" s="13" t="s">
        <v>253</v>
      </c>
      <c r="K53" s="42">
        <v>299900</v>
      </c>
      <c r="L53" s="20">
        <f t="shared" si="0"/>
        <v>0</v>
      </c>
      <c r="M53" s="24"/>
      <c r="N53" s="14"/>
      <c r="O53" s="14"/>
      <c r="P53" s="16">
        <f t="shared" si="1"/>
        <v>0</v>
      </c>
      <c r="Q53" s="35"/>
      <c r="R53" s="29"/>
      <c r="S53" s="40"/>
    </row>
    <row r="54" spans="1:19" s="4" customFormat="1" ht="18" customHeight="1">
      <c r="A54" s="34">
        <v>2018</v>
      </c>
      <c r="B54" s="9">
        <v>7</v>
      </c>
      <c r="C54" s="9">
        <v>30</v>
      </c>
      <c r="D54" s="27" t="s">
        <v>227</v>
      </c>
      <c r="E54" s="27" t="s">
        <v>228</v>
      </c>
      <c r="F54" s="9" t="s">
        <v>23</v>
      </c>
      <c r="G54" s="10" t="s">
        <v>191</v>
      </c>
      <c r="H54" s="18" t="s">
        <v>267</v>
      </c>
      <c r="I54" s="39" t="s">
        <v>269</v>
      </c>
      <c r="J54" s="13" t="s">
        <v>253</v>
      </c>
      <c r="K54" s="42">
        <v>359900</v>
      </c>
      <c r="L54" s="20">
        <f t="shared" si="0"/>
        <v>0</v>
      </c>
      <c r="M54" s="24"/>
      <c r="N54" s="14"/>
      <c r="O54" s="14"/>
      <c r="P54" s="16">
        <f t="shared" si="1"/>
        <v>0</v>
      </c>
      <c r="Q54" s="35"/>
      <c r="R54" s="29"/>
      <c r="S54" s="40"/>
    </row>
    <row r="55" spans="1:19" s="4" customFormat="1" ht="18" customHeight="1">
      <c r="A55" s="34">
        <v>2018</v>
      </c>
      <c r="B55" s="9">
        <v>7</v>
      </c>
      <c r="C55" s="9">
        <v>30</v>
      </c>
      <c r="D55" s="27" t="s">
        <v>227</v>
      </c>
      <c r="E55" s="27" t="s">
        <v>228</v>
      </c>
      <c r="F55" s="9" t="s">
        <v>23</v>
      </c>
      <c r="G55" s="10" t="s">
        <v>191</v>
      </c>
      <c r="H55" s="18" t="s">
        <v>267</v>
      </c>
      <c r="I55" s="39" t="s">
        <v>270</v>
      </c>
      <c r="J55" s="13" t="s">
        <v>253</v>
      </c>
      <c r="K55" s="42">
        <v>399900</v>
      </c>
      <c r="L55" s="20">
        <f t="shared" si="0"/>
        <v>0</v>
      </c>
      <c r="M55" s="24"/>
      <c r="N55" s="14"/>
      <c r="O55" s="14"/>
      <c r="P55" s="16">
        <f t="shared" si="1"/>
        <v>0</v>
      </c>
      <c r="Q55" s="35"/>
      <c r="R55" s="29"/>
      <c r="S55" s="40"/>
    </row>
    <row r="56" spans="1:19" s="4" customFormat="1" ht="18" customHeight="1">
      <c r="A56" s="34">
        <v>2018</v>
      </c>
      <c r="B56" s="9">
        <v>7</v>
      </c>
      <c r="C56" s="9">
        <v>30</v>
      </c>
      <c r="D56" s="27" t="s">
        <v>227</v>
      </c>
      <c r="E56" s="27" t="s">
        <v>228</v>
      </c>
      <c r="F56" s="9" t="s">
        <v>23</v>
      </c>
      <c r="G56" s="10" t="s">
        <v>191</v>
      </c>
      <c r="H56" s="18" t="s">
        <v>282</v>
      </c>
      <c r="I56" s="39" t="s">
        <v>279</v>
      </c>
      <c r="J56" s="13" t="s">
        <v>253</v>
      </c>
      <c r="K56" s="42">
        <v>280900</v>
      </c>
      <c r="L56" s="20">
        <f t="shared" si="0"/>
        <v>0</v>
      </c>
      <c r="M56" s="24"/>
      <c r="N56" s="14"/>
      <c r="O56" s="14"/>
      <c r="P56" s="16">
        <f t="shared" si="1"/>
        <v>0</v>
      </c>
      <c r="Q56" s="35"/>
      <c r="R56" s="29"/>
      <c r="S56" s="40"/>
    </row>
    <row r="57" spans="1:19" s="4" customFormat="1" ht="18" customHeight="1">
      <c r="A57" s="34">
        <v>2018</v>
      </c>
      <c r="B57" s="9">
        <v>7</v>
      </c>
      <c r="C57" s="9">
        <v>30</v>
      </c>
      <c r="D57" s="27" t="s">
        <v>227</v>
      </c>
      <c r="E57" s="27" t="s">
        <v>228</v>
      </c>
      <c r="F57" s="9" t="s">
        <v>23</v>
      </c>
      <c r="G57" s="10" t="s">
        <v>191</v>
      </c>
      <c r="H57" s="18" t="s">
        <v>282</v>
      </c>
      <c r="I57" s="39" t="s">
        <v>280</v>
      </c>
      <c r="J57" s="13" t="s">
        <v>253</v>
      </c>
      <c r="K57" s="42">
        <v>320900</v>
      </c>
      <c r="L57" s="20">
        <f t="shared" si="0"/>
        <v>0</v>
      </c>
      <c r="M57" s="24"/>
      <c r="N57" s="14"/>
      <c r="O57" s="14"/>
      <c r="P57" s="16">
        <f t="shared" si="1"/>
        <v>0</v>
      </c>
      <c r="Q57" s="35"/>
      <c r="R57" s="29"/>
      <c r="S57" s="40"/>
    </row>
    <row r="58" spans="1:19" s="4" customFormat="1" ht="18" customHeight="1">
      <c r="A58" s="34">
        <v>2018</v>
      </c>
      <c r="B58" s="9">
        <v>7</v>
      </c>
      <c r="C58" s="9">
        <v>30</v>
      </c>
      <c r="D58" s="27" t="s">
        <v>227</v>
      </c>
      <c r="E58" s="27" t="s">
        <v>228</v>
      </c>
      <c r="F58" s="9" t="s">
        <v>23</v>
      </c>
      <c r="G58" s="10" t="s">
        <v>191</v>
      </c>
      <c r="H58" s="18" t="s">
        <v>282</v>
      </c>
      <c r="I58" s="39" t="s">
        <v>281</v>
      </c>
      <c r="J58" s="13" t="s">
        <v>253</v>
      </c>
      <c r="K58" s="42">
        <v>350900</v>
      </c>
      <c r="L58" s="20">
        <f t="shared" si="0"/>
        <v>0</v>
      </c>
      <c r="M58" s="24"/>
      <c r="N58" s="14"/>
      <c r="O58" s="14"/>
      <c r="P58" s="16">
        <f t="shared" si="1"/>
        <v>0</v>
      </c>
      <c r="Q58" s="35"/>
      <c r="R58" s="29"/>
      <c r="S58" s="40"/>
    </row>
    <row r="59" spans="1:19" s="3" customFormat="1" ht="18" customHeight="1">
      <c r="A59" s="34">
        <v>2018</v>
      </c>
      <c r="B59" s="9">
        <v>7</v>
      </c>
      <c r="C59" s="9">
        <v>30</v>
      </c>
      <c r="D59" s="27" t="s">
        <v>227</v>
      </c>
      <c r="E59" s="27" t="s">
        <v>228</v>
      </c>
      <c r="F59" s="9" t="s">
        <v>23</v>
      </c>
      <c r="G59" s="10" t="s">
        <v>192</v>
      </c>
      <c r="H59" s="12" t="s">
        <v>4</v>
      </c>
      <c r="I59" s="36" t="s">
        <v>424</v>
      </c>
      <c r="J59" s="13" t="s">
        <v>207</v>
      </c>
      <c r="K59" s="42">
        <v>249900</v>
      </c>
      <c r="L59" s="20">
        <f t="shared" si="0"/>
        <v>0</v>
      </c>
      <c r="M59" s="24"/>
      <c r="N59" s="14"/>
      <c r="O59" s="14"/>
      <c r="P59" s="16">
        <f t="shared" si="1"/>
        <v>0</v>
      </c>
      <c r="Q59" s="35"/>
      <c r="R59" s="29"/>
      <c r="S59" s="40"/>
    </row>
    <row r="60" spans="1:19" s="4" customFormat="1" ht="18" customHeight="1">
      <c r="A60" s="34">
        <v>2018</v>
      </c>
      <c r="B60" s="9">
        <v>7</v>
      </c>
      <c r="C60" s="9">
        <v>30</v>
      </c>
      <c r="D60" s="27" t="s">
        <v>227</v>
      </c>
      <c r="E60" s="27" t="s">
        <v>228</v>
      </c>
      <c r="F60" s="9" t="s">
        <v>23</v>
      </c>
      <c r="G60" s="10" t="s">
        <v>192</v>
      </c>
      <c r="H60" s="12" t="s">
        <v>0</v>
      </c>
      <c r="I60" s="37" t="s">
        <v>87</v>
      </c>
      <c r="J60" s="13" t="s">
        <v>206</v>
      </c>
      <c r="K60" s="44">
        <v>660000</v>
      </c>
      <c r="L60" s="20">
        <f t="shared" si="0"/>
        <v>0</v>
      </c>
      <c r="M60" s="24"/>
      <c r="N60" s="14"/>
      <c r="O60" s="14"/>
      <c r="P60" s="16">
        <f t="shared" si="1"/>
        <v>0</v>
      </c>
      <c r="Q60" s="35"/>
      <c r="R60" s="29"/>
      <c r="S60" s="40"/>
    </row>
    <row r="61" spans="1:19" s="4" customFormat="1" ht="18" customHeight="1">
      <c r="A61" s="34">
        <v>2018</v>
      </c>
      <c r="B61" s="9">
        <v>7</v>
      </c>
      <c r="C61" s="9">
        <v>30</v>
      </c>
      <c r="D61" s="27" t="s">
        <v>227</v>
      </c>
      <c r="E61" s="27" t="s">
        <v>228</v>
      </c>
      <c r="F61" s="9" t="s">
        <v>23</v>
      </c>
      <c r="G61" s="10" t="s">
        <v>192</v>
      </c>
      <c r="H61" s="12" t="s">
        <v>2</v>
      </c>
      <c r="I61" s="13" t="s">
        <v>88</v>
      </c>
      <c r="J61" s="13" t="s">
        <v>206</v>
      </c>
      <c r="K61" s="42">
        <v>681900</v>
      </c>
      <c r="L61" s="20">
        <f t="shared" si="0"/>
        <v>0</v>
      </c>
      <c r="M61" s="24"/>
      <c r="N61" s="14"/>
      <c r="O61" s="14"/>
      <c r="P61" s="16">
        <f t="shared" si="1"/>
        <v>0</v>
      </c>
      <c r="Q61" s="35"/>
      <c r="R61" s="29"/>
      <c r="S61" s="40"/>
    </row>
    <row r="62" spans="1:19" s="4" customFormat="1" ht="18" customHeight="1">
      <c r="A62" s="34">
        <v>2018</v>
      </c>
      <c r="B62" s="9">
        <v>7</v>
      </c>
      <c r="C62" s="9">
        <v>30</v>
      </c>
      <c r="D62" s="27" t="s">
        <v>227</v>
      </c>
      <c r="E62" s="27" t="s">
        <v>228</v>
      </c>
      <c r="F62" s="9" t="s">
        <v>23</v>
      </c>
      <c r="G62" s="10" t="s">
        <v>192</v>
      </c>
      <c r="H62" s="12" t="s">
        <v>3</v>
      </c>
      <c r="I62" s="37" t="s">
        <v>89</v>
      </c>
      <c r="J62" s="13" t="s">
        <v>206</v>
      </c>
      <c r="K62" s="44">
        <v>898000</v>
      </c>
      <c r="L62" s="20">
        <f t="shared" si="0"/>
        <v>0</v>
      </c>
      <c r="M62" s="24"/>
      <c r="N62" s="14"/>
      <c r="O62" s="14"/>
      <c r="P62" s="16">
        <f t="shared" si="1"/>
        <v>0</v>
      </c>
      <c r="Q62" s="35"/>
      <c r="R62" s="29"/>
      <c r="S62" s="40"/>
    </row>
    <row r="63" spans="1:19" s="4" customFormat="1" ht="18" customHeight="1">
      <c r="A63" s="34">
        <v>2018</v>
      </c>
      <c r="B63" s="9">
        <v>7</v>
      </c>
      <c r="C63" s="9">
        <v>30</v>
      </c>
      <c r="D63" s="27" t="s">
        <v>227</v>
      </c>
      <c r="E63" s="27" t="s">
        <v>228</v>
      </c>
      <c r="F63" s="9" t="s">
        <v>23</v>
      </c>
      <c r="G63" s="10" t="s">
        <v>192</v>
      </c>
      <c r="H63" s="12" t="s">
        <v>76</v>
      </c>
      <c r="I63" s="13" t="s">
        <v>90</v>
      </c>
      <c r="J63" s="13" t="s">
        <v>221</v>
      </c>
      <c r="K63" s="43">
        <v>1148000</v>
      </c>
      <c r="L63" s="20">
        <f t="shared" si="0"/>
        <v>0</v>
      </c>
      <c r="M63" s="24"/>
      <c r="N63" s="14"/>
      <c r="O63" s="14"/>
      <c r="P63" s="16">
        <f t="shared" si="1"/>
        <v>0</v>
      </c>
      <c r="Q63" s="35"/>
      <c r="R63" s="29"/>
      <c r="S63" s="40"/>
    </row>
    <row r="64" spans="1:19" s="4" customFormat="1" ht="18" customHeight="1">
      <c r="A64" s="34">
        <v>2018</v>
      </c>
      <c r="B64" s="9">
        <v>7</v>
      </c>
      <c r="C64" s="9">
        <v>30</v>
      </c>
      <c r="D64" s="27" t="s">
        <v>227</v>
      </c>
      <c r="E64" s="27" t="s">
        <v>228</v>
      </c>
      <c r="F64" s="9" t="s">
        <v>23</v>
      </c>
      <c r="G64" s="10" t="s">
        <v>192</v>
      </c>
      <c r="H64" s="12" t="s">
        <v>76</v>
      </c>
      <c r="I64" s="13" t="s">
        <v>91</v>
      </c>
      <c r="J64" s="13" t="s">
        <v>221</v>
      </c>
      <c r="K64" s="43">
        <v>1228000</v>
      </c>
      <c r="L64" s="20">
        <f t="shared" si="0"/>
        <v>0</v>
      </c>
      <c r="M64" s="24"/>
      <c r="N64" s="14"/>
      <c r="O64" s="14"/>
      <c r="P64" s="16">
        <f t="shared" si="1"/>
        <v>0</v>
      </c>
      <c r="Q64" s="35"/>
      <c r="R64" s="29"/>
      <c r="S64" s="40"/>
    </row>
    <row r="65" spans="1:19" s="4" customFormat="1" ht="18" customHeight="1">
      <c r="A65" s="34">
        <v>2018</v>
      </c>
      <c r="B65" s="9">
        <v>7</v>
      </c>
      <c r="C65" s="9">
        <v>30</v>
      </c>
      <c r="D65" s="27" t="s">
        <v>227</v>
      </c>
      <c r="E65" s="27" t="s">
        <v>228</v>
      </c>
      <c r="F65" s="9" t="s">
        <v>23</v>
      </c>
      <c r="G65" s="10" t="s">
        <v>192</v>
      </c>
      <c r="H65" s="12"/>
      <c r="I65" s="36" t="s">
        <v>92</v>
      </c>
      <c r="J65" s="13" t="s">
        <v>206</v>
      </c>
      <c r="K65" s="43">
        <v>399000</v>
      </c>
      <c r="L65" s="20">
        <f t="shared" si="0"/>
        <v>0</v>
      </c>
      <c r="M65" s="24"/>
      <c r="N65" s="14"/>
      <c r="O65" s="14"/>
      <c r="P65" s="16">
        <f t="shared" si="1"/>
        <v>0</v>
      </c>
      <c r="Q65" s="35"/>
      <c r="R65" s="29"/>
      <c r="S65" s="40"/>
    </row>
    <row r="66" spans="1:19" s="4" customFormat="1" ht="18" customHeight="1">
      <c r="A66" s="34">
        <v>2018</v>
      </c>
      <c r="B66" s="9">
        <v>7</v>
      </c>
      <c r="C66" s="9">
        <v>30</v>
      </c>
      <c r="D66" s="27" t="s">
        <v>227</v>
      </c>
      <c r="E66" s="27" t="s">
        <v>228</v>
      </c>
      <c r="F66" s="9" t="s">
        <v>23</v>
      </c>
      <c r="G66" s="10" t="s">
        <v>192</v>
      </c>
      <c r="H66" s="12" t="s">
        <v>76</v>
      </c>
      <c r="I66" s="9" t="s">
        <v>97</v>
      </c>
      <c r="J66" s="13" t="s">
        <v>221</v>
      </c>
      <c r="K66" s="44">
        <v>799000</v>
      </c>
      <c r="L66" s="20">
        <f t="shared" si="0"/>
        <v>0</v>
      </c>
      <c r="M66" s="24"/>
      <c r="N66" s="14"/>
      <c r="O66" s="14"/>
      <c r="P66" s="16">
        <f t="shared" si="1"/>
        <v>0</v>
      </c>
      <c r="Q66" s="35"/>
      <c r="R66" s="29"/>
      <c r="S66" s="40"/>
    </row>
    <row r="67" spans="1:19" s="4" customFormat="1" ht="18" customHeight="1">
      <c r="A67" s="34">
        <v>2018</v>
      </c>
      <c r="B67" s="9">
        <v>7</v>
      </c>
      <c r="C67" s="9">
        <v>30</v>
      </c>
      <c r="D67" s="27" t="s">
        <v>227</v>
      </c>
      <c r="E67" s="27" t="s">
        <v>228</v>
      </c>
      <c r="F67" s="9" t="s">
        <v>23</v>
      </c>
      <c r="G67" s="10" t="s">
        <v>192</v>
      </c>
      <c r="H67" s="12" t="s">
        <v>76</v>
      </c>
      <c r="I67" s="9" t="s">
        <v>98</v>
      </c>
      <c r="J67" s="13" t="s">
        <v>221</v>
      </c>
      <c r="K67" s="42">
        <v>1098000</v>
      </c>
      <c r="L67" s="20">
        <f t="shared" si="0"/>
        <v>0</v>
      </c>
      <c r="M67" s="24"/>
      <c r="N67" s="14"/>
      <c r="O67" s="14"/>
      <c r="P67" s="16">
        <f t="shared" si="1"/>
        <v>0</v>
      </c>
      <c r="Q67" s="35"/>
      <c r="R67" s="29"/>
      <c r="S67" s="40"/>
    </row>
    <row r="68" spans="1:19" s="4" customFormat="1" ht="18" customHeight="1">
      <c r="A68" s="34">
        <v>2018</v>
      </c>
      <c r="B68" s="9">
        <v>7</v>
      </c>
      <c r="C68" s="9">
        <v>30</v>
      </c>
      <c r="D68" s="27" t="s">
        <v>227</v>
      </c>
      <c r="E68" s="27" t="s">
        <v>228</v>
      </c>
      <c r="F68" s="9" t="s">
        <v>23</v>
      </c>
      <c r="G68" s="10" t="s">
        <v>192</v>
      </c>
      <c r="H68" s="12" t="s">
        <v>76</v>
      </c>
      <c r="I68" s="9" t="s">
        <v>99</v>
      </c>
      <c r="J68" s="13" t="s">
        <v>221</v>
      </c>
      <c r="K68" s="42">
        <v>1058000</v>
      </c>
      <c r="L68" s="20">
        <f t="shared" ref="L68:L131" si="2">K68*P68</f>
        <v>0</v>
      </c>
      <c r="M68" s="24"/>
      <c r="N68" s="14"/>
      <c r="O68" s="14"/>
      <c r="P68" s="16">
        <f t="shared" si="1"/>
        <v>0</v>
      </c>
      <c r="Q68" s="35"/>
      <c r="R68" s="29"/>
      <c r="S68" s="40"/>
    </row>
    <row r="69" spans="1:19" s="4" customFormat="1" ht="18" customHeight="1">
      <c r="A69" s="34">
        <v>2018</v>
      </c>
      <c r="B69" s="9">
        <v>7</v>
      </c>
      <c r="C69" s="9">
        <v>30</v>
      </c>
      <c r="D69" s="27" t="s">
        <v>227</v>
      </c>
      <c r="E69" s="27" t="s">
        <v>228</v>
      </c>
      <c r="F69" s="9" t="s">
        <v>23</v>
      </c>
      <c r="G69" s="10" t="s">
        <v>192</v>
      </c>
      <c r="H69" s="12" t="s">
        <v>34</v>
      </c>
      <c r="I69" s="9" t="s">
        <v>107</v>
      </c>
      <c r="J69" s="13" t="s">
        <v>206</v>
      </c>
      <c r="K69" s="43">
        <v>599000</v>
      </c>
      <c r="L69" s="20">
        <f t="shared" si="2"/>
        <v>0</v>
      </c>
      <c r="M69" s="24"/>
      <c r="N69" s="14"/>
      <c r="O69" s="14"/>
      <c r="P69" s="16">
        <f t="shared" ref="P69:P132" si="3">N69+O69-Q69</f>
        <v>0</v>
      </c>
      <c r="Q69" s="35"/>
      <c r="R69" s="29"/>
      <c r="S69" s="40"/>
    </row>
    <row r="70" spans="1:19" s="4" customFormat="1" ht="18" customHeight="1">
      <c r="A70" s="34">
        <v>2018</v>
      </c>
      <c r="B70" s="9">
        <v>7</v>
      </c>
      <c r="C70" s="9">
        <v>30</v>
      </c>
      <c r="D70" s="27" t="s">
        <v>227</v>
      </c>
      <c r="E70" s="27" t="s">
        <v>228</v>
      </c>
      <c r="F70" s="9" t="s">
        <v>23</v>
      </c>
      <c r="G70" s="10" t="s">
        <v>192</v>
      </c>
      <c r="H70" s="12" t="s">
        <v>129</v>
      </c>
      <c r="I70" s="9" t="s">
        <v>119</v>
      </c>
      <c r="J70" s="13" t="s">
        <v>206</v>
      </c>
      <c r="K70" s="43">
        <v>699000</v>
      </c>
      <c r="L70" s="20">
        <f t="shared" si="2"/>
        <v>0</v>
      </c>
      <c r="M70" s="24"/>
      <c r="N70" s="14"/>
      <c r="O70" s="14"/>
      <c r="P70" s="16">
        <f t="shared" si="3"/>
        <v>0</v>
      </c>
      <c r="Q70" s="35"/>
      <c r="R70" s="29"/>
      <c r="S70" s="40"/>
    </row>
    <row r="71" spans="1:19" s="4" customFormat="1" ht="18" customHeight="1">
      <c r="A71" s="34">
        <v>2018</v>
      </c>
      <c r="B71" s="9">
        <v>7</v>
      </c>
      <c r="C71" s="9">
        <v>30</v>
      </c>
      <c r="D71" s="27" t="s">
        <v>227</v>
      </c>
      <c r="E71" s="27" t="s">
        <v>228</v>
      </c>
      <c r="F71" s="9" t="s">
        <v>23</v>
      </c>
      <c r="G71" s="10" t="s">
        <v>192</v>
      </c>
      <c r="H71" s="12"/>
      <c r="I71" s="9" t="s">
        <v>126</v>
      </c>
      <c r="J71" s="13" t="s">
        <v>206</v>
      </c>
      <c r="K71" s="43">
        <v>399000</v>
      </c>
      <c r="L71" s="20">
        <f t="shared" si="2"/>
        <v>0</v>
      </c>
      <c r="M71" s="24"/>
      <c r="N71" s="14"/>
      <c r="O71" s="14"/>
      <c r="P71" s="16">
        <f t="shared" si="3"/>
        <v>0</v>
      </c>
      <c r="Q71" s="35"/>
      <c r="R71" s="29"/>
      <c r="S71" s="40"/>
    </row>
    <row r="72" spans="1:19" s="4" customFormat="1" ht="18" customHeight="1">
      <c r="A72" s="34">
        <v>2018</v>
      </c>
      <c r="B72" s="9">
        <v>7</v>
      </c>
      <c r="C72" s="9">
        <v>30</v>
      </c>
      <c r="D72" s="27" t="s">
        <v>227</v>
      </c>
      <c r="E72" s="27" t="s">
        <v>228</v>
      </c>
      <c r="F72" s="9" t="s">
        <v>23</v>
      </c>
      <c r="G72" s="10" t="s">
        <v>192</v>
      </c>
      <c r="H72" s="12" t="s">
        <v>162</v>
      </c>
      <c r="I72" s="9" t="s">
        <v>152</v>
      </c>
      <c r="J72" s="13" t="s">
        <v>208</v>
      </c>
      <c r="K72" s="45">
        <v>679000</v>
      </c>
      <c r="L72" s="20">
        <f t="shared" si="2"/>
        <v>0</v>
      </c>
      <c r="M72" s="24"/>
      <c r="N72" s="14"/>
      <c r="O72" s="14"/>
      <c r="P72" s="16">
        <f t="shared" si="3"/>
        <v>0</v>
      </c>
      <c r="Q72" s="35"/>
      <c r="R72" s="29"/>
      <c r="S72" s="40"/>
    </row>
    <row r="73" spans="1:19" s="4" customFormat="1" ht="18" customHeight="1">
      <c r="A73" s="34">
        <v>2018</v>
      </c>
      <c r="B73" s="9">
        <v>7</v>
      </c>
      <c r="C73" s="9">
        <v>30</v>
      </c>
      <c r="D73" s="27" t="s">
        <v>227</v>
      </c>
      <c r="E73" s="27" t="s">
        <v>228</v>
      </c>
      <c r="F73" s="9" t="s">
        <v>23</v>
      </c>
      <c r="G73" s="10" t="s">
        <v>192</v>
      </c>
      <c r="H73" s="12"/>
      <c r="I73" s="9" t="s">
        <v>163</v>
      </c>
      <c r="J73" s="13" t="s">
        <v>206</v>
      </c>
      <c r="K73" s="45">
        <v>699000</v>
      </c>
      <c r="L73" s="20">
        <f t="shared" si="2"/>
        <v>0</v>
      </c>
      <c r="M73" s="24"/>
      <c r="N73" s="14"/>
      <c r="O73" s="14"/>
      <c r="P73" s="16">
        <f t="shared" si="3"/>
        <v>0</v>
      </c>
      <c r="Q73" s="35"/>
      <c r="R73" s="29"/>
      <c r="S73" s="40"/>
    </row>
    <row r="74" spans="1:19" s="4" customFormat="1" ht="18" customHeight="1">
      <c r="A74" s="34">
        <v>2018</v>
      </c>
      <c r="B74" s="9">
        <v>7</v>
      </c>
      <c r="C74" s="9">
        <v>30</v>
      </c>
      <c r="D74" s="27" t="s">
        <v>227</v>
      </c>
      <c r="E74" s="27" t="s">
        <v>228</v>
      </c>
      <c r="F74" s="9" t="s">
        <v>23</v>
      </c>
      <c r="G74" s="10" t="s">
        <v>193</v>
      </c>
      <c r="H74" s="18" t="s">
        <v>204</v>
      </c>
      <c r="I74" s="36" t="s">
        <v>17</v>
      </c>
      <c r="J74" s="13" t="s">
        <v>206</v>
      </c>
      <c r="K74" s="43">
        <v>736000</v>
      </c>
      <c r="L74" s="20">
        <f t="shared" si="2"/>
        <v>0</v>
      </c>
      <c r="M74" s="24"/>
      <c r="N74" s="14"/>
      <c r="O74" s="14"/>
      <c r="P74" s="16">
        <f t="shared" si="3"/>
        <v>0</v>
      </c>
      <c r="Q74" s="35"/>
      <c r="R74" s="29"/>
      <c r="S74" s="40"/>
    </row>
    <row r="75" spans="1:19" s="4" customFormat="1" ht="18" customHeight="1">
      <c r="A75" s="34">
        <v>2018</v>
      </c>
      <c r="B75" s="9">
        <v>7</v>
      </c>
      <c r="C75" s="9">
        <v>30</v>
      </c>
      <c r="D75" s="27" t="s">
        <v>227</v>
      </c>
      <c r="E75" s="27" t="s">
        <v>228</v>
      </c>
      <c r="F75" s="9" t="s">
        <v>23</v>
      </c>
      <c r="G75" s="10" t="s">
        <v>193</v>
      </c>
      <c r="H75" s="18" t="s">
        <v>204</v>
      </c>
      <c r="I75" s="36" t="s">
        <v>18</v>
      </c>
      <c r="J75" s="13" t="s">
        <v>206</v>
      </c>
      <c r="K75" s="45">
        <v>1109000</v>
      </c>
      <c r="L75" s="20">
        <f t="shared" si="2"/>
        <v>0</v>
      </c>
      <c r="M75" s="24"/>
      <c r="N75" s="14"/>
      <c r="O75" s="14"/>
      <c r="P75" s="16">
        <f t="shared" si="3"/>
        <v>0</v>
      </c>
      <c r="Q75" s="35"/>
      <c r="R75" s="29"/>
      <c r="S75" s="40"/>
    </row>
    <row r="76" spans="1:19" s="4" customFormat="1" ht="18" customHeight="1">
      <c r="A76" s="34">
        <v>2018</v>
      </c>
      <c r="B76" s="9">
        <v>7</v>
      </c>
      <c r="C76" s="9">
        <v>30</v>
      </c>
      <c r="D76" s="27" t="s">
        <v>227</v>
      </c>
      <c r="E76" s="27" t="s">
        <v>228</v>
      </c>
      <c r="F76" s="9" t="s">
        <v>23</v>
      </c>
      <c r="G76" s="10" t="s">
        <v>193</v>
      </c>
      <c r="H76" s="18" t="s">
        <v>204</v>
      </c>
      <c r="I76" s="36" t="s">
        <v>19</v>
      </c>
      <c r="J76" s="13" t="s">
        <v>206</v>
      </c>
      <c r="K76" s="44">
        <v>1029000</v>
      </c>
      <c r="L76" s="20">
        <f t="shared" si="2"/>
        <v>0</v>
      </c>
      <c r="M76" s="24"/>
      <c r="N76" s="14"/>
      <c r="O76" s="14"/>
      <c r="P76" s="16">
        <f t="shared" si="3"/>
        <v>0</v>
      </c>
      <c r="Q76" s="35"/>
      <c r="R76" s="29"/>
      <c r="S76" s="40"/>
    </row>
    <row r="77" spans="1:19" s="4" customFormat="1" ht="18" customHeight="1">
      <c r="A77" s="34">
        <v>2018</v>
      </c>
      <c r="B77" s="9">
        <v>7</v>
      </c>
      <c r="C77" s="9">
        <v>30</v>
      </c>
      <c r="D77" s="27" t="s">
        <v>227</v>
      </c>
      <c r="E77" s="27" t="s">
        <v>228</v>
      </c>
      <c r="F77" s="9" t="s">
        <v>23</v>
      </c>
      <c r="G77" s="10" t="s">
        <v>193</v>
      </c>
      <c r="H77" s="18" t="s">
        <v>204</v>
      </c>
      <c r="I77" s="36" t="s">
        <v>20</v>
      </c>
      <c r="J77" s="13" t="s">
        <v>217</v>
      </c>
      <c r="K77" s="42">
        <v>1189000</v>
      </c>
      <c r="L77" s="20">
        <f t="shared" si="2"/>
        <v>0</v>
      </c>
      <c r="M77" s="24"/>
      <c r="N77" s="14"/>
      <c r="O77" s="14"/>
      <c r="P77" s="16">
        <f t="shared" si="3"/>
        <v>0</v>
      </c>
      <c r="Q77" s="35"/>
      <c r="R77" s="29"/>
      <c r="S77" s="40"/>
    </row>
    <row r="78" spans="1:19" s="4" customFormat="1" ht="18" customHeight="1">
      <c r="A78" s="34">
        <v>2018</v>
      </c>
      <c r="B78" s="9">
        <v>7</v>
      </c>
      <c r="C78" s="9">
        <v>30</v>
      </c>
      <c r="D78" s="27" t="s">
        <v>227</v>
      </c>
      <c r="E78" s="27" t="s">
        <v>228</v>
      </c>
      <c r="F78" s="9" t="s">
        <v>23</v>
      </c>
      <c r="G78" s="10" t="s">
        <v>193</v>
      </c>
      <c r="H78" s="18" t="s">
        <v>205</v>
      </c>
      <c r="I78" s="36" t="s">
        <v>21</v>
      </c>
      <c r="J78" s="13" t="s">
        <v>223</v>
      </c>
      <c r="K78" s="21">
        <v>483000</v>
      </c>
      <c r="L78" s="20">
        <f t="shared" si="2"/>
        <v>0</v>
      </c>
      <c r="M78" s="24"/>
      <c r="N78" s="14"/>
      <c r="O78" s="14"/>
      <c r="P78" s="16">
        <f t="shared" si="3"/>
        <v>0</v>
      </c>
      <c r="Q78" s="35"/>
      <c r="R78" s="29"/>
      <c r="S78" s="40"/>
    </row>
    <row r="79" spans="1:19" s="4" customFormat="1" ht="18" customHeight="1">
      <c r="A79" s="34">
        <v>2018</v>
      </c>
      <c r="B79" s="9">
        <v>7</v>
      </c>
      <c r="C79" s="9">
        <v>30</v>
      </c>
      <c r="D79" s="27" t="s">
        <v>227</v>
      </c>
      <c r="E79" s="27" t="s">
        <v>228</v>
      </c>
      <c r="F79" s="9" t="s">
        <v>23</v>
      </c>
      <c r="G79" s="10" t="s">
        <v>193</v>
      </c>
      <c r="H79" s="18" t="s">
        <v>205</v>
      </c>
      <c r="I79" s="36" t="s">
        <v>22</v>
      </c>
      <c r="J79" s="13" t="s">
        <v>223</v>
      </c>
      <c r="K79" s="21">
        <v>659000</v>
      </c>
      <c r="L79" s="20">
        <f t="shared" si="2"/>
        <v>0</v>
      </c>
      <c r="M79" s="24"/>
      <c r="N79" s="14"/>
      <c r="O79" s="14"/>
      <c r="P79" s="16">
        <f t="shared" si="3"/>
        <v>0</v>
      </c>
      <c r="Q79" s="35"/>
      <c r="R79" s="29"/>
      <c r="S79" s="40"/>
    </row>
    <row r="80" spans="1:19" s="4" customFormat="1" ht="18" customHeight="1">
      <c r="A80" s="34">
        <v>2018</v>
      </c>
      <c r="B80" s="9">
        <v>7</v>
      </c>
      <c r="C80" s="9">
        <v>30</v>
      </c>
      <c r="D80" s="27" t="s">
        <v>227</v>
      </c>
      <c r="E80" s="27" t="s">
        <v>228</v>
      </c>
      <c r="F80" s="9" t="s">
        <v>23</v>
      </c>
      <c r="G80" s="10" t="s">
        <v>193</v>
      </c>
      <c r="H80" s="18" t="s">
        <v>205</v>
      </c>
      <c r="I80" s="9" t="s">
        <v>93</v>
      </c>
      <c r="J80" s="13" t="s">
        <v>208</v>
      </c>
      <c r="K80" s="21">
        <v>1149000</v>
      </c>
      <c r="L80" s="20">
        <f t="shared" si="2"/>
        <v>0</v>
      </c>
      <c r="M80" s="24"/>
      <c r="N80" s="14"/>
      <c r="O80" s="14"/>
      <c r="P80" s="16">
        <f t="shared" si="3"/>
        <v>0</v>
      </c>
      <c r="Q80" s="35"/>
      <c r="R80" s="29"/>
      <c r="S80" s="40"/>
    </row>
    <row r="81" spans="1:19" s="4" customFormat="1" ht="18" customHeight="1">
      <c r="A81" s="34">
        <v>2018</v>
      </c>
      <c r="B81" s="9">
        <v>7</v>
      </c>
      <c r="C81" s="9">
        <v>30</v>
      </c>
      <c r="D81" s="27" t="s">
        <v>227</v>
      </c>
      <c r="E81" s="27" t="s">
        <v>228</v>
      </c>
      <c r="F81" s="9" t="s">
        <v>23</v>
      </c>
      <c r="G81" s="10" t="s">
        <v>193</v>
      </c>
      <c r="H81" s="18" t="s">
        <v>205</v>
      </c>
      <c r="I81" s="9" t="s">
        <v>94</v>
      </c>
      <c r="J81" s="13" t="s">
        <v>208</v>
      </c>
      <c r="K81" s="21">
        <v>1249000</v>
      </c>
      <c r="L81" s="20">
        <f t="shared" si="2"/>
        <v>0</v>
      </c>
      <c r="M81" s="24"/>
      <c r="N81" s="14"/>
      <c r="O81" s="14"/>
      <c r="P81" s="16">
        <f t="shared" si="3"/>
        <v>0</v>
      </c>
      <c r="Q81" s="35"/>
      <c r="R81" s="29"/>
      <c r="S81" s="40"/>
    </row>
    <row r="82" spans="1:19" s="4" customFormat="1" ht="18" customHeight="1">
      <c r="A82" s="34">
        <v>2018</v>
      </c>
      <c r="B82" s="9">
        <v>7</v>
      </c>
      <c r="C82" s="9">
        <v>30</v>
      </c>
      <c r="D82" s="27" t="s">
        <v>227</v>
      </c>
      <c r="E82" s="27" t="s">
        <v>228</v>
      </c>
      <c r="F82" s="9" t="s">
        <v>23</v>
      </c>
      <c r="G82" s="10" t="s">
        <v>194</v>
      </c>
      <c r="H82" s="12" t="s">
        <v>32</v>
      </c>
      <c r="I82" s="36" t="s">
        <v>16</v>
      </c>
      <c r="J82" s="13" t="s">
        <v>207</v>
      </c>
      <c r="K82" s="42">
        <v>82900</v>
      </c>
      <c r="L82" s="20">
        <f t="shared" si="2"/>
        <v>0</v>
      </c>
      <c r="M82" s="24"/>
      <c r="N82" s="14"/>
      <c r="O82" s="14"/>
      <c r="P82" s="16">
        <f t="shared" si="3"/>
        <v>0</v>
      </c>
      <c r="Q82" s="35"/>
      <c r="R82" s="29"/>
      <c r="S82" s="40"/>
    </row>
    <row r="83" spans="1:19" s="4" customFormat="1" ht="18" customHeight="1">
      <c r="A83" s="34">
        <v>2018</v>
      </c>
      <c r="B83" s="9">
        <v>7</v>
      </c>
      <c r="C83" s="9">
        <v>30</v>
      </c>
      <c r="D83" s="27" t="s">
        <v>227</v>
      </c>
      <c r="E83" s="27" t="s">
        <v>228</v>
      </c>
      <c r="F83" s="9" t="s">
        <v>23</v>
      </c>
      <c r="G83" s="10" t="s">
        <v>194</v>
      </c>
      <c r="H83" s="12" t="s">
        <v>34</v>
      </c>
      <c r="I83" s="17" t="s">
        <v>65</v>
      </c>
      <c r="J83" s="13" t="s">
        <v>207</v>
      </c>
      <c r="K83" s="42">
        <v>135900</v>
      </c>
      <c r="L83" s="20">
        <f t="shared" si="2"/>
        <v>0</v>
      </c>
      <c r="M83" s="24"/>
      <c r="N83" s="14"/>
      <c r="O83" s="14"/>
      <c r="P83" s="16">
        <f t="shared" si="3"/>
        <v>0</v>
      </c>
      <c r="Q83" s="35"/>
      <c r="R83" s="29"/>
      <c r="S83" s="40"/>
    </row>
    <row r="84" spans="1:19" s="4" customFormat="1" ht="18" customHeight="1">
      <c r="A84" s="34">
        <v>2018</v>
      </c>
      <c r="B84" s="9">
        <v>7</v>
      </c>
      <c r="C84" s="9">
        <v>30</v>
      </c>
      <c r="D84" s="27" t="s">
        <v>227</v>
      </c>
      <c r="E84" s="27" t="s">
        <v>228</v>
      </c>
      <c r="F84" s="9" t="s">
        <v>23</v>
      </c>
      <c r="G84" s="10" t="s">
        <v>194</v>
      </c>
      <c r="H84" s="12" t="s">
        <v>34</v>
      </c>
      <c r="I84" s="36" t="s">
        <v>51</v>
      </c>
      <c r="J84" s="13" t="s">
        <v>207</v>
      </c>
      <c r="K84" s="42">
        <v>149000</v>
      </c>
      <c r="L84" s="20">
        <f t="shared" si="2"/>
        <v>0</v>
      </c>
      <c r="M84" s="24"/>
      <c r="N84" s="14"/>
      <c r="O84" s="14"/>
      <c r="P84" s="16">
        <f t="shared" si="3"/>
        <v>0</v>
      </c>
      <c r="Q84" s="35"/>
      <c r="R84" s="29"/>
      <c r="S84" s="40"/>
    </row>
    <row r="85" spans="1:19" s="4" customFormat="1" ht="18" customHeight="1">
      <c r="A85" s="34">
        <v>2018</v>
      </c>
      <c r="B85" s="9">
        <v>7</v>
      </c>
      <c r="C85" s="9">
        <v>30</v>
      </c>
      <c r="D85" s="27" t="s">
        <v>227</v>
      </c>
      <c r="E85" s="27" t="s">
        <v>228</v>
      </c>
      <c r="F85" s="9" t="s">
        <v>23</v>
      </c>
      <c r="G85" s="10" t="s">
        <v>194</v>
      </c>
      <c r="H85" s="12" t="s">
        <v>34</v>
      </c>
      <c r="I85" s="36" t="s">
        <v>52</v>
      </c>
      <c r="J85" s="13" t="s">
        <v>207</v>
      </c>
      <c r="K85" s="42">
        <v>169900</v>
      </c>
      <c r="L85" s="20">
        <f t="shared" si="2"/>
        <v>0</v>
      </c>
      <c r="M85" s="24"/>
      <c r="N85" s="14"/>
      <c r="O85" s="14"/>
      <c r="P85" s="16">
        <f t="shared" si="3"/>
        <v>0</v>
      </c>
      <c r="Q85" s="35"/>
      <c r="R85" s="29"/>
      <c r="S85" s="40"/>
    </row>
    <row r="86" spans="1:19" s="4" customFormat="1" ht="18" customHeight="1">
      <c r="A86" s="34">
        <v>2018</v>
      </c>
      <c r="B86" s="9">
        <v>7</v>
      </c>
      <c r="C86" s="9">
        <v>30</v>
      </c>
      <c r="D86" s="27" t="s">
        <v>227</v>
      </c>
      <c r="E86" s="27" t="s">
        <v>228</v>
      </c>
      <c r="F86" s="9" t="s">
        <v>23</v>
      </c>
      <c r="G86" s="10" t="s">
        <v>194</v>
      </c>
      <c r="H86" s="12" t="s">
        <v>34</v>
      </c>
      <c r="I86" s="36" t="s">
        <v>53</v>
      </c>
      <c r="J86" s="13" t="s">
        <v>207</v>
      </c>
      <c r="K86" s="42">
        <v>192900</v>
      </c>
      <c r="L86" s="20">
        <f t="shared" si="2"/>
        <v>0</v>
      </c>
      <c r="M86" s="24"/>
      <c r="N86" s="14"/>
      <c r="O86" s="14"/>
      <c r="P86" s="16">
        <f t="shared" si="3"/>
        <v>0</v>
      </c>
      <c r="Q86" s="35"/>
      <c r="R86" s="29"/>
      <c r="S86" s="40"/>
    </row>
    <row r="87" spans="1:19" s="4" customFormat="1" ht="18" customHeight="1">
      <c r="A87" s="34">
        <v>2018</v>
      </c>
      <c r="B87" s="9">
        <v>7</v>
      </c>
      <c r="C87" s="9">
        <v>30</v>
      </c>
      <c r="D87" s="27" t="s">
        <v>227</v>
      </c>
      <c r="E87" s="27" t="s">
        <v>228</v>
      </c>
      <c r="F87" s="9" t="s">
        <v>23</v>
      </c>
      <c r="G87" s="10" t="s">
        <v>194</v>
      </c>
      <c r="H87" s="12" t="s">
        <v>34</v>
      </c>
      <c r="I87" s="36" t="s">
        <v>54</v>
      </c>
      <c r="J87" s="13" t="s">
        <v>207</v>
      </c>
      <c r="K87" s="42">
        <v>214900</v>
      </c>
      <c r="L87" s="20">
        <f t="shared" si="2"/>
        <v>0</v>
      </c>
      <c r="M87" s="24"/>
      <c r="N87" s="14"/>
      <c r="O87" s="14"/>
      <c r="P87" s="16">
        <f t="shared" si="3"/>
        <v>0</v>
      </c>
      <c r="Q87" s="35"/>
      <c r="R87" s="29"/>
      <c r="S87" s="40"/>
    </row>
    <row r="88" spans="1:19" s="4" customFormat="1" ht="18" customHeight="1">
      <c r="A88" s="34">
        <v>2018</v>
      </c>
      <c r="B88" s="9">
        <v>7</v>
      </c>
      <c r="C88" s="9">
        <v>30</v>
      </c>
      <c r="D88" s="27" t="s">
        <v>227</v>
      </c>
      <c r="E88" s="27" t="s">
        <v>228</v>
      </c>
      <c r="F88" s="9" t="s">
        <v>23</v>
      </c>
      <c r="G88" s="10" t="s">
        <v>194</v>
      </c>
      <c r="H88" s="12" t="s">
        <v>34</v>
      </c>
      <c r="I88" s="36" t="s">
        <v>55</v>
      </c>
      <c r="J88" s="13" t="s">
        <v>207</v>
      </c>
      <c r="K88" s="42">
        <v>237900</v>
      </c>
      <c r="L88" s="20">
        <f t="shared" si="2"/>
        <v>0</v>
      </c>
      <c r="M88" s="24"/>
      <c r="N88" s="14"/>
      <c r="O88" s="14"/>
      <c r="P88" s="16">
        <f t="shared" si="3"/>
        <v>0</v>
      </c>
      <c r="Q88" s="35"/>
      <c r="R88" s="29"/>
      <c r="S88" s="40"/>
    </row>
    <row r="89" spans="1:19" s="4" customFormat="1" ht="18" customHeight="1">
      <c r="A89" s="34">
        <v>2018</v>
      </c>
      <c r="B89" s="9">
        <v>7</v>
      </c>
      <c r="C89" s="9">
        <v>30</v>
      </c>
      <c r="D89" s="27" t="s">
        <v>227</v>
      </c>
      <c r="E89" s="27" t="s">
        <v>228</v>
      </c>
      <c r="F89" s="9" t="s">
        <v>23</v>
      </c>
      <c r="G89" s="10" t="s">
        <v>194</v>
      </c>
      <c r="H89" s="12" t="s">
        <v>31</v>
      </c>
      <c r="I89" s="36" t="s">
        <v>56</v>
      </c>
      <c r="J89" s="13" t="s">
        <v>207</v>
      </c>
      <c r="K89" s="42">
        <v>145000</v>
      </c>
      <c r="L89" s="20">
        <f t="shared" si="2"/>
        <v>0</v>
      </c>
      <c r="M89" s="24"/>
      <c r="N89" s="14"/>
      <c r="O89" s="14"/>
      <c r="P89" s="16">
        <f t="shared" si="3"/>
        <v>0</v>
      </c>
      <c r="Q89" s="35"/>
      <c r="R89" s="29"/>
      <c r="S89" s="40"/>
    </row>
    <row r="90" spans="1:19" s="4" customFormat="1" ht="18" customHeight="1">
      <c r="A90" s="34">
        <v>2018</v>
      </c>
      <c r="B90" s="9">
        <v>7</v>
      </c>
      <c r="C90" s="9">
        <v>30</v>
      </c>
      <c r="D90" s="27" t="s">
        <v>227</v>
      </c>
      <c r="E90" s="27" t="s">
        <v>228</v>
      </c>
      <c r="F90" s="9" t="s">
        <v>23</v>
      </c>
      <c r="G90" s="10" t="s">
        <v>194</v>
      </c>
      <c r="H90" s="12" t="s">
        <v>31</v>
      </c>
      <c r="I90" s="36" t="s">
        <v>57</v>
      </c>
      <c r="J90" s="13" t="s">
        <v>207</v>
      </c>
      <c r="K90" s="42">
        <v>180900</v>
      </c>
      <c r="L90" s="20">
        <f t="shared" si="2"/>
        <v>0</v>
      </c>
      <c r="M90" s="24"/>
      <c r="N90" s="14"/>
      <c r="O90" s="14"/>
      <c r="P90" s="16">
        <f t="shared" si="3"/>
        <v>0</v>
      </c>
      <c r="Q90" s="35"/>
      <c r="R90" s="29"/>
      <c r="S90" s="40"/>
    </row>
    <row r="91" spans="1:19" s="4" customFormat="1" ht="18" customHeight="1">
      <c r="A91" s="34">
        <v>2018</v>
      </c>
      <c r="B91" s="9">
        <v>7</v>
      </c>
      <c r="C91" s="9">
        <v>30</v>
      </c>
      <c r="D91" s="27" t="s">
        <v>227</v>
      </c>
      <c r="E91" s="27" t="s">
        <v>228</v>
      </c>
      <c r="F91" s="9" t="s">
        <v>23</v>
      </c>
      <c r="G91" s="10" t="s">
        <v>194</v>
      </c>
      <c r="H91" s="12" t="s">
        <v>31</v>
      </c>
      <c r="I91" s="36" t="s">
        <v>58</v>
      </c>
      <c r="J91" s="13" t="s">
        <v>207</v>
      </c>
      <c r="K91" s="42">
        <v>358000</v>
      </c>
      <c r="L91" s="20">
        <f t="shared" si="2"/>
        <v>0</v>
      </c>
      <c r="M91" s="24"/>
      <c r="N91" s="14"/>
      <c r="O91" s="14"/>
      <c r="P91" s="16">
        <f t="shared" si="3"/>
        <v>0</v>
      </c>
      <c r="Q91" s="35"/>
      <c r="R91" s="29"/>
      <c r="S91" s="40"/>
    </row>
    <row r="92" spans="1:19" s="4" customFormat="1" ht="18" customHeight="1">
      <c r="A92" s="34">
        <v>2018</v>
      </c>
      <c r="B92" s="9">
        <v>7</v>
      </c>
      <c r="C92" s="9">
        <v>30</v>
      </c>
      <c r="D92" s="27" t="s">
        <v>227</v>
      </c>
      <c r="E92" s="27" t="s">
        <v>228</v>
      </c>
      <c r="F92" s="9" t="s">
        <v>23</v>
      </c>
      <c r="G92" s="10" t="s">
        <v>194</v>
      </c>
      <c r="H92" s="12" t="s">
        <v>31</v>
      </c>
      <c r="I92" s="36" t="s">
        <v>59</v>
      </c>
      <c r="J92" s="13" t="s">
        <v>207</v>
      </c>
      <c r="K92" s="42">
        <v>418000</v>
      </c>
      <c r="L92" s="20">
        <f t="shared" si="2"/>
        <v>0</v>
      </c>
      <c r="M92" s="24"/>
      <c r="N92" s="14"/>
      <c r="O92" s="14"/>
      <c r="P92" s="16">
        <f t="shared" si="3"/>
        <v>0</v>
      </c>
      <c r="Q92" s="35"/>
      <c r="R92" s="29"/>
      <c r="S92" s="40"/>
    </row>
    <row r="93" spans="1:19" s="4" customFormat="1" ht="18" customHeight="1">
      <c r="A93" s="34">
        <v>2018</v>
      </c>
      <c r="B93" s="9">
        <v>7</v>
      </c>
      <c r="C93" s="9">
        <v>30</v>
      </c>
      <c r="D93" s="27" t="s">
        <v>227</v>
      </c>
      <c r="E93" s="27" t="s">
        <v>228</v>
      </c>
      <c r="F93" s="9" t="s">
        <v>23</v>
      </c>
      <c r="G93" s="10" t="s">
        <v>194</v>
      </c>
      <c r="H93" s="12" t="s">
        <v>82</v>
      </c>
      <c r="I93" s="36" t="s">
        <v>78</v>
      </c>
      <c r="J93" s="13" t="s">
        <v>218</v>
      </c>
      <c r="K93" s="42">
        <v>189000</v>
      </c>
      <c r="L93" s="20">
        <f t="shared" si="2"/>
        <v>0</v>
      </c>
      <c r="M93" s="24"/>
      <c r="N93" s="14"/>
      <c r="O93" s="14"/>
      <c r="P93" s="16">
        <f t="shared" si="3"/>
        <v>0</v>
      </c>
      <c r="Q93" s="35"/>
      <c r="R93" s="29"/>
      <c r="S93" s="40"/>
    </row>
    <row r="94" spans="1:19" s="4" customFormat="1" ht="18" customHeight="1">
      <c r="A94" s="34">
        <v>2018</v>
      </c>
      <c r="B94" s="9">
        <v>7</v>
      </c>
      <c r="C94" s="9">
        <v>30</v>
      </c>
      <c r="D94" s="27" t="s">
        <v>227</v>
      </c>
      <c r="E94" s="27" t="s">
        <v>228</v>
      </c>
      <c r="F94" s="9" t="s">
        <v>23</v>
      </c>
      <c r="G94" s="10" t="s">
        <v>194</v>
      </c>
      <c r="H94" s="12" t="s">
        <v>82</v>
      </c>
      <c r="I94" s="9" t="s">
        <v>79</v>
      </c>
      <c r="J94" s="13" t="s">
        <v>218</v>
      </c>
      <c r="K94" s="42">
        <v>228000</v>
      </c>
      <c r="L94" s="20">
        <f t="shared" si="2"/>
        <v>0</v>
      </c>
      <c r="M94" s="24"/>
      <c r="N94" s="14"/>
      <c r="O94" s="14"/>
      <c r="P94" s="16">
        <f t="shared" si="3"/>
        <v>0</v>
      </c>
      <c r="Q94" s="35"/>
      <c r="R94" s="29"/>
      <c r="S94" s="40"/>
    </row>
    <row r="95" spans="1:19" s="4" customFormat="1" ht="18" customHeight="1">
      <c r="A95" s="34">
        <v>2018</v>
      </c>
      <c r="B95" s="9">
        <v>7</v>
      </c>
      <c r="C95" s="9">
        <v>30</v>
      </c>
      <c r="D95" s="27" t="s">
        <v>227</v>
      </c>
      <c r="E95" s="27" t="s">
        <v>228</v>
      </c>
      <c r="F95" s="9" t="s">
        <v>23</v>
      </c>
      <c r="G95" s="10" t="s">
        <v>194</v>
      </c>
      <c r="H95" s="12" t="s">
        <v>82</v>
      </c>
      <c r="I95" s="9" t="s">
        <v>80</v>
      </c>
      <c r="J95" s="13" t="s">
        <v>218</v>
      </c>
      <c r="K95" s="42">
        <v>238000</v>
      </c>
      <c r="L95" s="20">
        <f t="shared" si="2"/>
        <v>0</v>
      </c>
      <c r="M95" s="24"/>
      <c r="N95" s="14"/>
      <c r="O95" s="14"/>
      <c r="P95" s="16">
        <f t="shared" si="3"/>
        <v>0</v>
      </c>
      <c r="Q95" s="35"/>
      <c r="R95" s="29"/>
      <c r="S95" s="40"/>
    </row>
    <row r="96" spans="1:19" s="4" customFormat="1" ht="18" customHeight="1">
      <c r="A96" s="34">
        <v>2018</v>
      </c>
      <c r="B96" s="9">
        <v>7</v>
      </c>
      <c r="C96" s="9">
        <v>30</v>
      </c>
      <c r="D96" s="27" t="s">
        <v>227</v>
      </c>
      <c r="E96" s="27" t="s">
        <v>228</v>
      </c>
      <c r="F96" s="9" t="s">
        <v>23</v>
      </c>
      <c r="G96" s="10" t="s">
        <v>194</v>
      </c>
      <c r="H96" s="12" t="s">
        <v>82</v>
      </c>
      <c r="I96" s="9" t="s">
        <v>81</v>
      </c>
      <c r="J96" s="13" t="s">
        <v>218</v>
      </c>
      <c r="K96" s="42">
        <v>298000</v>
      </c>
      <c r="L96" s="20">
        <f t="shared" si="2"/>
        <v>0</v>
      </c>
      <c r="M96" s="24"/>
      <c r="N96" s="14"/>
      <c r="O96" s="14"/>
      <c r="P96" s="16">
        <f t="shared" si="3"/>
        <v>0</v>
      </c>
      <c r="Q96" s="35"/>
      <c r="R96" s="29"/>
      <c r="S96" s="40"/>
    </row>
    <row r="97" spans="1:19" s="4" customFormat="1" ht="18" customHeight="1">
      <c r="A97" s="34">
        <v>2018</v>
      </c>
      <c r="B97" s="9">
        <v>7</v>
      </c>
      <c r="C97" s="9">
        <v>30</v>
      </c>
      <c r="D97" s="27" t="s">
        <v>227</v>
      </c>
      <c r="E97" s="27" t="s">
        <v>228</v>
      </c>
      <c r="F97" s="9" t="s">
        <v>23</v>
      </c>
      <c r="G97" s="10" t="s">
        <v>194</v>
      </c>
      <c r="H97" s="12" t="s">
        <v>66</v>
      </c>
      <c r="I97" s="17" t="s">
        <v>60</v>
      </c>
      <c r="J97" s="13" t="s">
        <v>219</v>
      </c>
      <c r="K97" s="42">
        <v>225900</v>
      </c>
      <c r="L97" s="20">
        <f t="shared" si="2"/>
        <v>0</v>
      </c>
      <c r="M97" s="24"/>
      <c r="N97" s="14"/>
      <c r="O97" s="14"/>
      <c r="P97" s="16">
        <f t="shared" si="3"/>
        <v>0</v>
      </c>
      <c r="Q97" s="35"/>
      <c r="R97" s="29"/>
      <c r="S97" s="40"/>
    </row>
    <row r="98" spans="1:19" s="4" customFormat="1" ht="18" customHeight="1">
      <c r="A98" s="34">
        <v>2018</v>
      </c>
      <c r="B98" s="9">
        <v>7</v>
      </c>
      <c r="C98" s="9">
        <v>30</v>
      </c>
      <c r="D98" s="27" t="s">
        <v>227</v>
      </c>
      <c r="E98" s="27" t="s">
        <v>228</v>
      </c>
      <c r="F98" s="9" t="s">
        <v>23</v>
      </c>
      <c r="G98" s="10" t="s">
        <v>194</v>
      </c>
      <c r="H98" s="12" t="s">
        <v>66</v>
      </c>
      <c r="I98" s="36" t="s">
        <v>61</v>
      </c>
      <c r="J98" s="13" t="s">
        <v>219</v>
      </c>
      <c r="K98" s="42">
        <v>247900</v>
      </c>
      <c r="L98" s="20">
        <f t="shared" si="2"/>
        <v>0</v>
      </c>
      <c r="M98" s="24"/>
      <c r="N98" s="14"/>
      <c r="O98" s="14"/>
      <c r="P98" s="16">
        <f t="shared" si="3"/>
        <v>0</v>
      </c>
      <c r="Q98" s="35"/>
      <c r="R98" s="29"/>
      <c r="S98" s="40"/>
    </row>
    <row r="99" spans="1:19" s="4" customFormat="1" ht="18" customHeight="1">
      <c r="A99" s="34">
        <v>2018</v>
      </c>
      <c r="B99" s="9">
        <v>7</v>
      </c>
      <c r="C99" s="9">
        <v>30</v>
      </c>
      <c r="D99" s="27" t="s">
        <v>227</v>
      </c>
      <c r="E99" s="27" t="s">
        <v>228</v>
      </c>
      <c r="F99" s="9" t="s">
        <v>23</v>
      </c>
      <c r="G99" s="10" t="s">
        <v>194</v>
      </c>
      <c r="H99" s="12" t="s">
        <v>66</v>
      </c>
      <c r="I99" s="36" t="s">
        <v>62</v>
      </c>
      <c r="J99" s="13" t="s">
        <v>219</v>
      </c>
      <c r="K99" s="42">
        <v>284900</v>
      </c>
      <c r="L99" s="20">
        <f t="shared" si="2"/>
        <v>0</v>
      </c>
      <c r="M99" s="24"/>
      <c r="N99" s="14"/>
      <c r="O99" s="14"/>
      <c r="P99" s="16">
        <f t="shared" si="3"/>
        <v>0</v>
      </c>
      <c r="Q99" s="35"/>
      <c r="R99" s="29"/>
      <c r="S99" s="40"/>
    </row>
    <row r="100" spans="1:19" s="4" customFormat="1" ht="18" customHeight="1">
      <c r="A100" s="34">
        <v>2018</v>
      </c>
      <c r="B100" s="9">
        <v>7</v>
      </c>
      <c r="C100" s="9">
        <v>30</v>
      </c>
      <c r="D100" s="27" t="s">
        <v>227</v>
      </c>
      <c r="E100" s="27" t="s">
        <v>228</v>
      </c>
      <c r="F100" s="9" t="s">
        <v>23</v>
      </c>
      <c r="G100" s="10" t="s">
        <v>194</v>
      </c>
      <c r="H100" s="12" t="s">
        <v>2</v>
      </c>
      <c r="I100" s="36" t="s">
        <v>95</v>
      </c>
      <c r="J100" s="13" t="s">
        <v>207</v>
      </c>
      <c r="K100" s="21">
        <v>89900</v>
      </c>
      <c r="L100" s="20">
        <f t="shared" si="2"/>
        <v>0</v>
      </c>
      <c r="M100" s="24"/>
      <c r="N100" s="14"/>
      <c r="O100" s="14"/>
      <c r="P100" s="16">
        <f t="shared" si="3"/>
        <v>0</v>
      </c>
      <c r="Q100" s="35"/>
      <c r="R100" s="29"/>
      <c r="S100" s="40"/>
    </row>
    <row r="101" spans="1:19" s="4" customFormat="1" ht="18" customHeight="1">
      <c r="A101" s="34">
        <v>2018</v>
      </c>
      <c r="B101" s="9">
        <v>7</v>
      </c>
      <c r="C101" s="9">
        <v>30</v>
      </c>
      <c r="D101" s="27" t="s">
        <v>227</v>
      </c>
      <c r="E101" s="27" t="s">
        <v>228</v>
      </c>
      <c r="F101" s="9" t="s">
        <v>23</v>
      </c>
      <c r="G101" s="10" t="s">
        <v>194</v>
      </c>
      <c r="H101" s="12" t="s">
        <v>2</v>
      </c>
      <c r="I101" s="36" t="s">
        <v>127</v>
      </c>
      <c r="J101" s="13" t="s">
        <v>207</v>
      </c>
      <c r="K101" s="21">
        <v>99000</v>
      </c>
      <c r="L101" s="20">
        <f t="shared" si="2"/>
        <v>0</v>
      </c>
      <c r="M101" s="24"/>
      <c r="N101" s="14"/>
      <c r="O101" s="14"/>
      <c r="P101" s="16">
        <f t="shared" si="3"/>
        <v>0</v>
      </c>
      <c r="Q101" s="35"/>
      <c r="R101" s="29"/>
      <c r="S101" s="40"/>
    </row>
    <row r="102" spans="1:19" s="4" customFormat="1" ht="18" customHeight="1">
      <c r="A102" s="34">
        <v>2018</v>
      </c>
      <c r="B102" s="9">
        <v>7</v>
      </c>
      <c r="C102" s="9">
        <v>30</v>
      </c>
      <c r="D102" s="27" t="s">
        <v>227</v>
      </c>
      <c r="E102" s="27" t="s">
        <v>228</v>
      </c>
      <c r="F102" s="9" t="s">
        <v>23</v>
      </c>
      <c r="G102" s="10" t="s">
        <v>194</v>
      </c>
      <c r="H102" s="12" t="s">
        <v>33</v>
      </c>
      <c r="I102" s="9" t="s">
        <v>113</v>
      </c>
      <c r="J102" s="13" t="s">
        <v>220</v>
      </c>
      <c r="K102" s="21">
        <v>159000</v>
      </c>
      <c r="L102" s="20">
        <f t="shared" si="2"/>
        <v>0</v>
      </c>
      <c r="M102" s="24"/>
      <c r="N102" s="14"/>
      <c r="O102" s="14"/>
      <c r="P102" s="16">
        <f t="shared" si="3"/>
        <v>0</v>
      </c>
      <c r="Q102" s="35"/>
      <c r="R102" s="29"/>
      <c r="S102" s="40"/>
    </row>
    <row r="103" spans="1:19" s="4" customFormat="1" ht="18" customHeight="1">
      <c r="A103" s="34">
        <v>2018</v>
      </c>
      <c r="B103" s="9">
        <v>7</v>
      </c>
      <c r="C103" s="9">
        <v>30</v>
      </c>
      <c r="D103" s="27" t="s">
        <v>227</v>
      </c>
      <c r="E103" s="27" t="s">
        <v>228</v>
      </c>
      <c r="F103" s="9" t="s">
        <v>23</v>
      </c>
      <c r="G103" s="10" t="s">
        <v>194</v>
      </c>
      <c r="H103" s="12" t="s">
        <v>33</v>
      </c>
      <c r="I103" s="9" t="s">
        <v>108</v>
      </c>
      <c r="J103" s="13" t="s">
        <v>220</v>
      </c>
      <c r="K103" s="21">
        <v>179000</v>
      </c>
      <c r="L103" s="20">
        <f t="shared" si="2"/>
        <v>0</v>
      </c>
      <c r="M103" s="24"/>
      <c r="N103" s="14"/>
      <c r="O103" s="14"/>
      <c r="P103" s="16">
        <f t="shared" si="3"/>
        <v>0</v>
      </c>
      <c r="Q103" s="35"/>
      <c r="R103" s="29"/>
      <c r="S103" s="40"/>
    </row>
    <row r="104" spans="1:19" s="4" customFormat="1" ht="18" customHeight="1">
      <c r="A104" s="34">
        <v>2018</v>
      </c>
      <c r="B104" s="9">
        <v>7</v>
      </c>
      <c r="C104" s="9">
        <v>30</v>
      </c>
      <c r="D104" s="27" t="s">
        <v>227</v>
      </c>
      <c r="E104" s="27" t="s">
        <v>228</v>
      </c>
      <c r="F104" s="9" t="s">
        <v>23</v>
      </c>
      <c r="G104" s="10" t="s">
        <v>194</v>
      </c>
      <c r="H104" s="12" t="s">
        <v>33</v>
      </c>
      <c r="I104" s="9" t="s">
        <v>109</v>
      </c>
      <c r="J104" s="13" t="s">
        <v>220</v>
      </c>
      <c r="K104" s="21">
        <v>199000</v>
      </c>
      <c r="L104" s="20">
        <f t="shared" si="2"/>
        <v>0</v>
      </c>
      <c r="M104" s="24"/>
      <c r="N104" s="14"/>
      <c r="O104" s="14"/>
      <c r="P104" s="16">
        <f t="shared" si="3"/>
        <v>0</v>
      </c>
      <c r="Q104" s="35"/>
      <c r="R104" s="29"/>
      <c r="S104" s="40"/>
    </row>
    <row r="105" spans="1:19" s="4" customFormat="1" ht="18" customHeight="1">
      <c r="A105" s="34">
        <v>2018</v>
      </c>
      <c r="B105" s="9">
        <v>7</v>
      </c>
      <c r="C105" s="9">
        <v>30</v>
      </c>
      <c r="D105" s="27" t="s">
        <v>227</v>
      </c>
      <c r="E105" s="27" t="s">
        <v>228</v>
      </c>
      <c r="F105" s="9" t="s">
        <v>23</v>
      </c>
      <c r="G105" s="10" t="s">
        <v>194</v>
      </c>
      <c r="H105" s="12" t="s">
        <v>33</v>
      </c>
      <c r="I105" s="9" t="s">
        <v>110</v>
      </c>
      <c r="J105" s="13" t="s">
        <v>220</v>
      </c>
      <c r="K105" s="21">
        <v>219000</v>
      </c>
      <c r="L105" s="20">
        <f t="shared" si="2"/>
        <v>0</v>
      </c>
      <c r="M105" s="24"/>
      <c r="N105" s="14"/>
      <c r="O105" s="14"/>
      <c r="P105" s="16">
        <f t="shared" si="3"/>
        <v>0</v>
      </c>
      <c r="Q105" s="35"/>
      <c r="R105" s="29"/>
      <c r="S105" s="40"/>
    </row>
    <row r="106" spans="1:19" s="4" customFormat="1" ht="18" customHeight="1">
      <c r="A106" s="34">
        <v>2018</v>
      </c>
      <c r="B106" s="9">
        <v>7</v>
      </c>
      <c r="C106" s="9">
        <v>30</v>
      </c>
      <c r="D106" s="27" t="s">
        <v>227</v>
      </c>
      <c r="E106" s="27" t="s">
        <v>228</v>
      </c>
      <c r="F106" s="9" t="s">
        <v>23</v>
      </c>
      <c r="G106" s="10" t="s">
        <v>194</v>
      </c>
      <c r="H106" s="12" t="s">
        <v>33</v>
      </c>
      <c r="I106" s="9" t="s">
        <v>114</v>
      </c>
      <c r="J106" s="13" t="s">
        <v>220</v>
      </c>
      <c r="K106" s="42">
        <v>225000</v>
      </c>
      <c r="L106" s="20">
        <f t="shared" si="2"/>
        <v>0</v>
      </c>
      <c r="M106" s="24"/>
      <c r="N106" s="14"/>
      <c r="O106" s="14"/>
      <c r="P106" s="16">
        <f t="shared" si="3"/>
        <v>0</v>
      </c>
      <c r="Q106" s="35"/>
      <c r="R106" s="29"/>
      <c r="S106" s="40"/>
    </row>
    <row r="107" spans="1:19" s="4" customFormat="1" ht="18" customHeight="1">
      <c r="A107" s="34">
        <v>2018</v>
      </c>
      <c r="B107" s="9">
        <v>7</v>
      </c>
      <c r="C107" s="9">
        <v>30</v>
      </c>
      <c r="D107" s="27" t="s">
        <v>227</v>
      </c>
      <c r="E107" s="27" t="s">
        <v>228</v>
      </c>
      <c r="F107" s="9" t="s">
        <v>23</v>
      </c>
      <c r="G107" s="10" t="s">
        <v>194</v>
      </c>
      <c r="H107" s="12" t="s">
        <v>33</v>
      </c>
      <c r="I107" s="9" t="s">
        <v>115</v>
      </c>
      <c r="J107" s="13" t="s">
        <v>220</v>
      </c>
      <c r="K107" s="42">
        <v>245000</v>
      </c>
      <c r="L107" s="20">
        <f t="shared" si="2"/>
        <v>0</v>
      </c>
      <c r="M107" s="24"/>
      <c r="N107" s="14"/>
      <c r="O107" s="14"/>
      <c r="P107" s="16">
        <f t="shared" si="3"/>
        <v>0</v>
      </c>
      <c r="Q107" s="35"/>
      <c r="R107" s="29"/>
      <c r="S107" s="40"/>
    </row>
    <row r="108" spans="1:19" s="4" customFormat="1" ht="18" customHeight="1">
      <c r="A108" s="34">
        <v>2018</v>
      </c>
      <c r="B108" s="9">
        <v>7</v>
      </c>
      <c r="C108" s="9">
        <v>30</v>
      </c>
      <c r="D108" s="27" t="s">
        <v>227</v>
      </c>
      <c r="E108" s="27" t="s">
        <v>228</v>
      </c>
      <c r="F108" s="9" t="s">
        <v>23</v>
      </c>
      <c r="G108" s="10" t="s">
        <v>194</v>
      </c>
      <c r="H108" s="12" t="s">
        <v>33</v>
      </c>
      <c r="I108" s="9" t="s">
        <v>116</v>
      </c>
      <c r="J108" s="13" t="s">
        <v>220</v>
      </c>
      <c r="K108" s="42">
        <v>275000</v>
      </c>
      <c r="L108" s="20">
        <f t="shared" si="2"/>
        <v>0</v>
      </c>
      <c r="M108" s="24"/>
      <c r="N108" s="14"/>
      <c r="O108" s="14"/>
      <c r="P108" s="16">
        <f t="shared" si="3"/>
        <v>0</v>
      </c>
      <c r="Q108" s="35"/>
      <c r="R108" s="29"/>
      <c r="S108" s="40"/>
    </row>
    <row r="109" spans="1:19" s="4" customFormat="1" ht="18" customHeight="1">
      <c r="A109" s="34">
        <v>2018</v>
      </c>
      <c r="B109" s="9">
        <v>7</v>
      </c>
      <c r="C109" s="9">
        <v>30</v>
      </c>
      <c r="D109" s="27" t="s">
        <v>227</v>
      </c>
      <c r="E109" s="27" t="s">
        <v>228</v>
      </c>
      <c r="F109" s="9" t="s">
        <v>23</v>
      </c>
      <c r="G109" s="10" t="s">
        <v>194</v>
      </c>
      <c r="H109" s="12" t="s">
        <v>2</v>
      </c>
      <c r="I109" s="9" t="s">
        <v>117</v>
      </c>
      <c r="J109" s="13" t="s">
        <v>224</v>
      </c>
      <c r="K109" s="42">
        <v>333900</v>
      </c>
      <c r="L109" s="20">
        <f t="shared" si="2"/>
        <v>0</v>
      </c>
      <c r="M109" s="24"/>
      <c r="N109" s="14"/>
      <c r="O109" s="14"/>
      <c r="P109" s="16">
        <f t="shared" si="3"/>
        <v>0</v>
      </c>
      <c r="Q109" s="35"/>
      <c r="R109" s="29"/>
      <c r="S109" s="40"/>
    </row>
    <row r="110" spans="1:19" s="2" customFormat="1" ht="18" customHeight="1">
      <c r="A110" s="34">
        <v>2018</v>
      </c>
      <c r="B110" s="9">
        <v>7</v>
      </c>
      <c r="C110" s="9">
        <v>30</v>
      </c>
      <c r="D110" s="27" t="s">
        <v>227</v>
      </c>
      <c r="E110" s="27" t="s">
        <v>228</v>
      </c>
      <c r="F110" s="9" t="s">
        <v>23</v>
      </c>
      <c r="G110" s="10" t="s">
        <v>194</v>
      </c>
      <c r="H110" s="12" t="s">
        <v>2</v>
      </c>
      <c r="I110" s="9" t="s">
        <v>118</v>
      </c>
      <c r="J110" s="13" t="s">
        <v>224</v>
      </c>
      <c r="K110" s="42">
        <v>377900</v>
      </c>
      <c r="L110" s="20">
        <f t="shared" si="2"/>
        <v>0</v>
      </c>
      <c r="M110" s="24"/>
      <c r="N110" s="14"/>
      <c r="O110" s="14"/>
      <c r="P110" s="16">
        <f t="shared" si="3"/>
        <v>0</v>
      </c>
      <c r="Q110" s="35"/>
      <c r="R110" s="29"/>
      <c r="S110" s="40"/>
    </row>
    <row r="111" spans="1:19" s="4" customFormat="1" ht="18" customHeight="1">
      <c r="A111" s="34">
        <v>2018</v>
      </c>
      <c r="B111" s="9">
        <v>7</v>
      </c>
      <c r="C111" s="9">
        <v>30</v>
      </c>
      <c r="D111" s="27" t="s">
        <v>227</v>
      </c>
      <c r="E111" s="27" t="s">
        <v>228</v>
      </c>
      <c r="F111" s="9" t="s">
        <v>23</v>
      </c>
      <c r="G111" s="10" t="s">
        <v>195</v>
      </c>
      <c r="H111" s="12" t="s">
        <v>133</v>
      </c>
      <c r="I111" s="38" t="s">
        <v>134</v>
      </c>
      <c r="J111" s="13" t="s">
        <v>220</v>
      </c>
      <c r="K111" s="22">
        <v>299000</v>
      </c>
      <c r="L111" s="20">
        <f t="shared" si="2"/>
        <v>0</v>
      </c>
      <c r="M111" s="24"/>
      <c r="N111" s="14"/>
      <c r="O111" s="14"/>
      <c r="P111" s="16">
        <f t="shared" si="3"/>
        <v>0</v>
      </c>
      <c r="Q111" s="35"/>
      <c r="R111" s="29"/>
      <c r="S111" s="40"/>
    </row>
    <row r="112" spans="1:19" s="4" customFormat="1" ht="18" customHeight="1">
      <c r="A112" s="34">
        <v>2018</v>
      </c>
      <c r="B112" s="9">
        <v>7</v>
      </c>
      <c r="C112" s="9">
        <v>30</v>
      </c>
      <c r="D112" s="27" t="s">
        <v>227</v>
      </c>
      <c r="E112" s="27" t="s">
        <v>228</v>
      </c>
      <c r="F112" s="9" t="s">
        <v>23</v>
      </c>
      <c r="G112" s="10" t="s">
        <v>194</v>
      </c>
      <c r="H112" s="12"/>
      <c r="I112" s="39" t="s">
        <v>170</v>
      </c>
      <c r="J112" s="13" t="s">
        <v>225</v>
      </c>
      <c r="K112" s="45">
        <v>279000</v>
      </c>
      <c r="L112" s="20">
        <f t="shared" si="2"/>
        <v>0</v>
      </c>
      <c r="M112" s="24"/>
      <c r="N112" s="14"/>
      <c r="O112" s="14"/>
      <c r="P112" s="16">
        <f t="shared" si="3"/>
        <v>0</v>
      </c>
      <c r="Q112" s="35"/>
      <c r="R112" s="29"/>
      <c r="S112" s="40"/>
    </row>
    <row r="113" spans="1:19" s="4" customFormat="1" ht="18" customHeight="1">
      <c r="A113" s="34">
        <v>2018</v>
      </c>
      <c r="B113" s="9">
        <v>7</v>
      </c>
      <c r="C113" s="9">
        <v>30</v>
      </c>
      <c r="D113" s="27" t="s">
        <v>227</v>
      </c>
      <c r="E113" s="27" t="s">
        <v>228</v>
      </c>
      <c r="F113" s="9" t="s">
        <v>23</v>
      </c>
      <c r="G113" s="10" t="s">
        <v>194</v>
      </c>
      <c r="H113" s="12"/>
      <c r="I113" s="39" t="s">
        <v>171</v>
      </c>
      <c r="J113" s="13" t="s">
        <v>225</v>
      </c>
      <c r="K113" s="45">
        <v>289000</v>
      </c>
      <c r="L113" s="20">
        <f t="shared" si="2"/>
        <v>0</v>
      </c>
      <c r="M113" s="24"/>
      <c r="N113" s="14"/>
      <c r="O113" s="14"/>
      <c r="P113" s="16">
        <f t="shared" si="3"/>
        <v>0</v>
      </c>
      <c r="Q113" s="35"/>
      <c r="R113" s="29"/>
      <c r="S113" s="40"/>
    </row>
    <row r="114" spans="1:19" s="4" customFormat="1" ht="18" customHeight="1">
      <c r="A114" s="34">
        <v>2018</v>
      </c>
      <c r="B114" s="9">
        <v>7</v>
      </c>
      <c r="C114" s="9">
        <v>30</v>
      </c>
      <c r="D114" s="27" t="s">
        <v>227</v>
      </c>
      <c r="E114" s="27" t="s">
        <v>228</v>
      </c>
      <c r="F114" s="9" t="s">
        <v>23</v>
      </c>
      <c r="G114" s="10" t="s">
        <v>194</v>
      </c>
      <c r="H114" s="12"/>
      <c r="I114" s="39" t="s">
        <v>172</v>
      </c>
      <c r="J114" s="13" t="s">
        <v>225</v>
      </c>
      <c r="K114" s="45">
        <v>311900</v>
      </c>
      <c r="L114" s="20">
        <f t="shared" si="2"/>
        <v>0</v>
      </c>
      <c r="M114" s="24"/>
      <c r="N114" s="14"/>
      <c r="O114" s="14"/>
      <c r="P114" s="16">
        <f t="shared" si="3"/>
        <v>0</v>
      </c>
      <c r="Q114" s="35"/>
      <c r="R114" s="29"/>
      <c r="S114" s="40"/>
    </row>
    <row r="115" spans="1:19" s="4" customFormat="1" ht="18" customHeight="1">
      <c r="A115" s="34">
        <v>2018</v>
      </c>
      <c r="B115" s="9">
        <v>7</v>
      </c>
      <c r="C115" s="9">
        <v>30</v>
      </c>
      <c r="D115" s="27" t="s">
        <v>227</v>
      </c>
      <c r="E115" s="27" t="s">
        <v>228</v>
      </c>
      <c r="F115" s="9" t="s">
        <v>23</v>
      </c>
      <c r="G115" s="10" t="s">
        <v>194</v>
      </c>
      <c r="H115" s="12"/>
      <c r="I115" s="39" t="s">
        <v>173</v>
      </c>
      <c r="J115" s="13" t="s">
        <v>226</v>
      </c>
      <c r="K115" s="45">
        <v>299900</v>
      </c>
      <c r="L115" s="20">
        <f t="shared" si="2"/>
        <v>0</v>
      </c>
      <c r="M115" s="24"/>
      <c r="N115" s="14"/>
      <c r="O115" s="14"/>
      <c r="P115" s="16">
        <f t="shared" si="3"/>
        <v>0</v>
      </c>
      <c r="Q115" s="35"/>
      <c r="R115" s="29"/>
      <c r="S115" s="40"/>
    </row>
    <row r="116" spans="1:19" s="4" customFormat="1" ht="18" customHeight="1">
      <c r="A116" s="34">
        <v>2018</v>
      </c>
      <c r="B116" s="9">
        <v>7</v>
      </c>
      <c r="C116" s="9">
        <v>30</v>
      </c>
      <c r="D116" s="27" t="s">
        <v>227</v>
      </c>
      <c r="E116" s="27" t="s">
        <v>228</v>
      </c>
      <c r="F116" s="9" t="s">
        <v>23</v>
      </c>
      <c r="G116" s="10" t="s">
        <v>194</v>
      </c>
      <c r="H116" s="12"/>
      <c r="I116" s="39" t="s">
        <v>174</v>
      </c>
      <c r="J116" s="13" t="s">
        <v>226</v>
      </c>
      <c r="K116" s="45">
        <v>322900</v>
      </c>
      <c r="L116" s="20">
        <f t="shared" si="2"/>
        <v>0</v>
      </c>
      <c r="M116" s="24"/>
      <c r="N116" s="14"/>
      <c r="O116" s="14"/>
      <c r="P116" s="16">
        <f t="shared" si="3"/>
        <v>0</v>
      </c>
      <c r="Q116" s="35"/>
      <c r="R116" s="29"/>
      <c r="S116" s="40"/>
    </row>
    <row r="117" spans="1:19" s="4" customFormat="1" ht="18" customHeight="1">
      <c r="A117" s="34">
        <v>2018</v>
      </c>
      <c r="B117" s="9">
        <v>7</v>
      </c>
      <c r="C117" s="9">
        <v>30</v>
      </c>
      <c r="D117" s="27" t="s">
        <v>227</v>
      </c>
      <c r="E117" s="27" t="s">
        <v>228</v>
      </c>
      <c r="F117" s="9" t="s">
        <v>23</v>
      </c>
      <c r="G117" s="10" t="s">
        <v>194</v>
      </c>
      <c r="H117" s="12"/>
      <c r="I117" s="39" t="s">
        <v>175</v>
      </c>
      <c r="J117" s="13" t="s">
        <v>226</v>
      </c>
      <c r="K117" s="45">
        <v>355900</v>
      </c>
      <c r="L117" s="20">
        <f t="shared" si="2"/>
        <v>0</v>
      </c>
      <c r="M117" s="24"/>
      <c r="N117" s="14"/>
      <c r="O117" s="14"/>
      <c r="P117" s="16">
        <f t="shared" si="3"/>
        <v>0</v>
      </c>
      <c r="Q117" s="35"/>
      <c r="R117" s="29"/>
      <c r="S117" s="40"/>
    </row>
    <row r="118" spans="1:19" s="4" customFormat="1" ht="18" customHeight="1">
      <c r="A118" s="34">
        <v>2018</v>
      </c>
      <c r="B118" s="9">
        <v>7</v>
      </c>
      <c r="C118" s="9">
        <v>30</v>
      </c>
      <c r="D118" s="27" t="s">
        <v>227</v>
      </c>
      <c r="E118" s="27" t="s">
        <v>228</v>
      </c>
      <c r="F118" s="9" t="s">
        <v>23</v>
      </c>
      <c r="G118" s="10" t="s">
        <v>194</v>
      </c>
      <c r="H118" s="12" t="s">
        <v>241</v>
      </c>
      <c r="I118" s="39" t="s">
        <v>229</v>
      </c>
      <c r="J118" s="13" t="s">
        <v>242</v>
      </c>
      <c r="K118" s="45">
        <v>299900</v>
      </c>
      <c r="L118" s="20">
        <f t="shared" si="2"/>
        <v>0</v>
      </c>
      <c r="M118" s="24"/>
      <c r="N118" s="14"/>
      <c r="O118" s="14"/>
      <c r="P118" s="16">
        <f t="shared" si="3"/>
        <v>0</v>
      </c>
      <c r="Q118" s="35"/>
      <c r="R118" s="29"/>
      <c r="S118" s="40"/>
    </row>
    <row r="119" spans="1:19" s="4" customFormat="1" ht="18" customHeight="1">
      <c r="A119" s="34">
        <v>2018</v>
      </c>
      <c r="B119" s="9">
        <v>7</v>
      </c>
      <c r="C119" s="9">
        <v>30</v>
      </c>
      <c r="D119" s="27" t="s">
        <v>227</v>
      </c>
      <c r="E119" s="27" t="s">
        <v>228</v>
      </c>
      <c r="F119" s="9" t="s">
        <v>23</v>
      </c>
      <c r="G119" s="10" t="s">
        <v>194</v>
      </c>
      <c r="H119" s="12" t="s">
        <v>241</v>
      </c>
      <c r="I119" s="39" t="s">
        <v>230</v>
      </c>
      <c r="J119" s="13" t="s">
        <v>242</v>
      </c>
      <c r="K119" s="45">
        <v>339900</v>
      </c>
      <c r="L119" s="20">
        <f t="shared" si="2"/>
        <v>0</v>
      </c>
      <c r="M119" s="24"/>
      <c r="N119" s="14"/>
      <c r="O119" s="14"/>
      <c r="P119" s="16">
        <f t="shared" si="3"/>
        <v>0</v>
      </c>
      <c r="Q119" s="35"/>
      <c r="R119" s="29"/>
      <c r="S119" s="40"/>
    </row>
    <row r="120" spans="1:19" s="4" customFormat="1" ht="18" customHeight="1">
      <c r="A120" s="34">
        <v>2018</v>
      </c>
      <c r="B120" s="9">
        <v>7</v>
      </c>
      <c r="C120" s="9">
        <v>30</v>
      </c>
      <c r="D120" s="27" t="s">
        <v>227</v>
      </c>
      <c r="E120" s="27" t="s">
        <v>228</v>
      </c>
      <c r="F120" s="9" t="s">
        <v>23</v>
      </c>
      <c r="G120" s="10" t="s">
        <v>194</v>
      </c>
      <c r="H120" s="12" t="s">
        <v>241</v>
      </c>
      <c r="I120" s="39" t="s">
        <v>231</v>
      </c>
      <c r="J120" s="13" t="s">
        <v>242</v>
      </c>
      <c r="K120" s="42">
        <v>389900</v>
      </c>
      <c r="L120" s="20">
        <f t="shared" si="2"/>
        <v>0</v>
      </c>
      <c r="M120" s="24"/>
      <c r="N120" s="14"/>
      <c r="O120" s="14"/>
      <c r="P120" s="16">
        <f t="shared" si="3"/>
        <v>0</v>
      </c>
      <c r="Q120" s="35"/>
      <c r="R120" s="29"/>
      <c r="S120" s="40"/>
    </row>
    <row r="121" spans="1:19" s="4" customFormat="1" ht="18" customHeight="1">
      <c r="A121" s="34">
        <v>2018</v>
      </c>
      <c r="B121" s="9">
        <v>7</v>
      </c>
      <c r="C121" s="9">
        <v>30</v>
      </c>
      <c r="D121" s="27" t="s">
        <v>227</v>
      </c>
      <c r="E121" s="27" t="s">
        <v>228</v>
      </c>
      <c r="F121" s="9" t="s">
        <v>23</v>
      </c>
      <c r="G121" s="10" t="s">
        <v>194</v>
      </c>
      <c r="H121" s="12" t="s">
        <v>241</v>
      </c>
      <c r="I121" s="39" t="s">
        <v>232</v>
      </c>
      <c r="J121" s="13" t="s">
        <v>243</v>
      </c>
      <c r="K121" s="42">
        <v>389900</v>
      </c>
      <c r="L121" s="20">
        <f t="shared" si="2"/>
        <v>0</v>
      </c>
      <c r="M121" s="24"/>
      <c r="N121" s="14"/>
      <c r="O121" s="14"/>
      <c r="P121" s="16">
        <f t="shared" si="3"/>
        <v>0</v>
      </c>
      <c r="Q121" s="35"/>
      <c r="R121" s="29"/>
      <c r="S121" s="40"/>
    </row>
    <row r="122" spans="1:19" s="4" customFormat="1" ht="18" customHeight="1">
      <c r="A122" s="34">
        <v>2018</v>
      </c>
      <c r="B122" s="9">
        <v>7</v>
      </c>
      <c r="C122" s="9">
        <v>30</v>
      </c>
      <c r="D122" s="27" t="s">
        <v>227</v>
      </c>
      <c r="E122" s="27" t="s">
        <v>228</v>
      </c>
      <c r="F122" s="9" t="s">
        <v>23</v>
      </c>
      <c r="G122" s="10" t="s">
        <v>194</v>
      </c>
      <c r="H122" s="12" t="s">
        <v>239</v>
      </c>
      <c r="I122" s="39" t="s">
        <v>233</v>
      </c>
      <c r="J122" s="13" t="s">
        <v>242</v>
      </c>
      <c r="K122" s="42">
        <v>301900</v>
      </c>
      <c r="L122" s="20">
        <f t="shared" si="2"/>
        <v>0</v>
      </c>
      <c r="M122" s="24"/>
      <c r="N122" s="14"/>
      <c r="O122" s="14"/>
      <c r="P122" s="16">
        <f t="shared" si="3"/>
        <v>0</v>
      </c>
      <c r="Q122" s="35"/>
      <c r="R122" s="29"/>
      <c r="S122" s="40"/>
    </row>
    <row r="123" spans="1:19" s="4" customFormat="1" ht="18" customHeight="1">
      <c r="A123" s="34">
        <v>2018</v>
      </c>
      <c r="B123" s="9">
        <v>7</v>
      </c>
      <c r="C123" s="9">
        <v>30</v>
      </c>
      <c r="D123" s="27" t="s">
        <v>227</v>
      </c>
      <c r="E123" s="27" t="s">
        <v>228</v>
      </c>
      <c r="F123" s="9" t="s">
        <v>23</v>
      </c>
      <c r="G123" s="10" t="s">
        <v>194</v>
      </c>
      <c r="H123" s="12" t="s">
        <v>239</v>
      </c>
      <c r="I123" s="39" t="s">
        <v>234</v>
      </c>
      <c r="J123" s="13" t="s">
        <v>242</v>
      </c>
      <c r="K123" s="42">
        <v>339900</v>
      </c>
      <c r="L123" s="20">
        <f t="shared" si="2"/>
        <v>0</v>
      </c>
      <c r="M123" s="24"/>
      <c r="N123" s="14"/>
      <c r="O123" s="14"/>
      <c r="P123" s="16">
        <f t="shared" si="3"/>
        <v>0</v>
      </c>
      <c r="Q123" s="35"/>
      <c r="R123" s="29"/>
      <c r="S123" s="40"/>
    </row>
    <row r="124" spans="1:19" s="4" customFormat="1" ht="18" customHeight="1">
      <c r="A124" s="34">
        <v>2018</v>
      </c>
      <c r="B124" s="9">
        <v>7</v>
      </c>
      <c r="C124" s="9">
        <v>30</v>
      </c>
      <c r="D124" s="27" t="s">
        <v>227</v>
      </c>
      <c r="E124" s="27" t="s">
        <v>228</v>
      </c>
      <c r="F124" s="9" t="s">
        <v>23</v>
      </c>
      <c r="G124" s="10" t="s">
        <v>194</v>
      </c>
      <c r="H124" s="12" t="s">
        <v>239</v>
      </c>
      <c r="I124" s="39" t="s">
        <v>235</v>
      </c>
      <c r="J124" s="13" t="s">
        <v>242</v>
      </c>
      <c r="K124" s="42">
        <v>389900</v>
      </c>
      <c r="L124" s="20">
        <f t="shared" si="2"/>
        <v>0</v>
      </c>
      <c r="M124" s="24"/>
      <c r="N124" s="14"/>
      <c r="O124" s="14"/>
      <c r="P124" s="16">
        <f t="shared" si="3"/>
        <v>0</v>
      </c>
      <c r="Q124" s="35"/>
      <c r="R124" s="29"/>
      <c r="S124" s="40"/>
    </row>
    <row r="125" spans="1:19" s="4" customFormat="1" ht="18" customHeight="1">
      <c r="A125" s="34">
        <v>2018</v>
      </c>
      <c r="B125" s="9">
        <v>7</v>
      </c>
      <c r="C125" s="9">
        <v>30</v>
      </c>
      <c r="D125" s="27" t="s">
        <v>227</v>
      </c>
      <c r="E125" s="27" t="s">
        <v>228</v>
      </c>
      <c r="F125" s="9" t="s">
        <v>23</v>
      </c>
      <c r="G125" s="10" t="s">
        <v>194</v>
      </c>
      <c r="H125" s="18" t="s">
        <v>258</v>
      </c>
      <c r="I125" s="39" t="s">
        <v>244</v>
      </c>
      <c r="J125" s="13" t="s">
        <v>248</v>
      </c>
      <c r="K125" s="42">
        <v>249900</v>
      </c>
      <c r="L125" s="20">
        <f t="shared" si="2"/>
        <v>0</v>
      </c>
      <c r="M125" s="24"/>
      <c r="N125" s="14"/>
      <c r="O125" s="14"/>
      <c r="P125" s="16">
        <f t="shared" si="3"/>
        <v>0</v>
      </c>
      <c r="Q125" s="35"/>
      <c r="R125" s="29"/>
      <c r="S125" s="40"/>
    </row>
    <row r="126" spans="1:19" s="4" customFormat="1" ht="18" customHeight="1">
      <c r="A126" s="34">
        <v>2018</v>
      </c>
      <c r="B126" s="9">
        <v>7</v>
      </c>
      <c r="C126" s="9">
        <v>30</v>
      </c>
      <c r="D126" s="27" t="s">
        <v>227</v>
      </c>
      <c r="E126" s="27" t="s">
        <v>228</v>
      </c>
      <c r="F126" s="9" t="s">
        <v>23</v>
      </c>
      <c r="G126" s="10" t="s">
        <v>194</v>
      </c>
      <c r="H126" s="18" t="s">
        <v>258</v>
      </c>
      <c r="I126" s="39" t="s">
        <v>245</v>
      </c>
      <c r="J126" s="13" t="s">
        <v>248</v>
      </c>
      <c r="K126" s="42">
        <v>279900</v>
      </c>
      <c r="L126" s="20">
        <f t="shared" si="2"/>
        <v>0</v>
      </c>
      <c r="M126" s="24"/>
      <c r="N126" s="14"/>
      <c r="O126" s="14"/>
      <c r="P126" s="16">
        <f t="shared" si="3"/>
        <v>0</v>
      </c>
      <c r="Q126" s="35"/>
      <c r="R126" s="29"/>
      <c r="S126" s="40"/>
    </row>
    <row r="127" spans="1:19" s="4" customFormat="1" ht="18" customHeight="1">
      <c r="A127" s="34">
        <v>2018</v>
      </c>
      <c r="B127" s="9">
        <v>7</v>
      </c>
      <c r="C127" s="9">
        <v>30</v>
      </c>
      <c r="D127" s="27" t="s">
        <v>227</v>
      </c>
      <c r="E127" s="27" t="s">
        <v>228</v>
      </c>
      <c r="F127" s="9" t="s">
        <v>23</v>
      </c>
      <c r="G127" s="10" t="s">
        <v>194</v>
      </c>
      <c r="H127" s="18" t="s">
        <v>258</v>
      </c>
      <c r="I127" s="39" t="s">
        <v>246</v>
      </c>
      <c r="J127" s="13" t="s">
        <v>248</v>
      </c>
      <c r="K127" s="42">
        <v>299900</v>
      </c>
      <c r="L127" s="20">
        <f t="shared" si="2"/>
        <v>0</v>
      </c>
      <c r="M127" s="24"/>
      <c r="N127" s="14"/>
      <c r="O127" s="14"/>
      <c r="P127" s="16">
        <f t="shared" si="3"/>
        <v>0</v>
      </c>
      <c r="Q127" s="35"/>
      <c r="R127" s="29"/>
      <c r="S127" s="40"/>
    </row>
    <row r="128" spans="1:19" s="4" customFormat="1" ht="18" customHeight="1">
      <c r="A128" s="34">
        <v>2018</v>
      </c>
      <c r="B128" s="9">
        <v>7</v>
      </c>
      <c r="C128" s="9">
        <v>30</v>
      </c>
      <c r="D128" s="27" t="s">
        <v>227</v>
      </c>
      <c r="E128" s="27" t="s">
        <v>228</v>
      </c>
      <c r="F128" s="9" t="s">
        <v>23</v>
      </c>
      <c r="G128" s="10" t="s">
        <v>194</v>
      </c>
      <c r="H128" s="18" t="s">
        <v>258</v>
      </c>
      <c r="I128" s="39" t="s">
        <v>247</v>
      </c>
      <c r="J128" s="13" t="s">
        <v>249</v>
      </c>
      <c r="K128" s="42">
        <v>379900</v>
      </c>
      <c r="L128" s="20">
        <f t="shared" si="2"/>
        <v>0</v>
      </c>
      <c r="M128" s="24"/>
      <c r="N128" s="14"/>
      <c r="O128" s="14"/>
      <c r="P128" s="16">
        <f t="shared" si="3"/>
        <v>0</v>
      </c>
      <c r="Q128" s="35"/>
      <c r="R128" s="29"/>
      <c r="S128" s="40"/>
    </row>
    <row r="129" spans="1:19" s="4" customFormat="1" ht="18" customHeight="1">
      <c r="A129" s="34">
        <v>2018</v>
      </c>
      <c r="B129" s="9">
        <v>7</v>
      </c>
      <c r="C129" s="9">
        <v>30</v>
      </c>
      <c r="D129" s="27" t="s">
        <v>227</v>
      </c>
      <c r="E129" s="27" t="s">
        <v>228</v>
      </c>
      <c r="F129" s="9" t="s">
        <v>23</v>
      </c>
      <c r="G129" s="10" t="s">
        <v>194</v>
      </c>
      <c r="H129" s="18" t="s">
        <v>257</v>
      </c>
      <c r="I129" s="39" t="s">
        <v>259</v>
      </c>
      <c r="J129" s="13" t="s">
        <v>248</v>
      </c>
      <c r="K129" s="42">
        <v>249900</v>
      </c>
      <c r="L129" s="20">
        <f t="shared" si="2"/>
        <v>0</v>
      </c>
      <c r="M129" s="24"/>
      <c r="N129" s="14"/>
      <c r="O129" s="14"/>
      <c r="P129" s="16">
        <f t="shared" si="3"/>
        <v>0</v>
      </c>
      <c r="Q129" s="35"/>
      <c r="R129" s="29"/>
      <c r="S129" s="40"/>
    </row>
    <row r="130" spans="1:19" s="4" customFormat="1" ht="18" customHeight="1">
      <c r="A130" s="34">
        <v>2018</v>
      </c>
      <c r="B130" s="9">
        <v>7</v>
      </c>
      <c r="C130" s="9">
        <v>30</v>
      </c>
      <c r="D130" s="27" t="s">
        <v>227</v>
      </c>
      <c r="E130" s="27" t="s">
        <v>228</v>
      </c>
      <c r="F130" s="9" t="s">
        <v>23</v>
      </c>
      <c r="G130" s="10" t="s">
        <v>194</v>
      </c>
      <c r="H130" s="18" t="s">
        <v>257</v>
      </c>
      <c r="I130" s="39" t="s">
        <v>260</v>
      </c>
      <c r="J130" s="13" t="s">
        <v>248</v>
      </c>
      <c r="K130" s="42">
        <v>279900</v>
      </c>
      <c r="L130" s="20">
        <f t="shared" si="2"/>
        <v>0</v>
      </c>
      <c r="M130" s="24"/>
      <c r="N130" s="14"/>
      <c r="O130" s="14"/>
      <c r="P130" s="16">
        <f t="shared" si="3"/>
        <v>0</v>
      </c>
      <c r="Q130" s="35"/>
      <c r="R130" s="29"/>
      <c r="S130" s="40"/>
    </row>
    <row r="131" spans="1:19" s="4" customFormat="1" ht="18" customHeight="1">
      <c r="A131" s="34">
        <v>2018</v>
      </c>
      <c r="B131" s="9">
        <v>7</v>
      </c>
      <c r="C131" s="9">
        <v>30</v>
      </c>
      <c r="D131" s="27" t="s">
        <v>227</v>
      </c>
      <c r="E131" s="27" t="s">
        <v>228</v>
      </c>
      <c r="F131" s="9" t="s">
        <v>23</v>
      </c>
      <c r="G131" s="10" t="s">
        <v>194</v>
      </c>
      <c r="H131" s="18" t="s">
        <v>257</v>
      </c>
      <c r="I131" s="39" t="s">
        <v>261</v>
      </c>
      <c r="J131" s="13" t="s">
        <v>248</v>
      </c>
      <c r="K131" s="42">
        <v>299900</v>
      </c>
      <c r="L131" s="20">
        <f t="shared" si="2"/>
        <v>0</v>
      </c>
      <c r="M131" s="24"/>
      <c r="N131" s="14"/>
      <c r="O131" s="14"/>
      <c r="P131" s="16">
        <f t="shared" si="3"/>
        <v>0</v>
      </c>
      <c r="Q131" s="35"/>
      <c r="R131" s="29"/>
      <c r="S131" s="40"/>
    </row>
    <row r="132" spans="1:19" s="4" customFormat="1" ht="18" customHeight="1">
      <c r="A132" s="34">
        <v>2018</v>
      </c>
      <c r="B132" s="9">
        <v>7</v>
      </c>
      <c r="C132" s="9">
        <v>30</v>
      </c>
      <c r="D132" s="27" t="s">
        <v>227</v>
      </c>
      <c r="E132" s="27" t="s">
        <v>228</v>
      </c>
      <c r="F132" s="9" t="s">
        <v>23</v>
      </c>
      <c r="G132" s="10" t="s">
        <v>194</v>
      </c>
      <c r="H132" s="18" t="s">
        <v>257</v>
      </c>
      <c r="I132" s="39" t="s">
        <v>262</v>
      </c>
      <c r="J132" s="13" t="s">
        <v>249</v>
      </c>
      <c r="K132" s="42">
        <v>379900</v>
      </c>
      <c r="L132" s="20">
        <f t="shared" ref="L132:L195" si="4">K132*P132</f>
        <v>0</v>
      </c>
      <c r="M132" s="24"/>
      <c r="N132" s="14"/>
      <c r="O132" s="14"/>
      <c r="P132" s="16">
        <f t="shared" si="3"/>
        <v>0</v>
      </c>
      <c r="Q132" s="35"/>
      <c r="R132" s="29"/>
      <c r="S132" s="40"/>
    </row>
    <row r="133" spans="1:19" s="4" customFormat="1" ht="18" customHeight="1">
      <c r="A133" s="34">
        <v>2018</v>
      </c>
      <c r="B133" s="9">
        <v>7</v>
      </c>
      <c r="C133" s="9">
        <v>30</v>
      </c>
      <c r="D133" s="27" t="s">
        <v>227</v>
      </c>
      <c r="E133" s="27" t="s">
        <v>228</v>
      </c>
      <c r="F133" s="9" t="s">
        <v>23</v>
      </c>
      <c r="G133" s="10" t="s">
        <v>194</v>
      </c>
      <c r="H133" s="18" t="s">
        <v>267</v>
      </c>
      <c r="I133" s="39" t="s">
        <v>263</v>
      </c>
      <c r="J133" s="13" t="s">
        <v>248</v>
      </c>
      <c r="K133" s="42">
        <v>249900</v>
      </c>
      <c r="L133" s="20">
        <f t="shared" si="4"/>
        <v>0</v>
      </c>
      <c r="M133" s="24"/>
      <c r="N133" s="14"/>
      <c r="O133" s="14"/>
      <c r="P133" s="16">
        <f t="shared" ref="P133:P164" si="5">N133+O133-Q133</f>
        <v>0</v>
      </c>
      <c r="Q133" s="35"/>
      <c r="R133" s="29"/>
      <c r="S133" s="40"/>
    </row>
    <row r="134" spans="1:19" s="4" customFormat="1" ht="18" customHeight="1">
      <c r="A134" s="34">
        <v>2018</v>
      </c>
      <c r="B134" s="9">
        <v>7</v>
      </c>
      <c r="C134" s="9">
        <v>30</v>
      </c>
      <c r="D134" s="27" t="s">
        <v>227</v>
      </c>
      <c r="E134" s="27" t="s">
        <v>228</v>
      </c>
      <c r="F134" s="9" t="s">
        <v>23</v>
      </c>
      <c r="G134" s="10" t="s">
        <v>194</v>
      </c>
      <c r="H134" s="18" t="s">
        <v>267</v>
      </c>
      <c r="I134" s="39" t="s">
        <v>264</v>
      </c>
      <c r="J134" s="13" t="s">
        <v>248</v>
      </c>
      <c r="K134" s="42">
        <v>279900</v>
      </c>
      <c r="L134" s="20">
        <f t="shared" si="4"/>
        <v>0</v>
      </c>
      <c r="M134" s="24"/>
      <c r="N134" s="14"/>
      <c r="O134" s="14"/>
      <c r="P134" s="16">
        <f t="shared" si="5"/>
        <v>0</v>
      </c>
      <c r="Q134" s="35"/>
      <c r="R134" s="29"/>
      <c r="S134" s="40"/>
    </row>
    <row r="135" spans="1:19" s="4" customFormat="1" ht="18" customHeight="1">
      <c r="A135" s="34">
        <v>2018</v>
      </c>
      <c r="B135" s="9">
        <v>7</v>
      </c>
      <c r="C135" s="9">
        <v>30</v>
      </c>
      <c r="D135" s="27" t="s">
        <v>227</v>
      </c>
      <c r="E135" s="27" t="s">
        <v>228</v>
      </c>
      <c r="F135" s="9" t="s">
        <v>23</v>
      </c>
      <c r="G135" s="10" t="s">
        <v>194</v>
      </c>
      <c r="H135" s="18" t="s">
        <v>267</v>
      </c>
      <c r="I135" s="39" t="s">
        <v>265</v>
      </c>
      <c r="J135" s="13" t="s">
        <v>248</v>
      </c>
      <c r="K135" s="42">
        <v>299900</v>
      </c>
      <c r="L135" s="20">
        <f t="shared" si="4"/>
        <v>0</v>
      </c>
      <c r="M135" s="24"/>
      <c r="N135" s="14"/>
      <c r="O135" s="14"/>
      <c r="P135" s="16">
        <f t="shared" si="5"/>
        <v>0</v>
      </c>
      <c r="Q135" s="35"/>
      <c r="R135" s="29"/>
      <c r="S135" s="40"/>
    </row>
    <row r="136" spans="1:19" s="4" customFormat="1" ht="18" customHeight="1">
      <c r="A136" s="34">
        <v>2018</v>
      </c>
      <c r="B136" s="9">
        <v>7</v>
      </c>
      <c r="C136" s="9">
        <v>30</v>
      </c>
      <c r="D136" s="27" t="s">
        <v>227</v>
      </c>
      <c r="E136" s="27" t="s">
        <v>228</v>
      </c>
      <c r="F136" s="9" t="s">
        <v>23</v>
      </c>
      <c r="G136" s="10" t="s">
        <v>194</v>
      </c>
      <c r="H136" s="18" t="s">
        <v>267</v>
      </c>
      <c r="I136" s="39" t="s">
        <v>266</v>
      </c>
      <c r="J136" s="13" t="s">
        <v>249</v>
      </c>
      <c r="K136" s="42">
        <v>379900</v>
      </c>
      <c r="L136" s="20">
        <f t="shared" si="4"/>
        <v>0</v>
      </c>
      <c r="M136" s="24"/>
      <c r="N136" s="14"/>
      <c r="O136" s="14"/>
      <c r="P136" s="16">
        <f t="shared" si="5"/>
        <v>0</v>
      </c>
      <c r="Q136" s="35"/>
      <c r="R136" s="29"/>
      <c r="S136" s="40"/>
    </row>
    <row r="137" spans="1:19" s="4" customFormat="1" ht="18" customHeight="1">
      <c r="A137" s="34">
        <v>2018</v>
      </c>
      <c r="B137" s="9">
        <v>7</v>
      </c>
      <c r="C137" s="9">
        <v>30</v>
      </c>
      <c r="D137" s="27" t="s">
        <v>227</v>
      </c>
      <c r="E137" s="27" t="s">
        <v>228</v>
      </c>
      <c r="F137" s="9" t="s">
        <v>23</v>
      </c>
      <c r="G137" s="10" t="s">
        <v>194</v>
      </c>
      <c r="H137" s="18" t="s">
        <v>274</v>
      </c>
      <c r="I137" s="39" t="s">
        <v>271</v>
      </c>
      <c r="J137" s="13" t="s">
        <v>248</v>
      </c>
      <c r="K137" s="42">
        <v>261900</v>
      </c>
      <c r="L137" s="20">
        <f t="shared" si="4"/>
        <v>0</v>
      </c>
      <c r="M137" s="24"/>
      <c r="N137" s="14"/>
      <c r="O137" s="14"/>
      <c r="P137" s="16">
        <f t="shared" si="5"/>
        <v>0</v>
      </c>
      <c r="Q137" s="35"/>
      <c r="R137" s="29"/>
      <c r="S137" s="40"/>
    </row>
    <row r="138" spans="1:19" s="4" customFormat="1" ht="18" customHeight="1">
      <c r="A138" s="34">
        <v>2018</v>
      </c>
      <c r="B138" s="9">
        <v>7</v>
      </c>
      <c r="C138" s="9">
        <v>30</v>
      </c>
      <c r="D138" s="27" t="s">
        <v>227</v>
      </c>
      <c r="E138" s="27" t="s">
        <v>228</v>
      </c>
      <c r="F138" s="9" t="s">
        <v>23</v>
      </c>
      <c r="G138" s="10" t="s">
        <v>194</v>
      </c>
      <c r="H138" s="18" t="s">
        <v>274</v>
      </c>
      <c r="I138" s="39" t="s">
        <v>272</v>
      </c>
      <c r="J138" s="13" t="s">
        <v>248</v>
      </c>
      <c r="K138" s="42">
        <v>286900</v>
      </c>
      <c r="L138" s="20">
        <f t="shared" si="4"/>
        <v>0</v>
      </c>
      <c r="M138" s="24"/>
      <c r="N138" s="14"/>
      <c r="O138" s="14"/>
      <c r="P138" s="16">
        <f t="shared" si="5"/>
        <v>0</v>
      </c>
      <c r="Q138" s="35"/>
      <c r="R138" s="29"/>
      <c r="S138" s="40"/>
    </row>
    <row r="139" spans="1:19" s="4" customFormat="1" ht="18" customHeight="1">
      <c r="A139" s="34">
        <v>2018</v>
      </c>
      <c r="B139" s="9">
        <v>7</v>
      </c>
      <c r="C139" s="9">
        <v>30</v>
      </c>
      <c r="D139" s="27" t="s">
        <v>227</v>
      </c>
      <c r="E139" s="27" t="s">
        <v>228</v>
      </c>
      <c r="F139" s="9" t="s">
        <v>23</v>
      </c>
      <c r="G139" s="10" t="s">
        <v>194</v>
      </c>
      <c r="H139" s="18" t="s">
        <v>274</v>
      </c>
      <c r="I139" s="39" t="s">
        <v>273</v>
      </c>
      <c r="J139" s="13" t="s">
        <v>248</v>
      </c>
      <c r="K139" s="42">
        <v>313900</v>
      </c>
      <c r="L139" s="20">
        <f t="shared" si="4"/>
        <v>0</v>
      </c>
      <c r="M139" s="24"/>
      <c r="N139" s="14"/>
      <c r="O139" s="14"/>
      <c r="P139" s="16">
        <f t="shared" si="5"/>
        <v>0</v>
      </c>
      <c r="Q139" s="35"/>
      <c r="R139" s="29"/>
      <c r="S139" s="40"/>
    </row>
    <row r="140" spans="1:19" s="4" customFormat="1" ht="18" customHeight="1">
      <c r="A140" s="34">
        <v>2018</v>
      </c>
      <c r="B140" s="9">
        <v>7</v>
      </c>
      <c r="C140" s="9">
        <v>30</v>
      </c>
      <c r="D140" s="27" t="s">
        <v>227</v>
      </c>
      <c r="E140" s="27" t="s">
        <v>228</v>
      </c>
      <c r="F140" s="9" t="s">
        <v>23</v>
      </c>
      <c r="G140" s="10" t="s">
        <v>194</v>
      </c>
      <c r="H140" s="18" t="s">
        <v>278</v>
      </c>
      <c r="I140" s="39" t="s">
        <v>275</v>
      </c>
      <c r="J140" s="13" t="s">
        <v>248</v>
      </c>
      <c r="K140" s="42">
        <v>219900</v>
      </c>
      <c r="L140" s="20">
        <f t="shared" si="4"/>
        <v>0</v>
      </c>
      <c r="M140" s="24"/>
      <c r="N140" s="14"/>
      <c r="O140" s="14"/>
      <c r="P140" s="16">
        <f t="shared" si="5"/>
        <v>0</v>
      </c>
      <c r="Q140" s="35"/>
      <c r="R140" s="29"/>
      <c r="S140" s="40"/>
    </row>
    <row r="141" spans="1:19" s="4" customFormat="1" ht="18" customHeight="1">
      <c r="A141" s="34">
        <v>2018</v>
      </c>
      <c r="B141" s="9">
        <v>7</v>
      </c>
      <c r="C141" s="9">
        <v>30</v>
      </c>
      <c r="D141" s="27" t="s">
        <v>227</v>
      </c>
      <c r="E141" s="27" t="s">
        <v>228</v>
      </c>
      <c r="F141" s="9" t="s">
        <v>23</v>
      </c>
      <c r="G141" s="10" t="s">
        <v>194</v>
      </c>
      <c r="H141" s="18" t="s">
        <v>278</v>
      </c>
      <c r="I141" s="39" t="s">
        <v>276</v>
      </c>
      <c r="J141" s="13" t="s">
        <v>248</v>
      </c>
      <c r="K141" s="42">
        <v>239900</v>
      </c>
      <c r="L141" s="20">
        <f t="shared" si="4"/>
        <v>0</v>
      </c>
      <c r="M141" s="24"/>
      <c r="N141" s="14"/>
      <c r="O141" s="14"/>
      <c r="P141" s="16">
        <f t="shared" si="5"/>
        <v>0</v>
      </c>
      <c r="Q141" s="35"/>
      <c r="R141" s="29"/>
      <c r="S141" s="40"/>
    </row>
    <row r="142" spans="1:19" s="4" customFormat="1" ht="18" customHeight="1">
      <c r="A142" s="34">
        <v>2018</v>
      </c>
      <c r="B142" s="9">
        <v>7</v>
      </c>
      <c r="C142" s="9">
        <v>30</v>
      </c>
      <c r="D142" s="27" t="s">
        <v>227</v>
      </c>
      <c r="E142" s="27" t="s">
        <v>228</v>
      </c>
      <c r="F142" s="9" t="s">
        <v>23</v>
      </c>
      <c r="G142" s="10" t="s">
        <v>194</v>
      </c>
      <c r="H142" s="18" t="s">
        <v>278</v>
      </c>
      <c r="I142" s="39" t="s">
        <v>277</v>
      </c>
      <c r="J142" s="13" t="s">
        <v>248</v>
      </c>
      <c r="K142" s="42">
        <v>259900</v>
      </c>
      <c r="L142" s="20">
        <f t="shared" si="4"/>
        <v>0</v>
      </c>
      <c r="M142" s="24"/>
      <c r="N142" s="14"/>
      <c r="O142" s="14"/>
      <c r="P142" s="16">
        <f t="shared" si="5"/>
        <v>0</v>
      </c>
      <c r="Q142" s="35"/>
      <c r="R142" s="29"/>
      <c r="S142" s="40"/>
    </row>
    <row r="143" spans="1:19" s="2" customFormat="1" ht="18" customHeight="1">
      <c r="A143" s="34">
        <v>2018</v>
      </c>
      <c r="B143" s="9">
        <v>7</v>
      </c>
      <c r="C143" s="9">
        <v>30</v>
      </c>
      <c r="D143" s="27" t="s">
        <v>227</v>
      </c>
      <c r="E143" s="27" t="s">
        <v>228</v>
      </c>
      <c r="F143" s="9" t="s">
        <v>23</v>
      </c>
      <c r="G143" s="10" t="s">
        <v>196</v>
      </c>
      <c r="H143" s="12" t="s">
        <v>35</v>
      </c>
      <c r="I143" s="36" t="s">
        <v>36</v>
      </c>
      <c r="J143" s="13" t="s">
        <v>217</v>
      </c>
      <c r="K143" s="42">
        <v>415900</v>
      </c>
      <c r="L143" s="20">
        <f t="shared" si="4"/>
        <v>0</v>
      </c>
      <c r="M143" s="24"/>
      <c r="N143" s="14"/>
      <c r="O143" s="14"/>
      <c r="P143" s="16">
        <f t="shared" si="5"/>
        <v>0</v>
      </c>
      <c r="Q143" s="35"/>
      <c r="R143" s="29"/>
      <c r="S143" s="40"/>
    </row>
    <row r="144" spans="1:19" s="2" customFormat="1" ht="18" customHeight="1">
      <c r="A144" s="34">
        <v>2018</v>
      </c>
      <c r="B144" s="9">
        <v>7</v>
      </c>
      <c r="C144" s="9">
        <v>30</v>
      </c>
      <c r="D144" s="27" t="s">
        <v>227</v>
      </c>
      <c r="E144" s="27" t="s">
        <v>228</v>
      </c>
      <c r="F144" s="9" t="s">
        <v>23</v>
      </c>
      <c r="G144" s="10" t="s">
        <v>196</v>
      </c>
      <c r="H144" s="12" t="s">
        <v>35</v>
      </c>
      <c r="I144" s="36" t="s">
        <v>37</v>
      </c>
      <c r="J144" s="13" t="s">
        <v>217</v>
      </c>
      <c r="K144" s="42">
        <v>441900</v>
      </c>
      <c r="L144" s="20">
        <f t="shared" si="4"/>
        <v>0</v>
      </c>
      <c r="M144" s="24"/>
      <c r="N144" s="14"/>
      <c r="O144" s="14"/>
      <c r="P144" s="16">
        <f t="shared" si="5"/>
        <v>0</v>
      </c>
      <c r="Q144" s="35"/>
      <c r="R144" s="29"/>
      <c r="S144" s="40"/>
    </row>
    <row r="145" spans="1:19" s="2" customFormat="1" ht="18" customHeight="1">
      <c r="A145" s="34">
        <v>2018</v>
      </c>
      <c r="B145" s="9">
        <v>7</v>
      </c>
      <c r="C145" s="9">
        <v>30</v>
      </c>
      <c r="D145" s="27" t="s">
        <v>227</v>
      </c>
      <c r="E145" s="27" t="s">
        <v>228</v>
      </c>
      <c r="F145" s="9" t="s">
        <v>23</v>
      </c>
      <c r="G145" s="10" t="s">
        <v>196</v>
      </c>
      <c r="H145" s="12" t="s">
        <v>35</v>
      </c>
      <c r="I145" s="36" t="s">
        <v>38</v>
      </c>
      <c r="J145" s="13" t="s">
        <v>217</v>
      </c>
      <c r="K145" s="42">
        <v>379900</v>
      </c>
      <c r="L145" s="20">
        <f t="shared" si="4"/>
        <v>0</v>
      </c>
      <c r="M145" s="24"/>
      <c r="N145" s="14"/>
      <c r="O145" s="14"/>
      <c r="P145" s="16">
        <f t="shared" si="5"/>
        <v>0</v>
      </c>
      <c r="Q145" s="35"/>
      <c r="R145" s="29"/>
      <c r="S145" s="40"/>
    </row>
    <row r="146" spans="1:19" s="2" customFormat="1" ht="18" customHeight="1">
      <c r="A146" s="34">
        <v>2018</v>
      </c>
      <c r="B146" s="9">
        <v>7</v>
      </c>
      <c r="C146" s="9">
        <v>30</v>
      </c>
      <c r="D146" s="27" t="s">
        <v>227</v>
      </c>
      <c r="E146" s="27" t="s">
        <v>228</v>
      </c>
      <c r="F146" s="9" t="s">
        <v>23</v>
      </c>
      <c r="G146" s="10" t="s">
        <v>196</v>
      </c>
      <c r="H146" s="12" t="s">
        <v>35</v>
      </c>
      <c r="I146" s="36" t="s">
        <v>39</v>
      </c>
      <c r="J146" s="13" t="s">
        <v>217</v>
      </c>
      <c r="K146" s="42">
        <v>554900</v>
      </c>
      <c r="L146" s="20">
        <f t="shared" si="4"/>
        <v>0</v>
      </c>
      <c r="M146" s="24"/>
      <c r="N146" s="14"/>
      <c r="O146" s="14"/>
      <c r="P146" s="16">
        <f t="shared" si="5"/>
        <v>0</v>
      </c>
      <c r="Q146" s="35"/>
      <c r="R146" s="29"/>
      <c r="S146" s="40"/>
    </row>
    <row r="147" spans="1:19" s="2" customFormat="1" ht="18" customHeight="1">
      <c r="A147" s="34">
        <v>2018</v>
      </c>
      <c r="B147" s="9">
        <v>7</v>
      </c>
      <c r="C147" s="9">
        <v>30</v>
      </c>
      <c r="D147" s="27" t="s">
        <v>227</v>
      </c>
      <c r="E147" s="27" t="s">
        <v>228</v>
      </c>
      <c r="F147" s="9" t="s">
        <v>23</v>
      </c>
      <c r="G147" s="10" t="s">
        <v>196</v>
      </c>
      <c r="H147" s="12" t="s">
        <v>34</v>
      </c>
      <c r="I147" s="38" t="s">
        <v>131</v>
      </c>
      <c r="J147" s="13" t="s">
        <v>207</v>
      </c>
      <c r="K147" s="42">
        <v>366900</v>
      </c>
      <c r="L147" s="20">
        <f t="shared" si="4"/>
        <v>0</v>
      </c>
      <c r="M147" s="24"/>
      <c r="N147" s="14"/>
      <c r="O147" s="14"/>
      <c r="P147" s="16">
        <f t="shared" si="5"/>
        <v>0</v>
      </c>
      <c r="Q147" s="35"/>
      <c r="R147" s="29"/>
      <c r="S147" s="40"/>
    </row>
    <row r="148" spans="1:19" s="2" customFormat="1" ht="18" customHeight="1">
      <c r="A148" s="34">
        <v>2018</v>
      </c>
      <c r="B148" s="9">
        <v>7</v>
      </c>
      <c r="C148" s="9">
        <v>30</v>
      </c>
      <c r="D148" s="27" t="s">
        <v>227</v>
      </c>
      <c r="E148" s="27" t="s">
        <v>228</v>
      </c>
      <c r="F148" s="9" t="s">
        <v>23</v>
      </c>
      <c r="G148" s="10" t="s">
        <v>196</v>
      </c>
      <c r="H148" s="12" t="s">
        <v>34</v>
      </c>
      <c r="I148" s="38" t="s">
        <v>132</v>
      </c>
      <c r="J148" s="13" t="s">
        <v>207</v>
      </c>
      <c r="K148" s="42">
        <v>458900</v>
      </c>
      <c r="L148" s="20">
        <f t="shared" si="4"/>
        <v>0</v>
      </c>
      <c r="M148" s="24"/>
      <c r="N148" s="14"/>
      <c r="O148" s="14"/>
      <c r="P148" s="16">
        <f t="shared" si="5"/>
        <v>0</v>
      </c>
      <c r="Q148" s="35"/>
      <c r="R148" s="29"/>
      <c r="S148" s="40"/>
    </row>
    <row r="149" spans="1:19" s="1" customFormat="1" ht="18" customHeight="1">
      <c r="A149" s="34">
        <v>2018</v>
      </c>
      <c r="B149" s="9">
        <v>7</v>
      </c>
      <c r="C149" s="9">
        <v>30</v>
      </c>
      <c r="D149" s="27" t="s">
        <v>227</v>
      </c>
      <c r="E149" s="27" t="s">
        <v>228</v>
      </c>
      <c r="F149" s="9" t="s">
        <v>40</v>
      </c>
      <c r="G149" s="10" t="s">
        <v>197</v>
      </c>
      <c r="H149" s="11"/>
      <c r="I149" s="36" t="s">
        <v>41</v>
      </c>
      <c r="J149" s="18" t="s">
        <v>211</v>
      </c>
      <c r="K149" s="44">
        <v>988000</v>
      </c>
      <c r="L149" s="20">
        <f t="shared" si="4"/>
        <v>0</v>
      </c>
      <c r="M149" s="24"/>
      <c r="N149" s="14"/>
      <c r="O149" s="14"/>
      <c r="P149" s="16">
        <f t="shared" si="5"/>
        <v>0</v>
      </c>
      <c r="Q149" s="35"/>
      <c r="R149" s="29"/>
      <c r="S149" s="40"/>
    </row>
    <row r="150" spans="1:19" s="1" customFormat="1" ht="18" customHeight="1">
      <c r="A150" s="34">
        <v>2018</v>
      </c>
      <c r="B150" s="9">
        <v>7</v>
      </c>
      <c r="C150" s="9">
        <v>30</v>
      </c>
      <c r="D150" s="27" t="s">
        <v>227</v>
      </c>
      <c r="E150" s="27" t="s">
        <v>228</v>
      </c>
      <c r="F150" s="9" t="s">
        <v>40</v>
      </c>
      <c r="G150" s="10" t="s">
        <v>197</v>
      </c>
      <c r="H150" s="11"/>
      <c r="I150" s="17" t="s">
        <v>42</v>
      </c>
      <c r="J150" s="18" t="s">
        <v>215</v>
      </c>
      <c r="K150" s="42">
        <v>659000</v>
      </c>
      <c r="L150" s="20">
        <f t="shared" si="4"/>
        <v>0</v>
      </c>
      <c r="M150" s="24"/>
      <c r="N150" s="14"/>
      <c r="O150" s="14"/>
      <c r="P150" s="16">
        <f t="shared" si="5"/>
        <v>0</v>
      </c>
      <c r="Q150" s="35"/>
      <c r="R150" s="29"/>
      <c r="S150" s="40"/>
    </row>
    <row r="151" spans="1:19" s="1" customFormat="1" ht="18" customHeight="1">
      <c r="A151" s="34">
        <v>2018</v>
      </c>
      <c r="B151" s="9">
        <v>7</v>
      </c>
      <c r="C151" s="9">
        <v>30</v>
      </c>
      <c r="D151" s="27" t="s">
        <v>227</v>
      </c>
      <c r="E151" s="27" t="s">
        <v>228</v>
      </c>
      <c r="F151" s="9" t="s">
        <v>40</v>
      </c>
      <c r="G151" s="10" t="s">
        <v>197</v>
      </c>
      <c r="H151" s="11"/>
      <c r="I151" s="17" t="s">
        <v>85</v>
      </c>
      <c r="J151" s="18" t="s">
        <v>211</v>
      </c>
      <c r="K151" s="44">
        <v>758000</v>
      </c>
      <c r="L151" s="20">
        <f t="shared" si="4"/>
        <v>0</v>
      </c>
      <c r="M151" s="24"/>
      <c r="N151" s="14"/>
      <c r="O151" s="14"/>
      <c r="P151" s="16">
        <f t="shared" si="5"/>
        <v>0</v>
      </c>
      <c r="Q151" s="35"/>
      <c r="R151" s="29"/>
      <c r="S151" s="40"/>
    </row>
    <row r="152" spans="1:19" s="1" customFormat="1" ht="18" customHeight="1">
      <c r="A152" s="34">
        <v>2018</v>
      </c>
      <c r="B152" s="9">
        <v>7</v>
      </c>
      <c r="C152" s="9">
        <v>30</v>
      </c>
      <c r="D152" s="27" t="s">
        <v>227</v>
      </c>
      <c r="E152" s="27" t="s">
        <v>228</v>
      </c>
      <c r="F152" s="9" t="s">
        <v>40</v>
      </c>
      <c r="G152" s="10" t="s">
        <v>197</v>
      </c>
      <c r="H152" s="11"/>
      <c r="I152" s="17" t="s">
        <v>96</v>
      </c>
      <c r="J152" s="18" t="s">
        <v>215</v>
      </c>
      <c r="K152" s="43">
        <v>1788000</v>
      </c>
      <c r="L152" s="20">
        <f t="shared" si="4"/>
        <v>0</v>
      </c>
      <c r="M152" s="24"/>
      <c r="N152" s="14"/>
      <c r="O152" s="14"/>
      <c r="P152" s="16">
        <f t="shared" si="5"/>
        <v>0</v>
      </c>
      <c r="Q152" s="35"/>
      <c r="R152" s="29"/>
      <c r="S152" s="40"/>
    </row>
    <row r="153" spans="1:19" s="1" customFormat="1" ht="18" customHeight="1">
      <c r="A153" s="34">
        <v>2018</v>
      </c>
      <c r="B153" s="9">
        <v>7</v>
      </c>
      <c r="C153" s="9">
        <v>30</v>
      </c>
      <c r="D153" s="27" t="s">
        <v>227</v>
      </c>
      <c r="E153" s="27" t="s">
        <v>228</v>
      </c>
      <c r="F153" s="9" t="s">
        <v>40</v>
      </c>
      <c r="G153" s="10" t="s">
        <v>197</v>
      </c>
      <c r="H153" s="11"/>
      <c r="I153" s="17" t="s">
        <v>122</v>
      </c>
      <c r="J153" s="18" t="s">
        <v>211</v>
      </c>
      <c r="K153" s="43">
        <v>659000</v>
      </c>
      <c r="L153" s="20">
        <f t="shared" si="4"/>
        <v>0</v>
      </c>
      <c r="M153" s="24"/>
      <c r="N153" s="14"/>
      <c r="O153" s="14"/>
      <c r="P153" s="16">
        <f t="shared" si="5"/>
        <v>0</v>
      </c>
      <c r="Q153" s="35"/>
      <c r="R153" s="29"/>
      <c r="S153" s="40"/>
    </row>
    <row r="154" spans="1:19" s="1" customFormat="1" ht="18" customHeight="1">
      <c r="A154" s="34">
        <v>2018</v>
      </c>
      <c r="B154" s="9">
        <v>7</v>
      </c>
      <c r="C154" s="9">
        <v>30</v>
      </c>
      <c r="D154" s="27" t="s">
        <v>227</v>
      </c>
      <c r="E154" s="27" t="s">
        <v>228</v>
      </c>
      <c r="F154" s="9" t="s">
        <v>40</v>
      </c>
      <c r="G154" s="10" t="s">
        <v>197</v>
      </c>
      <c r="H154" s="11"/>
      <c r="I154" s="17" t="s">
        <v>123</v>
      </c>
      <c r="J154" s="18" t="s">
        <v>211</v>
      </c>
      <c r="K154" s="43">
        <v>699000</v>
      </c>
      <c r="L154" s="20">
        <f t="shared" si="4"/>
        <v>0</v>
      </c>
      <c r="M154" s="24"/>
      <c r="N154" s="14"/>
      <c r="O154" s="14"/>
      <c r="P154" s="16">
        <f t="shared" si="5"/>
        <v>0</v>
      </c>
      <c r="Q154" s="35"/>
      <c r="R154" s="29"/>
      <c r="S154" s="40"/>
    </row>
    <row r="155" spans="1:19" s="1" customFormat="1" ht="18" customHeight="1">
      <c r="A155" s="34">
        <v>2018</v>
      </c>
      <c r="B155" s="9">
        <v>7</v>
      </c>
      <c r="C155" s="9">
        <v>30</v>
      </c>
      <c r="D155" s="27" t="s">
        <v>227</v>
      </c>
      <c r="E155" s="27" t="s">
        <v>228</v>
      </c>
      <c r="F155" s="9" t="s">
        <v>40</v>
      </c>
      <c r="G155" s="10" t="s">
        <v>197</v>
      </c>
      <c r="H155" s="11"/>
      <c r="I155" s="17" t="s">
        <v>142</v>
      </c>
      <c r="J155" s="18" t="s">
        <v>211</v>
      </c>
      <c r="K155" s="43">
        <v>599000</v>
      </c>
      <c r="L155" s="20">
        <f t="shared" si="4"/>
        <v>0</v>
      </c>
      <c r="M155" s="24"/>
      <c r="N155" s="14"/>
      <c r="O155" s="14"/>
      <c r="P155" s="16">
        <f t="shared" si="5"/>
        <v>0</v>
      </c>
      <c r="Q155" s="35"/>
      <c r="R155" s="29"/>
      <c r="S155" s="40"/>
    </row>
    <row r="156" spans="1:19" s="1" customFormat="1" ht="18" customHeight="1">
      <c r="A156" s="34">
        <v>2018</v>
      </c>
      <c r="B156" s="9">
        <v>7</v>
      </c>
      <c r="C156" s="9">
        <v>30</v>
      </c>
      <c r="D156" s="27" t="s">
        <v>227</v>
      </c>
      <c r="E156" s="27" t="s">
        <v>228</v>
      </c>
      <c r="F156" s="9" t="s">
        <v>40</v>
      </c>
      <c r="G156" s="10" t="s">
        <v>197</v>
      </c>
      <c r="H156" s="11"/>
      <c r="I156" s="36" t="s">
        <v>158</v>
      </c>
      <c r="J156" s="18" t="s">
        <v>211</v>
      </c>
      <c r="K156" s="43">
        <v>549000</v>
      </c>
      <c r="L156" s="20">
        <f t="shared" si="4"/>
        <v>0</v>
      </c>
      <c r="M156" s="24"/>
      <c r="N156" s="14"/>
      <c r="O156" s="14"/>
      <c r="P156" s="16">
        <f t="shared" si="5"/>
        <v>0</v>
      </c>
      <c r="Q156" s="35"/>
      <c r="R156" s="29"/>
      <c r="S156" s="40"/>
    </row>
    <row r="157" spans="1:19" s="1" customFormat="1" ht="18" customHeight="1">
      <c r="A157" s="34">
        <v>2018</v>
      </c>
      <c r="B157" s="9">
        <v>7</v>
      </c>
      <c r="C157" s="9">
        <v>30</v>
      </c>
      <c r="D157" s="27" t="s">
        <v>227</v>
      </c>
      <c r="E157" s="27" t="s">
        <v>228</v>
      </c>
      <c r="F157" s="9" t="s">
        <v>40</v>
      </c>
      <c r="G157" s="10" t="s">
        <v>197</v>
      </c>
      <c r="H157" s="11"/>
      <c r="I157" s="36" t="s">
        <v>144</v>
      </c>
      <c r="J157" s="18" t="s">
        <v>211</v>
      </c>
      <c r="K157" s="42">
        <v>1099000</v>
      </c>
      <c r="L157" s="20">
        <f t="shared" si="4"/>
        <v>0</v>
      </c>
      <c r="M157" s="24"/>
      <c r="N157" s="14"/>
      <c r="O157" s="14"/>
      <c r="P157" s="16">
        <f t="shared" si="5"/>
        <v>0</v>
      </c>
      <c r="Q157" s="35"/>
      <c r="R157" s="29"/>
      <c r="S157" s="40"/>
    </row>
    <row r="158" spans="1:19" s="1" customFormat="1" ht="18" customHeight="1">
      <c r="A158" s="34">
        <v>2018</v>
      </c>
      <c r="B158" s="9">
        <v>7</v>
      </c>
      <c r="C158" s="9">
        <v>30</v>
      </c>
      <c r="D158" s="27" t="s">
        <v>227</v>
      </c>
      <c r="E158" s="27" t="s">
        <v>228</v>
      </c>
      <c r="F158" s="9" t="s">
        <v>40</v>
      </c>
      <c r="G158" s="10" t="s">
        <v>197</v>
      </c>
      <c r="H158" s="11"/>
      <c r="I158" s="36" t="s">
        <v>157</v>
      </c>
      <c r="J158" s="18" t="s">
        <v>215</v>
      </c>
      <c r="K158" s="42">
        <v>1279000</v>
      </c>
      <c r="L158" s="20">
        <f t="shared" si="4"/>
        <v>0</v>
      </c>
      <c r="M158" s="24"/>
      <c r="N158" s="14"/>
      <c r="O158" s="14"/>
      <c r="P158" s="16">
        <f t="shared" si="5"/>
        <v>0</v>
      </c>
      <c r="Q158" s="35"/>
      <c r="R158" s="29"/>
      <c r="S158" s="40"/>
    </row>
    <row r="159" spans="1:19" s="1" customFormat="1" ht="18" customHeight="1">
      <c r="A159" s="34">
        <v>2018</v>
      </c>
      <c r="B159" s="9">
        <v>7</v>
      </c>
      <c r="C159" s="9">
        <v>30</v>
      </c>
      <c r="D159" s="27" t="s">
        <v>227</v>
      </c>
      <c r="E159" s="27" t="s">
        <v>228</v>
      </c>
      <c r="F159" s="9" t="s">
        <v>40</v>
      </c>
      <c r="G159" s="10" t="s">
        <v>197</v>
      </c>
      <c r="H159" s="11"/>
      <c r="I159" s="36" t="s">
        <v>143</v>
      </c>
      <c r="J159" s="18" t="s">
        <v>215</v>
      </c>
      <c r="K159" s="42">
        <v>1789000</v>
      </c>
      <c r="L159" s="20">
        <f t="shared" si="4"/>
        <v>0</v>
      </c>
      <c r="M159" s="24"/>
      <c r="N159" s="14"/>
      <c r="O159" s="14"/>
      <c r="P159" s="16">
        <f t="shared" si="5"/>
        <v>0</v>
      </c>
      <c r="Q159" s="35"/>
      <c r="R159" s="29"/>
      <c r="S159" s="40"/>
    </row>
    <row r="160" spans="1:19" s="1" customFormat="1" ht="18" customHeight="1">
      <c r="A160" s="34">
        <v>2018</v>
      </c>
      <c r="B160" s="9">
        <v>7</v>
      </c>
      <c r="C160" s="9">
        <v>30</v>
      </c>
      <c r="D160" s="27" t="s">
        <v>227</v>
      </c>
      <c r="E160" s="27" t="s">
        <v>228</v>
      </c>
      <c r="F160" s="9" t="s">
        <v>40</v>
      </c>
      <c r="G160" s="10" t="s">
        <v>197</v>
      </c>
      <c r="H160" s="11"/>
      <c r="I160" s="36" t="s">
        <v>164</v>
      </c>
      <c r="J160" s="18" t="s">
        <v>215</v>
      </c>
      <c r="K160" s="42">
        <v>1579000</v>
      </c>
      <c r="L160" s="20">
        <f t="shared" si="4"/>
        <v>0</v>
      </c>
      <c r="M160" s="24"/>
      <c r="N160" s="14"/>
      <c r="O160" s="14"/>
      <c r="P160" s="16">
        <f t="shared" si="5"/>
        <v>0</v>
      </c>
      <c r="Q160" s="35"/>
      <c r="R160" s="29"/>
      <c r="S160" s="40"/>
    </row>
    <row r="161" spans="1:19" s="1" customFormat="1" ht="18" customHeight="1">
      <c r="A161" s="34">
        <v>2018</v>
      </c>
      <c r="B161" s="9">
        <v>7</v>
      </c>
      <c r="C161" s="9">
        <v>30</v>
      </c>
      <c r="D161" s="27" t="s">
        <v>227</v>
      </c>
      <c r="E161" s="27" t="s">
        <v>228</v>
      </c>
      <c r="F161" s="9" t="s">
        <v>40</v>
      </c>
      <c r="G161" s="10" t="s">
        <v>197</v>
      </c>
      <c r="H161" s="11"/>
      <c r="I161" s="36" t="s">
        <v>165</v>
      </c>
      <c r="J161" s="18" t="s">
        <v>215</v>
      </c>
      <c r="K161" s="42">
        <v>2779000</v>
      </c>
      <c r="L161" s="20">
        <f t="shared" si="4"/>
        <v>0</v>
      </c>
      <c r="M161" s="24"/>
      <c r="N161" s="14"/>
      <c r="O161" s="14"/>
      <c r="P161" s="16">
        <f t="shared" si="5"/>
        <v>0</v>
      </c>
      <c r="Q161" s="35"/>
      <c r="R161" s="29"/>
      <c r="S161" s="40"/>
    </row>
    <row r="162" spans="1:19" s="1" customFormat="1" ht="18" customHeight="1">
      <c r="A162" s="34">
        <v>2018</v>
      </c>
      <c r="B162" s="9">
        <v>7</v>
      </c>
      <c r="C162" s="9">
        <v>30</v>
      </c>
      <c r="D162" s="27" t="s">
        <v>227</v>
      </c>
      <c r="E162" s="27" t="s">
        <v>228</v>
      </c>
      <c r="F162" s="9" t="s">
        <v>40</v>
      </c>
      <c r="G162" s="10" t="s">
        <v>197</v>
      </c>
      <c r="H162" s="11"/>
      <c r="I162" s="19" t="s">
        <v>283</v>
      </c>
      <c r="J162" s="18" t="s">
        <v>211</v>
      </c>
      <c r="K162" s="42">
        <v>999000</v>
      </c>
      <c r="L162" s="20">
        <f>K162*P162</f>
        <v>0</v>
      </c>
      <c r="M162" s="24"/>
      <c r="N162" s="14"/>
      <c r="O162" s="14"/>
      <c r="P162" s="16">
        <f t="shared" si="5"/>
        <v>0</v>
      </c>
      <c r="Q162" s="35"/>
      <c r="R162" s="29"/>
      <c r="S162" s="40"/>
    </row>
    <row r="163" spans="1:19" s="1" customFormat="1" ht="18" customHeight="1">
      <c r="A163" s="34">
        <v>2018</v>
      </c>
      <c r="B163" s="9">
        <v>7</v>
      </c>
      <c r="C163" s="9">
        <v>30</v>
      </c>
      <c r="D163" s="27" t="s">
        <v>227</v>
      </c>
      <c r="E163" s="27" t="s">
        <v>228</v>
      </c>
      <c r="F163" s="9" t="s">
        <v>40</v>
      </c>
      <c r="G163" s="10" t="s">
        <v>198</v>
      </c>
      <c r="H163" s="12"/>
      <c r="I163" s="17" t="s">
        <v>43</v>
      </c>
      <c r="J163" s="13" t="s">
        <v>214</v>
      </c>
      <c r="K163" s="43">
        <v>2779000</v>
      </c>
      <c r="L163" s="20">
        <f t="shared" si="4"/>
        <v>0</v>
      </c>
      <c r="M163" s="24"/>
      <c r="N163" s="14"/>
      <c r="O163" s="14"/>
      <c r="P163" s="16">
        <f t="shared" si="5"/>
        <v>0</v>
      </c>
      <c r="Q163" s="35"/>
      <c r="R163" s="29"/>
      <c r="S163" s="40"/>
    </row>
    <row r="164" spans="1:19" s="1" customFormat="1" ht="18" customHeight="1">
      <c r="A164" s="34">
        <v>2018</v>
      </c>
      <c r="B164" s="9">
        <v>7</v>
      </c>
      <c r="C164" s="9">
        <v>30</v>
      </c>
      <c r="D164" s="27" t="s">
        <v>227</v>
      </c>
      <c r="E164" s="27" t="s">
        <v>228</v>
      </c>
      <c r="F164" s="9" t="s">
        <v>40</v>
      </c>
      <c r="G164" s="10" t="s">
        <v>198</v>
      </c>
      <c r="H164" s="12"/>
      <c r="I164" s="17" t="s">
        <v>44</v>
      </c>
      <c r="J164" s="13" t="s">
        <v>210</v>
      </c>
      <c r="K164" s="42">
        <v>1469000</v>
      </c>
      <c r="L164" s="20">
        <f t="shared" si="4"/>
        <v>0</v>
      </c>
      <c r="M164" s="24"/>
      <c r="N164" s="14"/>
      <c r="O164" s="14"/>
      <c r="P164" s="16">
        <f t="shared" si="5"/>
        <v>0</v>
      </c>
      <c r="Q164" s="35"/>
      <c r="R164" s="29"/>
      <c r="S164" s="40"/>
    </row>
    <row r="165" spans="1:19" s="1" customFormat="1" ht="18" customHeight="1">
      <c r="A165" s="34">
        <v>2018</v>
      </c>
      <c r="B165" s="9">
        <v>7</v>
      </c>
      <c r="C165" s="9">
        <v>30</v>
      </c>
      <c r="D165" s="27" t="s">
        <v>227</v>
      </c>
      <c r="E165" s="27" t="s">
        <v>228</v>
      </c>
      <c r="F165" s="9" t="s">
        <v>40</v>
      </c>
      <c r="G165" s="10" t="s">
        <v>198</v>
      </c>
      <c r="H165" s="12"/>
      <c r="I165" s="17" t="s">
        <v>124</v>
      </c>
      <c r="J165" s="13" t="s">
        <v>210</v>
      </c>
      <c r="K165" s="42">
        <v>1259000</v>
      </c>
      <c r="L165" s="20">
        <f t="shared" si="4"/>
        <v>0</v>
      </c>
      <c r="M165" s="24"/>
      <c r="N165" s="14"/>
      <c r="O165" s="14"/>
      <c r="P165" s="16">
        <f t="shared" ref="P165:P196" si="6">N165+O165-Q165</f>
        <v>0</v>
      </c>
      <c r="Q165" s="35"/>
      <c r="R165" s="29"/>
      <c r="S165" s="40"/>
    </row>
    <row r="166" spans="1:19" s="1" customFormat="1" ht="18" customHeight="1">
      <c r="A166" s="34">
        <v>2018</v>
      </c>
      <c r="B166" s="9">
        <v>7</v>
      </c>
      <c r="C166" s="9">
        <v>30</v>
      </c>
      <c r="D166" s="27" t="s">
        <v>227</v>
      </c>
      <c r="E166" s="27" t="s">
        <v>228</v>
      </c>
      <c r="F166" s="9" t="s">
        <v>40</v>
      </c>
      <c r="G166" s="10" t="s">
        <v>198</v>
      </c>
      <c r="H166" s="12"/>
      <c r="I166" s="17" t="s">
        <v>145</v>
      </c>
      <c r="J166" s="13" t="s">
        <v>214</v>
      </c>
      <c r="K166" s="42">
        <v>1739000</v>
      </c>
      <c r="L166" s="20">
        <f t="shared" si="4"/>
        <v>0</v>
      </c>
      <c r="M166" s="24"/>
      <c r="N166" s="14"/>
      <c r="O166" s="14"/>
      <c r="P166" s="16">
        <f t="shared" si="6"/>
        <v>0</v>
      </c>
      <c r="Q166" s="35"/>
      <c r="R166" s="29"/>
      <c r="S166" s="40"/>
    </row>
    <row r="167" spans="1:19" s="1" customFormat="1" ht="18" customHeight="1">
      <c r="A167" s="34">
        <v>2018</v>
      </c>
      <c r="B167" s="9">
        <v>7</v>
      </c>
      <c r="C167" s="9">
        <v>30</v>
      </c>
      <c r="D167" s="27" t="s">
        <v>227</v>
      </c>
      <c r="E167" s="27" t="s">
        <v>228</v>
      </c>
      <c r="F167" s="9" t="s">
        <v>40</v>
      </c>
      <c r="G167" s="10" t="s">
        <v>198</v>
      </c>
      <c r="H167" s="12"/>
      <c r="I167" s="17" t="s">
        <v>146</v>
      </c>
      <c r="J167" s="13" t="s">
        <v>214</v>
      </c>
      <c r="K167" s="42">
        <v>1899000</v>
      </c>
      <c r="L167" s="20">
        <f t="shared" si="4"/>
        <v>0</v>
      </c>
      <c r="M167" s="24"/>
      <c r="N167" s="14"/>
      <c r="O167" s="14"/>
      <c r="P167" s="16">
        <f t="shared" si="6"/>
        <v>0</v>
      </c>
      <c r="Q167" s="35"/>
      <c r="R167" s="29"/>
      <c r="S167" s="40"/>
    </row>
    <row r="168" spans="1:19" s="4" customFormat="1" ht="18" customHeight="1">
      <c r="A168" s="34">
        <v>2018</v>
      </c>
      <c r="B168" s="9">
        <v>7</v>
      </c>
      <c r="C168" s="9">
        <v>30</v>
      </c>
      <c r="D168" s="27" t="s">
        <v>227</v>
      </c>
      <c r="E168" s="27" t="s">
        <v>228</v>
      </c>
      <c r="F168" s="9" t="s">
        <v>40</v>
      </c>
      <c r="G168" s="10" t="s">
        <v>199</v>
      </c>
      <c r="H168" s="11"/>
      <c r="I168" s="36" t="s">
        <v>45</v>
      </c>
      <c r="J168" s="18" t="s">
        <v>222</v>
      </c>
      <c r="K168" s="43">
        <v>1588000</v>
      </c>
      <c r="L168" s="20">
        <f t="shared" si="4"/>
        <v>0</v>
      </c>
      <c r="M168" s="24"/>
      <c r="N168" s="14"/>
      <c r="O168" s="14"/>
      <c r="P168" s="16">
        <f t="shared" si="6"/>
        <v>0</v>
      </c>
      <c r="Q168" s="35"/>
      <c r="R168" s="29"/>
      <c r="S168" s="40"/>
    </row>
    <row r="169" spans="1:19" s="4" customFormat="1" ht="18" customHeight="1">
      <c r="A169" s="34">
        <v>2018</v>
      </c>
      <c r="B169" s="9">
        <v>7</v>
      </c>
      <c r="C169" s="9">
        <v>30</v>
      </c>
      <c r="D169" s="27" t="s">
        <v>227</v>
      </c>
      <c r="E169" s="27" t="s">
        <v>228</v>
      </c>
      <c r="F169" s="9" t="s">
        <v>40</v>
      </c>
      <c r="G169" s="10" t="s">
        <v>199</v>
      </c>
      <c r="H169" s="11"/>
      <c r="I169" s="9" t="s">
        <v>46</v>
      </c>
      <c r="J169" s="18" t="s">
        <v>222</v>
      </c>
      <c r="K169" s="43">
        <v>1788000</v>
      </c>
      <c r="L169" s="20">
        <f t="shared" si="4"/>
        <v>0</v>
      </c>
      <c r="M169" s="24"/>
      <c r="N169" s="14"/>
      <c r="O169" s="14"/>
      <c r="P169" s="16">
        <f t="shared" si="6"/>
        <v>0</v>
      </c>
      <c r="Q169" s="35"/>
      <c r="R169" s="29"/>
      <c r="S169" s="40"/>
    </row>
    <row r="170" spans="1:19" s="4" customFormat="1" ht="18" customHeight="1">
      <c r="A170" s="34">
        <v>2018</v>
      </c>
      <c r="B170" s="9">
        <v>7</v>
      </c>
      <c r="C170" s="9">
        <v>30</v>
      </c>
      <c r="D170" s="27" t="s">
        <v>227</v>
      </c>
      <c r="E170" s="27" t="s">
        <v>228</v>
      </c>
      <c r="F170" s="9" t="s">
        <v>40</v>
      </c>
      <c r="G170" s="10" t="s">
        <v>199</v>
      </c>
      <c r="H170" s="11"/>
      <c r="I170" s="17" t="s">
        <v>160</v>
      </c>
      <c r="J170" s="18"/>
      <c r="K170" s="43">
        <v>1099000</v>
      </c>
      <c r="L170" s="20">
        <f t="shared" si="4"/>
        <v>0</v>
      </c>
      <c r="M170" s="24"/>
      <c r="N170" s="14"/>
      <c r="O170" s="14"/>
      <c r="P170" s="16">
        <f t="shared" si="6"/>
        <v>0</v>
      </c>
      <c r="Q170" s="35"/>
      <c r="R170" s="29"/>
      <c r="S170" s="40"/>
    </row>
    <row r="171" spans="1:19" s="4" customFormat="1" ht="18" customHeight="1">
      <c r="A171" s="34">
        <v>2018</v>
      </c>
      <c r="B171" s="9">
        <v>7</v>
      </c>
      <c r="C171" s="9">
        <v>30</v>
      </c>
      <c r="D171" s="27" t="s">
        <v>227</v>
      </c>
      <c r="E171" s="27" t="s">
        <v>228</v>
      </c>
      <c r="F171" s="9" t="s">
        <v>40</v>
      </c>
      <c r="G171" s="10" t="s">
        <v>199</v>
      </c>
      <c r="H171" s="11"/>
      <c r="I171" s="17" t="s">
        <v>159</v>
      </c>
      <c r="J171" s="18"/>
      <c r="K171" s="42">
        <v>989000</v>
      </c>
      <c r="L171" s="20">
        <f t="shared" si="4"/>
        <v>0</v>
      </c>
      <c r="M171" s="24"/>
      <c r="N171" s="14"/>
      <c r="O171" s="14"/>
      <c r="P171" s="16">
        <f t="shared" si="6"/>
        <v>0</v>
      </c>
      <c r="Q171" s="35"/>
      <c r="R171" s="29"/>
      <c r="S171" s="40"/>
    </row>
    <row r="172" spans="1:19" s="4" customFormat="1" ht="18" customHeight="1">
      <c r="A172" s="34">
        <v>2018</v>
      </c>
      <c r="B172" s="9">
        <v>7</v>
      </c>
      <c r="C172" s="9">
        <v>30</v>
      </c>
      <c r="D172" s="27" t="s">
        <v>227</v>
      </c>
      <c r="E172" s="27" t="s">
        <v>228</v>
      </c>
      <c r="F172" s="9" t="s">
        <v>40</v>
      </c>
      <c r="G172" s="10" t="s">
        <v>199</v>
      </c>
      <c r="H172" s="11"/>
      <c r="I172" s="17" t="s">
        <v>161</v>
      </c>
      <c r="J172" s="18"/>
      <c r="K172" s="44">
        <v>1199000</v>
      </c>
      <c r="L172" s="20">
        <f t="shared" si="4"/>
        <v>0</v>
      </c>
      <c r="M172" s="24"/>
      <c r="N172" s="14"/>
      <c r="O172" s="14"/>
      <c r="P172" s="16">
        <f t="shared" si="6"/>
        <v>0</v>
      </c>
      <c r="Q172" s="35"/>
      <c r="R172" s="29"/>
      <c r="S172" s="40"/>
    </row>
    <row r="173" spans="1:19" s="4" customFormat="1" ht="18" customHeight="1">
      <c r="A173" s="34">
        <v>2018</v>
      </c>
      <c r="B173" s="9">
        <v>7</v>
      </c>
      <c r="C173" s="9">
        <v>30</v>
      </c>
      <c r="D173" s="27" t="s">
        <v>227</v>
      </c>
      <c r="E173" s="27" t="s">
        <v>228</v>
      </c>
      <c r="F173" s="9" t="s">
        <v>40</v>
      </c>
      <c r="G173" s="10" t="s">
        <v>199</v>
      </c>
      <c r="H173" s="11"/>
      <c r="I173" s="19" t="s">
        <v>169</v>
      </c>
      <c r="J173" s="18"/>
      <c r="K173" s="42">
        <v>879000</v>
      </c>
      <c r="L173" s="20">
        <f t="shared" si="4"/>
        <v>0</v>
      </c>
      <c r="M173" s="24"/>
      <c r="N173" s="14"/>
      <c r="O173" s="14"/>
      <c r="P173" s="16">
        <f t="shared" si="6"/>
        <v>0</v>
      </c>
      <c r="Q173" s="35"/>
      <c r="R173" s="29"/>
      <c r="S173" s="40"/>
    </row>
    <row r="174" spans="1:19" s="4" customFormat="1" ht="18" customHeight="1">
      <c r="A174" s="34">
        <v>2018</v>
      </c>
      <c r="B174" s="9">
        <v>7</v>
      </c>
      <c r="C174" s="9">
        <v>30</v>
      </c>
      <c r="D174" s="27" t="s">
        <v>227</v>
      </c>
      <c r="E174" s="27" t="s">
        <v>228</v>
      </c>
      <c r="F174" s="9" t="s">
        <v>40</v>
      </c>
      <c r="G174" s="10" t="s">
        <v>200</v>
      </c>
      <c r="H174" s="11"/>
      <c r="I174" s="9" t="s">
        <v>50</v>
      </c>
      <c r="J174" s="13" t="s">
        <v>208</v>
      </c>
      <c r="K174" s="44">
        <v>598000</v>
      </c>
      <c r="L174" s="20">
        <f t="shared" si="4"/>
        <v>0</v>
      </c>
      <c r="M174" s="24"/>
      <c r="N174" s="14"/>
      <c r="O174" s="14"/>
      <c r="P174" s="16">
        <f t="shared" si="6"/>
        <v>0</v>
      </c>
      <c r="Q174" s="35"/>
      <c r="R174" s="29"/>
      <c r="S174" s="40"/>
    </row>
    <row r="175" spans="1:19" s="4" customFormat="1" ht="18" customHeight="1">
      <c r="A175" s="34">
        <v>2018</v>
      </c>
      <c r="B175" s="9">
        <v>7</v>
      </c>
      <c r="C175" s="9">
        <v>30</v>
      </c>
      <c r="D175" s="27" t="s">
        <v>227</v>
      </c>
      <c r="E175" s="27" t="s">
        <v>228</v>
      </c>
      <c r="F175" s="9" t="s">
        <v>40</v>
      </c>
      <c r="G175" s="10" t="s">
        <v>200</v>
      </c>
      <c r="H175" s="11"/>
      <c r="I175" s="17" t="s">
        <v>112</v>
      </c>
      <c r="J175" s="13" t="s">
        <v>208</v>
      </c>
      <c r="K175" s="44">
        <v>399000</v>
      </c>
      <c r="L175" s="20">
        <f t="shared" si="4"/>
        <v>0</v>
      </c>
      <c r="M175" s="24"/>
      <c r="N175" s="14"/>
      <c r="O175" s="14"/>
      <c r="P175" s="16">
        <f t="shared" si="6"/>
        <v>0</v>
      </c>
      <c r="Q175" s="35"/>
      <c r="R175" s="29"/>
      <c r="S175" s="40"/>
    </row>
    <row r="176" spans="1:19" s="4" customFormat="1" ht="18" customHeight="1">
      <c r="A176" s="34">
        <v>2018</v>
      </c>
      <c r="B176" s="9">
        <v>7</v>
      </c>
      <c r="C176" s="9">
        <v>30</v>
      </c>
      <c r="D176" s="27" t="s">
        <v>227</v>
      </c>
      <c r="E176" s="27" t="s">
        <v>228</v>
      </c>
      <c r="F176" s="9" t="s">
        <v>40</v>
      </c>
      <c r="G176" s="10" t="s">
        <v>200</v>
      </c>
      <c r="H176" s="11"/>
      <c r="I176" s="17" t="s">
        <v>149</v>
      </c>
      <c r="J176" s="13" t="s">
        <v>208</v>
      </c>
      <c r="K176" s="44">
        <v>399000</v>
      </c>
      <c r="L176" s="20">
        <f t="shared" si="4"/>
        <v>0</v>
      </c>
      <c r="M176" s="24"/>
      <c r="N176" s="14"/>
      <c r="O176" s="14"/>
      <c r="P176" s="16">
        <f t="shared" si="6"/>
        <v>0</v>
      </c>
      <c r="Q176" s="35"/>
      <c r="R176" s="29"/>
      <c r="S176" s="40"/>
    </row>
    <row r="177" spans="1:19" s="4" customFormat="1" ht="18" customHeight="1">
      <c r="A177" s="34">
        <v>2018</v>
      </c>
      <c r="B177" s="9">
        <v>7</v>
      </c>
      <c r="C177" s="9">
        <v>30</v>
      </c>
      <c r="D177" s="27" t="s">
        <v>227</v>
      </c>
      <c r="E177" s="27" t="s">
        <v>228</v>
      </c>
      <c r="F177" s="9" t="s">
        <v>40</v>
      </c>
      <c r="G177" s="10" t="s">
        <v>200</v>
      </c>
      <c r="H177" s="11"/>
      <c r="I177" s="17" t="s">
        <v>141</v>
      </c>
      <c r="J177" s="13" t="s">
        <v>208</v>
      </c>
      <c r="K177" s="44">
        <v>449000</v>
      </c>
      <c r="L177" s="20">
        <f t="shared" si="4"/>
        <v>0</v>
      </c>
      <c r="M177" s="24"/>
      <c r="N177" s="14"/>
      <c r="O177" s="14"/>
      <c r="P177" s="16">
        <f t="shared" si="6"/>
        <v>0</v>
      </c>
      <c r="Q177" s="35"/>
      <c r="R177" s="29"/>
      <c r="S177" s="40"/>
    </row>
    <row r="178" spans="1:19" s="4" customFormat="1" ht="18" customHeight="1">
      <c r="A178" s="34">
        <v>2018</v>
      </c>
      <c r="B178" s="9">
        <v>7</v>
      </c>
      <c r="C178" s="9">
        <v>30</v>
      </c>
      <c r="D178" s="27" t="s">
        <v>227</v>
      </c>
      <c r="E178" s="27" t="s">
        <v>228</v>
      </c>
      <c r="F178" s="9" t="s">
        <v>40</v>
      </c>
      <c r="G178" s="10" t="s">
        <v>200</v>
      </c>
      <c r="H178" s="11"/>
      <c r="I178" s="17" t="s">
        <v>147</v>
      </c>
      <c r="J178" s="18" t="s">
        <v>209</v>
      </c>
      <c r="K178" s="42">
        <v>599000</v>
      </c>
      <c r="L178" s="20">
        <f t="shared" si="4"/>
        <v>0</v>
      </c>
      <c r="M178" s="24"/>
      <c r="N178" s="14"/>
      <c r="O178" s="14"/>
      <c r="P178" s="16">
        <f t="shared" si="6"/>
        <v>0</v>
      </c>
      <c r="Q178" s="35"/>
      <c r="R178" s="29"/>
      <c r="S178" s="40"/>
    </row>
    <row r="179" spans="1:19" s="4" customFormat="1" ht="18" customHeight="1">
      <c r="A179" s="34">
        <v>2018</v>
      </c>
      <c r="B179" s="9">
        <v>7</v>
      </c>
      <c r="C179" s="9">
        <v>30</v>
      </c>
      <c r="D179" s="27" t="s">
        <v>227</v>
      </c>
      <c r="E179" s="27" t="s">
        <v>228</v>
      </c>
      <c r="F179" s="9" t="s">
        <v>40</v>
      </c>
      <c r="G179" s="10" t="s">
        <v>200</v>
      </c>
      <c r="H179" s="11"/>
      <c r="I179" s="17" t="s">
        <v>148</v>
      </c>
      <c r="J179" s="18" t="s">
        <v>209</v>
      </c>
      <c r="K179" s="42">
        <v>659000</v>
      </c>
      <c r="L179" s="20">
        <f t="shared" si="4"/>
        <v>0</v>
      </c>
      <c r="M179" s="24"/>
      <c r="N179" s="14"/>
      <c r="O179" s="14"/>
      <c r="P179" s="16">
        <f t="shared" si="6"/>
        <v>0</v>
      </c>
      <c r="Q179" s="35"/>
      <c r="R179" s="29"/>
      <c r="S179" s="40"/>
    </row>
    <row r="180" spans="1:19" s="4" customFormat="1" ht="18" customHeight="1">
      <c r="A180" s="34">
        <v>2018</v>
      </c>
      <c r="B180" s="9">
        <v>7</v>
      </c>
      <c r="C180" s="9">
        <v>30</v>
      </c>
      <c r="D180" s="27" t="s">
        <v>227</v>
      </c>
      <c r="E180" s="27" t="s">
        <v>228</v>
      </c>
      <c r="F180" s="9" t="s">
        <v>40</v>
      </c>
      <c r="G180" s="10" t="s">
        <v>200</v>
      </c>
      <c r="H180" s="11"/>
      <c r="I180" s="15" t="s">
        <v>166</v>
      </c>
      <c r="J180" s="18" t="s">
        <v>209</v>
      </c>
      <c r="K180" s="42">
        <v>659000</v>
      </c>
      <c r="L180" s="20">
        <f t="shared" si="4"/>
        <v>0</v>
      </c>
      <c r="M180" s="24"/>
      <c r="N180" s="14"/>
      <c r="O180" s="14"/>
      <c r="P180" s="16">
        <f t="shared" si="6"/>
        <v>0</v>
      </c>
      <c r="Q180" s="35"/>
      <c r="R180" s="29"/>
      <c r="S180" s="40"/>
    </row>
    <row r="181" spans="1:19" s="4" customFormat="1" ht="18" customHeight="1">
      <c r="A181" s="34">
        <v>2018</v>
      </c>
      <c r="B181" s="9">
        <v>7</v>
      </c>
      <c r="C181" s="9">
        <v>30</v>
      </c>
      <c r="D181" s="27" t="s">
        <v>227</v>
      </c>
      <c r="E181" s="27" t="s">
        <v>228</v>
      </c>
      <c r="F181" s="9" t="s">
        <v>40</v>
      </c>
      <c r="G181" s="10" t="s">
        <v>200</v>
      </c>
      <c r="H181" s="11"/>
      <c r="I181" s="15" t="s">
        <v>168</v>
      </c>
      <c r="J181" s="18" t="s">
        <v>209</v>
      </c>
      <c r="K181" s="42">
        <v>769000</v>
      </c>
      <c r="L181" s="20">
        <f t="shared" si="4"/>
        <v>0</v>
      </c>
      <c r="M181" s="24"/>
      <c r="N181" s="14"/>
      <c r="O181" s="14"/>
      <c r="P181" s="16">
        <f t="shared" si="6"/>
        <v>0</v>
      </c>
      <c r="Q181" s="35"/>
      <c r="R181" s="29"/>
      <c r="S181" s="40"/>
    </row>
    <row r="182" spans="1:19" s="4" customFormat="1" ht="18" customHeight="1">
      <c r="A182" s="34">
        <v>2018</v>
      </c>
      <c r="B182" s="9">
        <v>7</v>
      </c>
      <c r="C182" s="9">
        <v>30</v>
      </c>
      <c r="D182" s="27" t="s">
        <v>227</v>
      </c>
      <c r="E182" s="27" t="s">
        <v>228</v>
      </c>
      <c r="F182" s="9" t="s">
        <v>40</v>
      </c>
      <c r="G182" s="10" t="s">
        <v>200</v>
      </c>
      <c r="H182" s="11"/>
      <c r="I182" s="15" t="s">
        <v>167</v>
      </c>
      <c r="J182" s="18" t="s">
        <v>209</v>
      </c>
      <c r="K182" s="42">
        <v>689000</v>
      </c>
      <c r="L182" s="20">
        <f t="shared" si="4"/>
        <v>0</v>
      </c>
      <c r="M182" s="24"/>
      <c r="N182" s="14"/>
      <c r="O182" s="14"/>
      <c r="P182" s="16">
        <f t="shared" si="6"/>
        <v>0</v>
      </c>
      <c r="Q182" s="35"/>
      <c r="R182" s="29"/>
      <c r="S182" s="40"/>
    </row>
    <row r="183" spans="1:19" s="4" customFormat="1" ht="18" customHeight="1">
      <c r="A183" s="34">
        <v>2018</v>
      </c>
      <c r="B183" s="9">
        <v>7</v>
      </c>
      <c r="C183" s="9">
        <v>30</v>
      </c>
      <c r="D183" s="27" t="s">
        <v>227</v>
      </c>
      <c r="E183" s="27" t="s">
        <v>228</v>
      </c>
      <c r="F183" s="9" t="s">
        <v>40</v>
      </c>
      <c r="G183" s="10" t="s">
        <v>201</v>
      </c>
      <c r="H183" s="12"/>
      <c r="I183" s="9" t="s">
        <v>83</v>
      </c>
      <c r="J183" s="13" t="s">
        <v>213</v>
      </c>
      <c r="K183" s="43">
        <v>898000</v>
      </c>
      <c r="L183" s="20">
        <f t="shared" si="4"/>
        <v>0</v>
      </c>
      <c r="M183" s="24"/>
      <c r="N183" s="14"/>
      <c r="O183" s="14"/>
      <c r="P183" s="16">
        <f t="shared" si="6"/>
        <v>0</v>
      </c>
      <c r="Q183" s="35"/>
      <c r="R183" s="29"/>
      <c r="S183" s="40"/>
    </row>
    <row r="184" spans="1:19" s="4" customFormat="1" ht="18" customHeight="1">
      <c r="A184" s="34">
        <v>2018</v>
      </c>
      <c r="B184" s="9">
        <v>7</v>
      </c>
      <c r="C184" s="9">
        <v>30</v>
      </c>
      <c r="D184" s="27" t="s">
        <v>227</v>
      </c>
      <c r="E184" s="27" t="s">
        <v>228</v>
      </c>
      <c r="F184" s="9" t="s">
        <v>40</v>
      </c>
      <c r="G184" s="10" t="s">
        <v>201</v>
      </c>
      <c r="H184" s="12"/>
      <c r="I184" s="17" t="s">
        <v>47</v>
      </c>
      <c r="J184" s="18" t="s">
        <v>212</v>
      </c>
      <c r="K184" s="44">
        <v>1289000</v>
      </c>
      <c r="L184" s="20">
        <f t="shared" si="4"/>
        <v>0</v>
      </c>
      <c r="M184" s="24"/>
      <c r="N184" s="14"/>
      <c r="O184" s="14"/>
      <c r="P184" s="16">
        <f t="shared" si="6"/>
        <v>0</v>
      </c>
      <c r="Q184" s="35"/>
      <c r="R184" s="29"/>
      <c r="S184" s="40"/>
    </row>
    <row r="185" spans="1:19" s="4" customFormat="1" ht="18" customHeight="1">
      <c r="A185" s="34">
        <v>2018</v>
      </c>
      <c r="B185" s="9">
        <v>7</v>
      </c>
      <c r="C185" s="9">
        <v>30</v>
      </c>
      <c r="D185" s="27" t="s">
        <v>227</v>
      </c>
      <c r="E185" s="27" t="s">
        <v>228</v>
      </c>
      <c r="F185" s="9" t="s">
        <v>40</v>
      </c>
      <c r="G185" s="10" t="s">
        <v>201</v>
      </c>
      <c r="H185" s="12"/>
      <c r="I185" s="9" t="s">
        <v>48</v>
      </c>
      <c r="J185" s="18" t="s">
        <v>216</v>
      </c>
      <c r="K185" s="44">
        <v>699000</v>
      </c>
      <c r="L185" s="20">
        <f t="shared" si="4"/>
        <v>0</v>
      </c>
      <c r="M185" s="24"/>
      <c r="N185" s="14"/>
      <c r="O185" s="14"/>
      <c r="P185" s="16">
        <f t="shared" si="6"/>
        <v>0</v>
      </c>
      <c r="Q185" s="35"/>
      <c r="R185" s="29"/>
      <c r="S185" s="40"/>
    </row>
    <row r="186" spans="1:19" s="4" customFormat="1" ht="18" customHeight="1">
      <c r="A186" s="34">
        <v>2018</v>
      </c>
      <c r="B186" s="9">
        <v>7</v>
      </c>
      <c r="C186" s="9">
        <v>30</v>
      </c>
      <c r="D186" s="27" t="s">
        <v>227</v>
      </c>
      <c r="E186" s="27" t="s">
        <v>228</v>
      </c>
      <c r="F186" s="9" t="s">
        <v>40</v>
      </c>
      <c r="G186" s="10" t="s">
        <v>201</v>
      </c>
      <c r="H186" s="12"/>
      <c r="I186" s="9" t="s">
        <v>84</v>
      </c>
      <c r="J186" s="18" t="s">
        <v>212</v>
      </c>
      <c r="K186" s="43">
        <v>998000</v>
      </c>
      <c r="L186" s="20">
        <f t="shared" si="4"/>
        <v>0</v>
      </c>
      <c r="M186" s="24"/>
      <c r="N186" s="14"/>
      <c r="O186" s="14"/>
      <c r="P186" s="16">
        <f t="shared" si="6"/>
        <v>0</v>
      </c>
      <c r="Q186" s="35"/>
      <c r="R186" s="29"/>
      <c r="S186" s="40"/>
    </row>
    <row r="187" spans="1:19" s="4" customFormat="1" ht="18" customHeight="1">
      <c r="A187" s="34">
        <v>2018</v>
      </c>
      <c r="B187" s="9">
        <v>7</v>
      </c>
      <c r="C187" s="9">
        <v>30</v>
      </c>
      <c r="D187" s="27" t="s">
        <v>227</v>
      </c>
      <c r="E187" s="27" t="s">
        <v>228</v>
      </c>
      <c r="F187" s="9" t="s">
        <v>40</v>
      </c>
      <c r="G187" s="10" t="s">
        <v>201</v>
      </c>
      <c r="H187" s="12"/>
      <c r="I187" s="9" t="s">
        <v>135</v>
      </c>
      <c r="J187" s="13" t="s">
        <v>213</v>
      </c>
      <c r="K187" s="44">
        <v>869000</v>
      </c>
      <c r="L187" s="20">
        <f t="shared" si="4"/>
        <v>0</v>
      </c>
      <c r="M187" s="24"/>
      <c r="N187" s="14"/>
      <c r="O187" s="14"/>
      <c r="P187" s="16">
        <f t="shared" si="6"/>
        <v>0</v>
      </c>
      <c r="Q187" s="35"/>
      <c r="R187" s="29"/>
      <c r="S187" s="40"/>
    </row>
    <row r="188" spans="1:19" s="4" customFormat="1" ht="18" customHeight="1">
      <c r="A188" s="34">
        <v>2018</v>
      </c>
      <c r="B188" s="9">
        <v>7</v>
      </c>
      <c r="C188" s="9">
        <v>30</v>
      </c>
      <c r="D188" s="27" t="s">
        <v>227</v>
      </c>
      <c r="E188" s="27" t="s">
        <v>228</v>
      </c>
      <c r="F188" s="9" t="s">
        <v>40</v>
      </c>
      <c r="G188" s="10" t="s">
        <v>201</v>
      </c>
      <c r="H188" s="12"/>
      <c r="I188" s="9" t="s">
        <v>136</v>
      </c>
      <c r="J188" s="13" t="s">
        <v>213</v>
      </c>
      <c r="K188" s="43">
        <v>648000</v>
      </c>
      <c r="L188" s="20">
        <f t="shared" si="4"/>
        <v>0</v>
      </c>
      <c r="M188" s="24"/>
      <c r="N188" s="14"/>
      <c r="O188" s="14"/>
      <c r="P188" s="16">
        <f t="shared" si="6"/>
        <v>0</v>
      </c>
      <c r="Q188" s="35"/>
      <c r="R188" s="29"/>
      <c r="S188" s="40"/>
    </row>
    <row r="189" spans="1:19" s="4" customFormat="1" ht="18" customHeight="1">
      <c r="A189" s="34">
        <v>2018</v>
      </c>
      <c r="B189" s="9">
        <v>7</v>
      </c>
      <c r="C189" s="9">
        <v>30</v>
      </c>
      <c r="D189" s="27" t="s">
        <v>227</v>
      </c>
      <c r="E189" s="27" t="s">
        <v>228</v>
      </c>
      <c r="F189" s="9" t="s">
        <v>40</v>
      </c>
      <c r="G189" s="10" t="s">
        <v>201</v>
      </c>
      <c r="H189" s="12"/>
      <c r="I189" s="9" t="s">
        <v>137</v>
      </c>
      <c r="J189" s="18" t="s">
        <v>216</v>
      </c>
      <c r="K189" s="44">
        <v>1099000</v>
      </c>
      <c r="L189" s="20">
        <f t="shared" si="4"/>
        <v>0</v>
      </c>
      <c r="M189" s="24"/>
      <c r="N189" s="14"/>
      <c r="O189" s="14"/>
      <c r="P189" s="16">
        <f t="shared" si="6"/>
        <v>0</v>
      </c>
      <c r="Q189" s="35"/>
      <c r="R189" s="29"/>
      <c r="S189" s="40"/>
    </row>
    <row r="190" spans="1:19" s="4" customFormat="1" ht="18" customHeight="1">
      <c r="A190" s="34">
        <v>2018</v>
      </c>
      <c r="B190" s="9">
        <v>7</v>
      </c>
      <c r="C190" s="9">
        <v>30</v>
      </c>
      <c r="D190" s="27" t="s">
        <v>227</v>
      </c>
      <c r="E190" s="27" t="s">
        <v>228</v>
      </c>
      <c r="F190" s="9" t="s">
        <v>40</v>
      </c>
      <c r="G190" s="10" t="s">
        <v>201</v>
      </c>
      <c r="H190" s="12"/>
      <c r="I190" s="9" t="s">
        <v>150</v>
      </c>
      <c r="J190" s="18" t="s">
        <v>212</v>
      </c>
      <c r="K190" s="43">
        <v>1388000</v>
      </c>
      <c r="L190" s="20">
        <f t="shared" si="4"/>
        <v>0</v>
      </c>
      <c r="M190" s="24"/>
      <c r="N190" s="14"/>
      <c r="O190" s="14"/>
      <c r="P190" s="16">
        <f t="shared" si="6"/>
        <v>0</v>
      </c>
      <c r="Q190" s="35"/>
      <c r="R190" s="29"/>
      <c r="S190" s="40"/>
    </row>
    <row r="191" spans="1:19" s="4" customFormat="1" ht="18" customHeight="1">
      <c r="A191" s="34">
        <v>2018</v>
      </c>
      <c r="B191" s="9">
        <v>7</v>
      </c>
      <c r="C191" s="9">
        <v>30</v>
      </c>
      <c r="D191" s="27" t="s">
        <v>227</v>
      </c>
      <c r="E191" s="27" t="s">
        <v>228</v>
      </c>
      <c r="F191" s="9" t="s">
        <v>40</v>
      </c>
      <c r="G191" s="10" t="s">
        <v>201</v>
      </c>
      <c r="H191" s="12"/>
      <c r="I191" s="9" t="s">
        <v>151</v>
      </c>
      <c r="J191" s="13" t="s">
        <v>213</v>
      </c>
      <c r="K191" s="44">
        <v>998000</v>
      </c>
      <c r="L191" s="20">
        <f t="shared" si="4"/>
        <v>0</v>
      </c>
      <c r="M191" s="24"/>
      <c r="N191" s="14"/>
      <c r="O191" s="14"/>
      <c r="P191" s="16">
        <f t="shared" si="6"/>
        <v>0</v>
      </c>
      <c r="Q191" s="35"/>
      <c r="R191" s="29"/>
      <c r="S191" s="40"/>
    </row>
    <row r="192" spans="1:19" ht="18" customHeight="1">
      <c r="A192" s="34">
        <v>2018</v>
      </c>
      <c r="B192" s="9">
        <v>7</v>
      </c>
      <c r="C192" s="9">
        <v>30</v>
      </c>
      <c r="D192" s="27" t="s">
        <v>227</v>
      </c>
      <c r="E192" s="27" t="s">
        <v>228</v>
      </c>
      <c r="F192" s="9" t="s">
        <v>40</v>
      </c>
      <c r="G192" s="10" t="s">
        <v>202</v>
      </c>
      <c r="H192" s="12"/>
      <c r="I192" s="17" t="s">
        <v>49</v>
      </c>
      <c r="J192" s="9"/>
      <c r="K192" s="43">
        <v>1588000</v>
      </c>
      <c r="L192" s="20">
        <f t="shared" si="4"/>
        <v>0</v>
      </c>
      <c r="M192" s="24"/>
      <c r="N192" s="14"/>
      <c r="O192" s="14"/>
      <c r="P192" s="16">
        <f t="shared" si="6"/>
        <v>0</v>
      </c>
      <c r="Q192" s="35"/>
      <c r="R192" s="29"/>
      <c r="S192" s="40"/>
    </row>
    <row r="193" spans="1:19" ht="18" customHeight="1">
      <c r="A193" s="34">
        <v>2018</v>
      </c>
      <c r="B193" s="9">
        <v>7</v>
      </c>
      <c r="C193" s="9">
        <v>30</v>
      </c>
      <c r="D193" s="27" t="s">
        <v>227</v>
      </c>
      <c r="E193" s="27" t="s">
        <v>228</v>
      </c>
      <c r="F193" s="9" t="s">
        <v>40</v>
      </c>
      <c r="G193" s="10" t="s">
        <v>202</v>
      </c>
      <c r="H193" s="12"/>
      <c r="I193" s="9" t="s">
        <v>68</v>
      </c>
      <c r="J193" s="9"/>
      <c r="K193" s="43">
        <v>1988000</v>
      </c>
      <c r="L193" s="20">
        <f t="shared" si="4"/>
        <v>0</v>
      </c>
      <c r="M193" s="24"/>
      <c r="N193" s="14"/>
      <c r="O193" s="14"/>
      <c r="P193" s="16">
        <f t="shared" si="6"/>
        <v>0</v>
      </c>
      <c r="Q193" s="35"/>
      <c r="R193" s="29"/>
      <c r="S193" s="40"/>
    </row>
    <row r="194" spans="1:19" ht="18" customHeight="1">
      <c r="A194" s="34">
        <v>2018</v>
      </c>
      <c r="B194" s="9">
        <v>7</v>
      </c>
      <c r="C194" s="9">
        <v>30</v>
      </c>
      <c r="D194" s="27" t="s">
        <v>227</v>
      </c>
      <c r="E194" s="27" t="s">
        <v>228</v>
      </c>
      <c r="F194" s="9" t="s">
        <v>40</v>
      </c>
      <c r="G194" s="10" t="s">
        <v>202</v>
      </c>
      <c r="H194" s="12"/>
      <c r="I194" s="17" t="s">
        <v>67</v>
      </c>
      <c r="J194" s="9"/>
      <c r="K194" s="43">
        <v>2388000</v>
      </c>
      <c r="L194" s="20">
        <f t="shared" si="4"/>
        <v>0</v>
      </c>
      <c r="M194" s="24"/>
      <c r="N194" s="14"/>
      <c r="O194" s="14"/>
      <c r="P194" s="16">
        <f t="shared" si="6"/>
        <v>0</v>
      </c>
      <c r="Q194" s="35"/>
      <c r="R194" s="29"/>
      <c r="S194" s="40"/>
    </row>
    <row r="195" spans="1:19" ht="18" customHeight="1">
      <c r="A195" s="34">
        <v>2018</v>
      </c>
      <c r="B195" s="9">
        <v>7</v>
      </c>
      <c r="C195" s="9">
        <v>30</v>
      </c>
      <c r="D195" s="27" t="s">
        <v>227</v>
      </c>
      <c r="E195" s="27" t="s">
        <v>228</v>
      </c>
      <c r="F195" s="9" t="s">
        <v>40</v>
      </c>
      <c r="G195" s="10" t="s">
        <v>202</v>
      </c>
      <c r="H195" s="12"/>
      <c r="I195" s="17" t="s">
        <v>86</v>
      </c>
      <c r="J195" s="9"/>
      <c r="K195" s="44">
        <v>2189000</v>
      </c>
      <c r="L195" s="20">
        <f t="shared" si="4"/>
        <v>0</v>
      </c>
      <c r="M195" s="24"/>
      <c r="N195" s="14"/>
      <c r="O195" s="14"/>
      <c r="P195" s="16">
        <f t="shared" si="6"/>
        <v>0</v>
      </c>
      <c r="Q195" s="35"/>
      <c r="R195" s="29"/>
      <c r="S195" s="40"/>
    </row>
    <row r="196" spans="1:19" s="4" customFormat="1" ht="14.25" customHeight="1">
      <c r="A196" s="59">
        <v>2018</v>
      </c>
      <c r="B196" s="60">
        <v>7</v>
      </c>
      <c r="C196" s="60">
        <v>30</v>
      </c>
      <c r="D196" s="61" t="s">
        <v>227</v>
      </c>
      <c r="E196" s="61"/>
      <c r="F196" s="60" t="s">
        <v>418</v>
      </c>
      <c r="G196" s="60" t="s">
        <v>284</v>
      </c>
      <c r="H196" s="62"/>
      <c r="I196" s="62" t="s">
        <v>333</v>
      </c>
      <c r="J196" s="63"/>
      <c r="K196" s="64">
        <v>308000</v>
      </c>
      <c r="L196" s="65">
        <f>K196*P196</f>
        <v>0</v>
      </c>
      <c r="M196" s="66"/>
      <c r="N196" s="67"/>
      <c r="O196" s="67"/>
      <c r="P196" s="68">
        <f t="shared" si="6"/>
        <v>0</v>
      </c>
      <c r="Q196" s="69"/>
      <c r="R196" s="29"/>
      <c r="S196" s="40"/>
    </row>
    <row r="197" spans="1:19" s="4" customFormat="1" ht="14.25" customHeight="1">
      <c r="A197" s="59">
        <v>2018</v>
      </c>
      <c r="B197" s="60">
        <v>7</v>
      </c>
      <c r="C197" s="60">
        <v>30</v>
      </c>
      <c r="D197" s="89" t="s">
        <v>227</v>
      </c>
      <c r="E197" s="89"/>
      <c r="F197" s="60" t="s">
        <v>418</v>
      </c>
      <c r="G197" s="60" t="s">
        <v>284</v>
      </c>
      <c r="H197" s="71"/>
      <c r="I197" s="71" t="s">
        <v>285</v>
      </c>
      <c r="J197" s="63" t="s">
        <v>286</v>
      </c>
      <c r="K197" s="72">
        <v>432000</v>
      </c>
      <c r="L197" s="65">
        <f t="shared" ref="L197:L260" si="7">K197*P197</f>
        <v>0</v>
      </c>
      <c r="M197" s="66"/>
      <c r="N197" s="67"/>
      <c r="O197" s="67"/>
      <c r="P197" s="68">
        <f>N197+O197-Q197</f>
        <v>0</v>
      </c>
      <c r="Q197" s="69"/>
      <c r="R197" s="29"/>
      <c r="S197" s="40"/>
    </row>
    <row r="198" spans="1:19" s="4" customFormat="1" ht="14.25" customHeight="1">
      <c r="A198" s="59">
        <v>2018</v>
      </c>
      <c r="B198" s="60">
        <v>7</v>
      </c>
      <c r="C198" s="60">
        <v>30</v>
      </c>
      <c r="D198" s="70" t="s">
        <v>227</v>
      </c>
      <c r="E198" s="70"/>
      <c r="F198" s="60" t="s">
        <v>418</v>
      </c>
      <c r="G198" s="60" t="s">
        <v>284</v>
      </c>
      <c r="H198" s="73"/>
      <c r="I198" s="73" t="s">
        <v>287</v>
      </c>
      <c r="J198" s="63" t="s">
        <v>286</v>
      </c>
      <c r="K198" s="64">
        <v>440000</v>
      </c>
      <c r="L198" s="65">
        <f t="shared" si="7"/>
        <v>0</v>
      </c>
      <c r="M198" s="66"/>
      <c r="N198" s="67"/>
      <c r="O198" s="67"/>
      <c r="P198" s="68">
        <f t="shared" ref="P198:P233" si="8">N198+O198-Q198</f>
        <v>0</v>
      </c>
      <c r="Q198" s="69"/>
      <c r="R198" s="29"/>
      <c r="S198" s="40"/>
    </row>
    <row r="199" spans="1:19" s="4" customFormat="1" ht="14.25" customHeight="1">
      <c r="A199" s="59">
        <v>2018</v>
      </c>
      <c r="B199" s="60">
        <v>7</v>
      </c>
      <c r="C199" s="60">
        <v>30</v>
      </c>
      <c r="D199" s="70" t="s">
        <v>227</v>
      </c>
      <c r="E199" s="70"/>
      <c r="F199" s="60" t="s">
        <v>418</v>
      </c>
      <c r="G199" s="60" t="s">
        <v>284</v>
      </c>
      <c r="H199" s="60"/>
      <c r="I199" s="60" t="s">
        <v>288</v>
      </c>
      <c r="J199" s="63" t="s">
        <v>289</v>
      </c>
      <c r="K199" s="64">
        <v>550000</v>
      </c>
      <c r="L199" s="65">
        <f t="shared" si="7"/>
        <v>0</v>
      </c>
      <c r="M199" s="66"/>
      <c r="N199" s="67"/>
      <c r="O199" s="67"/>
      <c r="P199" s="68">
        <f t="shared" si="8"/>
        <v>0</v>
      </c>
      <c r="Q199" s="69"/>
      <c r="R199" s="29"/>
      <c r="S199" s="40"/>
    </row>
    <row r="200" spans="1:19" s="4" customFormat="1" ht="14.25" customHeight="1">
      <c r="A200" s="59">
        <v>2018</v>
      </c>
      <c r="B200" s="60">
        <v>7</v>
      </c>
      <c r="C200" s="60">
        <v>30</v>
      </c>
      <c r="D200" s="70" t="s">
        <v>227</v>
      </c>
      <c r="E200" s="70"/>
      <c r="F200" s="60" t="s">
        <v>418</v>
      </c>
      <c r="G200" s="60" t="s">
        <v>290</v>
      </c>
      <c r="H200" s="62"/>
      <c r="I200" s="62" t="s">
        <v>332</v>
      </c>
      <c r="J200" s="63"/>
      <c r="K200" s="64">
        <v>439000</v>
      </c>
      <c r="L200" s="65">
        <f>K200*P200</f>
        <v>0</v>
      </c>
      <c r="M200" s="66"/>
      <c r="N200" s="67"/>
      <c r="O200" s="67"/>
      <c r="P200" s="68">
        <f>N200+O200-Q200</f>
        <v>0</v>
      </c>
      <c r="Q200" s="69"/>
      <c r="R200" s="29"/>
      <c r="S200" s="40"/>
    </row>
    <row r="201" spans="1:19" s="4" customFormat="1" ht="14.25" customHeight="1">
      <c r="A201" s="59">
        <v>2018</v>
      </c>
      <c r="B201" s="60">
        <v>7</v>
      </c>
      <c r="C201" s="60">
        <v>30</v>
      </c>
      <c r="D201" s="70" t="s">
        <v>227</v>
      </c>
      <c r="E201" s="70"/>
      <c r="F201" s="60" t="s">
        <v>418</v>
      </c>
      <c r="G201" s="60" t="s">
        <v>290</v>
      </c>
      <c r="H201" s="62"/>
      <c r="I201" s="62" t="s">
        <v>340</v>
      </c>
      <c r="J201" s="63"/>
      <c r="K201" s="64">
        <v>481000</v>
      </c>
      <c r="L201" s="65">
        <f>K201*P201</f>
        <v>0</v>
      </c>
      <c r="M201" s="66"/>
      <c r="N201" s="67"/>
      <c r="O201" s="67"/>
      <c r="P201" s="68">
        <f>N201+O201-Q201</f>
        <v>0</v>
      </c>
      <c r="Q201" s="69"/>
      <c r="R201" s="29"/>
      <c r="S201" s="40"/>
    </row>
    <row r="202" spans="1:19" s="4" customFormat="1" ht="14.25" customHeight="1">
      <c r="A202" s="59">
        <v>2018</v>
      </c>
      <c r="B202" s="60">
        <v>7</v>
      </c>
      <c r="C202" s="60">
        <v>30</v>
      </c>
      <c r="D202" s="70" t="s">
        <v>227</v>
      </c>
      <c r="E202" s="70"/>
      <c r="F202" s="60" t="s">
        <v>418</v>
      </c>
      <c r="G202" s="60" t="s">
        <v>290</v>
      </c>
      <c r="H202" s="73"/>
      <c r="I202" s="73" t="s">
        <v>291</v>
      </c>
      <c r="J202" s="63" t="s">
        <v>292</v>
      </c>
      <c r="K202" s="64">
        <v>484000</v>
      </c>
      <c r="L202" s="65">
        <f t="shared" si="7"/>
        <v>0</v>
      </c>
      <c r="M202" s="66"/>
      <c r="N202" s="67"/>
      <c r="O202" s="67"/>
      <c r="P202" s="68">
        <f t="shared" si="8"/>
        <v>0</v>
      </c>
      <c r="Q202" s="69"/>
      <c r="R202" s="29"/>
      <c r="S202" s="40"/>
    </row>
    <row r="203" spans="1:19" s="4" customFormat="1" ht="14.25" customHeight="1">
      <c r="A203" s="59">
        <v>2018</v>
      </c>
      <c r="B203" s="60">
        <v>7</v>
      </c>
      <c r="C203" s="60">
        <v>30</v>
      </c>
      <c r="D203" s="70" t="s">
        <v>227</v>
      </c>
      <c r="E203" s="70"/>
      <c r="F203" s="60" t="s">
        <v>418</v>
      </c>
      <c r="G203" s="60" t="s">
        <v>290</v>
      </c>
      <c r="H203" s="74"/>
      <c r="I203" s="74" t="s">
        <v>293</v>
      </c>
      <c r="J203" s="63" t="s">
        <v>294</v>
      </c>
      <c r="K203" s="64">
        <v>516000</v>
      </c>
      <c r="L203" s="65">
        <f t="shared" si="7"/>
        <v>0</v>
      </c>
      <c r="M203" s="66"/>
      <c r="N203" s="67"/>
      <c r="O203" s="67"/>
      <c r="P203" s="68">
        <f t="shared" si="8"/>
        <v>0</v>
      </c>
      <c r="Q203" s="69"/>
      <c r="R203" s="29"/>
      <c r="S203" s="40"/>
    </row>
    <row r="204" spans="1:19" s="4" customFormat="1" ht="14.25" customHeight="1">
      <c r="A204" s="59">
        <v>2018</v>
      </c>
      <c r="B204" s="60">
        <v>7</v>
      </c>
      <c r="C204" s="60">
        <v>30</v>
      </c>
      <c r="D204" s="70" t="s">
        <v>227</v>
      </c>
      <c r="E204" s="70"/>
      <c r="F204" s="60" t="s">
        <v>418</v>
      </c>
      <c r="G204" s="60" t="s">
        <v>290</v>
      </c>
      <c r="H204" s="74"/>
      <c r="I204" s="74" t="s">
        <v>295</v>
      </c>
      <c r="J204" s="63" t="s">
        <v>289</v>
      </c>
      <c r="K204" s="64">
        <v>693000</v>
      </c>
      <c r="L204" s="65">
        <f t="shared" si="7"/>
        <v>0</v>
      </c>
      <c r="M204" s="66"/>
      <c r="N204" s="67"/>
      <c r="O204" s="67"/>
      <c r="P204" s="68">
        <f t="shared" si="8"/>
        <v>0</v>
      </c>
      <c r="Q204" s="69"/>
      <c r="R204" s="29"/>
      <c r="S204" s="40"/>
    </row>
    <row r="205" spans="1:19" s="4" customFormat="1" ht="14.25" customHeight="1">
      <c r="A205" s="59">
        <v>2018</v>
      </c>
      <c r="B205" s="60">
        <v>7</v>
      </c>
      <c r="C205" s="60">
        <v>30</v>
      </c>
      <c r="D205" s="70" t="s">
        <v>227</v>
      </c>
      <c r="E205" s="70"/>
      <c r="F205" s="60" t="s">
        <v>418</v>
      </c>
      <c r="G205" s="60" t="s">
        <v>290</v>
      </c>
      <c r="H205" s="74"/>
      <c r="I205" s="74" t="s">
        <v>296</v>
      </c>
      <c r="J205" s="63" t="s">
        <v>297</v>
      </c>
      <c r="K205" s="64">
        <v>538000</v>
      </c>
      <c r="L205" s="65">
        <f t="shared" si="7"/>
        <v>0</v>
      </c>
      <c r="M205" s="66"/>
      <c r="N205" s="67"/>
      <c r="O205" s="67"/>
      <c r="P205" s="68">
        <f t="shared" si="8"/>
        <v>0</v>
      </c>
      <c r="Q205" s="69"/>
      <c r="R205" s="29"/>
      <c r="S205" s="40"/>
    </row>
    <row r="206" spans="1:19" s="4" customFormat="1" ht="14.25" customHeight="1">
      <c r="A206" s="59">
        <v>2018</v>
      </c>
      <c r="B206" s="60">
        <v>7</v>
      </c>
      <c r="C206" s="60">
        <v>30</v>
      </c>
      <c r="D206" s="70" t="s">
        <v>227</v>
      </c>
      <c r="E206" s="70"/>
      <c r="F206" s="60" t="s">
        <v>418</v>
      </c>
      <c r="G206" s="60" t="s">
        <v>290</v>
      </c>
      <c r="H206" s="74"/>
      <c r="I206" s="74" t="s">
        <v>298</v>
      </c>
      <c r="J206" s="63" t="s">
        <v>299</v>
      </c>
      <c r="K206" s="64">
        <v>568000</v>
      </c>
      <c r="L206" s="65">
        <f t="shared" si="7"/>
        <v>0</v>
      </c>
      <c r="M206" s="66"/>
      <c r="N206" s="67"/>
      <c r="O206" s="67"/>
      <c r="P206" s="68">
        <f t="shared" si="8"/>
        <v>0</v>
      </c>
      <c r="Q206" s="69"/>
      <c r="R206" s="29"/>
      <c r="S206" s="40"/>
    </row>
    <row r="207" spans="1:19" s="4" customFormat="1" ht="14.25" customHeight="1">
      <c r="A207" s="59">
        <v>2018</v>
      </c>
      <c r="B207" s="60">
        <v>7</v>
      </c>
      <c r="C207" s="60">
        <v>30</v>
      </c>
      <c r="D207" s="70" t="s">
        <v>227</v>
      </c>
      <c r="E207" s="70"/>
      <c r="F207" s="60" t="s">
        <v>418</v>
      </c>
      <c r="G207" s="60" t="s">
        <v>300</v>
      </c>
      <c r="H207" s="62"/>
      <c r="I207" s="62" t="s">
        <v>334</v>
      </c>
      <c r="J207" s="63"/>
      <c r="K207" s="64">
        <v>480000</v>
      </c>
      <c r="L207" s="65">
        <f t="shared" si="7"/>
        <v>0</v>
      </c>
      <c r="M207" s="66"/>
      <c r="N207" s="67"/>
      <c r="O207" s="67"/>
      <c r="P207" s="68">
        <f t="shared" si="8"/>
        <v>0</v>
      </c>
      <c r="Q207" s="69"/>
      <c r="R207" s="29"/>
      <c r="S207" s="40"/>
    </row>
    <row r="208" spans="1:19" s="4" customFormat="1" ht="14.25" customHeight="1">
      <c r="A208" s="59">
        <v>2018</v>
      </c>
      <c r="B208" s="60">
        <v>7</v>
      </c>
      <c r="C208" s="60">
        <v>30</v>
      </c>
      <c r="D208" s="70" t="s">
        <v>227</v>
      </c>
      <c r="E208" s="70"/>
      <c r="F208" s="60" t="s">
        <v>418</v>
      </c>
      <c r="G208" s="60" t="s">
        <v>300</v>
      </c>
      <c r="H208" s="62"/>
      <c r="I208" s="62" t="s">
        <v>342</v>
      </c>
      <c r="J208" s="63"/>
      <c r="K208" s="64">
        <v>1587000</v>
      </c>
      <c r="L208" s="65">
        <f t="shared" si="7"/>
        <v>0</v>
      </c>
      <c r="M208" s="66"/>
      <c r="N208" s="67"/>
      <c r="O208" s="67"/>
      <c r="P208" s="68">
        <f t="shared" si="8"/>
        <v>0</v>
      </c>
      <c r="Q208" s="69"/>
      <c r="R208" s="29"/>
      <c r="S208" s="40"/>
    </row>
    <row r="209" spans="1:19" s="4" customFormat="1" ht="14.25" customHeight="1">
      <c r="A209" s="59">
        <v>2018</v>
      </c>
      <c r="B209" s="60">
        <v>7</v>
      </c>
      <c r="C209" s="60">
        <v>30</v>
      </c>
      <c r="D209" s="70" t="s">
        <v>227</v>
      </c>
      <c r="E209" s="70"/>
      <c r="F209" s="60" t="s">
        <v>418</v>
      </c>
      <c r="G209" s="60" t="s">
        <v>300</v>
      </c>
      <c r="H209" s="62"/>
      <c r="I209" s="62" t="s">
        <v>341</v>
      </c>
      <c r="J209" s="63"/>
      <c r="K209" s="64">
        <v>406000</v>
      </c>
      <c r="L209" s="65">
        <f t="shared" si="7"/>
        <v>0</v>
      </c>
      <c r="M209" s="66"/>
      <c r="N209" s="67"/>
      <c r="O209" s="67"/>
      <c r="P209" s="68">
        <f t="shared" si="8"/>
        <v>0</v>
      </c>
      <c r="Q209" s="69"/>
      <c r="R209" s="29"/>
      <c r="S209" s="40"/>
    </row>
    <row r="210" spans="1:19" s="4" customFormat="1" ht="14.25" customHeight="1">
      <c r="A210" s="59">
        <v>2018</v>
      </c>
      <c r="B210" s="60">
        <v>7</v>
      </c>
      <c r="C210" s="60">
        <v>30</v>
      </c>
      <c r="D210" s="70" t="s">
        <v>227</v>
      </c>
      <c r="E210" s="70"/>
      <c r="F210" s="60" t="s">
        <v>418</v>
      </c>
      <c r="G210" s="60" t="s">
        <v>300</v>
      </c>
      <c r="H210" s="62"/>
      <c r="I210" s="62" t="s">
        <v>338</v>
      </c>
      <c r="J210" s="63" t="s">
        <v>339</v>
      </c>
      <c r="K210" s="64">
        <v>607000</v>
      </c>
      <c r="L210" s="65">
        <f>K210*P210</f>
        <v>0</v>
      </c>
      <c r="M210" s="66"/>
      <c r="N210" s="67"/>
      <c r="O210" s="67"/>
      <c r="P210" s="68">
        <f>N210+O210-Q210</f>
        <v>0</v>
      </c>
      <c r="Q210" s="69"/>
      <c r="R210" s="29"/>
      <c r="S210" s="40"/>
    </row>
    <row r="211" spans="1:19" s="4" customFormat="1" ht="14.25" customHeight="1">
      <c r="A211" s="59">
        <v>2018</v>
      </c>
      <c r="B211" s="60">
        <v>7</v>
      </c>
      <c r="C211" s="60">
        <v>30</v>
      </c>
      <c r="D211" s="70" t="s">
        <v>227</v>
      </c>
      <c r="E211" s="70"/>
      <c r="F211" s="60" t="s">
        <v>418</v>
      </c>
      <c r="G211" s="60" t="s">
        <v>300</v>
      </c>
      <c r="H211" s="74"/>
      <c r="I211" s="74" t="s">
        <v>301</v>
      </c>
      <c r="J211" s="63" t="s">
        <v>292</v>
      </c>
      <c r="K211" s="64">
        <v>752000</v>
      </c>
      <c r="L211" s="65">
        <f t="shared" si="7"/>
        <v>0</v>
      </c>
      <c r="M211" s="66"/>
      <c r="N211" s="67"/>
      <c r="O211" s="67"/>
      <c r="P211" s="68">
        <f t="shared" si="8"/>
        <v>0</v>
      </c>
      <c r="Q211" s="69"/>
      <c r="R211" s="29"/>
      <c r="S211" s="40"/>
    </row>
    <row r="212" spans="1:19" s="4" customFormat="1" ht="14.25" customHeight="1">
      <c r="A212" s="59">
        <v>2018</v>
      </c>
      <c r="B212" s="60">
        <v>7</v>
      </c>
      <c r="C212" s="60">
        <v>30</v>
      </c>
      <c r="D212" s="70" t="s">
        <v>227</v>
      </c>
      <c r="E212" s="70"/>
      <c r="F212" s="60" t="s">
        <v>418</v>
      </c>
      <c r="G212" s="60" t="s">
        <v>300</v>
      </c>
      <c r="H212" s="62"/>
      <c r="I212" s="62" t="s">
        <v>335</v>
      </c>
      <c r="J212" s="63" t="s">
        <v>336</v>
      </c>
      <c r="K212" s="64">
        <v>935000</v>
      </c>
      <c r="L212" s="65">
        <f>K212*P212</f>
        <v>0</v>
      </c>
      <c r="M212" s="66"/>
      <c r="N212" s="67"/>
      <c r="O212" s="67"/>
      <c r="P212" s="68">
        <f>N212+O212-Q212</f>
        <v>0</v>
      </c>
      <c r="Q212" s="69"/>
      <c r="R212" s="29"/>
      <c r="S212" s="40"/>
    </row>
    <row r="213" spans="1:19" s="4" customFormat="1" ht="14.25" customHeight="1">
      <c r="A213" s="59">
        <v>2018</v>
      </c>
      <c r="B213" s="60">
        <v>7</v>
      </c>
      <c r="C213" s="60">
        <v>30</v>
      </c>
      <c r="D213" s="70" t="s">
        <v>227</v>
      </c>
      <c r="E213" s="70"/>
      <c r="F213" s="60" t="s">
        <v>418</v>
      </c>
      <c r="G213" s="60" t="s">
        <v>300</v>
      </c>
      <c r="H213" s="73"/>
      <c r="I213" s="73" t="s">
        <v>302</v>
      </c>
      <c r="J213" s="63" t="s">
        <v>297</v>
      </c>
      <c r="K213" s="72">
        <v>712000</v>
      </c>
      <c r="L213" s="65">
        <f t="shared" si="7"/>
        <v>0</v>
      </c>
      <c r="M213" s="66"/>
      <c r="N213" s="67"/>
      <c r="O213" s="67"/>
      <c r="P213" s="68">
        <f t="shared" si="8"/>
        <v>0</v>
      </c>
      <c r="Q213" s="69"/>
      <c r="R213" s="29"/>
      <c r="S213" s="40"/>
    </row>
    <row r="214" spans="1:19" s="4" customFormat="1" ht="14.25" customHeight="1">
      <c r="A214" s="59">
        <v>2018</v>
      </c>
      <c r="B214" s="60">
        <v>7</v>
      </c>
      <c r="C214" s="60">
        <v>30</v>
      </c>
      <c r="D214" s="70" t="s">
        <v>227</v>
      </c>
      <c r="E214" s="70"/>
      <c r="F214" s="60" t="s">
        <v>418</v>
      </c>
      <c r="G214" s="60" t="s">
        <v>300</v>
      </c>
      <c r="H214" s="74"/>
      <c r="I214" s="74" t="s">
        <v>303</v>
      </c>
      <c r="J214" s="63" t="s">
        <v>305</v>
      </c>
      <c r="K214" s="72">
        <v>1773000</v>
      </c>
      <c r="L214" s="65">
        <f t="shared" si="7"/>
        <v>0</v>
      </c>
      <c r="M214" s="66"/>
      <c r="N214" s="67"/>
      <c r="O214" s="67"/>
      <c r="P214" s="68">
        <f t="shared" si="8"/>
        <v>0</v>
      </c>
      <c r="Q214" s="69"/>
      <c r="R214" s="29"/>
      <c r="S214" s="40"/>
    </row>
    <row r="215" spans="1:19" s="4" customFormat="1" ht="14.25" customHeight="1">
      <c r="A215" s="59">
        <v>2018</v>
      </c>
      <c r="B215" s="60">
        <v>7</v>
      </c>
      <c r="C215" s="60">
        <v>30</v>
      </c>
      <c r="D215" s="70" t="s">
        <v>227</v>
      </c>
      <c r="E215" s="70"/>
      <c r="F215" s="60" t="s">
        <v>418</v>
      </c>
      <c r="G215" s="60" t="s">
        <v>300</v>
      </c>
      <c r="H215" s="74"/>
      <c r="I215" s="74" t="s">
        <v>304</v>
      </c>
      <c r="J215" s="63" t="s">
        <v>292</v>
      </c>
      <c r="K215" s="72">
        <v>1186000</v>
      </c>
      <c r="L215" s="65">
        <f t="shared" si="7"/>
        <v>0</v>
      </c>
      <c r="M215" s="66"/>
      <c r="N215" s="67"/>
      <c r="O215" s="67"/>
      <c r="P215" s="68">
        <f t="shared" si="8"/>
        <v>0</v>
      </c>
      <c r="Q215" s="69"/>
      <c r="R215" s="29"/>
      <c r="S215" s="40"/>
    </row>
    <row r="216" spans="1:19" s="4" customFormat="1" ht="14.25" customHeight="1">
      <c r="A216" s="59">
        <v>2018</v>
      </c>
      <c r="B216" s="60">
        <v>7</v>
      </c>
      <c r="C216" s="60">
        <v>30</v>
      </c>
      <c r="D216" s="70" t="s">
        <v>227</v>
      </c>
      <c r="E216" s="70"/>
      <c r="F216" s="60" t="s">
        <v>418</v>
      </c>
      <c r="G216" s="60" t="s">
        <v>300</v>
      </c>
      <c r="H216" s="74"/>
      <c r="I216" s="74" t="s">
        <v>306</v>
      </c>
      <c r="J216" s="63" t="s">
        <v>292</v>
      </c>
      <c r="K216" s="72">
        <v>529000</v>
      </c>
      <c r="L216" s="65">
        <f t="shared" si="7"/>
        <v>0</v>
      </c>
      <c r="M216" s="66"/>
      <c r="N216" s="67"/>
      <c r="O216" s="67"/>
      <c r="P216" s="68">
        <f t="shared" si="8"/>
        <v>0</v>
      </c>
      <c r="Q216" s="69"/>
      <c r="R216" s="29"/>
      <c r="S216" s="40"/>
    </row>
    <row r="217" spans="1:19" s="4" customFormat="1" ht="14.25" customHeight="1">
      <c r="A217" s="59">
        <v>2018</v>
      </c>
      <c r="B217" s="60">
        <v>7</v>
      </c>
      <c r="C217" s="60">
        <v>30</v>
      </c>
      <c r="D217" s="70" t="s">
        <v>227</v>
      </c>
      <c r="E217" s="70"/>
      <c r="F217" s="60" t="s">
        <v>418</v>
      </c>
      <c r="G217" s="60" t="s">
        <v>300</v>
      </c>
      <c r="H217" s="62"/>
      <c r="I217" s="62" t="s">
        <v>337</v>
      </c>
      <c r="J217" s="63" t="s">
        <v>294</v>
      </c>
      <c r="K217" s="64">
        <v>495000</v>
      </c>
      <c r="L217" s="65">
        <f>K217*P217</f>
        <v>0</v>
      </c>
      <c r="M217" s="66"/>
      <c r="N217" s="67"/>
      <c r="O217" s="67"/>
      <c r="P217" s="68">
        <f>N217+O217-Q217</f>
        <v>0</v>
      </c>
      <c r="Q217" s="69"/>
      <c r="R217" s="29"/>
      <c r="S217" s="40"/>
    </row>
    <row r="218" spans="1:19" s="4" customFormat="1" ht="14.25" customHeight="1">
      <c r="A218" s="59">
        <v>2018</v>
      </c>
      <c r="B218" s="60">
        <v>7</v>
      </c>
      <c r="C218" s="60">
        <v>30</v>
      </c>
      <c r="D218" s="70" t="s">
        <v>227</v>
      </c>
      <c r="E218" s="70"/>
      <c r="F218" s="60" t="s">
        <v>418</v>
      </c>
      <c r="G218" s="60" t="s">
        <v>300</v>
      </c>
      <c r="H218" s="73"/>
      <c r="I218" s="73" t="s">
        <v>307</v>
      </c>
      <c r="J218" s="63" t="s">
        <v>292</v>
      </c>
      <c r="K218" s="72">
        <v>728000</v>
      </c>
      <c r="L218" s="65">
        <f t="shared" si="7"/>
        <v>0</v>
      </c>
      <c r="M218" s="66"/>
      <c r="N218" s="67"/>
      <c r="O218" s="67"/>
      <c r="P218" s="68">
        <f t="shared" si="8"/>
        <v>0</v>
      </c>
      <c r="Q218" s="69"/>
      <c r="R218" s="29"/>
      <c r="S218" s="40"/>
    </row>
    <row r="219" spans="1:19" s="4" customFormat="1" ht="14.25" customHeight="1">
      <c r="A219" s="59">
        <v>2018</v>
      </c>
      <c r="B219" s="60">
        <v>7</v>
      </c>
      <c r="C219" s="60">
        <v>30</v>
      </c>
      <c r="D219" s="70" t="s">
        <v>227</v>
      </c>
      <c r="E219" s="70"/>
      <c r="F219" s="60" t="s">
        <v>418</v>
      </c>
      <c r="G219" s="60" t="s">
        <v>300</v>
      </c>
      <c r="H219" s="73"/>
      <c r="I219" s="73" t="s">
        <v>308</v>
      </c>
      <c r="J219" s="63" t="s">
        <v>292</v>
      </c>
      <c r="K219" s="72">
        <v>1662000</v>
      </c>
      <c r="L219" s="65">
        <f t="shared" si="7"/>
        <v>0</v>
      </c>
      <c r="M219" s="66"/>
      <c r="N219" s="67"/>
      <c r="O219" s="67"/>
      <c r="P219" s="68">
        <f t="shared" si="8"/>
        <v>0</v>
      </c>
      <c r="Q219" s="69"/>
      <c r="R219" s="29"/>
      <c r="S219" s="40"/>
    </row>
    <row r="220" spans="1:19" s="4" customFormat="1" ht="14.25" customHeight="1">
      <c r="A220" s="59">
        <v>2018</v>
      </c>
      <c r="B220" s="60">
        <v>7</v>
      </c>
      <c r="C220" s="60">
        <v>30</v>
      </c>
      <c r="D220" s="70" t="s">
        <v>227</v>
      </c>
      <c r="E220" s="70"/>
      <c r="F220" s="60" t="s">
        <v>418</v>
      </c>
      <c r="G220" s="60" t="s">
        <v>309</v>
      </c>
      <c r="H220" s="73"/>
      <c r="I220" s="73" t="s">
        <v>310</v>
      </c>
      <c r="J220" s="63" t="s">
        <v>292</v>
      </c>
      <c r="K220" s="72">
        <v>607000</v>
      </c>
      <c r="L220" s="65">
        <f t="shared" si="7"/>
        <v>0</v>
      </c>
      <c r="M220" s="66"/>
      <c r="N220" s="67"/>
      <c r="O220" s="67"/>
      <c r="P220" s="68">
        <f t="shared" si="8"/>
        <v>0</v>
      </c>
      <c r="Q220" s="69"/>
      <c r="R220" s="29"/>
      <c r="S220" s="40"/>
    </row>
    <row r="221" spans="1:19" s="4" customFormat="1" ht="14.25" customHeight="1">
      <c r="A221" s="59">
        <v>2018</v>
      </c>
      <c r="B221" s="60">
        <v>7</v>
      </c>
      <c r="C221" s="60">
        <v>30</v>
      </c>
      <c r="D221" s="70" t="s">
        <v>227</v>
      </c>
      <c r="E221" s="70"/>
      <c r="F221" s="60" t="s">
        <v>418</v>
      </c>
      <c r="G221" s="60" t="s">
        <v>309</v>
      </c>
      <c r="H221" s="73"/>
      <c r="I221" s="73" t="s">
        <v>312</v>
      </c>
      <c r="J221" s="63" t="s">
        <v>292</v>
      </c>
      <c r="K221" s="76">
        <v>449000</v>
      </c>
      <c r="L221" s="65">
        <f t="shared" si="7"/>
        <v>0</v>
      </c>
      <c r="M221" s="66"/>
      <c r="N221" s="67"/>
      <c r="O221" s="67"/>
      <c r="P221" s="68">
        <f t="shared" si="8"/>
        <v>0</v>
      </c>
      <c r="Q221" s="69"/>
      <c r="R221" s="29"/>
      <c r="S221" s="40"/>
    </row>
    <row r="222" spans="1:19" s="4" customFormat="1" ht="14.25" customHeight="1">
      <c r="A222" s="59">
        <v>2018</v>
      </c>
      <c r="B222" s="60">
        <v>7</v>
      </c>
      <c r="C222" s="60">
        <v>30</v>
      </c>
      <c r="D222" s="70" t="s">
        <v>227</v>
      </c>
      <c r="E222" s="70"/>
      <c r="F222" s="60" t="s">
        <v>418</v>
      </c>
      <c r="G222" s="60" t="s">
        <v>309</v>
      </c>
      <c r="H222" s="73"/>
      <c r="I222" s="73" t="s">
        <v>311</v>
      </c>
      <c r="J222" s="63" t="s">
        <v>292</v>
      </c>
      <c r="K222" s="76">
        <v>530000</v>
      </c>
      <c r="L222" s="65">
        <f t="shared" si="7"/>
        <v>0</v>
      </c>
      <c r="M222" s="66"/>
      <c r="N222" s="67"/>
      <c r="O222" s="67"/>
      <c r="P222" s="68">
        <f t="shared" si="8"/>
        <v>0</v>
      </c>
      <c r="Q222" s="69"/>
      <c r="R222" s="29"/>
      <c r="S222" s="40"/>
    </row>
    <row r="223" spans="1:19" s="4" customFormat="1" ht="14.25" customHeight="1">
      <c r="A223" s="59">
        <v>2018</v>
      </c>
      <c r="B223" s="60">
        <v>7</v>
      </c>
      <c r="C223" s="60">
        <v>30</v>
      </c>
      <c r="D223" s="70" t="s">
        <v>227</v>
      </c>
      <c r="E223" s="70"/>
      <c r="F223" s="60" t="s">
        <v>418</v>
      </c>
      <c r="G223" s="60" t="s">
        <v>309</v>
      </c>
      <c r="H223" s="74"/>
      <c r="I223" s="74" t="s">
        <v>313</v>
      </c>
      <c r="J223" s="63" t="s">
        <v>292</v>
      </c>
      <c r="K223" s="72">
        <v>445000</v>
      </c>
      <c r="L223" s="65">
        <f t="shared" si="7"/>
        <v>0</v>
      </c>
      <c r="M223" s="66"/>
      <c r="N223" s="67"/>
      <c r="O223" s="67"/>
      <c r="P223" s="68">
        <f t="shared" si="8"/>
        <v>0</v>
      </c>
      <c r="Q223" s="69"/>
      <c r="R223" s="29"/>
      <c r="S223" s="40"/>
    </row>
    <row r="224" spans="1:19" s="4" customFormat="1" ht="14.25" customHeight="1">
      <c r="A224" s="59">
        <v>2018</v>
      </c>
      <c r="B224" s="60">
        <v>7</v>
      </c>
      <c r="C224" s="60">
        <v>30</v>
      </c>
      <c r="D224" s="70" t="s">
        <v>227</v>
      </c>
      <c r="E224" s="70"/>
      <c r="F224" s="60" t="s">
        <v>418</v>
      </c>
      <c r="G224" s="60" t="s">
        <v>309</v>
      </c>
      <c r="H224" s="73"/>
      <c r="I224" s="73" t="s">
        <v>314</v>
      </c>
      <c r="J224" s="63" t="s">
        <v>289</v>
      </c>
      <c r="K224" s="72">
        <v>572000</v>
      </c>
      <c r="L224" s="65">
        <f t="shared" si="7"/>
        <v>0</v>
      </c>
      <c r="M224" s="66"/>
      <c r="N224" s="67"/>
      <c r="O224" s="67"/>
      <c r="P224" s="68">
        <f t="shared" si="8"/>
        <v>0</v>
      </c>
      <c r="Q224" s="69"/>
      <c r="R224" s="29"/>
      <c r="S224" s="40"/>
    </row>
    <row r="225" spans="1:19" s="4" customFormat="1" ht="14.25" customHeight="1">
      <c r="A225" s="59">
        <v>2018</v>
      </c>
      <c r="B225" s="60">
        <v>7</v>
      </c>
      <c r="C225" s="60">
        <v>30</v>
      </c>
      <c r="D225" s="70" t="s">
        <v>227</v>
      </c>
      <c r="E225" s="70"/>
      <c r="F225" s="60" t="s">
        <v>418</v>
      </c>
      <c r="G225" s="60" t="s">
        <v>309</v>
      </c>
      <c r="H225" s="74"/>
      <c r="I225" s="74" t="s">
        <v>315</v>
      </c>
      <c r="J225" s="63" t="s">
        <v>316</v>
      </c>
      <c r="K225" s="72">
        <v>532000</v>
      </c>
      <c r="L225" s="65">
        <f t="shared" si="7"/>
        <v>0</v>
      </c>
      <c r="M225" s="66"/>
      <c r="N225" s="67"/>
      <c r="O225" s="67"/>
      <c r="P225" s="68">
        <f t="shared" si="8"/>
        <v>0</v>
      </c>
      <c r="Q225" s="69"/>
      <c r="R225" s="29"/>
      <c r="S225" s="40"/>
    </row>
    <row r="226" spans="1:19" s="4" customFormat="1" ht="14.25" customHeight="1">
      <c r="A226" s="59">
        <v>2018</v>
      </c>
      <c r="B226" s="60">
        <v>7</v>
      </c>
      <c r="C226" s="60">
        <v>30</v>
      </c>
      <c r="D226" s="70" t="s">
        <v>227</v>
      </c>
      <c r="E226" s="70"/>
      <c r="F226" s="60" t="s">
        <v>418</v>
      </c>
      <c r="G226" s="60" t="s">
        <v>309</v>
      </c>
      <c r="H226" s="73"/>
      <c r="I226" s="73" t="s">
        <v>317</v>
      </c>
      <c r="J226" s="63" t="s">
        <v>316</v>
      </c>
      <c r="K226" s="64">
        <v>758000</v>
      </c>
      <c r="L226" s="65">
        <f t="shared" si="7"/>
        <v>0</v>
      </c>
      <c r="M226" s="66"/>
      <c r="N226" s="67"/>
      <c r="O226" s="67"/>
      <c r="P226" s="68">
        <f t="shared" si="8"/>
        <v>0</v>
      </c>
      <c r="Q226" s="69"/>
      <c r="R226" s="29"/>
      <c r="S226" s="40"/>
    </row>
    <row r="227" spans="1:19" s="4" customFormat="1" ht="14.25" customHeight="1">
      <c r="A227" s="59">
        <v>2018</v>
      </c>
      <c r="B227" s="60">
        <v>7</v>
      </c>
      <c r="C227" s="60">
        <v>30</v>
      </c>
      <c r="D227" s="70" t="s">
        <v>227</v>
      </c>
      <c r="E227" s="70"/>
      <c r="F227" s="60" t="s">
        <v>418</v>
      </c>
      <c r="G227" s="60" t="s">
        <v>309</v>
      </c>
      <c r="H227" s="73"/>
      <c r="I227" s="73" t="s">
        <v>318</v>
      </c>
      <c r="J227" s="63" t="s">
        <v>292</v>
      </c>
      <c r="K227" s="72">
        <v>861000</v>
      </c>
      <c r="L227" s="65">
        <f t="shared" si="7"/>
        <v>0</v>
      </c>
      <c r="M227" s="66"/>
      <c r="N227" s="67"/>
      <c r="O227" s="67"/>
      <c r="P227" s="68">
        <f t="shared" si="8"/>
        <v>0</v>
      </c>
      <c r="Q227" s="69"/>
      <c r="R227" s="29"/>
      <c r="S227" s="40"/>
    </row>
    <row r="228" spans="1:19" s="4" customFormat="1" ht="14.25" customHeight="1">
      <c r="A228" s="59">
        <v>2018</v>
      </c>
      <c r="B228" s="60">
        <v>7</v>
      </c>
      <c r="C228" s="60">
        <v>30</v>
      </c>
      <c r="D228" s="70" t="s">
        <v>227</v>
      </c>
      <c r="E228" s="70"/>
      <c r="F228" s="60" t="s">
        <v>418</v>
      </c>
      <c r="G228" s="60" t="s">
        <v>319</v>
      </c>
      <c r="H228" s="74"/>
      <c r="I228" s="74" t="s">
        <v>320</v>
      </c>
      <c r="J228" s="63" t="s">
        <v>289</v>
      </c>
      <c r="K228" s="72">
        <v>539000</v>
      </c>
      <c r="L228" s="65">
        <f t="shared" si="7"/>
        <v>0</v>
      </c>
      <c r="M228" s="66"/>
      <c r="N228" s="67"/>
      <c r="O228" s="67"/>
      <c r="P228" s="68">
        <f t="shared" si="8"/>
        <v>0</v>
      </c>
      <c r="Q228" s="69"/>
      <c r="R228" s="29"/>
      <c r="S228" s="40"/>
    </row>
    <row r="229" spans="1:19" s="4" customFormat="1" ht="14.25" customHeight="1">
      <c r="A229" s="59">
        <v>2018</v>
      </c>
      <c r="B229" s="60">
        <v>7</v>
      </c>
      <c r="C229" s="60">
        <v>30</v>
      </c>
      <c r="D229" s="70" t="s">
        <v>227</v>
      </c>
      <c r="E229" s="70"/>
      <c r="F229" s="60" t="s">
        <v>418</v>
      </c>
      <c r="G229" s="60" t="s">
        <v>319</v>
      </c>
      <c r="H229" s="74"/>
      <c r="I229" s="74" t="s">
        <v>321</v>
      </c>
      <c r="J229" s="63" t="s">
        <v>289</v>
      </c>
      <c r="K229" s="72">
        <v>704000</v>
      </c>
      <c r="L229" s="65">
        <f t="shared" si="7"/>
        <v>0</v>
      </c>
      <c r="M229" s="66"/>
      <c r="N229" s="67"/>
      <c r="O229" s="67"/>
      <c r="P229" s="68">
        <f t="shared" si="8"/>
        <v>0</v>
      </c>
      <c r="Q229" s="69"/>
      <c r="R229" s="29"/>
      <c r="S229" s="40"/>
    </row>
    <row r="230" spans="1:19" s="4" customFormat="1" ht="14.25" customHeight="1">
      <c r="A230" s="59">
        <v>2018</v>
      </c>
      <c r="B230" s="60">
        <v>7</v>
      </c>
      <c r="C230" s="60">
        <v>30</v>
      </c>
      <c r="D230" s="70" t="s">
        <v>227</v>
      </c>
      <c r="E230" s="70"/>
      <c r="F230" s="60" t="s">
        <v>418</v>
      </c>
      <c r="G230" s="60" t="s">
        <v>322</v>
      </c>
      <c r="H230" s="73"/>
      <c r="I230" s="73" t="s">
        <v>323</v>
      </c>
      <c r="J230" s="63" t="s">
        <v>324</v>
      </c>
      <c r="K230" s="76">
        <v>871000</v>
      </c>
      <c r="L230" s="65">
        <f t="shared" si="7"/>
        <v>0</v>
      </c>
      <c r="M230" s="66"/>
      <c r="N230" s="67"/>
      <c r="O230" s="67"/>
      <c r="P230" s="68">
        <f t="shared" si="8"/>
        <v>0</v>
      </c>
      <c r="Q230" s="69"/>
      <c r="R230" s="29"/>
      <c r="S230" s="40"/>
    </row>
    <row r="231" spans="1:19" s="4" customFormat="1" ht="14.25" customHeight="1">
      <c r="A231" s="59">
        <v>2018</v>
      </c>
      <c r="B231" s="60">
        <v>7</v>
      </c>
      <c r="C231" s="60">
        <v>30</v>
      </c>
      <c r="D231" s="70" t="s">
        <v>227</v>
      </c>
      <c r="E231" s="70"/>
      <c r="F231" s="60" t="s">
        <v>418</v>
      </c>
      <c r="G231" s="60" t="s">
        <v>325</v>
      </c>
      <c r="H231" s="73"/>
      <c r="I231" s="73" t="s">
        <v>326</v>
      </c>
      <c r="J231" s="63" t="s">
        <v>327</v>
      </c>
      <c r="K231" s="76">
        <v>835000</v>
      </c>
      <c r="L231" s="65">
        <f t="shared" si="7"/>
        <v>0</v>
      </c>
      <c r="M231" s="66"/>
      <c r="N231" s="67"/>
      <c r="O231" s="67"/>
      <c r="P231" s="68">
        <f t="shared" si="8"/>
        <v>0</v>
      </c>
      <c r="Q231" s="69"/>
      <c r="R231" s="29"/>
      <c r="S231" s="40"/>
    </row>
    <row r="232" spans="1:19" ht="14.25" customHeight="1">
      <c r="A232" s="59">
        <v>2018</v>
      </c>
      <c r="B232" s="60">
        <v>7</v>
      </c>
      <c r="C232" s="60">
        <v>30</v>
      </c>
      <c r="D232" s="70" t="s">
        <v>227</v>
      </c>
      <c r="E232" s="70"/>
      <c r="F232" s="60" t="s">
        <v>418</v>
      </c>
      <c r="G232" s="60" t="s">
        <v>328</v>
      </c>
      <c r="H232" s="73"/>
      <c r="I232" s="73" t="s">
        <v>329</v>
      </c>
      <c r="J232" s="63" t="s">
        <v>330</v>
      </c>
      <c r="K232" s="76">
        <v>520000</v>
      </c>
      <c r="L232" s="65">
        <f t="shared" si="7"/>
        <v>0</v>
      </c>
      <c r="M232" s="66"/>
      <c r="N232" s="67"/>
      <c r="O232" s="67"/>
      <c r="P232" s="68">
        <f t="shared" si="8"/>
        <v>0</v>
      </c>
      <c r="Q232" s="69"/>
      <c r="R232" s="29"/>
      <c r="S232" s="40"/>
    </row>
    <row r="233" spans="1:19" ht="14.25" customHeight="1" thickBot="1">
      <c r="A233" s="78">
        <v>2018</v>
      </c>
      <c r="B233" s="79">
        <v>7</v>
      </c>
      <c r="C233" s="79">
        <v>30</v>
      </c>
      <c r="D233" s="80" t="s">
        <v>227</v>
      </c>
      <c r="E233" s="80"/>
      <c r="F233" s="79" t="s">
        <v>418</v>
      </c>
      <c r="G233" s="79" t="s">
        <v>328</v>
      </c>
      <c r="H233" s="82"/>
      <c r="I233" s="82" t="s">
        <v>331</v>
      </c>
      <c r="J233" s="90" t="s">
        <v>330</v>
      </c>
      <c r="K233" s="83">
        <v>642000</v>
      </c>
      <c r="L233" s="84">
        <f t="shared" si="7"/>
        <v>0</v>
      </c>
      <c r="M233" s="85"/>
      <c r="N233" s="86"/>
      <c r="O233" s="86"/>
      <c r="P233" s="87">
        <f t="shared" si="8"/>
        <v>0</v>
      </c>
      <c r="Q233" s="88"/>
      <c r="R233" s="29"/>
      <c r="S233" s="40"/>
    </row>
    <row r="234" spans="1:19" s="4" customFormat="1" ht="16.5" customHeight="1" thickTop="1">
      <c r="A234" s="59">
        <v>2018</v>
      </c>
      <c r="B234" s="60">
        <v>7</v>
      </c>
      <c r="C234" s="60">
        <v>30</v>
      </c>
      <c r="D234" s="61" t="s">
        <v>227</v>
      </c>
      <c r="E234" s="61"/>
      <c r="F234" s="60" t="s">
        <v>40</v>
      </c>
      <c r="G234" s="60" t="s">
        <v>353</v>
      </c>
      <c r="H234" s="62"/>
      <c r="I234" s="62" t="s">
        <v>343</v>
      </c>
      <c r="J234" s="63"/>
      <c r="K234" s="64">
        <v>3090000</v>
      </c>
      <c r="L234" s="65">
        <f t="shared" si="7"/>
        <v>0</v>
      </c>
      <c r="M234" s="66"/>
      <c r="N234" s="67"/>
      <c r="O234" s="67"/>
      <c r="P234" s="68">
        <f>N234+O234-Q234</f>
        <v>0</v>
      </c>
      <c r="Q234" s="69"/>
      <c r="R234" s="29"/>
      <c r="S234" s="40"/>
    </row>
    <row r="235" spans="1:19" s="4" customFormat="1" ht="16.5" customHeight="1">
      <c r="A235" s="59">
        <v>2018</v>
      </c>
      <c r="B235" s="60">
        <v>7</v>
      </c>
      <c r="C235" s="60">
        <v>30</v>
      </c>
      <c r="D235" s="70" t="s">
        <v>227</v>
      </c>
      <c r="E235" s="70"/>
      <c r="F235" s="60" t="s">
        <v>40</v>
      </c>
      <c r="G235" s="60" t="s">
        <v>353</v>
      </c>
      <c r="H235" s="71"/>
      <c r="I235" s="71" t="s">
        <v>344</v>
      </c>
      <c r="J235" s="63"/>
      <c r="K235" s="72">
        <v>2490000</v>
      </c>
      <c r="L235" s="65">
        <f t="shared" si="7"/>
        <v>0</v>
      </c>
      <c r="M235" s="66"/>
      <c r="N235" s="67"/>
      <c r="O235" s="67"/>
      <c r="P235" s="68">
        <f>N235+O235-Q235</f>
        <v>0</v>
      </c>
      <c r="Q235" s="69"/>
      <c r="R235" s="29"/>
      <c r="S235" s="40"/>
    </row>
    <row r="236" spans="1:19" s="4" customFormat="1" ht="16.5" customHeight="1">
      <c r="A236" s="59">
        <v>2018</v>
      </c>
      <c r="B236" s="60">
        <v>7</v>
      </c>
      <c r="C236" s="60">
        <v>30</v>
      </c>
      <c r="D236" s="70" t="s">
        <v>227</v>
      </c>
      <c r="E236" s="70"/>
      <c r="F236" s="60" t="s">
        <v>40</v>
      </c>
      <c r="G236" s="60" t="s">
        <v>353</v>
      </c>
      <c r="H236" s="73"/>
      <c r="I236" s="73" t="s">
        <v>345</v>
      </c>
      <c r="J236" s="63"/>
      <c r="K236" s="64">
        <v>2200000</v>
      </c>
      <c r="L236" s="65">
        <f t="shared" si="7"/>
        <v>0</v>
      </c>
      <c r="M236" s="66"/>
      <c r="N236" s="67"/>
      <c r="O236" s="67"/>
      <c r="P236" s="68">
        <f t="shared" ref="P236:P299" si="9">N236+O236-Q236</f>
        <v>0</v>
      </c>
      <c r="Q236" s="69"/>
      <c r="R236" s="29"/>
      <c r="S236" s="40"/>
    </row>
    <row r="237" spans="1:19" s="4" customFormat="1" ht="16.5" customHeight="1">
      <c r="A237" s="59">
        <v>2018</v>
      </c>
      <c r="B237" s="60">
        <v>7</v>
      </c>
      <c r="C237" s="60">
        <v>30</v>
      </c>
      <c r="D237" s="70" t="s">
        <v>227</v>
      </c>
      <c r="E237" s="70"/>
      <c r="F237" s="60" t="s">
        <v>40</v>
      </c>
      <c r="G237" s="60" t="s">
        <v>353</v>
      </c>
      <c r="H237" s="60"/>
      <c r="I237" s="60" t="s">
        <v>346</v>
      </c>
      <c r="J237" s="63"/>
      <c r="K237" s="64">
        <v>1630000</v>
      </c>
      <c r="L237" s="65">
        <f t="shared" si="7"/>
        <v>0</v>
      </c>
      <c r="M237" s="66"/>
      <c r="N237" s="67"/>
      <c r="O237" s="67"/>
      <c r="P237" s="68">
        <f t="shared" si="9"/>
        <v>0</v>
      </c>
      <c r="Q237" s="69"/>
      <c r="R237" s="29"/>
      <c r="S237" s="40"/>
    </row>
    <row r="238" spans="1:19" s="4" customFormat="1" ht="16.5" customHeight="1">
      <c r="A238" s="59">
        <v>2018</v>
      </c>
      <c r="B238" s="60">
        <v>7</v>
      </c>
      <c r="C238" s="60">
        <v>30</v>
      </c>
      <c r="D238" s="70" t="s">
        <v>227</v>
      </c>
      <c r="E238" s="70"/>
      <c r="F238" s="60" t="s">
        <v>40</v>
      </c>
      <c r="G238" s="60" t="s">
        <v>353</v>
      </c>
      <c r="H238" s="62"/>
      <c r="I238" s="62" t="s">
        <v>347</v>
      </c>
      <c r="J238" s="63"/>
      <c r="K238" s="64">
        <v>1570000</v>
      </c>
      <c r="L238" s="65">
        <f t="shared" si="7"/>
        <v>0</v>
      </c>
      <c r="M238" s="66"/>
      <c r="N238" s="67"/>
      <c r="O238" s="67"/>
      <c r="P238" s="68">
        <f t="shared" si="9"/>
        <v>0</v>
      </c>
      <c r="Q238" s="69"/>
      <c r="R238" s="29"/>
      <c r="S238" s="40"/>
    </row>
    <row r="239" spans="1:19" s="4" customFormat="1" ht="16.5" customHeight="1">
      <c r="A239" s="59">
        <v>2018</v>
      </c>
      <c r="B239" s="60">
        <v>7</v>
      </c>
      <c r="C239" s="60">
        <v>30</v>
      </c>
      <c r="D239" s="70" t="s">
        <v>227</v>
      </c>
      <c r="E239" s="70"/>
      <c r="F239" s="60" t="s">
        <v>40</v>
      </c>
      <c r="G239" s="60" t="s">
        <v>353</v>
      </c>
      <c r="H239" s="73"/>
      <c r="I239" s="73" t="s">
        <v>348</v>
      </c>
      <c r="J239" s="63"/>
      <c r="K239" s="64">
        <v>1450000</v>
      </c>
      <c r="L239" s="65">
        <f t="shared" si="7"/>
        <v>0</v>
      </c>
      <c r="M239" s="66"/>
      <c r="N239" s="67"/>
      <c r="O239" s="67"/>
      <c r="P239" s="68">
        <f t="shared" si="9"/>
        <v>0</v>
      </c>
      <c r="Q239" s="69"/>
      <c r="R239" s="29"/>
      <c r="S239" s="40"/>
    </row>
    <row r="240" spans="1:19" s="4" customFormat="1" ht="16.5" customHeight="1">
      <c r="A240" s="59">
        <v>2018</v>
      </c>
      <c r="B240" s="60">
        <v>7</v>
      </c>
      <c r="C240" s="60">
        <v>30</v>
      </c>
      <c r="D240" s="70" t="s">
        <v>227</v>
      </c>
      <c r="E240" s="70"/>
      <c r="F240" s="60" t="s">
        <v>40</v>
      </c>
      <c r="G240" s="60" t="s">
        <v>353</v>
      </c>
      <c r="H240" s="74"/>
      <c r="I240" s="74" t="s">
        <v>349</v>
      </c>
      <c r="J240" s="63"/>
      <c r="K240" s="64">
        <v>850000</v>
      </c>
      <c r="L240" s="65">
        <f t="shared" si="7"/>
        <v>0</v>
      </c>
      <c r="M240" s="66"/>
      <c r="N240" s="67"/>
      <c r="O240" s="67"/>
      <c r="P240" s="68">
        <f t="shared" si="9"/>
        <v>0</v>
      </c>
      <c r="Q240" s="69"/>
      <c r="R240" s="29"/>
      <c r="S240" s="40"/>
    </row>
    <row r="241" spans="1:19" s="4" customFormat="1" ht="16.5" customHeight="1">
      <c r="A241" s="59">
        <v>2018</v>
      </c>
      <c r="B241" s="60">
        <v>7</v>
      </c>
      <c r="C241" s="60">
        <v>30</v>
      </c>
      <c r="D241" s="70" t="s">
        <v>227</v>
      </c>
      <c r="E241" s="70"/>
      <c r="F241" s="60" t="s">
        <v>40</v>
      </c>
      <c r="G241" s="60" t="s">
        <v>353</v>
      </c>
      <c r="H241" s="74"/>
      <c r="I241" s="74" t="s">
        <v>350</v>
      </c>
      <c r="J241" s="63"/>
      <c r="K241" s="64">
        <v>690000</v>
      </c>
      <c r="L241" s="65">
        <f t="shared" si="7"/>
        <v>0</v>
      </c>
      <c r="M241" s="66"/>
      <c r="N241" s="67"/>
      <c r="O241" s="67"/>
      <c r="P241" s="68">
        <f t="shared" si="9"/>
        <v>0</v>
      </c>
      <c r="Q241" s="69"/>
      <c r="R241" s="29"/>
      <c r="S241" s="40"/>
    </row>
    <row r="242" spans="1:19" s="4" customFormat="1" ht="16.5" customHeight="1">
      <c r="A242" s="59">
        <v>2018</v>
      </c>
      <c r="B242" s="60">
        <v>7</v>
      </c>
      <c r="C242" s="60">
        <v>30</v>
      </c>
      <c r="D242" s="70" t="s">
        <v>227</v>
      </c>
      <c r="E242" s="70"/>
      <c r="F242" s="60" t="s">
        <v>40</v>
      </c>
      <c r="G242" s="75" t="s">
        <v>354</v>
      </c>
      <c r="H242" s="74"/>
      <c r="I242" s="74" t="s">
        <v>351</v>
      </c>
      <c r="J242" s="63"/>
      <c r="K242" s="64">
        <v>350000</v>
      </c>
      <c r="L242" s="65">
        <f t="shared" si="7"/>
        <v>0</v>
      </c>
      <c r="M242" s="66"/>
      <c r="N242" s="67"/>
      <c r="O242" s="67"/>
      <c r="P242" s="68">
        <f t="shared" si="9"/>
        <v>0</v>
      </c>
      <c r="Q242" s="69"/>
      <c r="R242" s="29"/>
      <c r="S242" s="40"/>
    </row>
    <row r="243" spans="1:19" s="4" customFormat="1" ht="16.5" customHeight="1">
      <c r="A243" s="59">
        <v>2018</v>
      </c>
      <c r="B243" s="60">
        <v>7</v>
      </c>
      <c r="C243" s="60">
        <v>30</v>
      </c>
      <c r="D243" s="70" t="s">
        <v>227</v>
      </c>
      <c r="E243" s="70"/>
      <c r="F243" s="60" t="s">
        <v>40</v>
      </c>
      <c r="G243" s="75" t="s">
        <v>354</v>
      </c>
      <c r="H243" s="74"/>
      <c r="I243" s="74" t="s">
        <v>352</v>
      </c>
      <c r="J243" s="63"/>
      <c r="K243" s="64">
        <v>290000</v>
      </c>
      <c r="L243" s="65">
        <f t="shared" si="7"/>
        <v>0</v>
      </c>
      <c r="M243" s="66"/>
      <c r="N243" s="67"/>
      <c r="O243" s="67"/>
      <c r="P243" s="68">
        <f t="shared" si="9"/>
        <v>0</v>
      </c>
      <c r="Q243" s="69"/>
      <c r="R243" s="29"/>
      <c r="S243" s="40"/>
    </row>
    <row r="244" spans="1:19" s="4" customFormat="1" ht="16.5" customHeight="1">
      <c r="A244" s="59">
        <v>2018</v>
      </c>
      <c r="B244" s="60">
        <v>7</v>
      </c>
      <c r="C244" s="60">
        <v>30</v>
      </c>
      <c r="D244" s="70" t="s">
        <v>227</v>
      </c>
      <c r="E244" s="70"/>
      <c r="F244" s="60" t="s">
        <v>40</v>
      </c>
      <c r="G244" s="75" t="s">
        <v>356</v>
      </c>
      <c r="H244" s="75"/>
      <c r="I244" s="75" t="s">
        <v>355</v>
      </c>
      <c r="J244" s="63"/>
      <c r="K244" s="64">
        <v>1670900</v>
      </c>
      <c r="L244" s="65">
        <f t="shared" si="7"/>
        <v>0</v>
      </c>
      <c r="M244" s="66"/>
      <c r="N244" s="67"/>
      <c r="O244" s="67"/>
      <c r="P244" s="68">
        <f t="shared" si="9"/>
        <v>0</v>
      </c>
      <c r="Q244" s="69"/>
      <c r="R244" s="29"/>
      <c r="S244" s="40"/>
    </row>
    <row r="245" spans="1:19" s="4" customFormat="1" ht="16.5" customHeight="1">
      <c r="A245" s="59">
        <v>2018</v>
      </c>
      <c r="B245" s="60">
        <v>7</v>
      </c>
      <c r="C245" s="60">
        <v>30</v>
      </c>
      <c r="D245" s="70" t="s">
        <v>227</v>
      </c>
      <c r="E245" s="70"/>
      <c r="F245" s="60" t="s">
        <v>40</v>
      </c>
      <c r="G245" s="75" t="s">
        <v>356</v>
      </c>
      <c r="H245" s="62"/>
      <c r="I245" s="62" t="s">
        <v>357</v>
      </c>
      <c r="J245" s="63"/>
      <c r="K245" s="64">
        <v>1355900</v>
      </c>
      <c r="L245" s="65">
        <f t="shared" si="7"/>
        <v>0</v>
      </c>
      <c r="M245" s="66"/>
      <c r="N245" s="67"/>
      <c r="O245" s="67"/>
      <c r="P245" s="68">
        <f t="shared" si="9"/>
        <v>0</v>
      </c>
      <c r="Q245" s="69"/>
      <c r="R245" s="29"/>
      <c r="S245" s="40"/>
    </row>
    <row r="246" spans="1:19" s="4" customFormat="1" ht="16.5" customHeight="1">
      <c r="A246" s="59">
        <v>2018</v>
      </c>
      <c r="B246" s="60">
        <v>7</v>
      </c>
      <c r="C246" s="60">
        <v>30</v>
      </c>
      <c r="D246" s="70" t="s">
        <v>227</v>
      </c>
      <c r="E246" s="70"/>
      <c r="F246" s="60" t="s">
        <v>40</v>
      </c>
      <c r="G246" s="75" t="s">
        <v>356</v>
      </c>
      <c r="H246" s="62"/>
      <c r="I246" s="62" t="s">
        <v>359</v>
      </c>
      <c r="J246" s="63"/>
      <c r="K246" s="64">
        <v>1250900</v>
      </c>
      <c r="L246" s="65">
        <f>K246*P246</f>
        <v>0</v>
      </c>
      <c r="M246" s="66"/>
      <c r="N246" s="67"/>
      <c r="O246" s="67"/>
      <c r="P246" s="68">
        <f>N246+O246-Q246</f>
        <v>0</v>
      </c>
      <c r="Q246" s="69"/>
      <c r="R246" s="29"/>
      <c r="S246" s="40"/>
    </row>
    <row r="247" spans="1:19" s="4" customFormat="1" ht="16.5" customHeight="1">
      <c r="A247" s="59">
        <v>2018</v>
      </c>
      <c r="B247" s="60">
        <v>7</v>
      </c>
      <c r="C247" s="60">
        <v>30</v>
      </c>
      <c r="D247" s="70" t="s">
        <v>227</v>
      </c>
      <c r="E247" s="70"/>
      <c r="F247" s="60" t="s">
        <v>40</v>
      </c>
      <c r="G247" s="75" t="s">
        <v>356</v>
      </c>
      <c r="H247" s="74"/>
      <c r="I247" s="74" t="s">
        <v>358</v>
      </c>
      <c r="J247" s="63"/>
      <c r="K247" s="64">
        <v>1355900</v>
      </c>
      <c r="L247" s="65">
        <f t="shared" si="7"/>
        <v>0</v>
      </c>
      <c r="M247" s="66"/>
      <c r="N247" s="67"/>
      <c r="O247" s="67"/>
      <c r="P247" s="68">
        <f t="shared" si="9"/>
        <v>0</v>
      </c>
      <c r="Q247" s="69"/>
      <c r="R247" s="29"/>
      <c r="S247" s="40"/>
    </row>
    <row r="248" spans="1:19" s="4" customFormat="1" ht="16.5" customHeight="1">
      <c r="A248" s="59">
        <v>2018</v>
      </c>
      <c r="B248" s="60">
        <v>7</v>
      </c>
      <c r="C248" s="60">
        <v>30</v>
      </c>
      <c r="D248" s="70" t="s">
        <v>227</v>
      </c>
      <c r="E248" s="70"/>
      <c r="F248" s="60" t="s">
        <v>40</v>
      </c>
      <c r="G248" s="75" t="s">
        <v>356</v>
      </c>
      <c r="H248" s="73"/>
      <c r="I248" s="73" t="s">
        <v>360</v>
      </c>
      <c r="J248" s="63"/>
      <c r="K248" s="72">
        <v>1144900</v>
      </c>
      <c r="L248" s="65">
        <f t="shared" si="7"/>
        <v>0</v>
      </c>
      <c r="M248" s="66"/>
      <c r="N248" s="67"/>
      <c r="O248" s="67"/>
      <c r="P248" s="68">
        <f t="shared" si="9"/>
        <v>0</v>
      </c>
      <c r="Q248" s="69"/>
      <c r="R248" s="29"/>
      <c r="S248" s="40"/>
    </row>
    <row r="249" spans="1:19" s="4" customFormat="1" ht="16.5" customHeight="1">
      <c r="A249" s="59">
        <v>2018</v>
      </c>
      <c r="B249" s="60">
        <v>7</v>
      </c>
      <c r="C249" s="60">
        <v>30</v>
      </c>
      <c r="D249" s="70" t="s">
        <v>227</v>
      </c>
      <c r="E249" s="70"/>
      <c r="F249" s="60" t="s">
        <v>40</v>
      </c>
      <c r="G249" s="75" t="s">
        <v>356</v>
      </c>
      <c r="H249" s="74"/>
      <c r="I249" s="74" t="s">
        <v>361</v>
      </c>
      <c r="J249" s="63"/>
      <c r="K249" s="72">
        <v>829900</v>
      </c>
      <c r="L249" s="65">
        <f t="shared" si="7"/>
        <v>0</v>
      </c>
      <c r="M249" s="66"/>
      <c r="N249" s="67"/>
      <c r="O249" s="67"/>
      <c r="P249" s="68">
        <f t="shared" si="9"/>
        <v>0</v>
      </c>
      <c r="Q249" s="69"/>
      <c r="R249" s="29"/>
      <c r="S249" s="40"/>
    </row>
    <row r="250" spans="1:19" s="4" customFormat="1" ht="16.5" customHeight="1">
      <c r="A250" s="59">
        <v>2018</v>
      </c>
      <c r="B250" s="60">
        <v>7</v>
      </c>
      <c r="C250" s="60">
        <v>30</v>
      </c>
      <c r="D250" s="70" t="s">
        <v>227</v>
      </c>
      <c r="E250" s="70"/>
      <c r="F250" s="60" t="s">
        <v>40</v>
      </c>
      <c r="G250" s="75" t="s">
        <v>362</v>
      </c>
      <c r="H250" s="74"/>
      <c r="I250" s="74" t="s">
        <v>363</v>
      </c>
      <c r="J250" s="63"/>
      <c r="K250" s="72">
        <v>3151900</v>
      </c>
      <c r="L250" s="65">
        <f t="shared" si="7"/>
        <v>0</v>
      </c>
      <c r="M250" s="66"/>
      <c r="N250" s="67"/>
      <c r="O250" s="67"/>
      <c r="P250" s="68">
        <f t="shared" si="9"/>
        <v>0</v>
      </c>
      <c r="Q250" s="69"/>
      <c r="R250" s="29"/>
      <c r="S250" s="40"/>
    </row>
    <row r="251" spans="1:19" s="4" customFormat="1" ht="16.5" customHeight="1">
      <c r="A251" s="59">
        <v>2018</v>
      </c>
      <c r="B251" s="60">
        <v>7</v>
      </c>
      <c r="C251" s="60">
        <v>30</v>
      </c>
      <c r="D251" s="70" t="s">
        <v>227</v>
      </c>
      <c r="E251" s="70"/>
      <c r="F251" s="60" t="s">
        <v>40</v>
      </c>
      <c r="G251" s="75" t="s">
        <v>362</v>
      </c>
      <c r="H251" s="74"/>
      <c r="I251" s="74" t="s">
        <v>364</v>
      </c>
      <c r="J251" s="63"/>
      <c r="K251" s="72">
        <v>1990000</v>
      </c>
      <c r="L251" s="65">
        <f t="shared" si="7"/>
        <v>0</v>
      </c>
      <c r="M251" s="66"/>
      <c r="N251" s="67"/>
      <c r="O251" s="67"/>
      <c r="P251" s="68">
        <f t="shared" si="9"/>
        <v>0</v>
      </c>
      <c r="Q251" s="69"/>
      <c r="R251" s="29"/>
      <c r="S251" s="40"/>
    </row>
    <row r="252" spans="1:19" s="4" customFormat="1" ht="16.5" customHeight="1">
      <c r="A252" s="59">
        <v>2018</v>
      </c>
      <c r="B252" s="60">
        <v>7</v>
      </c>
      <c r="C252" s="60">
        <v>30</v>
      </c>
      <c r="D252" s="70" t="s">
        <v>227</v>
      </c>
      <c r="E252" s="70"/>
      <c r="F252" s="60" t="s">
        <v>40</v>
      </c>
      <c r="G252" s="75" t="s">
        <v>362</v>
      </c>
      <c r="H252" s="62"/>
      <c r="I252" s="62" t="s">
        <v>365</v>
      </c>
      <c r="J252" s="63"/>
      <c r="K252" s="64">
        <v>1490000</v>
      </c>
      <c r="L252" s="65">
        <f t="shared" si="7"/>
        <v>0</v>
      </c>
      <c r="M252" s="66"/>
      <c r="N252" s="67"/>
      <c r="O252" s="67"/>
      <c r="P252" s="68">
        <f t="shared" si="9"/>
        <v>0</v>
      </c>
      <c r="Q252" s="69"/>
      <c r="R252" s="29"/>
      <c r="S252" s="40"/>
    </row>
    <row r="253" spans="1:19" s="4" customFormat="1" ht="16.5" customHeight="1">
      <c r="A253" s="59">
        <v>2018</v>
      </c>
      <c r="B253" s="60">
        <v>7</v>
      </c>
      <c r="C253" s="60">
        <v>30</v>
      </c>
      <c r="D253" s="70" t="s">
        <v>227</v>
      </c>
      <c r="E253" s="70"/>
      <c r="F253" s="60" t="s">
        <v>40</v>
      </c>
      <c r="G253" s="75" t="s">
        <v>362</v>
      </c>
      <c r="H253" s="73"/>
      <c r="I253" s="73" t="s">
        <v>366</v>
      </c>
      <c r="J253" s="63"/>
      <c r="K253" s="72">
        <v>1145900</v>
      </c>
      <c r="L253" s="65">
        <f t="shared" si="7"/>
        <v>0</v>
      </c>
      <c r="M253" s="66"/>
      <c r="N253" s="67"/>
      <c r="O253" s="67"/>
      <c r="P253" s="68">
        <f t="shared" si="9"/>
        <v>0</v>
      </c>
      <c r="Q253" s="69"/>
      <c r="R253" s="29"/>
      <c r="S253" s="40"/>
    </row>
    <row r="254" spans="1:19" s="4" customFormat="1" ht="16.5" customHeight="1">
      <c r="A254" s="59">
        <v>2018</v>
      </c>
      <c r="B254" s="60">
        <v>7</v>
      </c>
      <c r="C254" s="60">
        <v>30</v>
      </c>
      <c r="D254" s="70" t="s">
        <v>227</v>
      </c>
      <c r="E254" s="70"/>
      <c r="F254" s="60" t="s">
        <v>40</v>
      </c>
      <c r="G254" s="75" t="s">
        <v>362</v>
      </c>
      <c r="H254" s="73"/>
      <c r="I254" s="73" t="s">
        <v>367</v>
      </c>
      <c r="J254" s="63"/>
      <c r="K254" s="72">
        <v>1144900</v>
      </c>
      <c r="L254" s="65">
        <f t="shared" si="7"/>
        <v>0</v>
      </c>
      <c r="M254" s="66"/>
      <c r="N254" s="67"/>
      <c r="O254" s="67"/>
      <c r="P254" s="68">
        <f t="shared" si="9"/>
        <v>0</v>
      </c>
      <c r="Q254" s="69"/>
      <c r="R254" s="29"/>
      <c r="S254" s="40"/>
    </row>
    <row r="255" spans="1:19" s="4" customFormat="1" ht="16.5" customHeight="1">
      <c r="A255" s="59">
        <v>2018</v>
      </c>
      <c r="B255" s="60">
        <v>7</v>
      </c>
      <c r="C255" s="60">
        <v>30</v>
      </c>
      <c r="D255" s="70" t="s">
        <v>227</v>
      </c>
      <c r="E255" s="70"/>
      <c r="F255" s="60" t="s">
        <v>40</v>
      </c>
      <c r="G255" s="75" t="s">
        <v>362</v>
      </c>
      <c r="H255" s="73"/>
      <c r="I255" s="73" t="s">
        <v>368</v>
      </c>
      <c r="J255" s="63"/>
      <c r="K255" s="72">
        <v>1009900</v>
      </c>
      <c r="L255" s="65">
        <f t="shared" si="7"/>
        <v>0</v>
      </c>
      <c r="M255" s="66"/>
      <c r="N255" s="67"/>
      <c r="O255" s="67"/>
      <c r="P255" s="68">
        <f t="shared" si="9"/>
        <v>0</v>
      </c>
      <c r="Q255" s="69"/>
      <c r="R255" s="29"/>
      <c r="S255" s="40"/>
    </row>
    <row r="256" spans="1:19" s="4" customFormat="1" ht="16.5" customHeight="1">
      <c r="A256" s="59">
        <v>2018</v>
      </c>
      <c r="B256" s="60">
        <v>7</v>
      </c>
      <c r="C256" s="60">
        <v>30</v>
      </c>
      <c r="D256" s="70" t="s">
        <v>227</v>
      </c>
      <c r="E256" s="70"/>
      <c r="F256" s="60" t="s">
        <v>40</v>
      </c>
      <c r="G256" s="75" t="s">
        <v>362</v>
      </c>
      <c r="H256" s="73"/>
      <c r="I256" s="73" t="s">
        <v>369</v>
      </c>
      <c r="J256" s="63"/>
      <c r="K256" s="76">
        <v>804900</v>
      </c>
      <c r="L256" s="65">
        <f t="shared" si="7"/>
        <v>0</v>
      </c>
      <c r="M256" s="66"/>
      <c r="N256" s="67"/>
      <c r="O256" s="67"/>
      <c r="P256" s="68">
        <f t="shared" si="9"/>
        <v>0</v>
      </c>
      <c r="Q256" s="69"/>
      <c r="R256" s="29"/>
      <c r="S256" s="40"/>
    </row>
    <row r="257" spans="1:19" s="4" customFormat="1" ht="16.5" customHeight="1">
      <c r="A257" s="59">
        <v>2018</v>
      </c>
      <c r="B257" s="60">
        <v>7</v>
      </c>
      <c r="C257" s="60">
        <v>30</v>
      </c>
      <c r="D257" s="70" t="s">
        <v>227</v>
      </c>
      <c r="E257" s="70"/>
      <c r="F257" s="60" t="s">
        <v>40</v>
      </c>
      <c r="G257" s="75" t="s">
        <v>370</v>
      </c>
      <c r="H257" s="73"/>
      <c r="I257" s="73" t="s">
        <v>371</v>
      </c>
      <c r="J257" s="63"/>
      <c r="K257" s="76">
        <v>3351900</v>
      </c>
      <c r="L257" s="65">
        <f t="shared" si="7"/>
        <v>0</v>
      </c>
      <c r="M257" s="66"/>
      <c r="N257" s="67"/>
      <c r="O257" s="67"/>
      <c r="P257" s="68">
        <f t="shared" si="9"/>
        <v>0</v>
      </c>
      <c r="Q257" s="69"/>
      <c r="R257" s="29"/>
      <c r="S257" s="40"/>
    </row>
    <row r="258" spans="1:19" s="4" customFormat="1" ht="16.5" customHeight="1">
      <c r="A258" s="59">
        <v>2018</v>
      </c>
      <c r="B258" s="60">
        <v>7</v>
      </c>
      <c r="C258" s="60">
        <v>30</v>
      </c>
      <c r="D258" s="70" t="s">
        <v>227</v>
      </c>
      <c r="E258" s="70"/>
      <c r="F258" s="60" t="s">
        <v>40</v>
      </c>
      <c r="G258" s="75" t="s">
        <v>370</v>
      </c>
      <c r="H258" s="74"/>
      <c r="I258" s="74" t="s">
        <v>372</v>
      </c>
      <c r="J258" s="63"/>
      <c r="K258" s="72">
        <v>2720900</v>
      </c>
      <c r="L258" s="65">
        <f t="shared" si="7"/>
        <v>0</v>
      </c>
      <c r="M258" s="66"/>
      <c r="N258" s="67"/>
      <c r="O258" s="67"/>
      <c r="P258" s="68">
        <f t="shared" si="9"/>
        <v>0</v>
      </c>
      <c r="Q258" s="69"/>
      <c r="R258" s="29"/>
      <c r="S258" s="40"/>
    </row>
    <row r="259" spans="1:19" s="4" customFormat="1" ht="16.5" customHeight="1">
      <c r="A259" s="59">
        <v>2018</v>
      </c>
      <c r="B259" s="60">
        <v>7</v>
      </c>
      <c r="C259" s="60">
        <v>30</v>
      </c>
      <c r="D259" s="70" t="s">
        <v>227</v>
      </c>
      <c r="E259" s="70"/>
      <c r="F259" s="60" t="s">
        <v>40</v>
      </c>
      <c r="G259" s="75" t="s">
        <v>370</v>
      </c>
      <c r="H259" s="73"/>
      <c r="I259" s="73" t="s">
        <v>373</v>
      </c>
      <c r="J259" s="63"/>
      <c r="K259" s="72">
        <v>1050900</v>
      </c>
      <c r="L259" s="65">
        <f t="shared" si="7"/>
        <v>0</v>
      </c>
      <c r="M259" s="66"/>
      <c r="N259" s="67"/>
      <c r="O259" s="67"/>
      <c r="P259" s="68">
        <f t="shared" si="9"/>
        <v>0</v>
      </c>
      <c r="Q259" s="69"/>
      <c r="R259" s="29"/>
      <c r="S259" s="40"/>
    </row>
    <row r="260" spans="1:19" s="4" customFormat="1" ht="16.5" customHeight="1">
      <c r="A260" s="59">
        <v>2018</v>
      </c>
      <c r="B260" s="60">
        <v>7</v>
      </c>
      <c r="C260" s="60">
        <v>30</v>
      </c>
      <c r="D260" s="70" t="s">
        <v>227</v>
      </c>
      <c r="E260" s="70"/>
      <c r="F260" s="60" t="s">
        <v>40</v>
      </c>
      <c r="G260" s="75" t="s">
        <v>376</v>
      </c>
      <c r="H260" s="74"/>
      <c r="I260" s="74" t="s">
        <v>374</v>
      </c>
      <c r="J260" s="63"/>
      <c r="K260" s="72">
        <v>6292900</v>
      </c>
      <c r="L260" s="65">
        <f t="shared" si="7"/>
        <v>0</v>
      </c>
      <c r="M260" s="66"/>
      <c r="N260" s="67"/>
      <c r="O260" s="67"/>
      <c r="P260" s="68">
        <f t="shared" si="9"/>
        <v>0</v>
      </c>
      <c r="Q260" s="69"/>
      <c r="R260" s="29"/>
      <c r="S260" s="40"/>
    </row>
    <row r="261" spans="1:19" s="4" customFormat="1" ht="16.5" customHeight="1">
      <c r="A261" s="59">
        <v>2018</v>
      </c>
      <c r="B261" s="60">
        <v>7</v>
      </c>
      <c r="C261" s="60">
        <v>30</v>
      </c>
      <c r="D261" s="70" t="s">
        <v>227</v>
      </c>
      <c r="E261" s="70"/>
      <c r="F261" s="60" t="s">
        <v>40</v>
      </c>
      <c r="G261" s="75" t="s">
        <v>216</v>
      </c>
      <c r="H261" s="73"/>
      <c r="I261" s="73" t="s">
        <v>375</v>
      </c>
      <c r="J261" s="63"/>
      <c r="K261" s="64">
        <v>3981900</v>
      </c>
      <c r="L261" s="65">
        <f t="shared" ref="L261:L299" si="10">K261*P261</f>
        <v>0</v>
      </c>
      <c r="M261" s="66"/>
      <c r="N261" s="67"/>
      <c r="O261" s="67"/>
      <c r="P261" s="68">
        <f t="shared" si="9"/>
        <v>0</v>
      </c>
      <c r="Q261" s="69"/>
      <c r="R261" s="29"/>
      <c r="S261" s="40"/>
    </row>
    <row r="262" spans="1:19" s="4" customFormat="1" ht="16.5" customHeight="1">
      <c r="A262" s="59">
        <v>2018</v>
      </c>
      <c r="B262" s="60">
        <v>7</v>
      </c>
      <c r="C262" s="60">
        <v>30</v>
      </c>
      <c r="D262" s="70" t="s">
        <v>227</v>
      </c>
      <c r="E262" s="70"/>
      <c r="F262" s="60" t="s">
        <v>40</v>
      </c>
      <c r="G262" s="75" t="s">
        <v>216</v>
      </c>
      <c r="H262" s="73"/>
      <c r="I262" s="73" t="s">
        <v>377</v>
      </c>
      <c r="J262" s="63"/>
      <c r="K262" s="72">
        <v>2300900</v>
      </c>
      <c r="L262" s="65">
        <f t="shared" si="10"/>
        <v>0</v>
      </c>
      <c r="M262" s="66"/>
      <c r="N262" s="67"/>
      <c r="O262" s="67"/>
      <c r="P262" s="68">
        <f t="shared" si="9"/>
        <v>0</v>
      </c>
      <c r="Q262" s="69"/>
      <c r="R262" s="29"/>
      <c r="S262" s="40"/>
    </row>
    <row r="263" spans="1:19" s="4" customFormat="1" ht="16.5" customHeight="1">
      <c r="A263" s="59">
        <v>2018</v>
      </c>
      <c r="B263" s="60">
        <v>7</v>
      </c>
      <c r="C263" s="60">
        <v>30</v>
      </c>
      <c r="D263" s="70" t="s">
        <v>227</v>
      </c>
      <c r="E263" s="70"/>
      <c r="F263" s="60" t="s">
        <v>40</v>
      </c>
      <c r="G263" s="75" t="s">
        <v>216</v>
      </c>
      <c r="H263" s="74"/>
      <c r="I263" s="74" t="s">
        <v>378</v>
      </c>
      <c r="J263" s="63"/>
      <c r="K263" s="72">
        <v>2090900</v>
      </c>
      <c r="L263" s="65">
        <f t="shared" si="10"/>
        <v>0</v>
      </c>
      <c r="M263" s="66"/>
      <c r="N263" s="67"/>
      <c r="O263" s="67"/>
      <c r="P263" s="68">
        <f t="shared" si="9"/>
        <v>0</v>
      </c>
      <c r="Q263" s="69"/>
      <c r="R263" s="29"/>
      <c r="S263" s="40"/>
    </row>
    <row r="264" spans="1:19" s="4" customFormat="1" ht="16.5" customHeight="1">
      <c r="A264" s="59">
        <v>2018</v>
      </c>
      <c r="B264" s="60">
        <v>7</v>
      </c>
      <c r="C264" s="60">
        <v>30</v>
      </c>
      <c r="D264" s="70" t="s">
        <v>227</v>
      </c>
      <c r="E264" s="70"/>
      <c r="F264" s="60" t="s">
        <v>40</v>
      </c>
      <c r="G264" s="75" t="s">
        <v>379</v>
      </c>
      <c r="H264" s="74"/>
      <c r="I264" s="74" t="s">
        <v>380</v>
      </c>
      <c r="J264" s="63"/>
      <c r="K264" s="72">
        <v>2090900</v>
      </c>
      <c r="L264" s="65">
        <f t="shared" si="10"/>
        <v>0</v>
      </c>
      <c r="M264" s="66"/>
      <c r="N264" s="67"/>
      <c r="O264" s="67"/>
      <c r="P264" s="68">
        <f t="shared" si="9"/>
        <v>0</v>
      </c>
      <c r="Q264" s="69"/>
      <c r="R264" s="29"/>
      <c r="S264" s="40"/>
    </row>
    <row r="265" spans="1:19" s="4" customFormat="1" ht="16.5" customHeight="1">
      <c r="A265" s="59">
        <v>2018</v>
      </c>
      <c r="B265" s="60">
        <v>7</v>
      </c>
      <c r="C265" s="60">
        <v>30</v>
      </c>
      <c r="D265" s="70" t="s">
        <v>227</v>
      </c>
      <c r="E265" s="70"/>
      <c r="F265" s="60" t="s">
        <v>40</v>
      </c>
      <c r="G265" s="75" t="s">
        <v>379</v>
      </c>
      <c r="H265" s="73"/>
      <c r="I265" s="73" t="s">
        <v>381</v>
      </c>
      <c r="J265" s="63"/>
      <c r="K265" s="76">
        <v>1670900</v>
      </c>
      <c r="L265" s="65">
        <f t="shared" si="10"/>
        <v>0</v>
      </c>
      <c r="M265" s="66"/>
      <c r="N265" s="67"/>
      <c r="O265" s="67"/>
      <c r="P265" s="68">
        <f t="shared" si="9"/>
        <v>0</v>
      </c>
      <c r="Q265" s="69"/>
      <c r="R265" s="29"/>
      <c r="S265" s="40"/>
    </row>
    <row r="266" spans="1:19" s="4" customFormat="1" ht="16.5" customHeight="1">
      <c r="A266" s="59">
        <v>2018</v>
      </c>
      <c r="B266" s="60">
        <v>7</v>
      </c>
      <c r="C266" s="60">
        <v>30</v>
      </c>
      <c r="D266" s="70" t="s">
        <v>227</v>
      </c>
      <c r="E266" s="70"/>
      <c r="F266" s="60" t="s">
        <v>40</v>
      </c>
      <c r="G266" s="75" t="s">
        <v>379</v>
      </c>
      <c r="H266" s="73"/>
      <c r="I266" s="73" t="s">
        <v>382</v>
      </c>
      <c r="J266" s="63"/>
      <c r="K266" s="76">
        <v>1355900</v>
      </c>
      <c r="L266" s="65">
        <f t="shared" si="10"/>
        <v>0</v>
      </c>
      <c r="M266" s="66"/>
      <c r="N266" s="67"/>
      <c r="O266" s="67"/>
      <c r="P266" s="68">
        <f t="shared" si="9"/>
        <v>0</v>
      </c>
      <c r="Q266" s="69"/>
      <c r="R266" s="29"/>
      <c r="S266" s="40"/>
    </row>
    <row r="267" spans="1:19" ht="16.5" customHeight="1">
      <c r="A267" s="59">
        <v>2018</v>
      </c>
      <c r="B267" s="60">
        <v>7</v>
      </c>
      <c r="C267" s="60">
        <v>30</v>
      </c>
      <c r="D267" s="70" t="s">
        <v>227</v>
      </c>
      <c r="E267" s="70"/>
      <c r="F267" s="60" t="s">
        <v>40</v>
      </c>
      <c r="G267" s="75" t="s">
        <v>383</v>
      </c>
      <c r="H267" s="73"/>
      <c r="I267" s="73" t="s">
        <v>384</v>
      </c>
      <c r="J267" s="63"/>
      <c r="K267" s="76">
        <v>1460900</v>
      </c>
      <c r="L267" s="65">
        <f t="shared" si="10"/>
        <v>0</v>
      </c>
      <c r="M267" s="66"/>
      <c r="N267" s="67"/>
      <c r="O267" s="67"/>
      <c r="P267" s="68">
        <f t="shared" si="9"/>
        <v>0</v>
      </c>
      <c r="Q267" s="69"/>
      <c r="R267" s="29"/>
      <c r="S267" s="40"/>
    </row>
    <row r="268" spans="1:19" ht="16.5" customHeight="1">
      <c r="A268" s="59">
        <v>2018</v>
      </c>
      <c r="B268" s="60">
        <v>7</v>
      </c>
      <c r="C268" s="60">
        <v>30</v>
      </c>
      <c r="D268" s="70" t="s">
        <v>227</v>
      </c>
      <c r="E268" s="70"/>
      <c r="F268" s="60" t="s">
        <v>40</v>
      </c>
      <c r="G268" s="75" t="s">
        <v>385</v>
      </c>
      <c r="H268" s="73"/>
      <c r="I268" s="73" t="s">
        <v>386</v>
      </c>
      <c r="J268" s="63"/>
      <c r="K268" s="77">
        <v>2930900</v>
      </c>
      <c r="L268" s="65">
        <f t="shared" si="10"/>
        <v>0</v>
      </c>
      <c r="M268" s="66"/>
      <c r="N268" s="67"/>
      <c r="O268" s="67"/>
      <c r="P268" s="68">
        <f t="shared" si="9"/>
        <v>0</v>
      </c>
      <c r="Q268" s="69"/>
      <c r="R268" s="29"/>
      <c r="S268" s="40"/>
    </row>
    <row r="269" spans="1:19" ht="16.5" customHeight="1">
      <c r="A269" s="59">
        <v>2018</v>
      </c>
      <c r="B269" s="60">
        <v>7</v>
      </c>
      <c r="C269" s="60">
        <v>30</v>
      </c>
      <c r="D269" s="70" t="s">
        <v>227</v>
      </c>
      <c r="E269" s="70"/>
      <c r="F269" s="60" t="s">
        <v>40</v>
      </c>
      <c r="G269" s="75" t="s">
        <v>385</v>
      </c>
      <c r="H269" s="73"/>
      <c r="I269" s="73" t="s">
        <v>387</v>
      </c>
      <c r="J269" s="60"/>
      <c r="K269" s="77">
        <v>3876900</v>
      </c>
      <c r="L269" s="65">
        <f t="shared" si="10"/>
        <v>0</v>
      </c>
      <c r="M269" s="66"/>
      <c r="N269" s="67"/>
      <c r="O269" s="67"/>
      <c r="P269" s="68">
        <f t="shared" si="9"/>
        <v>0</v>
      </c>
      <c r="Q269" s="69"/>
      <c r="R269" s="29"/>
      <c r="S269" s="40"/>
    </row>
    <row r="270" spans="1:19" ht="16.5" customHeight="1">
      <c r="A270" s="59">
        <v>2018</v>
      </c>
      <c r="B270" s="60">
        <v>7</v>
      </c>
      <c r="C270" s="60">
        <v>30</v>
      </c>
      <c r="D270" s="70" t="s">
        <v>227</v>
      </c>
      <c r="E270" s="70"/>
      <c r="F270" s="60" t="s">
        <v>40</v>
      </c>
      <c r="G270" s="75" t="s">
        <v>385</v>
      </c>
      <c r="H270" s="73"/>
      <c r="I270" s="73" t="s">
        <v>388</v>
      </c>
      <c r="J270" s="60"/>
      <c r="K270" s="77">
        <v>2195900</v>
      </c>
      <c r="L270" s="65">
        <f t="shared" si="10"/>
        <v>0</v>
      </c>
      <c r="M270" s="66"/>
      <c r="N270" s="67"/>
      <c r="O270" s="67"/>
      <c r="P270" s="68">
        <f t="shared" si="9"/>
        <v>0</v>
      </c>
      <c r="Q270" s="69"/>
      <c r="R270" s="29"/>
      <c r="S270" s="40"/>
    </row>
    <row r="271" spans="1:19" ht="16.5" customHeight="1">
      <c r="A271" s="59">
        <v>2018</v>
      </c>
      <c r="B271" s="60">
        <v>7</v>
      </c>
      <c r="C271" s="60">
        <v>30</v>
      </c>
      <c r="D271" s="70" t="s">
        <v>227</v>
      </c>
      <c r="E271" s="70"/>
      <c r="F271" s="60" t="s">
        <v>40</v>
      </c>
      <c r="G271" s="75" t="s">
        <v>389</v>
      </c>
      <c r="H271" s="73"/>
      <c r="I271" s="73" t="s">
        <v>390</v>
      </c>
      <c r="J271" s="60"/>
      <c r="K271" s="77">
        <v>1670900</v>
      </c>
      <c r="L271" s="65">
        <f t="shared" si="10"/>
        <v>0</v>
      </c>
      <c r="M271" s="66"/>
      <c r="N271" s="67"/>
      <c r="O271" s="67"/>
      <c r="P271" s="68">
        <f t="shared" si="9"/>
        <v>0</v>
      </c>
      <c r="Q271" s="69"/>
      <c r="R271" s="29"/>
      <c r="S271" s="40"/>
    </row>
    <row r="272" spans="1:19" ht="16.5" customHeight="1">
      <c r="A272" s="59">
        <v>2018</v>
      </c>
      <c r="B272" s="60">
        <v>7</v>
      </c>
      <c r="C272" s="60">
        <v>30</v>
      </c>
      <c r="D272" s="70" t="s">
        <v>227</v>
      </c>
      <c r="E272" s="70"/>
      <c r="F272" s="60" t="s">
        <v>40</v>
      </c>
      <c r="G272" s="75" t="s">
        <v>389</v>
      </c>
      <c r="H272" s="73"/>
      <c r="I272" s="73" t="s">
        <v>391</v>
      </c>
      <c r="J272" s="60"/>
      <c r="K272" s="77">
        <v>934900</v>
      </c>
      <c r="L272" s="65">
        <f t="shared" si="10"/>
        <v>0</v>
      </c>
      <c r="M272" s="66"/>
      <c r="N272" s="67"/>
      <c r="O272" s="67"/>
      <c r="P272" s="68">
        <f t="shared" si="9"/>
        <v>0</v>
      </c>
      <c r="Q272" s="69"/>
      <c r="R272" s="29"/>
      <c r="S272" s="40"/>
    </row>
    <row r="273" spans="1:19" ht="16.5" customHeight="1">
      <c r="A273" s="59">
        <v>2018</v>
      </c>
      <c r="B273" s="60">
        <v>7</v>
      </c>
      <c r="C273" s="60">
        <v>30</v>
      </c>
      <c r="D273" s="70" t="s">
        <v>227</v>
      </c>
      <c r="E273" s="70"/>
      <c r="F273" s="60" t="s">
        <v>40</v>
      </c>
      <c r="G273" s="75" t="s">
        <v>392</v>
      </c>
      <c r="H273" s="73"/>
      <c r="I273" s="73" t="s">
        <v>393</v>
      </c>
      <c r="J273" s="60"/>
      <c r="K273" s="77">
        <v>724900</v>
      </c>
      <c r="L273" s="65">
        <f t="shared" si="10"/>
        <v>0</v>
      </c>
      <c r="M273" s="66"/>
      <c r="N273" s="67"/>
      <c r="O273" s="67"/>
      <c r="P273" s="68">
        <f t="shared" si="9"/>
        <v>0</v>
      </c>
      <c r="Q273" s="69"/>
      <c r="R273" s="29"/>
      <c r="S273" s="40"/>
    </row>
    <row r="274" spans="1:19" ht="16.5" customHeight="1">
      <c r="A274" s="59">
        <v>2018</v>
      </c>
      <c r="B274" s="60">
        <v>7</v>
      </c>
      <c r="C274" s="60">
        <v>30</v>
      </c>
      <c r="D274" s="70" t="s">
        <v>227</v>
      </c>
      <c r="E274" s="70"/>
      <c r="F274" s="60" t="s">
        <v>40</v>
      </c>
      <c r="G274" s="75" t="s">
        <v>394</v>
      </c>
      <c r="H274" s="73"/>
      <c r="I274" s="73" t="s">
        <v>395</v>
      </c>
      <c r="J274" s="60"/>
      <c r="K274" s="77">
        <v>1355900</v>
      </c>
      <c r="L274" s="65">
        <f t="shared" si="10"/>
        <v>0</v>
      </c>
      <c r="M274" s="66"/>
      <c r="N274" s="67"/>
      <c r="O274" s="67"/>
      <c r="P274" s="68">
        <f t="shared" si="9"/>
        <v>0</v>
      </c>
      <c r="Q274" s="69"/>
      <c r="R274" s="29"/>
      <c r="S274" s="40"/>
    </row>
    <row r="275" spans="1:19" ht="16.5" customHeight="1">
      <c r="A275" s="59">
        <v>2018</v>
      </c>
      <c r="B275" s="60">
        <v>7</v>
      </c>
      <c r="C275" s="60">
        <v>30</v>
      </c>
      <c r="D275" s="70" t="s">
        <v>227</v>
      </c>
      <c r="E275" s="70"/>
      <c r="F275" s="60" t="s">
        <v>40</v>
      </c>
      <c r="G275" s="75" t="s">
        <v>394</v>
      </c>
      <c r="H275" s="73"/>
      <c r="I275" s="73" t="s">
        <v>396</v>
      </c>
      <c r="J275" s="60"/>
      <c r="K275" s="77">
        <v>3140900</v>
      </c>
      <c r="L275" s="65">
        <f t="shared" si="10"/>
        <v>0</v>
      </c>
      <c r="M275" s="66"/>
      <c r="N275" s="67"/>
      <c r="O275" s="67"/>
      <c r="P275" s="68">
        <f t="shared" si="9"/>
        <v>0</v>
      </c>
      <c r="Q275" s="69"/>
      <c r="R275" s="29"/>
      <c r="S275" s="40"/>
    </row>
    <row r="276" spans="1:19" ht="16.5" customHeight="1">
      <c r="A276" s="59">
        <v>2018</v>
      </c>
      <c r="B276" s="60">
        <v>7</v>
      </c>
      <c r="C276" s="60">
        <v>30</v>
      </c>
      <c r="D276" s="70" t="s">
        <v>227</v>
      </c>
      <c r="E276" s="70"/>
      <c r="F276" s="60" t="s">
        <v>23</v>
      </c>
      <c r="G276" s="75" t="s">
        <v>397</v>
      </c>
      <c r="H276" s="73"/>
      <c r="I276" s="73" t="s">
        <v>398</v>
      </c>
      <c r="J276" s="60" t="s">
        <v>404</v>
      </c>
      <c r="K276" s="77">
        <v>719000</v>
      </c>
      <c r="L276" s="65">
        <f>K276*P276</f>
        <v>0</v>
      </c>
      <c r="M276" s="66"/>
      <c r="N276" s="67"/>
      <c r="O276" s="67"/>
      <c r="P276" s="68">
        <f>N276+O276-Q276</f>
        <v>0</v>
      </c>
      <c r="Q276" s="69"/>
      <c r="R276" s="29"/>
      <c r="S276" s="40"/>
    </row>
    <row r="277" spans="1:19" ht="16.5" customHeight="1">
      <c r="A277" s="59">
        <v>2018</v>
      </c>
      <c r="B277" s="60">
        <v>7</v>
      </c>
      <c r="C277" s="60">
        <v>30</v>
      </c>
      <c r="D277" s="70" t="s">
        <v>227</v>
      </c>
      <c r="E277" s="70"/>
      <c r="F277" s="60" t="s">
        <v>23</v>
      </c>
      <c r="G277" s="75" t="s">
        <v>397</v>
      </c>
      <c r="H277" s="73"/>
      <c r="I277" s="73" t="s">
        <v>399</v>
      </c>
      <c r="J277" s="60" t="s">
        <v>404</v>
      </c>
      <c r="K277" s="77">
        <v>749000</v>
      </c>
      <c r="L277" s="65">
        <f>K277*P277</f>
        <v>0</v>
      </c>
      <c r="M277" s="66"/>
      <c r="N277" s="67"/>
      <c r="O277" s="67"/>
      <c r="P277" s="68">
        <f>N277+O277-Q277</f>
        <v>0</v>
      </c>
      <c r="Q277" s="69"/>
      <c r="R277" s="29"/>
      <c r="S277" s="40"/>
    </row>
    <row r="278" spans="1:19" ht="16.5" customHeight="1">
      <c r="A278" s="59">
        <v>2018</v>
      </c>
      <c r="B278" s="60">
        <v>7</v>
      </c>
      <c r="C278" s="60">
        <v>30</v>
      </c>
      <c r="D278" s="70" t="s">
        <v>227</v>
      </c>
      <c r="E278" s="70"/>
      <c r="F278" s="60" t="s">
        <v>23</v>
      </c>
      <c r="G278" s="75" t="s">
        <v>397</v>
      </c>
      <c r="H278" s="73"/>
      <c r="I278" s="73" t="s">
        <v>400</v>
      </c>
      <c r="J278" s="60" t="s">
        <v>404</v>
      </c>
      <c r="K278" s="77">
        <v>779000</v>
      </c>
      <c r="L278" s="65">
        <f>K278*P278</f>
        <v>0</v>
      </c>
      <c r="M278" s="66"/>
      <c r="N278" s="67"/>
      <c r="O278" s="67"/>
      <c r="P278" s="68">
        <f>N278+O278-Q278</f>
        <v>0</v>
      </c>
      <c r="Q278" s="69"/>
      <c r="R278" s="29"/>
      <c r="S278" s="40"/>
    </row>
    <row r="279" spans="1:19" ht="16.5" customHeight="1">
      <c r="A279" s="59">
        <v>2018</v>
      </c>
      <c r="B279" s="60">
        <v>7</v>
      </c>
      <c r="C279" s="60">
        <v>30</v>
      </c>
      <c r="D279" s="70" t="s">
        <v>227</v>
      </c>
      <c r="E279" s="70"/>
      <c r="F279" s="60" t="s">
        <v>23</v>
      </c>
      <c r="G279" s="75" t="s">
        <v>397</v>
      </c>
      <c r="H279" s="73"/>
      <c r="I279" s="73" t="s">
        <v>401</v>
      </c>
      <c r="J279" s="60" t="s">
        <v>404</v>
      </c>
      <c r="K279" s="77">
        <v>959000</v>
      </c>
      <c r="L279" s="65">
        <f>K279*P279</f>
        <v>0</v>
      </c>
      <c r="M279" s="66"/>
      <c r="N279" s="67"/>
      <c r="O279" s="67"/>
      <c r="P279" s="68">
        <f>N279+O279-Q279</f>
        <v>0</v>
      </c>
      <c r="Q279" s="69"/>
      <c r="R279" s="29"/>
      <c r="S279" s="40"/>
    </row>
    <row r="280" spans="1:19" ht="16.5" customHeight="1">
      <c r="A280" s="59">
        <v>2018</v>
      </c>
      <c r="B280" s="60">
        <v>7</v>
      </c>
      <c r="C280" s="60">
        <v>30</v>
      </c>
      <c r="D280" s="70" t="s">
        <v>227</v>
      </c>
      <c r="E280" s="70"/>
      <c r="F280" s="60" t="s">
        <v>23</v>
      </c>
      <c r="G280" s="75" t="s">
        <v>403</v>
      </c>
      <c r="H280" s="73"/>
      <c r="I280" s="73" t="s">
        <v>402</v>
      </c>
      <c r="J280" s="60" t="s">
        <v>404</v>
      </c>
      <c r="K280" s="77">
        <v>989000</v>
      </c>
      <c r="L280" s="65">
        <f t="shared" si="10"/>
        <v>0</v>
      </c>
      <c r="M280" s="66"/>
      <c r="N280" s="67"/>
      <c r="O280" s="67"/>
      <c r="P280" s="68">
        <f t="shared" si="9"/>
        <v>0</v>
      </c>
      <c r="Q280" s="69"/>
      <c r="R280" s="29"/>
      <c r="S280" s="40"/>
    </row>
    <row r="281" spans="1:19" ht="16.5" customHeight="1">
      <c r="A281" s="59">
        <v>2018</v>
      </c>
      <c r="B281" s="60">
        <v>7</v>
      </c>
      <c r="C281" s="60">
        <v>30</v>
      </c>
      <c r="D281" s="70" t="s">
        <v>227</v>
      </c>
      <c r="E281" s="70"/>
      <c r="F281" s="60" t="s">
        <v>23</v>
      </c>
      <c r="G281" s="75" t="s">
        <v>397</v>
      </c>
      <c r="H281" s="73"/>
      <c r="I281" s="73" t="s">
        <v>405</v>
      </c>
      <c r="J281" s="60" t="s">
        <v>406</v>
      </c>
      <c r="K281" s="77">
        <v>759000</v>
      </c>
      <c r="L281" s="65">
        <f t="shared" si="10"/>
        <v>0</v>
      </c>
      <c r="M281" s="66"/>
      <c r="N281" s="67"/>
      <c r="O281" s="67"/>
      <c r="P281" s="68">
        <f t="shared" si="9"/>
        <v>0</v>
      </c>
      <c r="Q281" s="69"/>
      <c r="R281" s="29"/>
      <c r="S281" s="40"/>
    </row>
    <row r="282" spans="1:19" ht="16.5" customHeight="1">
      <c r="A282" s="59">
        <v>2018</v>
      </c>
      <c r="B282" s="60">
        <v>7</v>
      </c>
      <c r="C282" s="60">
        <v>30</v>
      </c>
      <c r="D282" s="70" t="s">
        <v>227</v>
      </c>
      <c r="E282" s="70"/>
      <c r="F282" s="60" t="s">
        <v>23</v>
      </c>
      <c r="G282" s="75" t="s">
        <v>397</v>
      </c>
      <c r="H282" s="73"/>
      <c r="I282" s="73" t="s">
        <v>407</v>
      </c>
      <c r="J282" s="60" t="s">
        <v>406</v>
      </c>
      <c r="K282" s="77">
        <v>789000</v>
      </c>
      <c r="L282" s="65">
        <f t="shared" si="10"/>
        <v>0</v>
      </c>
      <c r="M282" s="66"/>
      <c r="N282" s="67"/>
      <c r="O282" s="67"/>
      <c r="P282" s="68">
        <f t="shared" si="9"/>
        <v>0</v>
      </c>
      <c r="Q282" s="69"/>
      <c r="R282" s="29"/>
      <c r="S282" s="40"/>
    </row>
    <row r="283" spans="1:19" ht="16.5" customHeight="1">
      <c r="A283" s="59">
        <v>2018</v>
      </c>
      <c r="B283" s="60">
        <v>7</v>
      </c>
      <c r="C283" s="60">
        <v>30</v>
      </c>
      <c r="D283" s="70" t="s">
        <v>227</v>
      </c>
      <c r="E283" s="70"/>
      <c r="F283" s="60" t="s">
        <v>23</v>
      </c>
      <c r="G283" s="75" t="s">
        <v>397</v>
      </c>
      <c r="H283" s="73"/>
      <c r="I283" s="73" t="s">
        <v>408</v>
      </c>
      <c r="J283" s="60" t="s">
        <v>406</v>
      </c>
      <c r="K283" s="77">
        <v>819000</v>
      </c>
      <c r="L283" s="65">
        <f t="shared" si="10"/>
        <v>0</v>
      </c>
      <c r="M283" s="66"/>
      <c r="N283" s="67"/>
      <c r="O283" s="67"/>
      <c r="P283" s="68">
        <f t="shared" si="9"/>
        <v>0</v>
      </c>
      <c r="Q283" s="69"/>
      <c r="R283" s="29"/>
      <c r="S283" s="40"/>
    </row>
    <row r="284" spans="1:19" ht="16.5" customHeight="1">
      <c r="A284" s="59">
        <v>2018</v>
      </c>
      <c r="B284" s="60">
        <v>7</v>
      </c>
      <c r="C284" s="60">
        <v>30</v>
      </c>
      <c r="D284" s="70" t="s">
        <v>227</v>
      </c>
      <c r="E284" s="70"/>
      <c r="F284" s="60" t="s">
        <v>23</v>
      </c>
      <c r="G284" s="75" t="s">
        <v>397</v>
      </c>
      <c r="H284" s="73"/>
      <c r="I284" s="73" t="s">
        <v>409</v>
      </c>
      <c r="J284" s="60" t="s">
        <v>406</v>
      </c>
      <c r="K284" s="77">
        <v>909000</v>
      </c>
      <c r="L284" s="65">
        <f t="shared" si="10"/>
        <v>0</v>
      </c>
      <c r="M284" s="66"/>
      <c r="N284" s="67"/>
      <c r="O284" s="67"/>
      <c r="P284" s="68">
        <f t="shared" si="9"/>
        <v>0</v>
      </c>
      <c r="Q284" s="69"/>
      <c r="R284" s="29"/>
      <c r="S284" s="40"/>
    </row>
    <row r="285" spans="1:19" ht="16.5" customHeight="1">
      <c r="A285" s="59">
        <v>2018</v>
      </c>
      <c r="B285" s="60">
        <v>7</v>
      </c>
      <c r="C285" s="60">
        <v>30</v>
      </c>
      <c r="D285" s="70" t="s">
        <v>227</v>
      </c>
      <c r="E285" s="70"/>
      <c r="F285" s="60" t="s">
        <v>23</v>
      </c>
      <c r="G285" s="75" t="s">
        <v>403</v>
      </c>
      <c r="H285" s="73"/>
      <c r="I285" s="73" t="s">
        <v>410</v>
      </c>
      <c r="J285" s="60" t="s">
        <v>406</v>
      </c>
      <c r="K285" s="77">
        <v>949000</v>
      </c>
      <c r="L285" s="65">
        <f t="shared" si="10"/>
        <v>0</v>
      </c>
      <c r="M285" s="66"/>
      <c r="N285" s="67"/>
      <c r="O285" s="67"/>
      <c r="P285" s="68">
        <f t="shared" si="9"/>
        <v>0</v>
      </c>
      <c r="Q285" s="69"/>
      <c r="R285" s="29"/>
      <c r="S285" s="40"/>
    </row>
    <row r="286" spans="1:19" ht="16.5" customHeight="1">
      <c r="A286" s="59">
        <v>2018</v>
      </c>
      <c r="B286" s="60">
        <v>7</v>
      </c>
      <c r="C286" s="60">
        <v>30</v>
      </c>
      <c r="D286" s="70" t="s">
        <v>227</v>
      </c>
      <c r="E286" s="70"/>
      <c r="F286" s="60" t="s">
        <v>23</v>
      </c>
      <c r="G286" s="75" t="s">
        <v>411</v>
      </c>
      <c r="H286" s="73"/>
      <c r="I286" s="73" t="s">
        <v>412</v>
      </c>
      <c r="J286" s="60" t="s">
        <v>404</v>
      </c>
      <c r="K286" s="77">
        <v>1069000</v>
      </c>
      <c r="L286" s="65">
        <f t="shared" si="10"/>
        <v>0</v>
      </c>
      <c r="M286" s="66"/>
      <c r="N286" s="67"/>
      <c r="O286" s="67"/>
      <c r="P286" s="68">
        <f t="shared" si="9"/>
        <v>0</v>
      </c>
      <c r="Q286" s="69"/>
      <c r="R286" s="29"/>
      <c r="S286" s="40"/>
    </row>
    <row r="287" spans="1:19" ht="16.5" customHeight="1">
      <c r="A287" s="59">
        <v>2018</v>
      </c>
      <c r="B287" s="60">
        <v>7</v>
      </c>
      <c r="C287" s="60">
        <v>30</v>
      </c>
      <c r="D287" s="70" t="s">
        <v>227</v>
      </c>
      <c r="E287" s="70"/>
      <c r="F287" s="60" t="s">
        <v>23</v>
      </c>
      <c r="G287" s="75" t="s">
        <v>411</v>
      </c>
      <c r="H287" s="73"/>
      <c r="I287" s="73" t="s">
        <v>413</v>
      </c>
      <c r="J287" s="60" t="s">
        <v>404</v>
      </c>
      <c r="K287" s="77">
        <v>1240000</v>
      </c>
      <c r="L287" s="65">
        <f t="shared" si="10"/>
        <v>0</v>
      </c>
      <c r="M287" s="66"/>
      <c r="N287" s="67"/>
      <c r="O287" s="67"/>
      <c r="P287" s="68">
        <f t="shared" si="9"/>
        <v>0</v>
      </c>
      <c r="Q287" s="69"/>
      <c r="R287" s="29"/>
      <c r="S287" s="40"/>
    </row>
    <row r="288" spans="1:19" ht="16.5" customHeight="1">
      <c r="A288" s="59">
        <v>2018</v>
      </c>
      <c r="B288" s="60">
        <v>7</v>
      </c>
      <c r="C288" s="60">
        <v>30</v>
      </c>
      <c r="D288" s="70" t="s">
        <v>227</v>
      </c>
      <c r="E288" s="70"/>
      <c r="F288" s="60" t="s">
        <v>23</v>
      </c>
      <c r="G288" s="75" t="s">
        <v>411</v>
      </c>
      <c r="H288" s="73"/>
      <c r="I288" s="73" t="s">
        <v>414</v>
      </c>
      <c r="J288" s="60" t="s">
        <v>406</v>
      </c>
      <c r="K288" s="77">
        <v>1009000</v>
      </c>
      <c r="L288" s="65">
        <f t="shared" si="10"/>
        <v>0</v>
      </c>
      <c r="M288" s="66"/>
      <c r="N288" s="67"/>
      <c r="O288" s="67"/>
      <c r="P288" s="68">
        <f t="shared" si="9"/>
        <v>0</v>
      </c>
      <c r="Q288" s="69"/>
      <c r="R288" s="29"/>
      <c r="S288" s="40"/>
    </row>
    <row r="289" spans="1:19" ht="16.5" customHeight="1">
      <c r="A289" s="59">
        <v>2018</v>
      </c>
      <c r="B289" s="60">
        <v>7</v>
      </c>
      <c r="C289" s="60">
        <v>30</v>
      </c>
      <c r="D289" s="70" t="s">
        <v>227</v>
      </c>
      <c r="E289" s="70"/>
      <c r="F289" s="60" t="s">
        <v>23</v>
      </c>
      <c r="G289" s="75" t="s">
        <v>411</v>
      </c>
      <c r="H289" s="73"/>
      <c r="I289" s="73" t="s">
        <v>415</v>
      </c>
      <c r="J289" s="60" t="s">
        <v>406</v>
      </c>
      <c r="K289" s="77">
        <v>1480000</v>
      </c>
      <c r="L289" s="65">
        <f t="shared" si="10"/>
        <v>0</v>
      </c>
      <c r="M289" s="66"/>
      <c r="N289" s="67"/>
      <c r="O289" s="67"/>
      <c r="P289" s="68">
        <f t="shared" si="9"/>
        <v>0</v>
      </c>
      <c r="Q289" s="69"/>
      <c r="R289" s="29"/>
      <c r="S289" s="40"/>
    </row>
    <row r="290" spans="1:19" ht="16.5" customHeight="1">
      <c r="A290" s="59">
        <v>2018</v>
      </c>
      <c r="B290" s="60">
        <v>7</v>
      </c>
      <c r="C290" s="60">
        <v>30</v>
      </c>
      <c r="D290" s="70" t="s">
        <v>227</v>
      </c>
      <c r="E290" s="70"/>
      <c r="F290" s="60" t="s">
        <v>23</v>
      </c>
      <c r="G290" s="75" t="s">
        <v>411</v>
      </c>
      <c r="H290" s="73"/>
      <c r="I290" s="73" t="s">
        <v>416</v>
      </c>
      <c r="J290" s="60" t="s">
        <v>406</v>
      </c>
      <c r="K290" s="77">
        <v>1250000</v>
      </c>
      <c r="L290" s="65">
        <f t="shared" si="10"/>
        <v>0</v>
      </c>
      <c r="M290" s="66"/>
      <c r="N290" s="67"/>
      <c r="O290" s="67"/>
      <c r="P290" s="68">
        <f t="shared" si="9"/>
        <v>0</v>
      </c>
      <c r="Q290" s="69"/>
      <c r="R290" s="29"/>
      <c r="S290" s="40"/>
    </row>
    <row r="291" spans="1:19" ht="16.5" customHeight="1">
      <c r="A291" s="59">
        <v>2018</v>
      </c>
      <c r="B291" s="60">
        <v>7</v>
      </c>
      <c r="C291" s="60">
        <v>30</v>
      </c>
      <c r="D291" s="70" t="s">
        <v>227</v>
      </c>
      <c r="E291" s="70"/>
      <c r="F291" s="60" t="s">
        <v>23</v>
      </c>
      <c r="G291" s="75" t="s">
        <v>411</v>
      </c>
      <c r="H291" s="73"/>
      <c r="I291" s="73" t="s">
        <v>417</v>
      </c>
      <c r="J291" s="60" t="s">
        <v>406</v>
      </c>
      <c r="K291" s="77">
        <v>1380000</v>
      </c>
      <c r="L291" s="65">
        <f>K291*P291</f>
        <v>0</v>
      </c>
      <c r="M291" s="66"/>
      <c r="N291" s="67"/>
      <c r="O291" s="67"/>
      <c r="P291" s="68">
        <f>N291+O291-Q291</f>
        <v>0</v>
      </c>
      <c r="Q291" s="69"/>
      <c r="R291" s="29"/>
      <c r="S291" s="40"/>
    </row>
    <row r="292" spans="1:19" ht="16.5" customHeight="1">
      <c r="A292" s="59">
        <v>2018</v>
      </c>
      <c r="B292" s="60">
        <v>7</v>
      </c>
      <c r="C292" s="60">
        <v>30</v>
      </c>
      <c r="D292" s="70" t="s">
        <v>227</v>
      </c>
      <c r="E292" s="70"/>
      <c r="F292" s="60" t="s">
        <v>418</v>
      </c>
      <c r="G292" s="75" t="s">
        <v>284</v>
      </c>
      <c r="H292" s="75"/>
      <c r="I292" s="75" t="s">
        <v>419</v>
      </c>
      <c r="J292" s="60" t="s">
        <v>294</v>
      </c>
      <c r="K292" s="77">
        <v>935000</v>
      </c>
      <c r="L292" s="65">
        <f>K292*P292</f>
        <v>0</v>
      </c>
      <c r="M292" s="66"/>
      <c r="N292" s="67"/>
      <c r="O292" s="67"/>
      <c r="P292" s="68">
        <f>N292+O292-Q292</f>
        <v>0</v>
      </c>
      <c r="Q292" s="69"/>
      <c r="R292" s="29"/>
      <c r="S292" s="40"/>
    </row>
    <row r="293" spans="1:19" ht="16.5" customHeight="1">
      <c r="A293" s="59">
        <v>2018</v>
      </c>
      <c r="B293" s="60">
        <v>7</v>
      </c>
      <c r="C293" s="60">
        <v>30</v>
      </c>
      <c r="D293" s="70" t="s">
        <v>227</v>
      </c>
      <c r="E293" s="70"/>
      <c r="F293" s="60" t="s">
        <v>418</v>
      </c>
      <c r="G293" s="75" t="s">
        <v>290</v>
      </c>
      <c r="H293" s="73"/>
      <c r="I293" s="73" t="s">
        <v>420</v>
      </c>
      <c r="J293" s="60" t="s">
        <v>294</v>
      </c>
      <c r="K293" s="77">
        <v>1595000</v>
      </c>
      <c r="L293" s="65">
        <f>K293*P293</f>
        <v>0</v>
      </c>
      <c r="M293" s="66"/>
      <c r="N293" s="67"/>
      <c r="O293" s="67"/>
      <c r="P293" s="68">
        <f>N293+O293-Q293</f>
        <v>0</v>
      </c>
      <c r="Q293" s="69"/>
      <c r="R293" s="29"/>
      <c r="S293" s="40"/>
    </row>
    <row r="294" spans="1:19" ht="16.5" customHeight="1">
      <c r="A294" s="59">
        <v>2018</v>
      </c>
      <c r="B294" s="60">
        <v>7</v>
      </c>
      <c r="C294" s="60">
        <v>30</v>
      </c>
      <c r="D294" s="70" t="s">
        <v>227</v>
      </c>
      <c r="E294" s="70"/>
      <c r="F294" s="60"/>
      <c r="G294" s="75" t="s">
        <v>300</v>
      </c>
      <c r="H294" s="73"/>
      <c r="I294" s="73" t="s">
        <v>421</v>
      </c>
      <c r="J294" s="60" t="s">
        <v>294</v>
      </c>
      <c r="K294" s="77">
        <v>1804000</v>
      </c>
      <c r="L294" s="65">
        <f>K294*P294</f>
        <v>0</v>
      </c>
      <c r="M294" s="66"/>
      <c r="N294" s="67"/>
      <c r="O294" s="67"/>
      <c r="P294" s="68">
        <f>N294+O294-Q294</f>
        <v>0</v>
      </c>
      <c r="Q294" s="69"/>
      <c r="R294" s="29"/>
      <c r="S294" s="40"/>
    </row>
    <row r="295" spans="1:19" ht="16.5" customHeight="1">
      <c r="A295" s="59">
        <v>2018</v>
      </c>
      <c r="B295" s="60">
        <v>7</v>
      </c>
      <c r="C295" s="60">
        <v>30</v>
      </c>
      <c r="D295" s="70" t="s">
        <v>227</v>
      </c>
      <c r="E295" s="70"/>
      <c r="F295" s="60"/>
      <c r="G295" s="75" t="s">
        <v>300</v>
      </c>
      <c r="H295" s="73"/>
      <c r="I295" s="73" t="s">
        <v>422</v>
      </c>
      <c r="J295" s="60" t="s">
        <v>294</v>
      </c>
      <c r="K295" s="77">
        <v>2090000</v>
      </c>
      <c r="L295" s="65">
        <f>K295*P295</f>
        <v>0</v>
      </c>
      <c r="M295" s="66"/>
      <c r="N295" s="67"/>
      <c r="O295" s="67"/>
      <c r="P295" s="68">
        <f>N295+O295-Q295</f>
        <v>0</v>
      </c>
      <c r="Q295" s="69"/>
      <c r="R295" s="29"/>
      <c r="S295" s="40"/>
    </row>
    <row r="296" spans="1:19" ht="16.5" customHeight="1" thickBot="1">
      <c r="A296" s="78">
        <v>2018</v>
      </c>
      <c r="B296" s="79">
        <v>7</v>
      </c>
      <c r="C296" s="79">
        <v>30</v>
      </c>
      <c r="D296" s="80" t="s">
        <v>227</v>
      </c>
      <c r="E296" s="80"/>
      <c r="F296" s="79"/>
      <c r="G296" s="81" t="s">
        <v>309</v>
      </c>
      <c r="H296" s="81"/>
      <c r="I296" s="81" t="s">
        <v>423</v>
      </c>
      <c r="J296" s="79" t="s">
        <v>294</v>
      </c>
      <c r="K296" s="83">
        <v>1804000</v>
      </c>
      <c r="L296" s="84">
        <f t="shared" si="10"/>
        <v>0</v>
      </c>
      <c r="M296" s="85"/>
      <c r="N296" s="86"/>
      <c r="O296" s="86"/>
      <c r="P296" s="87">
        <f t="shared" si="9"/>
        <v>0</v>
      </c>
      <c r="Q296" s="88"/>
      <c r="R296" s="29"/>
      <c r="S296" s="40"/>
    </row>
    <row r="297" spans="1:19" ht="16.5" customHeight="1" thickTop="1">
      <c r="A297" s="47"/>
      <c r="B297" s="48"/>
      <c r="C297" s="48"/>
      <c r="D297" s="49"/>
      <c r="E297" s="49"/>
      <c r="F297" s="48"/>
      <c r="G297" s="50"/>
      <c r="H297" s="51"/>
      <c r="I297" s="52"/>
      <c r="J297" s="48"/>
      <c r="K297" s="53"/>
      <c r="L297" s="54">
        <f t="shared" si="10"/>
        <v>0</v>
      </c>
      <c r="M297" s="55"/>
      <c r="N297" s="56"/>
      <c r="O297" s="56"/>
      <c r="P297" s="57">
        <f t="shared" si="9"/>
        <v>0</v>
      </c>
      <c r="Q297" s="58"/>
      <c r="R297" s="29"/>
      <c r="S297" s="40"/>
    </row>
    <row r="298" spans="1:19" ht="16.5" customHeight="1">
      <c r="A298" s="34"/>
      <c r="B298" s="9"/>
      <c r="C298" s="9"/>
      <c r="D298" s="27"/>
      <c r="E298" s="27"/>
      <c r="F298" s="9"/>
      <c r="G298" s="10"/>
      <c r="H298" s="12"/>
      <c r="I298" s="17"/>
      <c r="J298" s="9"/>
      <c r="K298" s="44"/>
      <c r="L298" s="20">
        <f t="shared" si="10"/>
        <v>0</v>
      </c>
      <c r="M298" s="24"/>
      <c r="N298" s="14"/>
      <c r="O298" s="14"/>
      <c r="P298" s="16">
        <f t="shared" si="9"/>
        <v>0</v>
      </c>
      <c r="Q298" s="35"/>
      <c r="R298" s="29"/>
      <c r="S298" s="40"/>
    </row>
    <row r="299" spans="1:19" ht="16.5" customHeight="1">
      <c r="A299" s="34"/>
      <c r="B299" s="9"/>
      <c r="C299" s="9"/>
      <c r="D299" s="27"/>
      <c r="E299" s="27"/>
      <c r="F299" s="9"/>
      <c r="G299" s="10"/>
      <c r="H299" s="12"/>
      <c r="I299" s="17"/>
      <c r="J299" s="9"/>
      <c r="K299" s="44"/>
      <c r="L299" s="20">
        <f t="shared" si="10"/>
        <v>0</v>
      </c>
      <c r="M299" s="24"/>
      <c r="N299" s="14"/>
      <c r="O299" s="14"/>
      <c r="P299" s="16">
        <f t="shared" si="9"/>
        <v>0</v>
      </c>
      <c r="Q299" s="35"/>
      <c r="R299" s="29"/>
      <c r="S299" s="40"/>
    </row>
    <row r="300" spans="1:19" ht="16.14999999999999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30"/>
      <c r="S300" s="8"/>
    </row>
    <row r="301" spans="1:19" ht="16.149999999999999">
      <c r="A301" s="8"/>
      <c r="B301" s="8"/>
      <c r="C301" s="8"/>
      <c r="D301" s="8"/>
      <c r="E301" s="8"/>
      <c r="F301" s="8"/>
      <c r="G301" s="8"/>
      <c r="H301" s="8"/>
      <c r="I301" s="8" t="s">
        <v>139</v>
      </c>
      <c r="J301" s="8"/>
      <c r="K301" s="8"/>
      <c r="L301" s="26"/>
      <c r="M301" s="26">
        <f>SUMIF($F$4:$F$195,"CW",M$4:M$195)</f>
        <v>0</v>
      </c>
      <c r="N301" s="26">
        <f>SUMIF($F$4:$F$195,"CW",N$4:N$195)</f>
        <v>0</v>
      </c>
      <c r="O301" s="26">
        <f>SUMIF($F$4:$F$195,"CW",O$4:O$195)</f>
        <v>0</v>
      </c>
      <c r="P301" s="26">
        <f>SUMIF($F$4:$F$195,"CW",P$4:P$195)</f>
        <v>0</v>
      </c>
      <c r="Q301" s="8"/>
      <c r="R301" s="30"/>
      <c r="S301" s="26"/>
    </row>
    <row r="302" spans="1:19" ht="16.149999999999999">
      <c r="A302" s="8"/>
      <c r="B302" s="8"/>
      <c r="C302" s="8"/>
      <c r="D302" s="8"/>
      <c r="E302" s="8"/>
      <c r="F302" s="8"/>
      <c r="G302" s="8"/>
      <c r="H302" s="8"/>
      <c r="I302" s="8" t="s">
        <v>140</v>
      </c>
      <c r="J302" s="8"/>
      <c r="K302" s="8"/>
      <c r="L302" s="26"/>
      <c r="M302" s="26">
        <f>SUMIF($F$4:$F$195,"sda",M$4:M$195)</f>
        <v>0</v>
      </c>
      <c r="N302" s="26">
        <f>SUMIF($F$4:$F$195,"sda",N$4:N$195)</f>
        <v>0</v>
      </c>
      <c r="O302" s="26">
        <f>SUMIF($F$4:$F$195,"sda",O$4:O$195)</f>
        <v>0</v>
      </c>
      <c r="P302" s="26">
        <f>SUMIF($F$4:$F$195,"sda",P$4:P$195)</f>
        <v>0</v>
      </c>
      <c r="Q302" s="8"/>
      <c r="R302" s="30"/>
      <c r="S302" s="26"/>
    </row>
    <row r="303" spans="1:19" ht="16.149999999999999">
      <c r="A303" s="8"/>
      <c r="B303" s="8"/>
      <c r="C303" s="8"/>
      <c r="D303" s="8"/>
      <c r="E303" s="8"/>
      <c r="F303" s="8"/>
      <c r="G303" s="8"/>
      <c r="H303" s="8"/>
      <c r="I303" s="23" t="s">
        <v>125</v>
      </c>
      <c r="J303" s="8"/>
      <c r="K303" s="23"/>
      <c r="L303" s="25"/>
      <c r="M303" s="25">
        <f>M301+M302</f>
        <v>0</v>
      </c>
      <c r="N303" s="25">
        <f>N301+N302</f>
        <v>0</v>
      </c>
      <c r="O303" s="25">
        <f>O301+O302</f>
        <v>0</v>
      </c>
      <c r="P303" s="25">
        <f>P301+P302</f>
        <v>0</v>
      </c>
      <c r="Q303" s="25">
        <f>Q301+Q302</f>
        <v>0</v>
      </c>
      <c r="R303" s="31"/>
      <c r="S303" s="25"/>
    </row>
    <row r="306" spans="1:19" s="32" customFormat="1">
      <c r="A306"/>
      <c r="B306"/>
      <c r="C306"/>
      <c r="D306"/>
      <c r="E306"/>
      <c r="F306"/>
      <c r="G306"/>
      <c r="H306"/>
      <c r="I306"/>
      <c r="J306"/>
      <c r="K306" s="5"/>
      <c r="L306" s="6"/>
      <c r="M306" s="7"/>
      <c r="N306"/>
      <c r="O306"/>
      <c r="P306"/>
      <c r="Q306"/>
      <c r="S306" s="7"/>
    </row>
    <row r="307" spans="1:19" s="32" customFormat="1">
      <c r="A307"/>
      <c r="B307"/>
      <c r="C307"/>
      <c r="D307"/>
      <c r="E307"/>
      <c r="F307"/>
      <c r="G307"/>
      <c r="H307"/>
      <c r="I307"/>
      <c r="J307"/>
      <c r="K307" s="5"/>
      <c r="L307" s="6"/>
      <c r="M307" s="7"/>
      <c r="N307"/>
      <c r="O307"/>
      <c r="P307"/>
      <c r="Q307"/>
      <c r="S307" s="7"/>
    </row>
    <row r="308" spans="1:19" s="32" customFormat="1">
      <c r="A308"/>
      <c r="B308"/>
      <c r="C308"/>
      <c r="D308"/>
      <c r="E308"/>
      <c r="F308"/>
      <c r="G308"/>
      <c r="H308"/>
      <c r="I308"/>
      <c r="J308"/>
      <c r="K308" s="5"/>
      <c r="L308" s="6"/>
      <c r="M308" s="7"/>
      <c r="N308"/>
      <c r="O308"/>
      <c r="P308"/>
      <c r="Q308"/>
      <c r="S308" s="7"/>
    </row>
    <row r="309" spans="1:19" s="32" customFormat="1">
      <c r="A309"/>
      <c r="B309"/>
      <c r="C309"/>
      <c r="D309"/>
      <c r="E309"/>
      <c r="F309"/>
      <c r="G309"/>
      <c r="H309"/>
      <c r="I309"/>
      <c r="J309"/>
      <c r="K309" s="5"/>
      <c r="L309" s="6"/>
      <c r="M309" s="7"/>
      <c r="N309"/>
      <c r="O309"/>
      <c r="P309"/>
      <c r="Q309"/>
      <c r="S309" s="7"/>
    </row>
    <row r="310" spans="1:19" s="32" customFormat="1">
      <c r="A310"/>
      <c r="B310"/>
      <c r="C310"/>
      <c r="D310"/>
      <c r="E310"/>
      <c r="F310"/>
      <c r="G310"/>
      <c r="H310"/>
      <c r="I310"/>
      <c r="J310"/>
      <c r="K310" s="5"/>
      <c r="L310" s="6"/>
      <c r="M310" s="7"/>
      <c r="N310"/>
      <c r="O310"/>
      <c r="P310"/>
      <c r="Q310"/>
      <c r="S310" s="7"/>
    </row>
    <row r="311" spans="1:19" s="32" customFormat="1">
      <c r="A311"/>
      <c r="B311"/>
      <c r="C311"/>
      <c r="D311"/>
      <c r="E311"/>
      <c r="F311"/>
      <c r="G311"/>
      <c r="H311"/>
      <c r="I311"/>
      <c r="J311"/>
      <c r="K311" s="5"/>
      <c r="L311" s="6"/>
      <c r="M311" s="7"/>
      <c r="N311"/>
      <c r="O311"/>
      <c r="P311"/>
      <c r="Q311"/>
      <c r="S311" s="7"/>
    </row>
    <row r="312" spans="1:19" s="32" customFormat="1">
      <c r="A312"/>
      <c r="B312"/>
      <c r="C312"/>
      <c r="D312"/>
      <c r="E312"/>
      <c r="F312"/>
      <c r="G312"/>
      <c r="H312"/>
      <c r="I312"/>
      <c r="J312"/>
      <c r="K312" s="5"/>
      <c r="L312" s="6"/>
      <c r="M312" s="7"/>
      <c r="N312"/>
      <c r="O312"/>
      <c r="P312"/>
      <c r="Q312"/>
      <c r="S312" s="7"/>
    </row>
    <row r="313" spans="1:19" s="32" customFormat="1">
      <c r="A313"/>
      <c r="B313"/>
      <c r="C313"/>
      <c r="D313"/>
      <c r="E313"/>
      <c r="F313"/>
      <c r="G313"/>
      <c r="H313"/>
      <c r="I313"/>
      <c r="J313"/>
      <c r="K313" s="5"/>
      <c r="L313" s="6"/>
      <c r="M313" s="7"/>
      <c r="N313"/>
      <c r="O313"/>
      <c r="P313"/>
      <c r="Q313"/>
      <c r="S313" s="7"/>
    </row>
    <row r="314" spans="1:19" s="32" customFormat="1">
      <c r="A314"/>
      <c r="B314"/>
      <c r="C314"/>
      <c r="D314"/>
      <c r="E314"/>
      <c r="F314"/>
      <c r="G314"/>
      <c r="H314"/>
      <c r="I314"/>
      <c r="J314"/>
      <c r="K314" s="5"/>
      <c r="L314" s="6"/>
      <c r="M314" s="7"/>
      <c r="N314"/>
      <c r="O314"/>
      <c r="P314"/>
      <c r="Q314"/>
      <c r="S314" s="7"/>
    </row>
    <row r="315" spans="1:19" s="32" customFormat="1">
      <c r="A315"/>
      <c r="B315"/>
      <c r="C315"/>
      <c r="D315"/>
      <c r="E315"/>
      <c r="F315"/>
      <c r="G315"/>
      <c r="H315"/>
      <c r="I315"/>
      <c r="J315"/>
      <c r="K315" s="5"/>
      <c r="L315" s="6"/>
      <c r="M315" s="7"/>
      <c r="N315"/>
      <c r="O315"/>
      <c r="P315"/>
      <c r="Q315"/>
      <c r="S315" s="7"/>
    </row>
    <row r="316" spans="1:19" s="32" customFormat="1">
      <c r="A316"/>
      <c r="B316"/>
      <c r="C316"/>
      <c r="D316"/>
      <c r="E316"/>
      <c r="F316"/>
      <c r="G316"/>
      <c r="H316"/>
      <c r="I316"/>
      <c r="J316"/>
      <c r="K316" s="5"/>
      <c r="L316" s="6"/>
      <c r="M316" s="7"/>
      <c r="N316"/>
      <c r="O316"/>
      <c r="P316"/>
      <c r="Q316"/>
      <c r="S316" s="7"/>
    </row>
    <row r="317" spans="1:19" s="32" customFormat="1">
      <c r="A317"/>
      <c r="B317"/>
      <c r="C317"/>
      <c r="D317"/>
      <c r="E317"/>
      <c r="F317"/>
      <c r="G317"/>
      <c r="H317"/>
      <c r="I317"/>
      <c r="J317"/>
      <c r="K317" s="5"/>
      <c r="L317" s="6"/>
      <c r="M317" s="7"/>
      <c r="N317"/>
      <c r="O317"/>
      <c r="P317"/>
      <c r="Q317"/>
      <c r="S317" s="7"/>
    </row>
    <row r="318" spans="1:19" s="32" customFormat="1">
      <c r="A318"/>
      <c r="B318"/>
      <c r="C318"/>
      <c r="D318"/>
      <c r="E318"/>
      <c r="F318"/>
      <c r="G318"/>
      <c r="H318"/>
      <c r="I318"/>
      <c r="J318"/>
      <c r="K318" s="5"/>
      <c r="L318" s="6"/>
      <c r="M318" s="7"/>
      <c r="N318"/>
      <c r="O318"/>
      <c r="P318"/>
      <c r="Q318"/>
      <c r="S318" s="7"/>
    </row>
    <row r="319" spans="1:19" s="32" customFormat="1">
      <c r="A319"/>
      <c r="B319"/>
      <c r="C319"/>
      <c r="D319"/>
      <c r="E319"/>
      <c r="F319"/>
      <c r="G319"/>
      <c r="H319"/>
      <c r="I319"/>
      <c r="J319"/>
      <c r="K319" s="5"/>
      <c r="L319" s="6"/>
      <c r="M319" s="7"/>
      <c r="N319"/>
      <c r="O319"/>
      <c r="P319"/>
      <c r="Q319"/>
      <c r="S319" s="7"/>
    </row>
    <row r="320" spans="1:19" s="32" customFormat="1">
      <c r="A320"/>
      <c r="B320"/>
      <c r="C320"/>
      <c r="D320"/>
      <c r="E320"/>
      <c r="F320"/>
      <c r="G320"/>
      <c r="H320"/>
      <c r="I320"/>
      <c r="J320"/>
      <c r="K320" s="5"/>
      <c r="L320" s="6"/>
      <c r="M320" s="7"/>
      <c r="N320"/>
      <c r="O320"/>
      <c r="P320"/>
      <c r="Q320"/>
      <c r="S320" s="7"/>
    </row>
    <row r="321" spans="1:19" s="32" customFormat="1">
      <c r="A321"/>
      <c r="B321"/>
      <c r="C321"/>
      <c r="D321"/>
      <c r="E321"/>
      <c r="F321"/>
      <c r="G321"/>
      <c r="H321"/>
      <c r="I321"/>
      <c r="J321"/>
      <c r="K321" s="5"/>
      <c r="L321" s="6"/>
      <c r="M321" s="7"/>
      <c r="N321"/>
      <c r="O321"/>
      <c r="P321"/>
      <c r="Q321"/>
      <c r="S321" s="7"/>
    </row>
    <row r="322" spans="1:19" s="32" customFormat="1">
      <c r="A322"/>
      <c r="B322"/>
      <c r="C322"/>
      <c r="D322"/>
      <c r="E322"/>
      <c r="F322"/>
      <c r="G322"/>
      <c r="H322"/>
      <c r="I322"/>
      <c r="J322"/>
      <c r="K322" s="5"/>
      <c r="L322" s="6"/>
      <c r="M322" s="7"/>
      <c r="N322"/>
      <c r="O322"/>
      <c r="P322"/>
      <c r="Q322"/>
      <c r="S322" s="7"/>
    </row>
    <row r="323" spans="1:19" s="32" customFormat="1">
      <c r="A323"/>
      <c r="B323"/>
      <c r="C323"/>
      <c r="D323"/>
      <c r="E323"/>
      <c r="F323"/>
      <c r="G323"/>
      <c r="H323"/>
      <c r="I323"/>
      <c r="J323"/>
      <c r="K323" s="5"/>
      <c r="L323" s="6"/>
      <c r="M323" s="7"/>
      <c r="N323"/>
      <c r="O323"/>
      <c r="P323"/>
      <c r="Q323"/>
      <c r="S323" s="7"/>
    </row>
    <row r="324" spans="1:19" s="32" customFormat="1">
      <c r="A324"/>
      <c r="B324"/>
      <c r="C324"/>
      <c r="D324"/>
      <c r="E324"/>
      <c r="F324"/>
      <c r="G324"/>
      <c r="H324"/>
      <c r="I324"/>
      <c r="J324"/>
      <c r="K324" s="5"/>
      <c r="L324" s="6"/>
      <c r="M324" s="7"/>
      <c r="N324"/>
      <c r="O324"/>
      <c r="P324"/>
      <c r="Q324"/>
      <c r="S324" s="7"/>
    </row>
    <row r="325" spans="1:19" s="32" customFormat="1">
      <c r="A325"/>
      <c r="B325"/>
      <c r="C325"/>
      <c r="D325"/>
      <c r="E325"/>
      <c r="F325"/>
      <c r="G325"/>
      <c r="H325"/>
      <c r="I325"/>
      <c r="J325"/>
      <c r="K325" s="5"/>
      <c r="L325" s="6"/>
      <c r="M325" s="7"/>
      <c r="N325"/>
      <c r="O325"/>
      <c r="P325"/>
      <c r="Q325"/>
      <c r="S325" s="7"/>
    </row>
    <row r="326" spans="1:19" s="32" customFormat="1">
      <c r="A326"/>
      <c r="B326"/>
      <c r="C326"/>
      <c r="D326"/>
      <c r="E326"/>
      <c r="F326"/>
      <c r="G326"/>
      <c r="H326"/>
      <c r="I326"/>
      <c r="J326"/>
      <c r="K326" s="5"/>
      <c r="L326" s="6"/>
      <c r="M326" s="7"/>
      <c r="N326"/>
      <c r="O326"/>
      <c r="P326"/>
      <c r="Q326"/>
      <c r="S326" s="7"/>
    </row>
    <row r="327" spans="1:19" s="32" customFormat="1">
      <c r="A327"/>
      <c r="B327"/>
      <c r="C327"/>
      <c r="D327"/>
      <c r="E327"/>
      <c r="F327"/>
      <c r="G327"/>
      <c r="H327"/>
      <c r="I327"/>
      <c r="J327"/>
      <c r="K327" s="5"/>
      <c r="L327" s="6"/>
      <c r="M327" s="7"/>
      <c r="N327"/>
      <c r="O327"/>
      <c r="P327"/>
      <c r="Q327"/>
      <c r="S327" s="7"/>
    </row>
    <row r="328" spans="1:19" s="32" customFormat="1">
      <c r="A328"/>
      <c r="B328"/>
      <c r="C328"/>
      <c r="D328"/>
      <c r="E328"/>
      <c r="F328"/>
      <c r="G328"/>
      <c r="H328"/>
      <c r="I328"/>
      <c r="J328"/>
      <c r="K328" s="5"/>
      <c r="L328" s="6"/>
      <c r="M328" s="7"/>
      <c r="N328"/>
      <c r="O328"/>
      <c r="P328"/>
      <c r="Q328"/>
      <c r="S328" s="7"/>
    </row>
    <row r="329" spans="1:19" s="32" customFormat="1">
      <c r="A329"/>
      <c r="B329"/>
      <c r="C329"/>
      <c r="D329"/>
      <c r="E329"/>
      <c r="F329"/>
      <c r="G329"/>
      <c r="H329"/>
      <c r="I329"/>
      <c r="J329"/>
      <c r="K329" s="5"/>
      <c r="L329" s="6"/>
      <c r="M329" s="7"/>
      <c r="N329"/>
      <c r="O329"/>
      <c r="P329"/>
      <c r="Q329"/>
      <c r="S329" s="7"/>
    </row>
    <row r="330" spans="1:19" s="32" customFormat="1">
      <c r="A330"/>
      <c r="B330"/>
      <c r="C330"/>
      <c r="D330"/>
      <c r="E330"/>
      <c r="F330"/>
      <c r="G330"/>
      <c r="H330"/>
      <c r="I330"/>
      <c r="J330"/>
      <c r="K330" s="5"/>
      <c r="L330" s="6"/>
      <c r="M330" s="7"/>
      <c r="N330"/>
      <c r="O330"/>
      <c r="P330"/>
      <c r="Q330"/>
      <c r="S330" s="7"/>
    </row>
    <row r="331" spans="1:19" s="32" customFormat="1">
      <c r="A331"/>
      <c r="B331"/>
      <c r="C331"/>
      <c r="D331"/>
      <c r="E331"/>
      <c r="F331"/>
      <c r="G331"/>
      <c r="H331"/>
      <c r="I331"/>
      <c r="J331"/>
      <c r="K331" s="5"/>
      <c r="L331" s="6"/>
      <c r="M331" s="7"/>
      <c r="N331"/>
      <c r="O331"/>
      <c r="P331"/>
      <c r="Q331"/>
      <c r="S331" s="7"/>
    </row>
    <row r="332" spans="1:19" s="32" customFormat="1">
      <c r="A332"/>
      <c r="B332"/>
      <c r="C332"/>
      <c r="D332"/>
      <c r="E332"/>
      <c r="F332"/>
      <c r="G332"/>
      <c r="H332"/>
      <c r="I332"/>
      <c r="J332"/>
      <c r="K332" s="5"/>
      <c r="L332" s="6"/>
      <c r="M332" s="7"/>
      <c r="N332"/>
      <c r="O332"/>
      <c r="P332"/>
      <c r="Q332"/>
      <c r="S332" s="7"/>
    </row>
    <row r="333" spans="1:19" s="32" customFormat="1">
      <c r="A333"/>
      <c r="B333"/>
      <c r="C333"/>
      <c r="D333"/>
      <c r="E333"/>
      <c r="F333"/>
      <c r="G333"/>
      <c r="H333"/>
      <c r="I333"/>
      <c r="J333"/>
      <c r="K333" s="5"/>
      <c r="L333" s="6"/>
      <c r="M333" s="7"/>
      <c r="N333"/>
      <c r="O333"/>
      <c r="P333"/>
      <c r="Q333"/>
      <c r="S333" s="7"/>
    </row>
    <row r="334" spans="1:19" s="32" customFormat="1">
      <c r="A334"/>
      <c r="B334"/>
      <c r="C334"/>
      <c r="D334"/>
      <c r="E334"/>
      <c r="F334"/>
      <c r="G334"/>
      <c r="H334"/>
      <c r="I334"/>
      <c r="J334"/>
      <c r="K334" s="5"/>
      <c r="L334" s="6"/>
      <c r="M334" s="7"/>
      <c r="N334"/>
      <c r="O334"/>
      <c r="P334"/>
      <c r="Q334"/>
      <c r="S334" s="7"/>
    </row>
    <row r="335" spans="1:19" s="32" customFormat="1">
      <c r="A335"/>
      <c r="B335"/>
      <c r="C335"/>
      <c r="D335"/>
      <c r="E335"/>
      <c r="F335"/>
      <c r="G335"/>
      <c r="H335"/>
      <c r="I335"/>
      <c r="J335"/>
      <c r="K335" s="5"/>
      <c r="L335" s="6"/>
      <c r="M335" s="7"/>
      <c r="N335"/>
      <c r="O335"/>
      <c r="P335"/>
      <c r="Q335"/>
      <c r="S335" s="7"/>
    </row>
    <row r="336" spans="1:19" s="32" customFormat="1">
      <c r="A336"/>
      <c r="B336"/>
      <c r="C336"/>
      <c r="D336"/>
      <c r="E336"/>
      <c r="F336"/>
      <c r="G336"/>
      <c r="H336"/>
      <c r="I336"/>
      <c r="J336"/>
      <c r="K336" s="5"/>
      <c r="L336" s="6"/>
      <c r="M336" s="7"/>
      <c r="N336"/>
      <c r="O336"/>
      <c r="P336"/>
      <c r="Q336"/>
      <c r="S336" s="7"/>
    </row>
    <row r="337" spans="1:19" s="32" customFormat="1">
      <c r="A337"/>
      <c r="B337"/>
      <c r="C337"/>
      <c r="D337"/>
      <c r="E337"/>
      <c r="F337"/>
      <c r="G337"/>
      <c r="H337"/>
      <c r="I337"/>
      <c r="J337"/>
      <c r="K337" s="5"/>
      <c r="L337" s="6"/>
      <c r="M337" s="7"/>
      <c r="N337"/>
      <c r="O337"/>
      <c r="P337"/>
      <c r="Q337"/>
      <c r="S337" s="7"/>
    </row>
    <row r="338" spans="1:19" s="32" customFormat="1">
      <c r="A338"/>
      <c r="B338"/>
      <c r="C338"/>
      <c r="D338"/>
      <c r="E338"/>
      <c r="F338"/>
      <c r="G338"/>
      <c r="H338"/>
      <c r="I338"/>
      <c r="J338"/>
      <c r="K338" s="5"/>
      <c r="L338" s="6"/>
      <c r="M338" s="7"/>
      <c r="N338"/>
      <c r="O338"/>
      <c r="P338"/>
      <c r="Q338"/>
      <c r="S338" s="7"/>
    </row>
    <row r="339" spans="1:19" s="32" customFormat="1">
      <c r="A339"/>
      <c r="B339"/>
      <c r="C339"/>
      <c r="D339"/>
      <c r="E339"/>
      <c r="F339"/>
      <c r="G339"/>
      <c r="H339"/>
      <c r="I339"/>
      <c r="J339"/>
      <c r="K339" s="5"/>
      <c r="L339" s="6"/>
      <c r="M339" s="7"/>
      <c r="N339"/>
      <c r="O339"/>
      <c r="P339"/>
      <c r="Q339"/>
      <c r="S339" s="7"/>
    </row>
    <row r="340" spans="1:19" s="32" customFormat="1">
      <c r="A340"/>
      <c r="B340"/>
      <c r="C340"/>
      <c r="D340"/>
      <c r="E340"/>
      <c r="F340"/>
      <c r="G340"/>
      <c r="H340"/>
      <c r="I340"/>
      <c r="J340"/>
      <c r="K340" s="5"/>
      <c r="L340" s="6"/>
      <c r="M340" s="7"/>
      <c r="N340"/>
      <c r="O340"/>
      <c r="P340"/>
      <c r="Q340"/>
      <c r="S340" s="7"/>
    </row>
    <row r="341" spans="1:19" s="32" customFormat="1">
      <c r="A341"/>
      <c r="B341"/>
      <c r="C341"/>
      <c r="D341"/>
      <c r="E341"/>
      <c r="F341"/>
      <c r="G341"/>
      <c r="H341"/>
      <c r="I341"/>
      <c r="J341"/>
      <c r="K341" s="5"/>
      <c r="L341" s="6"/>
      <c r="M341" s="7"/>
      <c r="N341"/>
      <c r="O341"/>
      <c r="P341"/>
      <c r="Q341"/>
      <c r="S341" s="7"/>
    </row>
  </sheetData>
  <autoFilter ref="A3:Q303"/>
  <mergeCells count="14">
    <mergeCell ref="F2:F3"/>
    <mergeCell ref="A2:A3"/>
    <mergeCell ref="B2:B3"/>
    <mergeCell ref="C2:C3"/>
    <mergeCell ref="D2:D3"/>
    <mergeCell ref="E2:E3"/>
    <mergeCell ref="M2:Q2"/>
    <mergeCell ref="S2:S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 TUẦN</vt:lpstr>
      <vt:lpstr> </vt:lpstr>
      <vt:lpstr>List Model</vt:lpstr>
      <vt:lpstr>Sheet1</vt:lpstr>
      <vt:lpstr>BAO CAO DS SUPOR (2)</vt:lpstr>
    </vt:vector>
  </TitlesOfParts>
  <Company>elux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Bao Doan</cp:lastModifiedBy>
  <cp:lastPrinted>2017-09-18T06:57:16Z</cp:lastPrinted>
  <dcterms:created xsi:type="dcterms:W3CDTF">2004-11-05T02:28:48Z</dcterms:created>
  <dcterms:modified xsi:type="dcterms:W3CDTF">2020-05-21T04:14:03Z</dcterms:modified>
</cp:coreProperties>
</file>