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C79" i="44"/>
  <c r="AC78" i="44"/>
  <c r="AC77" i="44"/>
  <c r="AC76" i="44"/>
  <c r="AC75" i="44"/>
  <c r="AC74" i="44"/>
  <c r="AC73" i="44"/>
  <c r="AC72" i="44"/>
  <c r="AC71" i="44"/>
  <c r="AC69" i="44"/>
  <c r="AC68" i="44"/>
  <c r="AB31" i="44"/>
  <c r="Y80" i="44"/>
  <c r="Y78" i="44"/>
  <c r="Y76" i="44"/>
  <c r="Y74" i="44"/>
  <c r="Y75" i="44"/>
  <c r="Y73" i="44"/>
  <c r="Y72" i="44"/>
  <c r="Y71" i="44"/>
  <c r="Y70" i="44"/>
  <c r="Y69" i="44"/>
  <c r="Y68" i="44"/>
  <c r="Y67" i="44"/>
  <c r="Y66" i="44"/>
  <c r="Y65" i="44"/>
  <c r="AE61" i="44" l="1"/>
  <c r="AD61" i="44"/>
  <c r="AC61" i="44"/>
  <c r="AE60" i="44"/>
  <c r="AD60" i="44"/>
  <c r="AC60" i="44"/>
  <c r="AB61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66" i="44"/>
  <c r="AH51" i="44"/>
  <c r="AH49" i="44"/>
  <c r="AH48" i="44"/>
  <c r="AH47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<sst xmlns="http://schemas.openxmlformats.org/spreadsheetml/2006/main" count="6400" uniqueCount="671">
  <si>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</si>
  <si>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</si>
  <si>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</si>
  <si>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</si>
  <si>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</si>
  <si>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</si>
  <si>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</si>
  <si>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</si>
  <si>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</si>
  <si>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</si>
  <si>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</si>
  <si>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</si>
  <si>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</si>
  <si>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</si>
  <si>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</si>
  <si>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</si>
  <si>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</si>
  <si>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</si>
  <si>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</si>
  <si>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</si>
  <si>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</si>
  <si>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</si>
  <si>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</si>
  <si>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</si>
  <si>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</si>
  <si>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</si>
  <si>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</si>
  <si>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</si>
  <si>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</si>
  <si>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</si>
  <si>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</si>
  <si>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</si>
  <si>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</si>
  <si>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</si>
  <si>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</si>
  <si>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</si>
  <si>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</si>
  <si>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</si>
  <si>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</si>
  <si>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</si>
  <si>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</si>
  <si>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</si>
  <si>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</si>
  <si>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</si>
  <si>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</si>
  <si>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</si>
  <si>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</si>
  <si>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</si>
  <si>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</si>
  <si>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</si>
  <si>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</si>
  <si>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</si>
  <si>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</si>
  <si>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</si>
  <si>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</si>
  <si>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</si>
  <si>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</si>
  <si>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</si>
  <si>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</si>
  <si>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</si>
  <si>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</si>
  <si>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</si>
  <si>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</si>
  <si>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</si>
  <si>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</si>
  <si>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</si>
  <si>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</si>
  <si>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</si>
  <si>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</si>
  <si>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</si>
  <si>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</si>
  <si>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</si>
  <si>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</si>
  <si>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</si>
  <si>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</si>
  <si>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</si>
  <si>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</si>
  <si>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</si>
  <si>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</si>
  <si>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</si>
  <si>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</si>
  <si>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</si>
  <si>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</si>
  <si>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</si>
  <si>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</si>
  <si>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</si>
  <si>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</si>
  <si>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</si>
  <si>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</si>
  <si>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</si>
  <si>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</si>
  <si>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</si>
  <si>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</si>
  <si>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</si>
  <si>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</si>
  <si>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</si>
  <si>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</si>
  <si>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</si>
  <si>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</si>
  <si>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</si>
  <si>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</si>
  <si>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</si>
  <si>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</si>
  <si>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</si>
  <si>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</si>
  <si>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</si>
  <si>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</si>
  <si>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</si>
  <si>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</si>
  <si>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</si>
  <si>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</si>
  <si>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</si>
  <si>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</si>
  <si>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</si>
  <si>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</si>
  <si>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</si>
  <si>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</si>
  <si>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</si>
  <si>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</si>
  <si>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</si>
  <si>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</si>
  <si>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</si>
  <si>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</si>
  <si>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</si>
  <si>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</si>
  <si>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</si>
  <si>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</si>
  <si>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</si>
  <si>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</si>
  <si>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</si>
  <si>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</si>
  <si>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</si>
  <si>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</si>
  <si>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</si>
  <si>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</si>
  <si>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</si>
  <si>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</si>
  <si>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</si>
  <si>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</si>
  <si>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</si>
  <si>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</si>
  <si>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</si>
  <si>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</si>
  <si>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</si>
  <si>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</si>
  <si>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</si>
  <si>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</si>
  <si>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</si>
  <si>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</si>
  <si>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</si>
  <si>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</si>
  <si>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</si>
  <si>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</si>
  <si>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</si>
  <si>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</si>
  <si>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</si>
  <si>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</si>
  <si>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</si>
  <si>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</si>
  <si>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</si>
  <si>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</si>
  <si>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</si>
  <si>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</si>
  <si>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</si>
  <si>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</si>
  <si>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</si>
  <si>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</si>
  <si>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</si>
  <si>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</si>
  <si>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</si>
  <si>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</si>
  <si>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</si>
  <si>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</si>
  <si>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</si>
  <si>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</si>
  <si>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</si>
  <si>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</si>
  <si>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</si>
  <si>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</si>
  <si>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</si>
  <si>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</si>
  <si>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</si>
  <si>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</si>
  <si>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</si>
  <si>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</si>
  <si>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</si>
  <si>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</si>
  <si>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</si>
  <si>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</si>
  <si>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</si>
  <si>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</si>
  <si>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</si>
  <si>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</si>
  <si>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</si>
  <si>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</si>
  <si>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</si>
  <si>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</si>
  <si>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</si>
  <si>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</si>
  <si>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</si>
  <si>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</si>
  <si>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</si>
  <si>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</si>
  <si>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</si>
  <si>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</si>
  <si>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</si>
  <si>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</si>
  <si>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</si>
  <si>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</si>
  <si>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</si>
  <si>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</si>
  <si>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</si>
  <si>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</si>
  <si>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</si>
  <si>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</si>
  <si>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</si>
  <si>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</si>
  <si>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</si>
  <si>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</si>
  <si>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</si>
  <si>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</si>
  <si>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</si>
  <si>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</si>
  <si>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</si>
  <si>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</si>
  <si>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</si>
  <si>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</si>
  <si>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</si>
  <si>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</si>
  <si>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</si>
  <si>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</si>
  <si>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</si>
  <si>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</si>
  <si>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</si>
  <si>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</si>
  <si>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</si>
  <si>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</si>
  <si>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</si>
  <si>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</si>
  <si>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</si>
  <si>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</si>
  <si>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</si>
  <si>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</si>
  <si>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</si>
  <si>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</si>
  <si>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</si>
  <si>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</si>
  <si>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</si>
  <si>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</si>
  <si>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</si>
  <si>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</si>
  <si>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</si>
  <si>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</si>
  <si>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</si>
  <si>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</si>
  <si>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</si>
  <si>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</si>
  <si>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</si>
  <si>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</si>
  <si>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</si>
  <si>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</si>
  <si>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</si>
  <si>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</si>
  <si>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</si>
  <si>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</si>
  <si>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</si>
  <si>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</si>
  <si>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</si>
  <si>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</si>
  <si>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</si>
  <si>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</si>
  <si>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</si>
  <si>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</si>
  <si>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</si>
  <si>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</si>
  <si>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</si>
  <si>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</si>
  <si>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</si>
  <si>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</si>
  <si>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</si>
  <si>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</si>
  <si>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</si>
  <si>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</si>
  <si>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</si>
  <si>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</si>
  <si>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</si>
  <si>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</si>
  <si>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</si>
  <si>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</si>
  <si>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</si>
  <si>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</si>
  <si>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</si>
  <si>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</si>
  <si>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</si>
  <si>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</si>
  <si>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</si>
  <si>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</si>
  <si>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</si>
  <si>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</si>
  <si>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</si>
  <si>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</si>
  <si>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</si>
  <si>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</si>
  <si>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</si>
  <si>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</si>
  <si>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</si>
  <si>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</si>
  <si>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</si>
  <si>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</si>
  <si>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</si>
  <si>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</si>
  <si>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</si>
  <si>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</si>
  <si>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</si>
  <si>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</si>
  <si>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</si>
  <si>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</si>
  <si>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</si>
  <si>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</si>
  <si>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</si>
  <si>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</si>
  <si>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</si>
  <si>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</si>
  <si>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</si>
  <si>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</si>
  <si>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</si>
  <si>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</si>
  <si>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</si>
  <si>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</si>
  <si>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</si>
  <si>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</si>
  <si>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</si>
  <si>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</si>
  <si>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</si>
  <si>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</si>
  <si>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</si>
  <si>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</si>
  <si>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</si>
  <si>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</si>
  <si>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</si>
  <si>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</si>
  <si>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</si>
  <si>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</si>
  <si>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</si>
  <si>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</si>
  <si>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</si>
  <si>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</si>
  <si>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</si>
  <si>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</si>
  <si>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</si>
  <si>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</si>
  <si>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</si>
  <si>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</si>
  <si>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</si>
  <si>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</si>
  <si>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</si>
  <si>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</si>
  <si>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</si>
  <si>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</si>
  <si>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</si>
  <si>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</si>
  <si>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</si>
  <si>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</si>
  <si>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</si>
  <si>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</si>
  <si>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</si>
  <si>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</si>
  <si>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</si>
  <si>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</si>
  <si>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</si>
  <si>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</si>
  <si>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</si>
  <si>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</si>
  <si>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</si>
  <si>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</si>
  <si>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</si>
  <si>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</si>
  <si>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</si>
  <si>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</si>
  <si>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</si>
  <si>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</si>
  <si>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</si>
  <si>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</si>
  <si>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</si>
  <si>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</si>
  <si>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</si>
  <si>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</si>
  <si>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</si>
  <si>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</si>
  <si>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</si>
  <si>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</si>
  <si>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</si>
  <si>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</si>
  <si>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203.162.69.18,17882</t>
  </si>
  <si>
    <t>Thiết bị không thuộc diện bảo hành</t>
  </si>
  <si>
    <t>lock : 027.000.012.023,09008</t>
  </si>
  <si>
    <t>LE.1.00.---01.181005</t>
  </si>
  <si>
    <t>Xuất bán Ngọc Kim Anh</t>
  </si>
  <si>
    <t>Thiết bị thuộc khách lẻ VNET</t>
  </si>
  <si>
    <t>Xuất bán TechGlobal</t>
  </si>
  <si>
    <t>112.213.085.066,09008</t>
  </si>
  <si>
    <t>Thiết bị lỗi module GPS</t>
  </si>
  <si>
    <t>SE.4.00.---02.190820</t>
  </si>
  <si>
    <t>Thiết bị tràn tin nhắn</t>
  </si>
  <si>
    <t>Xử lý phần mềm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</si>
  <si>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</si>
  <si>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</si>
  <si>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</si>
  <si>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</si>
  <si>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</si>
  <si>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</si>
  <si>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</si>
  <si>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</si>
  <si>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</si>
  <si>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</si>
  <si>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</si>
  <si>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</si>
  <si>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</si>
  <si>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</si>
  <si>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</si>
  <si>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</si>
  <si>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</si>
  <si>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</si>
  <si>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</si>
  <si>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</si>
  <si>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</si>
  <si>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</si>
  <si>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</si>
  <si>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</si>
  <si>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</si>
  <si>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</si>
  <si>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</si>
  <si>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</si>
  <si>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</si>
  <si>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</si>
  <si>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</si>
  <si>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</si>
  <si>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</si>
  <si>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</si>
  <si>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</si>
  <si>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</si>
  <si>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</si>
  <si>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</si>
  <si>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</si>
  <si>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</si>
  <si>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</si>
  <si>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</si>
  <si>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</si>
  <si>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</si>
  <si>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</si>
  <si>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</si>
  <si>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</si>
  <si>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</si>
  <si>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</si>
  <si>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</si>
  <si>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</si>
  <si>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</si>
  <si>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</si>
  <si>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</si>
  <si>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</si>
  <si>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</si>
  <si>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</si>
  <si>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</si>
  <si>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</si>
  <si>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</si>
  <si>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</si>
  <si>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</si>
  <si>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</si>
  <si>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</si>
  <si>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</si>
  <si>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</si>
  <si>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</si>
  <si>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</si>
  <si>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</si>
  <si>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</si>
  <si>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</si>
  <si>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</si>
  <si>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</si>
  <si>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</si>
  <si>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</si>
  <si>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</si>
  <si>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</si>
  <si>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</si>
  <si>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</si>
  <si>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</si>
  <si>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</si>
  <si>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</si>
  <si>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</si>
  <si>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</si>
  <si>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</si>
  <si>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</si>
  <si>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</si>
  <si>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</si>
  <si>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</si>
  <si>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</si>
  <si>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</si>
  <si>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</si>
  <si>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</si>
  <si>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</si>
  <si>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</si>
  <si>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</si>
  <si>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</si>
  <si>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</si>
  <si>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</si>
  <si>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</si>
  <si>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</si>
  <si>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</si>
  <si>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</si>
  <si>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</si>
  <si>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</si>
  <si>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</si>
  <si>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</si>
  <si>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</si>
  <si>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</si>
  <si>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</si>
  <si>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</si>
  <si>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</si>
  <si>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</si>
  <si>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</si>
  <si>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</si>
  <si>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</si>
  <si>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</si>
  <si>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</si>
  <si>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</si>
  <si>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</si>
  <si>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</si>
  <si>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</si>
  <si>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</si>
  <si>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</si>
  <si>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</si>
  <si>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</si>
  <si>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</si>
  <si>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</si>
  <si>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</si>
  <si>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</si>
  <si>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</si>
  <si>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</si>
  <si>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</si>
  <si>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</si>
  <si>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</si>
  <si>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</si>
  <si>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</si>
  <si>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</si>
  <si>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</si>
  <si>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</si>
  <si>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</si>
  <si>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</si>
  <si>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</si>
  <si>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</si>
  <si>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</si>
  <si>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</si>
  <si>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</si>
  <si>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</si>
  <si>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</si>
  <si>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</si>
  <si>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</si>
  <si>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</si>
  <si>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</si>
  <si>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</si>
  <si>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</si>
  <si>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</si>
  <si>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</si>
  <si>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</si>
  <si>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</si>
  <si>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</si>
  <si>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</si>
  <si>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</si>
  <si>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</si>
  <si>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</si>
  <si>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</si>
  <si>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</si>
  <si>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</si>
  <si>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</si>
  <si>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Bần giao cho LỰC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</si>
  <si>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</si>
  <si>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</si>
  <si>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</si>
  <si>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</si>
  <si>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</si>
  <si>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</si>
  <si>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</si>
  <si>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</si>
  <si>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</si>
  <si>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</si>
  <si>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</si>
  <si>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</si>
  <si>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</si>
  <si>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</si>
  <si>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</si>
  <si>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</si>
  <si>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</si>
  <si>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</si>
  <si>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</si>
  <si>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</si>
  <si>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</si>
  <si>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</si>
  <si>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</si>
  <si>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</si>
  <si>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</si>
  <si>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</si>
  <si>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</si>
  <si>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</si>
  <si>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</si>
  <si>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</si>
  <si>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</si>
  <si>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</si>
  <si>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</si>
  <si>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</si>
  <si>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</si>
  <si>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</si>
  <si>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</si>
  <si>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</si>
  <si>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</si>
  <si>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</si>
  <si>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</si>
  <si>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</si>
  <si>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</si>
  <si>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</si>
  <si>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</si>
  <si>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</si>
  <si>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</si>
  <si>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</si>
  <si>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</si>
  <si>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</si>
  <si>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</si>
  <si>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</si>
  <si>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</si>
  <si>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</si>
  <si>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</si>
  <si>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</si>
  <si>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</si>
  <si>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</si>
  <si>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</si>
  <si>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</si>
  <si>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</si>
  <si>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</si>
  <si>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</si>
  <si>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</si>
  <si>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NG899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</si>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</sst>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8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01"/>
  <sheetViews>
    <sheetView showZeros="0" tabSelected="1" topLeftCell="I1" zoomScale="70" zoomScaleNormal="70" workbookViewId="0">
      <selection activeCell="AX57" sqref="AX57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55" t="s">
        <v>138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7"/>
    </row>
    <row r="2" spans="1:74" ht="20.25" customHeight="1" x14ac:dyDescent="0.25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7"/>
    </row>
    <row r="3" spans="1:74" ht="16.5" customHeight="1" x14ac:dyDescent="0.25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7"/>
    </row>
    <row r="4" spans="1:74" ht="64.5" customHeight="1" x14ac:dyDescent="0.25">
      <c r="A4" s="262" t="s">
        <v>0</v>
      </c>
      <c r="B4" s="258" t="s">
        <v>21</v>
      </c>
      <c r="C4" s="258" t="s">
        <v>8</v>
      </c>
      <c r="D4" s="258"/>
      <c r="E4" s="258"/>
      <c r="F4" s="258"/>
      <c r="G4" s="258"/>
      <c r="H4" s="258"/>
      <c r="I4" s="258"/>
      <c r="J4" s="258"/>
      <c r="K4" s="232" t="s">
        <v>6</v>
      </c>
      <c r="L4" s="258" t="s">
        <v>10</v>
      </c>
      <c r="M4" s="258"/>
      <c r="N4" s="232" t="s">
        <v>56</v>
      </c>
      <c r="O4" s="232" t="s">
        <v>9</v>
      </c>
      <c r="P4" s="232" t="s">
        <v>7</v>
      </c>
      <c r="Q4" s="232" t="s">
        <v>13</v>
      </c>
      <c r="R4" s="232" t="s">
        <v>49</v>
      </c>
      <c r="S4" s="232" t="s">
        <v>50</v>
      </c>
      <c r="T4" s="232" t="s">
        <v>64</v>
      </c>
      <c r="U4" s="258" t="s">
        <v>57</v>
      </c>
      <c r="X4" s="250" t="s">
        <v>49</v>
      </c>
      <c r="Y4" s="250" t="s">
        <v>50</v>
      </c>
      <c r="AA4" s="267" t="s">
        <v>79</v>
      </c>
      <c r="AB4" s="236" t="s">
        <v>39</v>
      </c>
      <c r="AC4" s="237"/>
      <c r="AD4" s="238"/>
      <c r="AE4" s="236" t="s">
        <v>38</v>
      </c>
      <c r="AF4" s="237"/>
      <c r="AG4" s="238"/>
      <c r="AH4" s="236" t="s">
        <v>43</v>
      </c>
      <c r="AI4" s="237"/>
      <c r="AJ4" s="238"/>
      <c r="AK4" s="236" t="s">
        <v>19</v>
      </c>
      <c r="AL4" s="237"/>
      <c r="AM4" s="238"/>
      <c r="AN4" s="236" t="s">
        <v>16</v>
      </c>
      <c r="AO4" s="237"/>
      <c r="AP4" s="238"/>
      <c r="AQ4" s="236" t="s">
        <v>20</v>
      </c>
      <c r="AR4" s="237"/>
      <c r="AS4" s="238"/>
      <c r="AT4" s="236" t="s">
        <v>18</v>
      </c>
      <c r="AU4" s="237"/>
      <c r="AV4" s="238"/>
      <c r="AW4" s="236" t="s">
        <v>17</v>
      </c>
      <c r="AX4" s="237"/>
      <c r="AY4" s="238"/>
      <c r="AZ4" s="236" t="s">
        <v>61</v>
      </c>
      <c r="BA4" s="237"/>
      <c r="BB4" s="238"/>
      <c r="BC4" s="236" t="s">
        <v>14</v>
      </c>
      <c r="BD4" s="237"/>
      <c r="BE4" s="238"/>
      <c r="BF4" s="236" t="s">
        <v>133</v>
      </c>
      <c r="BG4" s="237"/>
      <c r="BH4" s="238"/>
      <c r="BI4" s="236" t="s">
        <v>48</v>
      </c>
      <c r="BJ4" s="237"/>
      <c r="BK4" s="238"/>
      <c r="BL4" s="236" t="s">
        <v>62</v>
      </c>
      <c r="BM4" s="237"/>
      <c r="BN4" s="238"/>
      <c r="BO4" s="270" t="s">
        <v>97</v>
      </c>
      <c r="BP4" s="270"/>
      <c r="BQ4" s="270"/>
      <c r="BR4" s="236" t="s">
        <v>98</v>
      </c>
      <c r="BS4" s="237"/>
      <c r="BT4" s="238"/>
      <c r="BU4" s="252" t="s">
        <v>63</v>
      </c>
      <c r="BV4" s="252" t="s">
        <v>80</v>
      </c>
    </row>
    <row r="5" spans="1:74" ht="31.5" customHeight="1" x14ac:dyDescent="0.25">
      <c r="A5" s="262"/>
      <c r="B5" s="258"/>
      <c r="C5" s="258" t="s">
        <v>1</v>
      </c>
      <c r="D5" s="258" t="s">
        <v>2</v>
      </c>
      <c r="E5" s="258" t="s">
        <v>3</v>
      </c>
      <c r="F5" s="263" t="s">
        <v>55</v>
      </c>
      <c r="G5" s="232" t="s">
        <v>4</v>
      </c>
      <c r="H5" s="232" t="s">
        <v>5</v>
      </c>
      <c r="I5" s="232" t="s">
        <v>136</v>
      </c>
      <c r="J5" s="232" t="s">
        <v>121</v>
      </c>
      <c r="K5" s="242"/>
      <c r="L5" s="232" t="s">
        <v>11</v>
      </c>
      <c r="M5" s="232" t="s">
        <v>12</v>
      </c>
      <c r="N5" s="242"/>
      <c r="O5" s="242"/>
      <c r="P5" s="242"/>
      <c r="Q5" s="242"/>
      <c r="R5" s="242"/>
      <c r="S5" s="242"/>
      <c r="T5" s="242"/>
      <c r="U5" s="258"/>
      <c r="X5" s="251"/>
      <c r="Y5" s="251"/>
      <c r="AA5" s="268"/>
      <c r="AB5" s="239"/>
      <c r="AC5" s="240"/>
      <c r="AD5" s="241"/>
      <c r="AE5" s="239"/>
      <c r="AF5" s="240"/>
      <c r="AG5" s="241"/>
      <c r="AH5" s="239"/>
      <c r="AI5" s="240"/>
      <c r="AJ5" s="241"/>
      <c r="AK5" s="239"/>
      <c r="AL5" s="240"/>
      <c r="AM5" s="241"/>
      <c r="AN5" s="239"/>
      <c r="AO5" s="240"/>
      <c r="AP5" s="241"/>
      <c r="AQ5" s="239"/>
      <c r="AR5" s="240"/>
      <c r="AS5" s="241"/>
      <c r="AT5" s="239"/>
      <c r="AU5" s="240"/>
      <c r="AV5" s="241"/>
      <c r="AW5" s="239"/>
      <c r="AX5" s="240"/>
      <c r="AY5" s="241"/>
      <c r="AZ5" s="239"/>
      <c r="BA5" s="240"/>
      <c r="BB5" s="241"/>
      <c r="BC5" s="239"/>
      <c r="BD5" s="240"/>
      <c r="BE5" s="241"/>
      <c r="BF5" s="239"/>
      <c r="BG5" s="240"/>
      <c r="BH5" s="241"/>
      <c r="BI5" s="239"/>
      <c r="BJ5" s="240"/>
      <c r="BK5" s="241"/>
      <c r="BL5" s="239"/>
      <c r="BM5" s="240"/>
      <c r="BN5" s="241"/>
      <c r="BO5" s="270"/>
      <c r="BP5" s="270"/>
      <c r="BQ5" s="270"/>
      <c r="BR5" s="259"/>
      <c r="BS5" s="260"/>
      <c r="BT5" s="261"/>
      <c r="BU5" s="253"/>
      <c r="BV5" s="253"/>
    </row>
    <row r="6" spans="1:74" ht="16.5" customHeight="1" x14ac:dyDescent="0.25">
      <c r="A6" s="262"/>
      <c r="B6" s="258"/>
      <c r="C6" s="258"/>
      <c r="D6" s="258"/>
      <c r="E6" s="258"/>
      <c r="F6" s="264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58"/>
      <c r="X6" s="274" t="s">
        <v>23</v>
      </c>
      <c r="Y6" s="19" t="s">
        <v>24</v>
      </c>
      <c r="AA6" s="268"/>
      <c r="AB6" s="245" t="s">
        <v>45</v>
      </c>
      <c r="AC6" s="245" t="s">
        <v>44</v>
      </c>
      <c r="AD6" s="234" t="s">
        <v>60</v>
      </c>
      <c r="AE6" s="245" t="s">
        <v>45</v>
      </c>
      <c r="AF6" s="245" t="s">
        <v>44</v>
      </c>
      <c r="AG6" s="234" t="s">
        <v>60</v>
      </c>
      <c r="AH6" s="245" t="s">
        <v>45</v>
      </c>
      <c r="AI6" s="245" t="s">
        <v>44</v>
      </c>
      <c r="AJ6" s="234" t="s">
        <v>60</v>
      </c>
      <c r="AK6" s="245" t="s">
        <v>45</v>
      </c>
      <c r="AL6" s="245" t="s">
        <v>44</v>
      </c>
      <c r="AM6" s="234" t="s">
        <v>60</v>
      </c>
      <c r="AN6" s="245" t="s">
        <v>45</v>
      </c>
      <c r="AO6" s="245" t="s">
        <v>44</v>
      </c>
      <c r="AP6" s="234" t="s">
        <v>60</v>
      </c>
      <c r="AQ6" s="245" t="s">
        <v>45</v>
      </c>
      <c r="AR6" s="245" t="s">
        <v>44</v>
      </c>
      <c r="AS6" s="234" t="s">
        <v>60</v>
      </c>
      <c r="AT6" s="245" t="s">
        <v>45</v>
      </c>
      <c r="AU6" s="245" t="s">
        <v>44</v>
      </c>
      <c r="AV6" s="234" t="s">
        <v>60</v>
      </c>
      <c r="AW6" s="245" t="s">
        <v>45</v>
      </c>
      <c r="AX6" s="245" t="s">
        <v>44</v>
      </c>
      <c r="AY6" s="234" t="s">
        <v>60</v>
      </c>
      <c r="AZ6" s="245" t="s">
        <v>45</v>
      </c>
      <c r="BA6" s="245" t="s">
        <v>44</v>
      </c>
      <c r="BB6" s="234" t="s">
        <v>60</v>
      </c>
      <c r="BC6" s="245" t="s">
        <v>45</v>
      </c>
      <c r="BD6" s="245" t="s">
        <v>44</v>
      </c>
      <c r="BE6" s="234" t="s">
        <v>60</v>
      </c>
      <c r="BF6" s="245" t="s">
        <v>45</v>
      </c>
      <c r="BG6" s="245" t="s">
        <v>44</v>
      </c>
      <c r="BH6" s="234" t="s">
        <v>60</v>
      </c>
      <c r="BI6" s="245" t="s">
        <v>45</v>
      </c>
      <c r="BJ6" s="245" t="s">
        <v>44</v>
      </c>
      <c r="BK6" s="234" t="s">
        <v>60</v>
      </c>
      <c r="BL6" s="245" t="s">
        <v>45</v>
      </c>
      <c r="BM6" s="245" t="s">
        <v>44</v>
      </c>
      <c r="BN6" s="234" t="s">
        <v>60</v>
      </c>
      <c r="BO6" s="245" t="s">
        <v>45</v>
      </c>
      <c r="BP6" s="245" t="s">
        <v>44</v>
      </c>
      <c r="BQ6" s="234" t="s">
        <v>60</v>
      </c>
      <c r="BR6" s="245" t="s">
        <v>45</v>
      </c>
      <c r="BS6" s="245" t="s">
        <v>44</v>
      </c>
      <c r="BT6" s="234" t="s">
        <v>60</v>
      </c>
      <c r="BU6" s="253"/>
      <c r="BV6" s="253"/>
    </row>
    <row r="7" spans="1:74" ht="16.5" customHeight="1" x14ac:dyDescent="0.25">
      <c r="A7" s="225" t="s">
        <v>42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  <c r="X7" s="275"/>
      <c r="Y7" s="19" t="s">
        <v>41</v>
      </c>
      <c r="AA7" s="269"/>
      <c r="AB7" s="246"/>
      <c r="AC7" s="246"/>
      <c r="AD7" s="235"/>
      <c r="AE7" s="246"/>
      <c r="AF7" s="246"/>
      <c r="AG7" s="235"/>
      <c r="AH7" s="246"/>
      <c r="AI7" s="246"/>
      <c r="AJ7" s="235"/>
      <c r="AK7" s="246"/>
      <c r="AL7" s="246"/>
      <c r="AM7" s="235"/>
      <c r="AN7" s="246"/>
      <c r="AO7" s="246"/>
      <c r="AP7" s="235"/>
      <c r="AQ7" s="246"/>
      <c r="AR7" s="246"/>
      <c r="AS7" s="235"/>
      <c r="AT7" s="246"/>
      <c r="AU7" s="246"/>
      <c r="AV7" s="235"/>
      <c r="AW7" s="246"/>
      <c r="AX7" s="246"/>
      <c r="AY7" s="235"/>
      <c r="AZ7" s="246"/>
      <c r="BA7" s="246"/>
      <c r="BB7" s="235"/>
      <c r="BC7" s="246"/>
      <c r="BD7" s="246"/>
      <c r="BE7" s="235"/>
      <c r="BF7" s="246"/>
      <c r="BG7" s="246"/>
      <c r="BH7" s="235"/>
      <c r="BI7" s="246"/>
      <c r="BJ7" s="246"/>
      <c r="BK7" s="235"/>
      <c r="BL7" s="246"/>
      <c r="BM7" s="246"/>
      <c r="BN7" s="235"/>
      <c r="BO7" s="246"/>
      <c r="BP7" s="246"/>
      <c r="BQ7" s="235"/>
      <c r="BR7" s="246"/>
      <c r="BS7" s="246"/>
      <c r="BT7" s="235"/>
      <c r="BU7" s="254"/>
      <c r="BV7" s="254"/>
    </row>
    <row r="8" spans="1:74" ht="16.5" customHeight="1" x14ac:dyDescent="0.25">
      <c r="A8" s="228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30"/>
      <c r="X8" s="275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75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5">
        <v>1</v>
      </c>
      <c r="B10" s="219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75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6</v>
      </c>
      <c r="AG10" s="148">
        <f>COUNTIFS($E$118:$E$312,"TG102LE",$R$118:$R$312,"*+*")</f>
        <v>4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2</v>
      </c>
      <c r="AL10" s="148">
        <f>COUNTIFS($E$118:$E$312,"TG102V",$R$118:$R$312,"PC")</f>
        <v>5</v>
      </c>
      <c r="AM10" s="148">
        <f>COUNTIFS($E$118:$E$312,"TG102V",$R$118:$R$312,"*+*")</f>
        <v>8</v>
      </c>
      <c r="AN10" s="148">
        <f>COUNTIFS($E$118:$E$312,"TG102SE",$R$118:$R$312,"PM")</f>
        <v>8</v>
      </c>
      <c r="AO10" s="148">
        <f>COUNTIFS($E$118:$E$312,"TG102SE",$R$118:$R$312,"PC")</f>
        <v>11</v>
      </c>
      <c r="AP10" s="148">
        <f>COUNTIFS($E$118:$E$312,"TG102SE",$R$118:$R$312,"*+*")</f>
        <v>1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0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1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1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166</v>
      </c>
    </row>
    <row r="11" spans="1:74" ht="16.5" hidden="1" customHeight="1" x14ac:dyDescent="0.25">
      <c r="A11" s="175">
        <v>2</v>
      </c>
      <c r="B11" s="220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76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5">
        <v>3</v>
      </c>
      <c r="B12" s="220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74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5">
        <v>4</v>
      </c>
      <c r="B13" s="220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75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5">
        <v>5</v>
      </c>
      <c r="B14" s="221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75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5">
        <v>6</v>
      </c>
      <c r="B15" s="219" t="s">
        <v>179</v>
      </c>
      <c r="C15" s="211" t="s">
        <v>169</v>
      </c>
      <c r="D15" s="211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75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5">
        <v>7</v>
      </c>
      <c r="B16" s="220"/>
      <c r="C16" s="211" t="s">
        <v>169</v>
      </c>
      <c r="D16" s="211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76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5">
        <v>8</v>
      </c>
      <c r="B17" s="220"/>
      <c r="C17" s="211" t="s">
        <v>169</v>
      </c>
      <c r="D17" s="211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74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5">
        <v>9</v>
      </c>
      <c r="B18" s="221"/>
      <c r="C18" s="211" t="s">
        <v>169</v>
      </c>
      <c r="D18" s="211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75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5">
        <v>10</v>
      </c>
      <c r="B19" s="219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75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hidden="1" customHeight="1" x14ac:dyDescent="0.25">
      <c r="A20" s="175">
        <v>11</v>
      </c>
      <c r="B20" s="220"/>
      <c r="C20" s="147">
        <v>44581</v>
      </c>
      <c r="D20" s="211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75"/>
      <c r="Y20" s="21" t="s">
        <v>51</v>
      </c>
      <c r="AA20" s="265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12</v>
      </c>
      <c r="AG20" s="17">
        <f t="shared" ref="AG20" si="5">SUM(AG8:AG19)</f>
        <v>10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5</v>
      </c>
      <c r="AL20" s="17">
        <f t="shared" ref="AL20" si="10">SUM(AL8:AL19)</f>
        <v>14</v>
      </c>
      <c r="AM20" s="17">
        <f t="shared" ref="AM20" si="11">SUM(AM8:AM19)</f>
        <v>33</v>
      </c>
      <c r="AN20" s="17">
        <f t="shared" ref="AN20" si="12">SUM(AN8:AN19)</f>
        <v>11</v>
      </c>
      <c r="AO20" s="17">
        <f t="shared" ref="AO20" si="13">SUM(AO8:AO19)</f>
        <v>15</v>
      </c>
      <c r="AP20" s="17">
        <f t="shared" ref="AP20" si="14">SUM(AP8:AP19)</f>
        <v>3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0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1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269</v>
      </c>
    </row>
    <row r="21" spans="1:74" ht="16.5" hidden="1" customHeight="1" x14ac:dyDescent="0.25">
      <c r="A21" s="175">
        <v>12</v>
      </c>
      <c r="B21" s="220"/>
      <c r="C21" s="147">
        <v>44581</v>
      </c>
      <c r="D21" s="211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76"/>
      <c r="Y21" s="21" t="s">
        <v>47</v>
      </c>
      <c r="AA21" s="266"/>
      <c r="AB21" s="247">
        <f>SUM(AB8:AD19)</f>
        <v>3</v>
      </c>
      <c r="AC21" s="248"/>
      <c r="AD21" s="249"/>
      <c r="AE21" s="247">
        <f t="shared" ref="AE21" si="39">SUM(AE8:AG19)</f>
        <v>128</v>
      </c>
      <c r="AF21" s="248"/>
      <c r="AG21" s="249"/>
      <c r="AH21" s="247">
        <f t="shared" ref="AH21" si="40">SUM(AH8:AJ19)</f>
        <v>16</v>
      </c>
      <c r="AI21" s="248"/>
      <c r="AJ21" s="249"/>
      <c r="AK21" s="247">
        <f t="shared" ref="AK21" si="41">SUM(AK8:AM19)</f>
        <v>52</v>
      </c>
      <c r="AL21" s="248"/>
      <c r="AM21" s="249"/>
      <c r="AN21" s="247">
        <f t="shared" ref="AN21" si="42">SUM(AN8:AP19)</f>
        <v>29</v>
      </c>
      <c r="AO21" s="248"/>
      <c r="AP21" s="249"/>
      <c r="AQ21" s="247">
        <f t="shared" ref="AQ21" si="43">SUM(AQ8:AS19)</f>
        <v>4</v>
      </c>
      <c r="AR21" s="248"/>
      <c r="AS21" s="249"/>
      <c r="AT21" s="247">
        <f t="shared" ref="AT21" si="44">SUM(AT8:AV19)</f>
        <v>6</v>
      </c>
      <c r="AU21" s="248"/>
      <c r="AV21" s="249"/>
      <c r="AW21" s="247">
        <f t="shared" ref="AW21" si="45">SUM(AW8:AY19)</f>
        <v>0</v>
      </c>
      <c r="AX21" s="248"/>
      <c r="AY21" s="249"/>
      <c r="AZ21" s="247">
        <f t="shared" ref="AZ21" si="46">SUM(AZ8:BB19)</f>
        <v>1</v>
      </c>
      <c r="BA21" s="248"/>
      <c r="BB21" s="249"/>
      <c r="BC21" s="247">
        <f t="shared" ref="BC21" si="47">SUM(BC8:BE19)</f>
        <v>6</v>
      </c>
      <c r="BD21" s="248"/>
      <c r="BE21" s="249"/>
      <c r="BF21" s="247">
        <f t="shared" ref="BF21" si="48">SUM(BF8:BH19)</f>
        <v>16</v>
      </c>
      <c r="BG21" s="248"/>
      <c r="BH21" s="249"/>
      <c r="BI21" s="247">
        <v>0</v>
      </c>
      <c r="BJ21" s="248"/>
      <c r="BK21" s="249"/>
      <c r="BL21" s="247">
        <f>SUM(BL20:BN20)</f>
        <v>6</v>
      </c>
      <c r="BM21" s="248"/>
      <c r="BN21" s="249"/>
      <c r="BO21" s="247">
        <f>SUM(BO8:BQ19)</f>
        <v>2</v>
      </c>
      <c r="BP21" s="248"/>
      <c r="BQ21" s="249"/>
      <c r="BR21" s="247">
        <f>SUM(BR8:BT19)</f>
        <v>0</v>
      </c>
      <c r="BS21" s="248"/>
      <c r="BT21" s="249"/>
      <c r="BU21" s="93"/>
      <c r="BV21" s="18">
        <f>SUM(AB21:BU21)</f>
        <v>269</v>
      </c>
    </row>
    <row r="22" spans="1:74" ht="16.5" hidden="1" customHeight="1" x14ac:dyDescent="0.25">
      <c r="A22" s="175">
        <v>13</v>
      </c>
      <c r="B22" s="220"/>
      <c r="C22" s="147">
        <v>44581</v>
      </c>
      <c r="D22" s="211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hidden="1" customHeight="1" x14ac:dyDescent="0.25">
      <c r="A23" s="175">
        <v>14</v>
      </c>
      <c r="B23" s="221"/>
      <c r="C23" s="147">
        <v>44581</v>
      </c>
      <c r="D23" s="211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86</v>
      </c>
    </row>
    <row r="24" spans="1:74" ht="16.5" hidden="1" customHeight="1" x14ac:dyDescent="0.25">
      <c r="A24" s="175">
        <v>15</v>
      </c>
      <c r="B24" s="219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hidden="1" customHeight="1" x14ac:dyDescent="0.25">
      <c r="A25" s="175">
        <v>16</v>
      </c>
      <c r="B25" s="220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70" t="s">
        <v>50</v>
      </c>
      <c r="Y25" s="245" t="s">
        <v>22</v>
      </c>
      <c r="Z25" s="14"/>
      <c r="AA25" s="236" t="s">
        <v>65</v>
      </c>
      <c r="AB25" s="238"/>
      <c r="AC25" s="14"/>
      <c r="AD25" s="270" t="s">
        <v>91</v>
      </c>
      <c r="AE25" s="270"/>
      <c r="AF25" s="270"/>
      <c r="AG25" s="9"/>
      <c r="AL25" s="100"/>
      <c r="AM25" s="270" t="s">
        <v>67</v>
      </c>
      <c r="AN25" s="270"/>
      <c r="AO25" s="270"/>
      <c r="AP25" s="270"/>
      <c r="AQ25" s="270"/>
      <c r="AR25" s="270"/>
      <c r="AS25" s="270"/>
      <c r="AT25" s="270"/>
      <c r="AU25" s="44"/>
      <c r="AV25" s="44"/>
      <c r="AW25" s="44"/>
    </row>
    <row r="26" spans="1:74" ht="16.5" hidden="1" customHeight="1" x14ac:dyDescent="0.25">
      <c r="A26" s="175">
        <v>17</v>
      </c>
      <c r="B26" s="220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70"/>
      <c r="Y26" s="246"/>
      <c r="Z26" s="14"/>
      <c r="AA26" s="239"/>
      <c r="AB26" s="241"/>
      <c r="AC26" s="14"/>
      <c r="AD26" s="270"/>
      <c r="AE26" s="270"/>
      <c r="AF26" s="270"/>
      <c r="AG26" s="99"/>
      <c r="AL26" s="100"/>
      <c r="AM26" s="271" t="s">
        <v>130</v>
      </c>
      <c r="AN26" s="271" t="s">
        <v>112</v>
      </c>
      <c r="AO26" s="271" t="s">
        <v>111</v>
      </c>
      <c r="AP26" s="271" t="s">
        <v>69</v>
      </c>
      <c r="AQ26" s="271" t="s">
        <v>70</v>
      </c>
      <c r="AR26" s="271" t="s">
        <v>110</v>
      </c>
      <c r="AS26" s="271" t="s">
        <v>68</v>
      </c>
      <c r="AT26" s="271" t="s">
        <v>113</v>
      </c>
      <c r="AU26" s="44"/>
      <c r="AV26" s="44"/>
      <c r="AW26" s="44"/>
    </row>
    <row r="27" spans="1:74" ht="16.5" hidden="1" customHeight="1" x14ac:dyDescent="0.25">
      <c r="A27" s="175">
        <v>18</v>
      </c>
      <c r="B27" s="220"/>
      <c r="C27" s="212" t="s">
        <v>195</v>
      </c>
      <c r="D27" s="212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0</v>
      </c>
      <c r="Z27" s="14"/>
      <c r="AA27" s="45" t="s">
        <v>42</v>
      </c>
      <c r="AB27" s="21">
        <f>COUNTIF($T$10:$T$68,"*CS*")</f>
        <v>2</v>
      </c>
      <c r="AC27" s="14"/>
      <c r="AD27" s="243" t="s">
        <v>92</v>
      </c>
      <c r="AE27" s="244"/>
      <c r="AF27" s="46">
        <f>COUNTIF($T$10:$T$5001,"*PIN*")</f>
        <v>0</v>
      </c>
      <c r="AG27" s="99"/>
      <c r="AL27" s="100"/>
      <c r="AM27" s="271"/>
      <c r="AN27" s="271"/>
      <c r="AO27" s="271"/>
      <c r="AP27" s="271"/>
      <c r="AQ27" s="271"/>
      <c r="AR27" s="271"/>
      <c r="AS27" s="271"/>
      <c r="AT27" s="271"/>
      <c r="AU27" s="44"/>
      <c r="AV27" s="44"/>
      <c r="AW27" s="44"/>
    </row>
    <row r="28" spans="1:74" ht="16.5" hidden="1" customHeight="1" x14ac:dyDescent="0.25">
      <c r="A28" s="175">
        <v>19</v>
      </c>
      <c r="B28" s="220"/>
      <c r="C28" s="212" t="s">
        <v>200</v>
      </c>
      <c r="D28" s="212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16</v>
      </c>
      <c r="Z28" s="14"/>
      <c r="AA28" s="45" t="s">
        <v>75</v>
      </c>
      <c r="AB28" s="21">
        <f>COUNTIF($T$71:$T$115,"*CS*")</f>
        <v>0</v>
      </c>
      <c r="AC28" s="14"/>
      <c r="AD28" s="243" t="s">
        <v>93</v>
      </c>
      <c r="AE28" s="244"/>
      <c r="AF28" s="46">
        <f>COUNTIF($T$10:$T$5001,"*RTC*")</f>
        <v>0</v>
      </c>
      <c r="AG28" s="99"/>
      <c r="AL28" s="9"/>
      <c r="AM28" s="271"/>
      <c r="AN28" s="271"/>
      <c r="AO28" s="271"/>
      <c r="AP28" s="271"/>
      <c r="AQ28" s="271"/>
      <c r="AR28" s="271"/>
      <c r="AS28" s="271"/>
      <c r="AT28" s="271"/>
      <c r="AU28" s="44"/>
      <c r="AV28" s="44"/>
      <c r="AW28" s="44"/>
    </row>
    <row r="29" spans="1:74" ht="16.5" hidden="1" customHeight="1" x14ac:dyDescent="0.25">
      <c r="A29" s="175">
        <v>20</v>
      </c>
      <c r="B29" s="220"/>
      <c r="C29" s="212" t="s">
        <v>200</v>
      </c>
      <c r="D29" s="212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33</v>
      </c>
      <c r="Z29" s="14"/>
      <c r="AA29" s="45" t="s">
        <v>81</v>
      </c>
      <c r="AB29" s="21">
        <f>COUNTIF($T$118:$T$312,"*CS*")</f>
        <v>6</v>
      </c>
      <c r="AC29" s="14"/>
      <c r="AD29" s="243" t="s">
        <v>96</v>
      </c>
      <c r="AE29" s="244"/>
      <c r="AF29" s="46">
        <f>COUNTIF($T$10:$T$5001,"*CS*")</f>
        <v>28</v>
      </c>
      <c r="AG29" s="9"/>
      <c r="AL29" s="100"/>
      <c r="AM29" s="271"/>
      <c r="AN29" s="271"/>
      <c r="AO29" s="271"/>
      <c r="AP29" s="271"/>
      <c r="AQ29" s="271"/>
      <c r="AR29" s="271"/>
      <c r="AS29" s="271"/>
      <c r="AT29" s="271"/>
      <c r="AU29" s="44"/>
      <c r="AV29" s="44"/>
      <c r="AW29" s="44"/>
    </row>
    <row r="30" spans="1:74" ht="16.5" hidden="1" customHeight="1" x14ac:dyDescent="0.25">
      <c r="A30" s="175">
        <v>21</v>
      </c>
      <c r="B30" s="220"/>
      <c r="C30" s="212" t="s">
        <v>200</v>
      </c>
      <c r="D30" s="212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hidden="1" customHeight="1" x14ac:dyDescent="0.25">
      <c r="A31" s="175">
        <v>22</v>
      </c>
      <c r="B31" s="220"/>
      <c r="C31" s="212" t="s">
        <v>200</v>
      </c>
      <c r="D31" s="212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39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hidden="1" customHeight="1" x14ac:dyDescent="0.25">
      <c r="A32" s="175">
        <v>23</v>
      </c>
      <c r="B32" s="220"/>
      <c r="C32" s="212" t="s">
        <v>200</v>
      </c>
      <c r="D32" s="212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144</v>
      </c>
      <c r="Z32" s="14"/>
      <c r="AA32" s="45" t="s">
        <v>84</v>
      </c>
      <c r="AB32" s="21">
        <f>COUNTIF($T$913:$T$1107,"*CS*")</f>
        <v>0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hidden="1" customHeight="1" x14ac:dyDescent="0.25">
      <c r="A33" s="175">
        <v>24</v>
      </c>
      <c r="B33" s="220"/>
      <c r="C33" s="212" t="s">
        <v>200</v>
      </c>
      <c r="D33" s="212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29</v>
      </c>
      <c r="Z33" s="14"/>
      <c r="AA33" s="45" t="s">
        <v>85</v>
      </c>
      <c r="AB33" s="21">
        <f>COUNTIF($T$1110:$T$1346,"*CS*")</f>
        <v>0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5">
        <v>25</v>
      </c>
      <c r="B34" s="220"/>
      <c r="C34" s="212" t="s">
        <v>200</v>
      </c>
      <c r="D34" s="212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3</v>
      </c>
      <c r="Z34" s="14"/>
      <c r="AA34" s="45" t="s">
        <v>86</v>
      </c>
      <c r="AB34" s="21">
        <f>COUNTIF($T$1349:$T$1607,"*CS*")</f>
        <v>0</v>
      </c>
      <c r="AC34" s="210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5">
        <v>26</v>
      </c>
      <c r="B35" s="220"/>
      <c r="C35" s="212" t="s">
        <v>200</v>
      </c>
      <c r="D35" s="212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17</v>
      </c>
      <c r="Z35" s="14"/>
      <c r="AA35" s="45" t="s">
        <v>87</v>
      </c>
      <c r="AB35" s="21">
        <f>COUNTIF($T$1610:$T$1790,"*CS*")</f>
        <v>0</v>
      </c>
      <c r="AC35" s="210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5">
        <v>27</v>
      </c>
      <c r="B36" s="220"/>
      <c r="C36" s="212" t="s">
        <v>200</v>
      </c>
      <c r="D36" s="212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329</v>
      </c>
      <c r="Z36" s="14"/>
      <c r="AA36" s="51" t="s">
        <v>88</v>
      </c>
      <c r="AB36" s="52">
        <f>COUNTIF($T$1793:$T$2020,"*CS*")</f>
        <v>0</v>
      </c>
      <c r="AC36" s="21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5">
        <v>28</v>
      </c>
      <c r="B37" s="221"/>
      <c r="C37" s="212" t="s">
        <v>200</v>
      </c>
      <c r="D37" s="212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46</v>
      </c>
      <c r="Z37" s="58"/>
      <c r="AA37" s="51" t="s">
        <v>89</v>
      </c>
      <c r="AB37" s="52">
        <f>COUNTIF($T$1585:$T$1826,"*CS*")</f>
        <v>0</v>
      </c>
      <c r="AC37" s="210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hidden="1" customHeight="1" x14ac:dyDescent="0.25">
      <c r="A38" s="175">
        <v>29</v>
      </c>
      <c r="B38" s="219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10"/>
      <c r="AD38" s="14"/>
      <c r="AE38" s="14"/>
      <c r="AF38" s="14"/>
      <c r="AG38" s="231" t="s">
        <v>126</v>
      </c>
      <c r="AH38" s="231"/>
      <c r="AI38" s="14"/>
      <c r="AJ38" s="231" t="s">
        <v>125</v>
      </c>
      <c r="AK38" s="231"/>
      <c r="AL38" s="14"/>
      <c r="AM38" s="231" t="s">
        <v>124</v>
      </c>
      <c r="AN38" s="231"/>
      <c r="AO38" s="231"/>
      <c r="AP38" s="231"/>
      <c r="AQ38" s="231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5">
        <v>30</v>
      </c>
      <c r="B39" s="221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78</v>
      </c>
      <c r="Z39" s="14"/>
      <c r="AA39" s="45" t="s">
        <v>37</v>
      </c>
      <c r="AB39" s="21">
        <f>SUM(AB27:AB38)</f>
        <v>28</v>
      </c>
      <c r="AC39" s="210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5">
        <v>31</v>
      </c>
      <c r="B40" s="219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812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20</v>
      </c>
      <c r="AL40" s="14"/>
      <c r="AM40" s="73" t="s">
        <v>14</v>
      </c>
      <c r="AN40" s="74">
        <f>COUNTIFS($E$10:$E$5001,"TG102",$R$10:$R$5001,"PC",$Q$10:$Q$5001,"Thể")</f>
        <v>13</v>
      </c>
      <c r="AO40" s="21">
        <f>COUNTIFS($E$10:$E$5001,"TG102",$R$10:$R$5001,"PM",$Q$10:$Q$5001,"Thể")</f>
        <v>3</v>
      </c>
      <c r="AP40" s="21">
        <f>COUNTIFS($E$10:$E$5001,"TG102",$R$10:$R$5001,"PC+PM",$Q$10:$Q$5001,"Thể")</f>
        <v>4</v>
      </c>
      <c r="AQ40" s="21">
        <f>SUM(AN40:AP40)</f>
        <v>20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15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14</v>
      </c>
      <c r="BB40" s="77">
        <f>SUM(AT40:BA40)</f>
        <v>31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7</v>
      </c>
      <c r="BI40" s="77">
        <f>COUNTIFS($E$10:$E$5001,"TG102",$S$10:$S$5001,"*KL*",$Q$10:$Q$5001,"Thể")</f>
        <v>0</v>
      </c>
      <c r="BJ40" s="77">
        <f>SUM(BF40:BI40)</f>
        <v>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5">
        <v>32</v>
      </c>
      <c r="B41" s="220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35</v>
      </c>
      <c r="AL41" s="14"/>
      <c r="AM41" s="73" t="s">
        <v>19</v>
      </c>
      <c r="AN41" s="74">
        <f>COUNTIFS($E$10:$E$5001,"TG102V",$R$10:$R$5001,"PC",$Q$10:$Q$5001,"Thể")</f>
        <v>4</v>
      </c>
      <c r="AO41" s="21">
        <f>COUNTIFS($E$10:$E$5001,"TG102V",$R$10:$R$5001,"PM",$Q$10:$Q$5001,"Thể")</f>
        <v>4</v>
      </c>
      <c r="AP41" s="21">
        <f>COUNTIFS($E$10:$E$5001,"TG102V",$R$10:$R$5001,"PC+PM",$Q$10:$Q$5001,"Thể")</f>
        <v>27</v>
      </c>
      <c r="AQ41" s="21">
        <f>SUM(AN41:AP41)</f>
        <v>35</v>
      </c>
      <c r="AR41" s="88"/>
      <c r="AS41" s="81" t="s">
        <v>19</v>
      </c>
      <c r="AT41" s="82">
        <f>COUNTIFS($E$10:$E$5001,"TG102V",$S$10:$S$5001,"*NG*",$Q$10:$Q$5001,"Thể")</f>
        <v>0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2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20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5</v>
      </c>
      <c r="BB41" s="77">
        <f>SUM(AT41:BA41)</f>
        <v>27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24</v>
      </c>
      <c r="BI41" s="77">
        <f>COUNTIFS($E$10:$E$5001,"TG102V",$S$10:$S$5001,"*KL*",$Q$10:$Q$5001,"Thể")</f>
        <v>3</v>
      </c>
      <c r="BJ41" s="77">
        <f>SUM(BE41:BI41)</f>
        <v>27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5">
        <v>33</v>
      </c>
      <c r="B42" s="221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118</v>
      </c>
      <c r="AI42" s="14"/>
      <c r="AJ42" s="73" t="s">
        <v>16</v>
      </c>
      <c r="AK42" s="74">
        <f>COUNTIFS($E$10:$E$5001,"TG102se",$Q$10:$Q$5001,"Thể")</f>
        <v>41</v>
      </c>
      <c r="AL42" s="14"/>
      <c r="AM42" s="73" t="s">
        <v>16</v>
      </c>
      <c r="AN42" s="74">
        <f>COUNTIFS($E$10:$E$5001,"TG102SE",$R$10:$R$5001,"PC",$Q$10:$Q$5001,"Thể")</f>
        <v>22</v>
      </c>
      <c r="AO42" s="21">
        <f>COUNTIFS($E$10:$E$5001,"TG102SE",$R$10:$R$5001,"PM",$Q$10:$Q$5001,"Thể")</f>
        <v>16</v>
      </c>
      <c r="AP42" s="21">
        <f>COUNTIFS($E$10:$E$5001,"TG102SE",$R$10:$R$5001,"PC+PM",$Q$10:$Q$5001,"Thể")</f>
        <v>3</v>
      </c>
      <c r="AQ42" s="21">
        <f>SUM(AN42:AP42)</f>
        <v>41</v>
      </c>
      <c r="AR42" s="88"/>
      <c r="AS42" s="81" t="s">
        <v>16</v>
      </c>
      <c r="AT42" s="82">
        <f>COUNTIFS($E$10:$E$5001,"TG102SE",$S$10:$S$5001,"*NG*",$Q$10:$Q$5001,"Thể")</f>
        <v>2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1</v>
      </c>
      <c r="AW42" s="77">
        <f>COUNTIFS($E$10:$E$5001,"TG102SE",$S$10:$S$5001,"*GPS*",$Q$10:$Q$5001,"Thể")</f>
        <v>18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4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21</v>
      </c>
      <c r="BB42" s="77">
        <f>SUM(AT42:BA42)</f>
        <v>46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14</v>
      </c>
      <c r="BI42" s="77">
        <f>COUNTIFS($E$10:$E$5001,"TG102SE",$S$10:$S$5001,"*KL*",$Q$10:$Q$5001,"Thể")</f>
        <v>2</v>
      </c>
      <c r="BJ42" s="77">
        <f t="shared" ref="BJ42:BJ50" si="50">SUM(BE42:BI42)</f>
        <v>16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131</v>
      </c>
      <c r="AL43" s="14"/>
      <c r="AM43" s="73" t="s">
        <v>38</v>
      </c>
      <c r="AN43" s="74">
        <f>COUNTIFS($E$10:$E$5001,"TG102LE",$R$10:$R$5001,"PC",$Q$10:$Q$5001,"Thể")</f>
        <v>8</v>
      </c>
      <c r="AO43" s="21">
        <f>COUNTIFS($E$10:$E$5001,"TG102LE",$R$10:$R$5001,"PM",$Q$10:$Q$5001,"Thể")</f>
        <v>120</v>
      </c>
      <c r="AP43" s="21">
        <f>COUNTIFS($E$10:$E$5001,"TG102LE",$R$10:$R$5001,"PC+PM",$Q$10:$Q$5001,"Thể")</f>
        <v>3</v>
      </c>
      <c r="AQ43" s="21">
        <f t="shared" ref="AQ43:AQ52" si="51">SUM(AN43:AP43)</f>
        <v>131</v>
      </c>
      <c r="AR43" s="88"/>
      <c r="AS43" s="81" t="s">
        <v>38</v>
      </c>
      <c r="AT43" s="82">
        <f>COUNTIFS($E$10:$E$5001,"TG102LE",$S$10:$S$5001,"*NG*",$Q$10:$Q$5001,"Thể")</f>
        <v>5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1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5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10</v>
      </c>
      <c r="BB43" s="77">
        <f t="shared" ref="BB43:BB54" si="52">SUM(AT43:BA43)</f>
        <v>21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89</v>
      </c>
      <c r="BI43" s="77">
        <f>COUNTIFS($E$10:$E$5001,"TG102LE",$S$10:$S$5001,"*KL*",$Q$10:$Q$5001,"Thể")</f>
        <v>25</v>
      </c>
      <c r="BJ43" s="77">
        <f t="shared" si="50"/>
        <v>114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4" t="s">
        <v>133</v>
      </c>
      <c r="Y44" s="194">
        <f>COUNTIFS($E$10:$E$5001,"TG102LE-4G")</f>
        <v>86</v>
      </c>
      <c r="Z44" s="14"/>
      <c r="AA44" s="272" t="s">
        <v>3</v>
      </c>
      <c r="AB44" s="272" t="s">
        <v>78</v>
      </c>
      <c r="AC44" s="272" t="s">
        <v>100</v>
      </c>
      <c r="AD44" s="272" t="s">
        <v>35</v>
      </c>
      <c r="AE44" s="272" t="s">
        <v>40</v>
      </c>
      <c r="AF44" s="16"/>
      <c r="AG44" s="21">
        <v>5</v>
      </c>
      <c r="AH44" s="21">
        <f>COUNTIFS($Q$435:$R$622,"Thể")</f>
        <v>121</v>
      </c>
      <c r="AI44" s="26"/>
      <c r="AJ44" s="73" t="s">
        <v>39</v>
      </c>
      <c r="AK44" s="74">
        <f>COUNTIFS($E$10:$E$5001,"TG102E",$Q$10:$Q$5001,"Thể")</f>
        <v>8</v>
      </c>
      <c r="AL44" s="26"/>
      <c r="AM44" s="73" t="s">
        <v>39</v>
      </c>
      <c r="AN44" s="74">
        <f>COUNTIFS($E$10:$E$5001,"TG102E",$R$10:$R$5001,"PC",$Q$10:$Q$5001,"Thể")</f>
        <v>3</v>
      </c>
      <c r="AO44" s="21">
        <f>COUNTIFS($E$10:$E$5001,"TG102E",$R$10:$R$5001,"PM",$Q$10:$Q$5001,"Thể")</f>
        <v>4</v>
      </c>
      <c r="AP44" s="21">
        <f>COUNTIFS($E$10:$E$5001,"TG102SE",$R$10:$R$5001,"PC+PM",$Q$10:$Q$5001,"Thể")</f>
        <v>3</v>
      </c>
      <c r="AQ44" s="21">
        <f t="shared" si="51"/>
        <v>10</v>
      </c>
      <c r="AR44" s="88"/>
      <c r="AS44" s="81" t="s">
        <v>39</v>
      </c>
      <c r="AT44" s="82">
        <f>COUNTIFS($E$10:$E$5001,"TG102E",$S$10:$S$5001,"*NG*",$Q$10:$Q$5001,"Thể")</f>
        <v>2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2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2</v>
      </c>
      <c r="BB44" s="77">
        <f t="shared" si="52"/>
        <v>6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4</v>
      </c>
      <c r="BI44" s="77">
        <f>COUNTIFS($E$10:$E$5001,"TG102E",$S$10:$S$5001,"*KL*",$Q$10:$Q$5001,"Thể")</f>
        <v>0</v>
      </c>
      <c r="BJ44" s="77">
        <f t="shared" si="50"/>
        <v>4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34</v>
      </c>
      <c r="Z45" s="14"/>
      <c r="AA45" s="273"/>
      <c r="AB45" s="273"/>
      <c r="AC45" s="273"/>
      <c r="AD45" s="273"/>
      <c r="AE45" s="273"/>
      <c r="AF45" s="23"/>
      <c r="AG45" s="21">
        <v>6</v>
      </c>
      <c r="AH45" s="21">
        <f>COUNTIFS($Q$884:$R$1055,"Thể")</f>
        <v>0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5">
        <v>37</v>
      </c>
      <c r="B46" s="219" t="s">
        <v>268</v>
      </c>
      <c r="C46" s="213">
        <v>44713</v>
      </c>
      <c r="D46" s="213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94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2</v>
      </c>
      <c r="AD46" s="61">
        <f>COUNTIFS($E$10:$E$5001,"TG102V",$S$10:$S$5001,"*MCH*")</f>
        <v>2</v>
      </c>
      <c r="AE46" s="61">
        <f>COUNTIFS($E$10:$E$5001,"TG102V",$S$10:$S$5001,"*NCFW*")</f>
        <v>62</v>
      </c>
      <c r="AF46" s="27"/>
      <c r="AG46" s="21">
        <v>7</v>
      </c>
      <c r="AH46" s="21">
        <f>COUNTIFS($Q$1058:$Q$1255,"Thể")</f>
        <v>0</v>
      </c>
      <c r="AI46" s="26"/>
      <c r="AJ46" s="73" t="s">
        <v>20</v>
      </c>
      <c r="AK46" s="74">
        <f>COUNTIFS($E$10:$E$5001,"TG007s",$Q$10:$Q$5001,"Thể")</f>
        <v>4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4</v>
      </c>
      <c r="AQ46" s="21">
        <f t="shared" si="51"/>
        <v>4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1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4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1</v>
      </c>
      <c r="BI46" s="77">
        <f>COUNTIFS($E$10:$E$5001,"TG007S",$S$10:$S$5001,"*KL*",$Q$10:$Q$5001,"Thể")</f>
        <v>0</v>
      </c>
      <c r="BJ46" s="77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5">
        <v>38</v>
      </c>
      <c r="B47" s="220"/>
      <c r="C47" s="213">
        <v>44713</v>
      </c>
      <c r="D47" s="213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68</v>
      </c>
      <c r="AA47" s="21" t="s">
        <v>38</v>
      </c>
      <c r="AB47" s="21">
        <f>COUNTIFS($E$10:$E$5001,"TG102LE",$S$10:$S$5001,"*SF*")</f>
        <v>3</v>
      </c>
      <c r="AC47" s="21">
        <f>COUNTIFS($E$10:$E$5001,"TG102LE",$S$10:$S$5001,"*RTB*")</f>
        <v>9</v>
      </c>
      <c r="AD47" s="61">
        <f>COUNTIFS($E$10:$E$5001,"TG102LE",$S$10:$S$5001,"*MCH*")</f>
        <v>16</v>
      </c>
      <c r="AE47" s="21">
        <f>COUNTIFS($E$10:$E$5001,"TG102LE",$S$10:$S$5001,"*NCFW*")</f>
        <v>133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2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2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0</v>
      </c>
      <c r="BJ47" s="77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5">
        <v>39</v>
      </c>
      <c r="B48" s="220"/>
      <c r="C48" s="213">
        <v>44713</v>
      </c>
      <c r="D48" s="213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203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1</v>
      </c>
      <c r="AE48" s="21">
        <f>COUNTIFS($E$10:$E$5001,"TG007X",$S$10:$S$5001,"*NCFW*")</f>
        <v>15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16</v>
      </c>
      <c r="AL48" s="8"/>
      <c r="AM48" s="73" t="s">
        <v>43</v>
      </c>
      <c r="AN48" s="74">
        <f>COUNTIFS($E$10:$E$5001,"TG007X",$R$10:$R$5001,"PC",$Q$10:$Q$5001,"Thể")</f>
        <v>1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16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0</v>
      </c>
      <c r="BB48" s="77">
        <f t="shared" si="52"/>
        <v>3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11</v>
      </c>
      <c r="BI48" s="85">
        <f>COUNTIFS($E$10:$E$5001,"TG007X",$S$10:$S$5001,"*KL*",$Q$10:$Q$5001,"Thể")</f>
        <v>0</v>
      </c>
      <c r="BJ48" s="77">
        <f t="shared" si="50"/>
        <v>11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5">
        <v>40</v>
      </c>
      <c r="B49" s="220"/>
      <c r="C49" s="213">
        <v>44713</v>
      </c>
      <c r="D49" s="213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1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0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1</v>
      </c>
      <c r="BB49" s="77">
        <f t="shared" si="52"/>
        <v>9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5">
        <v>41</v>
      </c>
      <c r="B50" s="220"/>
      <c r="C50" s="213">
        <v>44713</v>
      </c>
      <c r="D50" s="213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547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2</v>
      </c>
      <c r="AD50" s="61">
        <f>COUNTIFS($E$10:$E$5001,"TG102SE",$S$10:$S$5001,"*MCH*")</f>
        <v>4</v>
      </c>
      <c r="AE50" s="21">
        <f>COUNTIFS($E$10:$E$5001,"TG102SE",$S$10:$S$5001,"*NCFW*")</f>
        <v>18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8</v>
      </c>
      <c r="AL50" s="8"/>
      <c r="AM50" s="73" t="s">
        <v>17</v>
      </c>
      <c r="AN50" s="74">
        <f>COUNTIFS($E$10:$E$5001,"NQ899",$R$10:$R$5001,"PC",$Q$10:$Q$5001,"Thể")</f>
        <v>7</v>
      </c>
      <c r="AO50" s="21">
        <f>COUNTIFS($E$10:$E$5001,"NQ899",$R$10:$R$5001,"PM",$Q$10:$Q$5001,"Thể")</f>
        <v>1</v>
      </c>
      <c r="AP50" s="21">
        <f>COUNTIFS($E$10:$E$5001,"NQ899",$R$10:$R$5001,"PC+PM",$Q$10:$Q$5001,"Thể")</f>
        <v>0</v>
      </c>
      <c r="AQ50" s="21">
        <f t="shared" si="51"/>
        <v>8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1</v>
      </c>
      <c r="BI50" s="77">
        <f>COUNTIFS($E$10:$E$5001,"NQ899",$S$10:$S$5001,"*KL*",$Q$10:$Q$5001,"Thể")</f>
        <v>0</v>
      </c>
      <c r="BJ50" s="77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5">
        <v>42</v>
      </c>
      <c r="B51" s="220"/>
      <c r="C51" s="213">
        <v>44713</v>
      </c>
      <c r="D51" s="213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6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2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0</v>
      </c>
      <c r="AW51" s="77">
        <f>COUNTIFS($E$10:$E$5001,"NQ899",$S$10:$S$5001,"*GPS*",$Q$10:$Q$5001,"Thể")</f>
        <v>7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7</v>
      </c>
      <c r="BB51" s="77">
        <f t="shared" si="52"/>
        <v>14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5">
        <v>43</v>
      </c>
      <c r="B52" s="220"/>
      <c r="C52" s="213">
        <v>44713</v>
      </c>
      <c r="D52" s="213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8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369</v>
      </c>
      <c r="AI52" s="8"/>
      <c r="AJ52" s="73" t="s">
        <v>101</v>
      </c>
      <c r="AK52" s="77">
        <f>COUNTIFS($E$10:$E$5001,"Top-1",$Q$10:$Q$5001,"Thể")</f>
        <v>3</v>
      </c>
      <c r="AL52" s="8"/>
      <c r="AM52" s="73" t="s">
        <v>101</v>
      </c>
      <c r="AN52" s="74">
        <f>COUNTIFS($E$10:$E$5001,"TOP-1",$R$10:$R$5001,"PC",$Q$10:$Q$5001,"Thể")</f>
        <v>3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3</v>
      </c>
      <c r="AR52" s="88"/>
      <c r="AS52" s="81" t="s">
        <v>99</v>
      </c>
      <c r="AT52" s="77">
        <f>COUNTIFS($E$10:$E$5001,"ACT-01",$S$10:$S$5001,"*NG*",$Q$10:$Q$5001,"Thể")</f>
        <v>7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9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5">
        <v>44</v>
      </c>
      <c r="B53" s="220"/>
      <c r="C53" s="213">
        <v>44713</v>
      </c>
      <c r="D53" s="213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23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2</v>
      </c>
      <c r="AE53" s="21">
        <f>COUNTIFS($E$10:$E$5001,"TG102",$S$10:$S$5001,"*NCFW*")</f>
        <v>9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5">
        <v>45</v>
      </c>
      <c r="B54" s="220"/>
      <c r="C54" s="213">
        <v>44713</v>
      </c>
      <c r="D54" s="213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547</v>
      </c>
      <c r="Y54" s="74">
        <f>COUNTIFS($E$10:$E$5001,"VNSH02")</f>
        <v>39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2</v>
      </c>
      <c r="AE54" s="21">
        <f>COUNTIFS($E$10:$E$5001,"TG102E",$S$10:$S$5001,"*NCFW*")</f>
        <v>4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11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5">
        <v>46</v>
      </c>
      <c r="B55" s="220"/>
      <c r="C55" s="213">
        <v>44713</v>
      </c>
      <c r="D55" s="213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9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1</v>
      </c>
      <c r="AF55" s="8"/>
      <c r="AG55" s="8"/>
      <c r="AH55" s="8"/>
      <c r="AI55" s="8"/>
      <c r="AJ55" s="78" t="s">
        <v>37</v>
      </c>
      <c r="AK55" s="77">
        <f>SUM(AK40:AK54)</f>
        <v>295</v>
      </c>
      <c r="AL55" s="8"/>
      <c r="AM55" s="21" t="s">
        <v>133</v>
      </c>
      <c r="AN55" s="74">
        <f>COUNTIFS($E$10:$E$5001,"TG102LE-4G",$R$10:$R$5001,"PC",$Q$10:$Q$5001,"Thể")</f>
        <v>1</v>
      </c>
      <c r="AO55" s="21">
        <f>COUNTIFS($E$10:$E$5001,"TG102LE-4G",$R$10:$R$5001,"PM",$Q$10:$Q$5001,"Thể")</f>
        <v>71</v>
      </c>
      <c r="AP55" s="21">
        <f>COUNTIFS($E$10:$E$5001,"TG102LE-4G",$R$10:$R$5001,"PC+PM",$Q$10:$Q$5001,"Thể")</f>
        <v>11</v>
      </c>
      <c r="AQ55" s="21">
        <f t="shared" ref="AQ55" si="53">SUM(AN55:AP55)</f>
        <v>83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11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12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5">
        <v>47</v>
      </c>
      <c r="B56" s="221"/>
      <c r="C56" s="213">
        <v>44713</v>
      </c>
      <c r="D56" s="213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5">
        <v>48</v>
      </c>
      <c r="B57" s="219" t="s">
        <v>277</v>
      </c>
      <c r="C57" s="213" t="s">
        <v>269</v>
      </c>
      <c r="D57" s="213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4</v>
      </c>
      <c r="AA57" s="21" t="s">
        <v>133</v>
      </c>
      <c r="AB57" s="21">
        <f>COUNTIFS($E$10:$E$5001,"TG102LE-4G",$S$10:$S$5001,"*SF*")</f>
        <v>0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81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5">
        <v>49</v>
      </c>
      <c r="B58" s="220"/>
      <c r="C58" s="213" t="s">
        <v>269</v>
      </c>
      <c r="D58" s="213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5">
        <v>50</v>
      </c>
      <c r="B59" s="220"/>
      <c r="C59" s="213" t="s">
        <v>269</v>
      </c>
      <c r="D59" s="213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13</v>
      </c>
      <c r="AA59" s="21" t="s">
        <v>3</v>
      </c>
      <c r="AB59" s="21" t="s">
        <v>117</v>
      </c>
      <c r="AC59" s="21" t="s">
        <v>548</v>
      </c>
      <c r="AD59" s="21" t="s">
        <v>549</v>
      </c>
      <c r="AE59" s="21" t="s">
        <v>550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hidden="1" customHeight="1" x14ac:dyDescent="0.25">
      <c r="A60" s="175">
        <v>51</v>
      </c>
      <c r="B60" s="220"/>
      <c r="C60" s="213" t="s">
        <v>269</v>
      </c>
      <c r="D60" s="213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647</v>
      </c>
      <c r="AA60" s="21" t="s">
        <v>547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hidden="1" customHeight="1" x14ac:dyDescent="0.25">
      <c r="A61" s="175">
        <v>52</v>
      </c>
      <c r="B61" s="220"/>
      <c r="C61" s="213" t="s">
        <v>269</v>
      </c>
      <c r="D61" s="213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546</v>
      </c>
      <c r="AB61" s="21">
        <f>COUNTIFS($E$10:$E$5001,"VNSH02",$S$10:$S$5001,"*NG*")</f>
        <v>2</v>
      </c>
      <c r="AC61" s="21">
        <f>COUNTIFS($E$10:$E$5001,"VNSH02",$S$10:$S$5001,"*CAM*")</f>
        <v>0</v>
      </c>
      <c r="AD61" s="21">
        <f>COUNTIFS($E$10:$E$5001,"VNSH02",$S$10:$S$5001,"*SIM*")</f>
        <v>4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3</v>
      </c>
      <c r="AP61" s="21">
        <f>COUNTIFS($E$10:$E$5001,"TG102",$R$10:$R$5001,"PC+PM",$Q$10:$Q$5001,"Tùng")</f>
        <v>0</v>
      </c>
      <c r="AQ61" s="21">
        <f>SUM(AN61:AP61)</f>
        <v>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2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2</v>
      </c>
      <c r="BB61" s="77">
        <f>SUM(AT61:BA61)</f>
        <v>4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2</v>
      </c>
      <c r="BI61" s="77">
        <f>COUNTIFS($E$10:$E$5001,"TG102",$S$10:$S$5001,"*KL*",$Q$10:$Q$5001,"Tùng")</f>
        <v>0</v>
      </c>
      <c r="BJ61" s="77">
        <f>SUM(BF61:BI61)</f>
        <v>2</v>
      </c>
    </row>
    <row r="62" spans="1:74" ht="18.75" hidden="1" customHeight="1" x14ac:dyDescent="0.25">
      <c r="A62" s="175">
        <v>53</v>
      </c>
      <c r="B62" s="220"/>
      <c r="C62" s="213" t="s">
        <v>269</v>
      </c>
      <c r="D62" s="213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55</v>
      </c>
      <c r="AL62" s="8"/>
      <c r="AM62" s="73" t="s">
        <v>19</v>
      </c>
      <c r="AN62" s="74">
        <f>COUNTIFS($E$10:$E$5001,"TG102V",$R$10:$R$5001,"PC",$Q$10:$Q$5001,"Tùng")</f>
        <v>15</v>
      </c>
      <c r="AO62" s="21">
        <f>COUNTIFS($E$10:$E$5001,"TG102V",$R$10:$R$5001,"PM",$Q$10:$Q$5001,"Tùng")</f>
        <v>2</v>
      </c>
      <c r="AP62" s="21">
        <f>COUNTIFS($E$10:$E$5001,"TG102V",$R$10:$R$5001,"PC+PM",$Q$10:$Q$5001,"Tùng")</f>
        <v>38</v>
      </c>
      <c r="AQ62" s="21">
        <f>SUM(AN62:AP62)</f>
        <v>55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3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47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1</v>
      </c>
      <c r="BB62" s="77">
        <f>SUM(AT62:BA62)</f>
        <v>52</v>
      </c>
      <c r="BD62" s="81" t="s">
        <v>19</v>
      </c>
      <c r="BE62" s="82">
        <f>COUNTIFS($E$10:$E$5001,"TG102V",$S$10:$S$5001,"*SF*",$Q$10:$Q$5001,"Tùng")</f>
        <v>0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37</v>
      </c>
      <c r="BI62" s="77">
        <f>COUNTIFS($E$10:$E$5001,"TG102V",$S$10:$S$5001,"*KL*",$Q$10:$Q$5001,"Tùng")</f>
        <v>1</v>
      </c>
      <c r="BJ62" s="77">
        <f>SUM(BE62:BI62)</f>
        <v>38</v>
      </c>
    </row>
    <row r="63" spans="1:74" ht="18.75" hidden="1" customHeight="1" x14ac:dyDescent="0.25">
      <c r="A63" s="175">
        <v>54</v>
      </c>
      <c r="B63" s="220"/>
      <c r="C63" s="213" t="s">
        <v>269</v>
      </c>
      <c r="D63" s="213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50</v>
      </c>
      <c r="AI63" s="8"/>
      <c r="AJ63" s="73" t="s">
        <v>16</v>
      </c>
      <c r="AK63" s="74">
        <f>COUNTIFS($E$10:$E$5001,"TG102SE",$Q$10:$Q$5001,"Tùng")</f>
        <v>13</v>
      </c>
      <c r="AL63" s="8"/>
      <c r="AM63" s="73" t="s">
        <v>16</v>
      </c>
      <c r="AN63" s="74">
        <f>COUNTIFS($E$10:$E$5001,"TG102SE",$R$10:$R$5001,"PC",$Q$10:$Q$5001,"Tùng")</f>
        <v>5</v>
      </c>
      <c r="AO63" s="21">
        <f>COUNTIFS($E$10:$E$5001,"TG102SE",$R$10:$R$5001,"PM",$Q$10:$Q$5001,"Tùng")</f>
        <v>8</v>
      </c>
      <c r="AP63" s="21">
        <f>COUNTIFS($E$10:$E$5001,"TG102SE",$R$10:$R$5001,"PC+PM",$Q$10:$Q$5001,"Tùng")</f>
        <v>0</v>
      </c>
      <c r="AQ63" s="21">
        <f>SUM(AN63:AP63)</f>
        <v>13</v>
      </c>
      <c r="AR63" s="28"/>
      <c r="AS63" s="81" t="s">
        <v>16</v>
      </c>
      <c r="AT63" s="82">
        <f>COUNTIFS($E$10:$E$5001,"TG102SE",$S$10:$S$5001,"*NG*",$Q$10:$Q$5001,"Tùng")</f>
        <v>1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0</v>
      </c>
      <c r="AW63" s="77">
        <f>COUNTIFS($E$10:$E$5001,"TG102SE",$S$10:$S$5001,"*GPS*",$Q$10:$Q$5001,"Tùng")</f>
        <v>2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2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2</v>
      </c>
      <c r="BB63" s="77">
        <f>SUM(AT63:BA63)</f>
        <v>7</v>
      </c>
      <c r="BD63" s="81" t="s">
        <v>16</v>
      </c>
      <c r="BE63" s="82">
        <f>COUNTIFS($E$10:$E$5001,"TG102SE",$S$10:$S$5001,"*SF*",$Q$10:$Q$5001,"Tùng")</f>
        <v>0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4</v>
      </c>
      <c r="BI63" s="77">
        <f>COUNTIFS($E$10:$E$5001,"TG102SE",$S$10:$S$5001,"*KL*",$Q$10:$Q$5001,"Tùng")</f>
        <v>2</v>
      </c>
      <c r="BJ63" s="77">
        <f t="shared" ref="BJ63:BJ71" si="55">SUM(BE63:BI63)</f>
        <v>6</v>
      </c>
    </row>
    <row r="64" spans="1:74" ht="18.75" hidden="1" customHeight="1" x14ac:dyDescent="0.25">
      <c r="A64" s="175">
        <v>55</v>
      </c>
      <c r="B64" s="220"/>
      <c r="C64" s="213" t="s">
        <v>269</v>
      </c>
      <c r="D64" s="213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69</v>
      </c>
      <c r="AL64" s="8"/>
      <c r="AM64" s="73" t="s">
        <v>38</v>
      </c>
      <c r="AN64" s="74">
        <f>COUNTIFS($E$10:$E$5001,"TG102LE",$R$10:$R$5001,"PC",$Q$10:$Q$5001,"Tùng")</f>
        <v>10</v>
      </c>
      <c r="AO64" s="21">
        <f>COUNTIFS($E$10:$E$5001,"TG102LE",$R$10:$R$5001,"PM",$Q$10:$Q$5001,"Tùng")</f>
        <v>50</v>
      </c>
      <c r="AP64" s="21">
        <f>COUNTIFS($E$10:$E$5001,"TG102LE",$R$10:$R$5001,"PC+PM",$Q$10:$Q$5001,"Tùng")</f>
        <v>9</v>
      </c>
      <c r="AQ64" s="21">
        <f t="shared" ref="AQ64:AQ72" si="56">SUM(AN64:AP64)</f>
        <v>69</v>
      </c>
      <c r="AR64" s="28"/>
      <c r="AS64" s="81" t="s">
        <v>38</v>
      </c>
      <c r="AT64" s="82">
        <f>COUNTIFS($E$10:$E$5001,"TG102LE",$S$10:$S$5001,"*NG*",$Q$10:$Q$5001,"Tùng")</f>
        <v>5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5</v>
      </c>
      <c r="AW64" s="77">
        <f>COUNTIFS($E$10:$E$5001,"TG102LE",$S$10:$S$5001,"*GPS*",$Q$10:$Q$5001,"Tùng")</f>
        <v>0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9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5</v>
      </c>
      <c r="BB64" s="77">
        <f t="shared" ref="BB64:BB75" si="57">SUM(AT64:BA64)</f>
        <v>24</v>
      </c>
      <c r="BD64" s="81" t="s">
        <v>38</v>
      </c>
      <c r="BE64" s="82">
        <f>COUNTIFS($E$10:$E$5001,"TG102LE",$S$10:$S$5001,"*SF*",$Q$10:$Q$5001,"Tùng")</f>
        <v>3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44</v>
      </c>
      <c r="BI64" s="77">
        <f>COUNTIFS($E$10:$E$5001,"TG102LE",$S$10:$S$5001,"*KL*",$Q$10:$Q$5001,"Tùng")</f>
        <v>4</v>
      </c>
      <c r="BJ64" s="77">
        <f t="shared" si="55"/>
        <v>51</v>
      </c>
    </row>
    <row r="65" spans="1:119" ht="18.75" hidden="1" customHeight="1" x14ac:dyDescent="0.25">
      <c r="A65" s="175">
        <v>56</v>
      </c>
      <c r="B65" s="220"/>
      <c r="C65" s="213" t="s">
        <v>269</v>
      </c>
      <c r="D65" s="213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10"/>
      <c r="X65" s="194" t="s">
        <v>133</v>
      </c>
      <c r="Y65" s="194">
        <f>COUNTIFS($E$435:$E$622,"TG102LE-4G")</f>
        <v>57</v>
      </c>
      <c r="Z65" s="277"/>
      <c r="AA65" s="12"/>
      <c r="AB65" s="270" t="s">
        <v>50</v>
      </c>
      <c r="AC65" s="245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1</v>
      </c>
      <c r="AL65" s="8"/>
      <c r="AM65" s="73" t="s">
        <v>39</v>
      </c>
      <c r="AN65" s="74">
        <f>COUNTIFS($E$10:$E$5001,"TG102E",$R$10:$R$5001,"PC",$Q$10:$Q$5001,"Tùng")</f>
        <v>0</v>
      </c>
      <c r="AO65" s="21">
        <f>COUNTIFS($E$10:$E$5001,"TG102E",$R$10:$R$5001,"PM",$Q$10:$Q$5001,"Tùng")</f>
        <v>1</v>
      </c>
      <c r="AP65" s="21">
        <f>COUNTIFS($E$10:$E$5001,"TG102SE",$R$10:$R$5001,"PC+PM",$Q$10:$Q$5001,"Tùng")</f>
        <v>0</v>
      </c>
      <c r="AQ65" s="21">
        <f t="shared" si="56"/>
        <v>1</v>
      </c>
      <c r="AR65" s="28"/>
      <c r="AS65" s="81" t="s">
        <v>39</v>
      </c>
      <c r="AT65" s="82">
        <f>COUNTIFS($E$10:$E$5001,"TG102E",$S$10:$S$5001,"*NG*",$Q$10:$Q$5001,"Tùng")</f>
        <v>0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0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0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0</v>
      </c>
      <c r="BI65" s="77">
        <f>COUNTIFS($E$10:$E$5001,"TG102E",$S$10:$S$5001,"*KL*",$Q$10:$Q$5001,"Tùng")</f>
        <v>0</v>
      </c>
      <c r="BJ65" s="77">
        <f t="shared" si="55"/>
        <v>0</v>
      </c>
    </row>
    <row r="66" spans="1:119" ht="18.75" hidden="1" customHeight="1" x14ac:dyDescent="0.25">
      <c r="A66" s="175">
        <v>57</v>
      </c>
      <c r="B66" s="220"/>
      <c r="C66" s="213" t="s">
        <v>269</v>
      </c>
      <c r="D66" s="213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10"/>
      <c r="X66" s="73" t="s">
        <v>14</v>
      </c>
      <c r="Y66" s="21">
        <f>COUNTIFS($E$435:$E$622,"TG102")</f>
        <v>17</v>
      </c>
      <c r="Z66" s="277"/>
      <c r="AA66" s="12"/>
      <c r="AB66" s="270"/>
      <c r="AC66" s="246"/>
      <c r="AD66" s="12"/>
      <c r="AE66" s="12"/>
      <c r="AF66" s="12"/>
      <c r="AG66" s="21">
        <v>6</v>
      </c>
      <c r="AH66" s="21">
        <f>COUNTIFS($Q$884:$R$1055,"Tùng")</f>
        <v>0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hidden="1" customHeight="1" x14ac:dyDescent="0.25">
      <c r="A67" s="175">
        <v>58</v>
      </c>
      <c r="B67" s="220"/>
      <c r="C67" s="213" t="s">
        <v>269</v>
      </c>
      <c r="D67" s="213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10"/>
      <c r="X67" s="73" t="s">
        <v>19</v>
      </c>
      <c r="Y67" s="74">
        <f>COUNTIFS($E$435:$E$622,"TG102V")</f>
        <v>27</v>
      </c>
      <c r="Z67" s="146"/>
      <c r="AA67" s="12"/>
      <c r="AB67" s="140" t="s">
        <v>32</v>
      </c>
      <c r="AC67" s="175">
        <v>0</v>
      </c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3" t="s">
        <v>20</v>
      </c>
      <c r="AK67" s="74">
        <f>COUNTIFS($E$10:$E$5001,"TG007s",$Q$10:$Q$5001,"Tùng")</f>
        <v>2</v>
      </c>
      <c r="AL67" s="8"/>
      <c r="AM67" s="73" t="s">
        <v>20</v>
      </c>
      <c r="AN67" s="74">
        <f>COUNTIFS($E$10:$E$5001,"TG007S",$R$10:$R$5001,"PC",$Q$10:$Q$5001,"Tùng")</f>
        <v>0</v>
      </c>
      <c r="AO67" s="21">
        <f>COUNTIFS($E$10:$E$5001,"TG007S",$R$10:$R$5001,"PM",$Q$10:$Q$5001,"Tùng")</f>
        <v>1</v>
      </c>
      <c r="AP67" s="21">
        <f>COUNTIFS($E$10:$E$5001,"TG007S",$R$10:$R$5001,"PC+PM",$Q$10:$Q$5001,"Tùng")</f>
        <v>1</v>
      </c>
      <c r="AQ67" s="21">
        <f t="shared" si="56"/>
        <v>2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0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0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1</v>
      </c>
      <c r="BI67" s="77">
        <f>COUNTIFS($E$10:$E$5001,"TG007S",$S$10:$S$5001,"*KL*",$Q$10:$Q$5001,"Tùng")</f>
        <v>0</v>
      </c>
      <c r="BJ67" s="77">
        <f t="shared" si="55"/>
        <v>1</v>
      </c>
    </row>
    <row r="68" spans="1:119" ht="18.75" hidden="1" customHeight="1" x14ac:dyDescent="0.25">
      <c r="A68" s="175">
        <v>59</v>
      </c>
      <c r="B68" s="221"/>
      <c r="C68" s="213" t="s">
        <v>269</v>
      </c>
      <c r="D68" s="213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10"/>
      <c r="X68" s="73" t="s">
        <v>16</v>
      </c>
      <c r="Y68" s="74">
        <f>COUNTIFS($E$435:$E$622,"TG102SE")</f>
        <v>9</v>
      </c>
      <c r="Z68" s="146"/>
      <c r="AA68" s="12"/>
      <c r="AB68" s="140" t="s">
        <v>74</v>
      </c>
      <c r="AC68" s="175">
        <f>COUNTIF($S$435:$S$622,"*GSM*")</f>
        <v>0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5</v>
      </c>
      <c r="AL68" s="28"/>
      <c r="AM68" s="73" t="s">
        <v>18</v>
      </c>
      <c r="AN68" s="74">
        <f>COUNTIFS($E$10:$E$5001,"TG007",$R$10:$R$5001,"PC",$Q$10:$Q$5001,"Tùng")</f>
        <v>3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6"/>
        <v>5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0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0</v>
      </c>
      <c r="BB68" s="77">
        <f t="shared" si="57"/>
        <v>1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2</v>
      </c>
      <c r="BI68" s="77">
        <f>COUNTIFS($E$10:$E$5001,"TG007",$S$10:$S$5001,"*KL*",$Q$10:$Q$5001,"Tùng")</f>
        <v>0</v>
      </c>
      <c r="BJ68" s="77">
        <f t="shared" si="55"/>
        <v>2</v>
      </c>
      <c r="BK68" s="210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225" t="s">
        <v>75</v>
      </c>
      <c r="B69" s="226"/>
      <c r="C69" s="226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7"/>
      <c r="V69" s="21"/>
      <c r="W69" s="210"/>
      <c r="X69" s="73" t="s">
        <v>38</v>
      </c>
      <c r="Y69" s="74">
        <f>COUNTIFS($E$435:$E$622,"TG102LE")</f>
        <v>20</v>
      </c>
      <c r="Z69" s="146"/>
      <c r="AA69" s="12"/>
      <c r="AB69" s="140" t="s">
        <v>77</v>
      </c>
      <c r="AC69" s="175">
        <f>COUNTIF($S$435:$S$622,"*GPS*")</f>
        <v>4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7</v>
      </c>
      <c r="AL69" s="28"/>
      <c r="AM69" s="73" t="s">
        <v>43</v>
      </c>
      <c r="AN69" s="74">
        <f>COUNTIFS($E$10:$E$5001,"TG007X",$R$10:$R$5001,"PC",$Q$10:$Q$5001,"Tùng")</f>
        <v>2</v>
      </c>
      <c r="AO69" s="21">
        <f>COUNTIFS($E$10:$E$5001,"TG007X",$R$10:$R$5001,"PM",$Q$10:$Q$5001,"Tùng")</f>
        <v>2</v>
      </c>
      <c r="AP69" s="21">
        <f>COUNTIFS($E$10:$E$5001,"TG007X",$R$10:$R$5001,"PC+PM",$Q$10:$Q$5001,"Tùng")</f>
        <v>3</v>
      </c>
      <c r="AQ69" s="21">
        <f t="shared" si="56"/>
        <v>7</v>
      </c>
      <c r="AR69" s="28"/>
      <c r="AS69" s="81" t="s">
        <v>18</v>
      </c>
      <c r="AT69" s="82">
        <f>COUNTIFS($E$10:$E$5001,"TG007",$S$10:$S$5001,"*NG*",$Q$10:$Q$5001,"Tùng")</f>
        <v>2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0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1</v>
      </c>
      <c r="BB69" s="77">
        <f t="shared" si="57"/>
        <v>3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4</v>
      </c>
      <c r="BI69" s="85">
        <f>COUNTIFS($E$10:$E$5001,"TG007X",$S$10:$S$5001,"*KL*",$Q$10:$Q$5001,"Tùng")</f>
        <v>0</v>
      </c>
      <c r="BJ69" s="77">
        <f t="shared" si="55"/>
        <v>4</v>
      </c>
      <c r="BK69" s="210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228"/>
      <c r="B70" s="229"/>
      <c r="C70" s="229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30"/>
      <c r="V70" s="21"/>
      <c r="W70" s="210"/>
      <c r="X70" s="73" t="s">
        <v>39</v>
      </c>
      <c r="Y70" s="74">
        <f>COUNTIFS($E$435:$E$622,"TG102E")</f>
        <v>3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2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1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0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6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10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5">
        <v>60</v>
      </c>
      <c r="B71" s="219" t="s">
        <v>292</v>
      </c>
      <c r="C71" s="211">
        <v>44603</v>
      </c>
      <c r="D71" s="211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10"/>
      <c r="X71" s="73" t="s">
        <v>547</v>
      </c>
      <c r="Y71" s="74">
        <f>COUNTIFS($E$435:$E$622,"VNSH01")</f>
        <v>3</v>
      </c>
      <c r="Z71" s="146"/>
      <c r="AA71" s="12"/>
      <c r="AB71" s="140" t="s">
        <v>33</v>
      </c>
      <c r="AC71" s="175">
        <f>COUNTIF($S$435:$S$622,"*NG*")</f>
        <v>6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1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6"/>
        <v>1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0</v>
      </c>
      <c r="BI71" s="77">
        <f>COUNTIFS($E$10:$E$5001,"NQ899",$S$10:$S$5001,"*KL*",$Q$10:$Q$5001,"Tùng")</f>
        <v>0</v>
      </c>
      <c r="BJ71" s="77">
        <f t="shared" si="55"/>
        <v>0</v>
      </c>
      <c r="BK71" s="210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5">
        <v>61</v>
      </c>
      <c r="B72" s="220"/>
      <c r="C72" s="211">
        <v>44603</v>
      </c>
      <c r="D72" s="211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10"/>
      <c r="X72" s="73" t="s">
        <v>20</v>
      </c>
      <c r="Y72" s="74">
        <f>COUNTIFS($E$435:$E$622,"TG007S")</f>
        <v>2</v>
      </c>
      <c r="Z72" s="146"/>
      <c r="AA72" s="12"/>
      <c r="AB72" s="140" t="s">
        <v>34</v>
      </c>
      <c r="AC72" s="175">
        <f>COUNTIF($S$435:$S$622,"*LK*")</f>
        <v>52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10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5">
        <v>62</v>
      </c>
      <c r="B73" s="220"/>
      <c r="C73" s="211">
        <v>44603</v>
      </c>
      <c r="D73" s="211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10"/>
      <c r="X73" s="73" t="s">
        <v>18</v>
      </c>
      <c r="Y73" s="74">
        <f>COUNTIFS($E$435:$E$622,"TG007")</f>
        <v>1</v>
      </c>
      <c r="Z73" s="146"/>
      <c r="AA73" s="12"/>
      <c r="AB73" s="140" t="s">
        <v>35</v>
      </c>
      <c r="AC73" s="175">
        <f>COUNTIF($S$435:$S$622,"*MCH*")</f>
        <v>7</v>
      </c>
      <c r="AD73" s="12"/>
      <c r="AE73" s="12"/>
      <c r="AF73" s="12"/>
      <c r="AG73" s="21" t="s">
        <v>37</v>
      </c>
      <c r="AH73" s="21">
        <f>SUM(AH61:AH72)</f>
        <v>168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2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2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10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5">
        <v>63</v>
      </c>
      <c r="B74" s="220"/>
      <c r="C74" s="211">
        <v>44603</v>
      </c>
      <c r="D74" s="211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10"/>
      <c r="X74" s="73" t="s">
        <v>43</v>
      </c>
      <c r="Y74" s="74">
        <f>COUNTIFS($E$435:$E$622,"TG007x")</f>
        <v>5</v>
      </c>
      <c r="Z74" s="146"/>
      <c r="AA74" s="12"/>
      <c r="AB74" s="140" t="s">
        <v>52</v>
      </c>
      <c r="AC74" s="175">
        <f>COUNTIF($S$435:$S$622,"*SF*")</f>
        <v>2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hidden="1" customHeight="1" x14ac:dyDescent="0.25">
      <c r="A75" s="175">
        <v>64</v>
      </c>
      <c r="B75" s="220"/>
      <c r="C75" s="211">
        <v>44603</v>
      </c>
      <c r="D75" s="211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10"/>
      <c r="X75" s="73" t="s">
        <v>546</v>
      </c>
      <c r="Y75" s="74">
        <f>COUNTIFS($E$435:$E$622,"VNSH02")</f>
        <v>39</v>
      </c>
      <c r="Z75" s="146"/>
      <c r="AA75" s="12"/>
      <c r="AB75" s="140" t="s">
        <v>53</v>
      </c>
      <c r="AC75" s="175">
        <f>COUNTIF($S$435:$S$622,"*RTB*")</f>
        <v>4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hidden="1" customHeight="1" x14ac:dyDescent="0.25">
      <c r="A76" s="175">
        <v>65</v>
      </c>
      <c r="B76" s="220"/>
      <c r="C76" s="211">
        <v>44603</v>
      </c>
      <c r="D76" s="211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10"/>
      <c r="X76" s="73" t="s">
        <v>17</v>
      </c>
      <c r="Y76" s="74">
        <f>COUNTIFS($E$435:$E$622,"NQ899")</f>
        <v>1</v>
      </c>
      <c r="Z76" s="146"/>
      <c r="AA76" s="12"/>
      <c r="AB76" s="138" t="s">
        <v>40</v>
      </c>
      <c r="AC76" s="138">
        <f>COUNTIF($S$435:$S$622,"*NCFW*")</f>
        <v>102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175</v>
      </c>
      <c r="AL76" s="28"/>
      <c r="AM76" s="21" t="s">
        <v>133</v>
      </c>
      <c r="AN76" s="74">
        <f>COUNTIFS($E$10:$E$5001,"TG102LE-4G",$R$10:$R$5001,"PC",$Q$10:$Q$5001,"Tùng")</f>
        <v>0</v>
      </c>
      <c r="AO76" s="21">
        <f>COUNTIFS($E$10:$E$5001,"TG102LE-4G",$R$10:$R$5001,"PM",$Q$10:$Q$5001,"Tùng")</f>
        <v>3</v>
      </c>
      <c r="AP76" s="21">
        <f>COUNTIFS($E$10:$E$5001,"TG102LE-4G",$R$10:$R$5001,"PC+PM",$Q$10:$Q$5001,"Tùng")</f>
        <v>0</v>
      </c>
      <c r="AQ76" s="21">
        <f t="shared" ref="AQ76" si="58">SUM(AN76:AP76)</f>
        <v>3</v>
      </c>
      <c r="AR76" s="28"/>
      <c r="AS76" s="28"/>
      <c r="AT76" s="8"/>
      <c r="AU76" s="8"/>
    </row>
    <row r="77" spans="1:119" ht="16.5" hidden="1" customHeight="1" x14ac:dyDescent="0.25">
      <c r="A77" s="175">
        <v>66</v>
      </c>
      <c r="B77" s="220"/>
      <c r="C77" s="211">
        <v>44603</v>
      </c>
      <c r="D77" s="211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10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COUNTIF($S$435:$S$622,"*KL*")</f>
        <v>7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5">
        <v>67</v>
      </c>
      <c r="B78" s="220"/>
      <c r="C78" s="211">
        <v>44613</v>
      </c>
      <c r="D78" s="211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10"/>
      <c r="X78" s="73" t="s">
        <v>101</v>
      </c>
      <c r="Y78" s="77">
        <f>COUNTIFS($E$435:$E$622,"Top-1")</f>
        <v>0</v>
      </c>
      <c r="Z78" s="215"/>
      <c r="AA78" s="12"/>
      <c r="AB78" s="98" t="s">
        <v>58</v>
      </c>
      <c r="AC78" s="21">
        <f>COUNTIF($P$435:$P$622,"*ĐM*")</f>
        <v>14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5">
        <v>68</v>
      </c>
      <c r="B79" s="220"/>
      <c r="C79" s="211">
        <v>44613</v>
      </c>
      <c r="D79" s="211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10"/>
      <c r="X79" s="76" t="s">
        <v>116</v>
      </c>
      <c r="Y79" s="77">
        <v>0</v>
      </c>
      <c r="Z79" s="215"/>
      <c r="AA79" s="12"/>
      <c r="AB79" s="150" t="s">
        <v>66</v>
      </c>
      <c r="AC79" s="21">
        <f>COUNTIF($P$435:$P$622,"*KS*")</f>
        <v>23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5">
        <v>69</v>
      </c>
      <c r="B80" s="220"/>
      <c r="C80" s="211">
        <v>44613</v>
      </c>
      <c r="D80" s="211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10"/>
      <c r="X80" s="76" t="s">
        <v>99</v>
      </c>
      <c r="Y80" s="77">
        <f>COUNTIFS($E$435:$E$622,"ACT-01")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5">
        <v>70</v>
      </c>
      <c r="B81" s="220"/>
      <c r="C81" s="211">
        <v>44613</v>
      </c>
      <c r="D81" s="211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10"/>
      <c r="X81" s="78" t="s">
        <v>37</v>
      </c>
      <c r="Y81" s="77">
        <f>SUM(Y65:Y80)</f>
        <v>187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6"/>
      <c r="BE81" s="207"/>
      <c r="BF81" s="207"/>
      <c r="BG81" s="207"/>
      <c r="BH81" s="207"/>
      <c r="BI81" s="207"/>
      <c r="BJ81" s="207"/>
      <c r="BK81" s="8"/>
      <c r="BL81" s="8"/>
      <c r="BM81" s="8"/>
    </row>
    <row r="82" spans="1:65" ht="18.75" hidden="1" customHeight="1" x14ac:dyDescent="0.25">
      <c r="A82" s="175">
        <v>71</v>
      </c>
      <c r="B82" s="220"/>
      <c r="C82" s="211" t="s">
        <v>287</v>
      </c>
      <c r="D82" s="211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10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51</v>
      </c>
      <c r="AX82" s="96" t="s">
        <v>34</v>
      </c>
      <c r="AY82" s="96" t="s">
        <v>95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hidden="1" customHeight="1" x14ac:dyDescent="0.25">
      <c r="A83" s="175">
        <v>72</v>
      </c>
      <c r="B83" s="220"/>
      <c r="C83" s="211" t="s">
        <v>287</v>
      </c>
      <c r="D83" s="211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10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7">
        <f>COUNTIFS($E$10:$E$5001,"TG102",$R$10:$R$5001,"*PC*",$T$10:$T$5001,"*I/O*")</f>
        <v>0</v>
      </c>
      <c r="AX83" s="77">
        <f>COUNTIFS($E$10:$E$5001,"TG102",$S$10:$S$5001,"*LK*")</f>
        <v>17</v>
      </c>
      <c r="AY83" s="77">
        <f>COUNTIFS($E$10:$E$5001,"TG102",$S$10:$S$5001,"*ACC*",$Q$10:$Q$5001,"Thể")</f>
        <v>0</v>
      </c>
      <c r="AZ83" s="81">
        <f>COUNTIFS($E$10:$E$5001,"TG102",$P$10:$P$5001,"*KS*")</f>
        <v>16</v>
      </c>
      <c r="BA83" s="77">
        <f>SUM(AS83:AZ83)</f>
        <v>35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2</v>
      </c>
      <c r="BH83" s="84">
        <f>COUNTIFS($E$10:$E$5001,"TG102",$S$10:$S$5001,"*NCFW*")</f>
        <v>9</v>
      </c>
      <c r="BI83" s="77">
        <f>COUNTIFS($E$10:$E$5001,"TG102",$S$10:$S$5001,"*KL*")</f>
        <v>0</v>
      </c>
      <c r="BJ83" s="77">
        <f>SUM(BF83:BI83)</f>
        <v>11</v>
      </c>
      <c r="BM83" s="8"/>
    </row>
    <row r="84" spans="1:65" ht="18.75" hidden="1" customHeight="1" x14ac:dyDescent="0.25">
      <c r="A84" s="175">
        <v>73</v>
      </c>
      <c r="B84" s="220"/>
      <c r="C84" s="211" t="s">
        <v>287</v>
      </c>
      <c r="D84" s="211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10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0</v>
      </c>
      <c r="AT84" s="77">
        <f>COUNTIFS($E$10:$E$5001,"TG102V",$S$10:$S$5001,"*MCU*")</f>
        <v>0</v>
      </c>
      <c r="AU84" s="77">
        <f>COUNTIFS($E$10:$E$5001,"TG102V",$S$10:$S$5001,"*GSM*")</f>
        <v>5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71</v>
      </c>
      <c r="AY84" s="77">
        <f>COUNTIFS($E$10:$E$5001,"TG102V",$S$10:$S$5001,"*ACC*",$Q$10:$Q$5001,"Thể")</f>
        <v>0</v>
      </c>
      <c r="AZ84" s="81">
        <f>COUNTIFS($E$10:$E$5001,"TG102v",$P$10:$P$5001,"*KS*")</f>
        <v>9</v>
      </c>
      <c r="BA84" s="77">
        <f>SUM(AS84:AZ84)</f>
        <v>86</v>
      </c>
      <c r="BD84" s="81" t="s">
        <v>19</v>
      </c>
      <c r="BE84" s="82">
        <f>COUNTIFS($E$10:$E$5001,"TG102V",$S$10:$S$5001,"*SF*")</f>
        <v>0</v>
      </c>
      <c r="BF84" s="77">
        <f>COUNTIFS($E$10:$E$5001,"TG102V",$S$10:$S$5001,"*RTB*")</f>
        <v>2</v>
      </c>
      <c r="BG84" s="77">
        <f>COUNTIFS($E$10:$E$5001,"TG102V",$S$10:$S$5001,"*MCH*")</f>
        <v>2</v>
      </c>
      <c r="BH84" s="84">
        <f>COUNTIFS($E$10:$E$5001,"TG102V",$S$10:$S$5001,"*NCFW*")</f>
        <v>62</v>
      </c>
      <c r="BI84" s="77">
        <f>COUNTIFS($E$10:$E$5001,"TG102V",$S$10:$S$5001,"*KL*")</f>
        <v>4</v>
      </c>
      <c r="BJ84" s="77">
        <f>SUM(BE84:BI84)</f>
        <v>70</v>
      </c>
      <c r="BM84" s="8"/>
    </row>
    <row r="85" spans="1:65" ht="18.75" hidden="1" customHeight="1" x14ac:dyDescent="0.25">
      <c r="A85" s="175">
        <v>74</v>
      </c>
      <c r="B85" s="220"/>
      <c r="C85" s="211" t="s">
        <v>287</v>
      </c>
      <c r="D85" s="211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10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15</v>
      </c>
      <c r="AL85" s="21">
        <f>COUNTIFS($E$10:$E$5001,"TG102",$R$10:$R$5001,"PM")</f>
        <v>6</v>
      </c>
      <c r="AM85" s="21">
        <f>COUNTIFS($E$10:$E$5001,"TG102",$R$10:$R$5001,"PC+PM")</f>
        <v>4</v>
      </c>
      <c r="AN85" s="21">
        <f>SUM(AK85:AM85)</f>
        <v>25</v>
      </c>
      <c r="AO85" s="28"/>
      <c r="AP85" s="28"/>
      <c r="AQ85" s="28"/>
      <c r="AR85" s="81" t="s">
        <v>16</v>
      </c>
      <c r="AS85" s="82">
        <f>COUNTIFS($E$10:$E$5001,"TG102SE",$S$10:$S$5001,"*NG*")</f>
        <v>3</v>
      </c>
      <c r="AT85" s="77">
        <f>COUNTIFS($E$10:$E$5001,"TG102SE",$S$10:$S$5001,"*MCU*")</f>
        <v>0</v>
      </c>
      <c r="AU85" s="77">
        <f>COUNTIFS($E$10:$E$5001,"TG102SE",$S$10:$S$5001,"*GSM*")</f>
        <v>1</v>
      </c>
      <c r="AV85" s="77">
        <f>COUNTIFS($E$10:$E$5001,"TG102SE",$S$10:$S$5001,"*GPS*")</f>
        <v>20</v>
      </c>
      <c r="AW85" s="77">
        <f>COUNTIFS($E$10:$E$5001,"TG102SE",$R$10:$R$5001,"*PC*",$T$10:$T$5001,"*I/O*")</f>
        <v>0</v>
      </c>
      <c r="AX85" s="77">
        <f>COUNTIFS($E$10:$E$5001,"TG102SE",$S$10:$S$5001,"*LK*")</f>
        <v>6</v>
      </c>
      <c r="AY85" s="77">
        <f>COUNTIFS($E$10:$E$5001,"TG102SE",$S$10:$S$5001,"*ACC*",$Q$10:$Q$5001,"Thể")</f>
        <v>0</v>
      </c>
      <c r="AZ85" s="81">
        <f>COUNTIFS($E$10:$E$5001,"TG102se",$P$10:$P$5001,"*KS*")</f>
        <v>23</v>
      </c>
      <c r="BA85" s="77">
        <f>SUM(AS85:AZ85)</f>
        <v>53</v>
      </c>
      <c r="BD85" s="81" t="s">
        <v>16</v>
      </c>
      <c r="BE85" s="82">
        <f>COUNTIFS($E$10:$E$5001,"TG102SE",$S$10:$S$5001,"*SF*")</f>
        <v>0</v>
      </c>
      <c r="BF85" s="77">
        <f>COUNTIFS($E$10:$E$5001,"TG102SE",$S$10:$S$5001,"*RTB*")</f>
        <v>2</v>
      </c>
      <c r="BG85" s="77">
        <f>COUNTIFS($E$10:$E$5001,"TG102SE",$S$10:$S$5001,"*MCH*")</f>
        <v>4</v>
      </c>
      <c r="BH85" s="84">
        <f>COUNTIFS($E$10:$E$5001,"TG102SE",$S$10:$S$5001,"*NCFW*")</f>
        <v>18</v>
      </c>
      <c r="BI85" s="77">
        <f>COUNTIFS($E$10:$E$5001,"TG102SE",$S$10:$S$5001,"*KL*")</f>
        <v>4</v>
      </c>
      <c r="BJ85" s="77">
        <f t="shared" ref="BJ85:BJ92" si="59">SUM(BE85:BI85)</f>
        <v>28</v>
      </c>
      <c r="BM85" s="8"/>
    </row>
    <row r="86" spans="1:65" ht="18.75" hidden="1" customHeight="1" x14ac:dyDescent="0.25">
      <c r="A86" s="175">
        <v>75</v>
      </c>
      <c r="B86" s="220"/>
      <c r="C86" s="211">
        <v>44613</v>
      </c>
      <c r="D86" s="211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10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22</v>
      </c>
      <c r="AL86" s="21">
        <f>COUNTIFS($E$10:$E$5001,"TG102V",$R$10:$R$5001,"PM")</f>
        <v>6</v>
      </c>
      <c r="AM86" s="21">
        <f>COUNTIFS($E$10:$E$5001,"TG102V",$R$10:$R$5001,"PC+PM")</f>
        <v>66</v>
      </c>
      <c r="AN86" s="21">
        <f>SUM(AK86:AM86)</f>
        <v>94</v>
      </c>
      <c r="AO86" s="28"/>
      <c r="AP86" s="28"/>
      <c r="AQ86" s="28"/>
      <c r="AR86" s="81" t="s">
        <v>38</v>
      </c>
      <c r="AS86" s="82">
        <f>COUNTIFS($E$10:$E$5001,"TG102LE",$S$10:$S$5001,"*NG*")</f>
        <v>10</v>
      </c>
      <c r="AT86" s="77">
        <f>COUNTIFS($E$10:$E$5001,"TG102LE",$S$10:$S$5001,"*MCU*")</f>
        <v>0</v>
      </c>
      <c r="AU86" s="77">
        <f>COUNTIFS($E$10:$E$5001,"TG102LE",$S$10:$S$5001,"*GSM*")</f>
        <v>6</v>
      </c>
      <c r="AV86" s="77">
        <f>COUNTIFS($E$10:$E$5001,"TG102LE",$S$10:$S$5001,"*GPS*")</f>
        <v>0</v>
      </c>
      <c r="AW86" s="77">
        <f>COUNTIFS($E$10:$E$5001,"TG102LE",$R$10:$R$5001,"*PC*",$T$10:$T$5001,"*I/O*")</f>
        <v>0</v>
      </c>
      <c r="AX86" s="77">
        <f>COUNTIFS($E$10:$E$5001,"TG102LE",$S$10:$S$5001,"*LK*")</f>
        <v>14</v>
      </c>
      <c r="AY86" s="77">
        <f>COUNTIFS($E$10:$E$5001,"TG102LE",$S$10:$S$5001,"*ACC*",$Q$10:$Q$5001,"Thể")</f>
        <v>0</v>
      </c>
      <c r="AZ86" s="81">
        <f>COUNTIFS($E$10:$E$5001,"TG102le",$P$10:$P$5001,"*KS*")</f>
        <v>15</v>
      </c>
      <c r="BA86" s="77">
        <f t="shared" ref="BA86:BA92" si="60">SUM(AS86:AZ86)</f>
        <v>45</v>
      </c>
      <c r="BD86" s="81" t="s">
        <v>38</v>
      </c>
      <c r="BE86" s="82">
        <f>COUNTIFS($E$10:$E$5001,"TG102LE",$S$10:$S$5001,"*SF*")</f>
        <v>3</v>
      </c>
      <c r="BF86" s="77">
        <f>COUNTIFS($E$10:$E$5001,"TG102LE",$S$10:$S$5001,"*RTB*")</f>
        <v>9</v>
      </c>
      <c r="BG86" s="77">
        <f>COUNTIFS($E$10:$E$5001,"TG102LE",$S$10:$S$5001,"*MCH*")</f>
        <v>16</v>
      </c>
      <c r="BH86" s="84">
        <f>COUNTIFS($E$10:$E$5001,"TG102LE",$S$10:$S$5001,"*NCFW*")</f>
        <v>133</v>
      </c>
      <c r="BI86" s="77">
        <f>COUNTIFS($E$10:$E$5001,"TG102LE",$S$10:$S$5001,"*KL*")</f>
        <v>29</v>
      </c>
      <c r="BJ86" s="77">
        <f t="shared" si="59"/>
        <v>190</v>
      </c>
      <c r="BM86" s="8"/>
    </row>
    <row r="87" spans="1:65" ht="18.75" hidden="1" customHeight="1" x14ac:dyDescent="0.25">
      <c r="A87" s="175">
        <v>76</v>
      </c>
      <c r="B87" s="221"/>
      <c r="C87" s="211">
        <v>44617</v>
      </c>
      <c r="D87" s="211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10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27</v>
      </c>
      <c r="AL87" s="21">
        <f>COUNTIFS($E$10:$E$5001,"TG102SE",$R$10:$R$5001,"PM")</f>
        <v>24</v>
      </c>
      <c r="AM87" s="21">
        <f>COUNTIFS($E$10:$E$5001,"TG102SE",$R$10:$R$5001,"PC+PM")</f>
        <v>3</v>
      </c>
      <c r="AN87" s="21">
        <f>SUM(AK87:AM87)</f>
        <v>54</v>
      </c>
      <c r="AO87" s="28"/>
      <c r="AP87" s="28"/>
      <c r="AQ87" s="28"/>
      <c r="AR87" s="81" t="s">
        <v>39</v>
      </c>
      <c r="AS87" s="82">
        <f>COUNTIFS($E$10:$E$5001,"TG102E",$S$10:$S$5001,"*NG*")</f>
        <v>2</v>
      </c>
      <c r="AT87" s="77">
        <f>COUNTIFS($E$10:$E$5001,"TG102E",$S$10:$S$5001,"*MCU*")</f>
        <v>0</v>
      </c>
      <c r="AU87" s="77">
        <f>COUNTIFS($E$10:$E$5001,"TG102E",$S$10:$S$5001,"*GSM*")</f>
        <v>0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2</v>
      </c>
      <c r="AY87" s="77">
        <f>COUNTIFS($E$10:$E$5001,"TG102E",$S$10:$S$5001,"*ACC*",$Q$10:$Q$5001,"Thể")</f>
        <v>0</v>
      </c>
      <c r="AZ87" s="81">
        <f>COUNTIFS($E$10:$E$5001,"TG102e",$P$10:$P$5001,"*KS*")</f>
        <v>2</v>
      </c>
      <c r="BA87" s="77">
        <f t="shared" si="60"/>
        <v>6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2</v>
      </c>
      <c r="BH87" s="84">
        <f>COUNTIFS($E$10:$E$5001,"TG102E",$S$10:$S$5001,"*NCFW*")</f>
        <v>4</v>
      </c>
      <c r="BI87" s="77">
        <f>COUNTIFS($E$10:$E$5001,"TG102E",$S$10:$S$5001,"*KL*")</f>
        <v>0</v>
      </c>
      <c r="BJ87" s="77">
        <f t="shared" si="59"/>
        <v>6</v>
      </c>
      <c r="BM87" s="8"/>
    </row>
    <row r="88" spans="1:65" ht="18.75" hidden="1" customHeight="1" x14ac:dyDescent="0.25">
      <c r="A88" s="175">
        <v>77</v>
      </c>
      <c r="B88" s="219" t="s">
        <v>308</v>
      </c>
      <c r="C88" s="211">
        <v>44615</v>
      </c>
      <c r="D88" s="211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10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18</v>
      </c>
      <c r="AL88" s="21">
        <f>COUNTIFS($E$10:$E$5001,"TG102LE",$R$10:$R$5001,"PM")</f>
        <v>170</v>
      </c>
      <c r="AM88" s="21">
        <f>COUNTIFS($E$10:$E$5001,"TG102LE",$R$10:$R$5001,"PC+PM")</f>
        <v>12</v>
      </c>
      <c r="AN88" s="21">
        <f t="shared" ref="AN88:AN92" si="61">SUM(AK88:AM88)</f>
        <v>200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hidden="1" customHeight="1" x14ac:dyDescent="0.25">
      <c r="A89" s="175">
        <v>78</v>
      </c>
      <c r="B89" s="220"/>
      <c r="C89" s="211">
        <v>44615</v>
      </c>
      <c r="D89" s="211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10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</v>
      </c>
      <c r="AL89" s="52">
        <f>COUNTIFS($E$10:$E$5001,"TG102E",$R$10:$R$5001,"PM")</f>
        <v>5</v>
      </c>
      <c r="AM89" s="52">
        <f>COUNTIFS($E$10:$E$5001,"TG102SE",$R$10:$R$5001,"PC+PM")</f>
        <v>3</v>
      </c>
      <c r="AN89" s="52">
        <f t="shared" si="61"/>
        <v>11</v>
      </c>
      <c r="AO89" s="170"/>
      <c r="AP89" s="170"/>
      <c r="AQ89" s="170"/>
      <c r="AR89" s="180" t="s">
        <v>118</v>
      </c>
      <c r="AS89" s="203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3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4">
        <f>COUNTIFS($E$10:$E$5001,"TG007S",$S$10:$S$5001,"*NCFW*")</f>
        <v>2</v>
      </c>
      <c r="BI89" s="178">
        <f>COUNTIFS($E$10:$E$5001,"TG007S",$S$10:$S$5001,"*KL*")</f>
        <v>0</v>
      </c>
      <c r="BJ89" s="178">
        <f t="shared" si="59"/>
        <v>3</v>
      </c>
      <c r="BK89" s="2"/>
      <c r="BL89" s="2"/>
      <c r="BM89" s="8"/>
    </row>
    <row r="90" spans="1:65" ht="18.75" hidden="1" customHeight="1" x14ac:dyDescent="0.25">
      <c r="A90" s="175">
        <v>79</v>
      </c>
      <c r="B90" s="220"/>
      <c r="C90" s="211">
        <v>44615</v>
      </c>
      <c r="D90" s="211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10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1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3</v>
      </c>
      <c r="BA90" s="77">
        <f t="shared" si="60"/>
        <v>8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0</v>
      </c>
      <c r="BH90" s="84">
        <f>COUNTIFS($E$10:$E$5001,"TG007",$S$10:$S$5001,"*NCFW*")</f>
        <v>2</v>
      </c>
      <c r="BI90" s="77">
        <f>COUNTIFS($E$10:$E$5001,"TG007",$S$10:$S$5001,"*KL*")</f>
        <v>0</v>
      </c>
      <c r="BJ90" s="77">
        <f t="shared" si="59"/>
        <v>2</v>
      </c>
      <c r="BM90" s="8"/>
    </row>
    <row r="91" spans="1:65" ht="18.75" hidden="1" customHeight="1" x14ac:dyDescent="0.25">
      <c r="A91" s="175">
        <v>80</v>
      </c>
      <c r="B91" s="220"/>
      <c r="C91" s="211">
        <v>44615</v>
      </c>
      <c r="D91" s="211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10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0</v>
      </c>
      <c r="AL91" s="21">
        <f>COUNTIFS($E$10:$E$5001,"TG007S",$R$10:$R$5001,"PM")</f>
        <v>1</v>
      </c>
      <c r="AM91" s="21">
        <f>COUNTIFS($E$10:$E$5001,"TG007S",$R$10:$R$5001,"PC+PM")</f>
        <v>5</v>
      </c>
      <c r="AN91" s="21">
        <f t="shared" si="61"/>
        <v>6</v>
      </c>
      <c r="AO91" s="28"/>
      <c r="AP91" s="28"/>
      <c r="AQ91" s="28"/>
      <c r="AR91" s="81" t="s">
        <v>18</v>
      </c>
      <c r="AS91" s="82">
        <f>COUNTIFS($E$10:$E$5001,"TG007",$S$10:$S$5001,"*NG*")</f>
        <v>3</v>
      </c>
      <c r="AT91" s="77">
        <f>COUNTIFS($E$10:$E$5001,"TG007S",$S$10:$S$5001,"*MCU*")</f>
        <v>0</v>
      </c>
      <c r="AU91" s="77">
        <f>COUNTIFS($E$10:$E$5001,"TG007S",$S$10:$S$5001,"*GSM*")</f>
        <v>1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1</v>
      </c>
      <c r="BA91" s="77">
        <f t="shared" si="60"/>
        <v>6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1</v>
      </c>
      <c r="BH91" s="86">
        <f>COUNTIFS($E$10:$E$5001,"TG007X",$S$10:$S$5001,"*NCFW*")</f>
        <v>15</v>
      </c>
      <c r="BI91" s="85">
        <f>COUNTIFS($E$10:$E$5001,"TG007X",$S$10:$S$5001,"*KL*")</f>
        <v>0</v>
      </c>
      <c r="BJ91" s="77">
        <f t="shared" si="59"/>
        <v>19</v>
      </c>
      <c r="BM91" s="8"/>
    </row>
    <row r="92" spans="1:65" ht="16.5" hidden="1" customHeight="1" x14ac:dyDescent="0.25">
      <c r="A92" s="175">
        <v>81</v>
      </c>
      <c r="B92" s="220"/>
      <c r="C92" s="211">
        <v>44615</v>
      </c>
      <c r="D92" s="211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10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5</v>
      </c>
      <c r="AL92" s="21">
        <f>COUNTIFS($E$10:$E$5001,"TG007",$R$10:$R$5001,"PM")</f>
        <v>0</v>
      </c>
      <c r="AM92" s="21">
        <f>COUNTIFS($E$10:$E$5001,"TG007",$R$10:$R$5001,"PC+PM")</f>
        <v>2</v>
      </c>
      <c r="AN92" s="21">
        <f t="shared" si="61"/>
        <v>7</v>
      </c>
      <c r="AO92" s="28"/>
      <c r="AP92" s="28"/>
      <c r="AQ92" s="28"/>
      <c r="AR92" s="81" t="s">
        <v>43</v>
      </c>
      <c r="AS92" s="82">
        <f>COUNTIFS($E$10:$E$5001,"TG007X",$S$10:$S$5001,"*NG*")</f>
        <v>5</v>
      </c>
      <c r="AT92" s="77">
        <f>COUNTIFS($E$10:$E$5001,"TG007X",$S$10:$S$5001,"*MCU*")</f>
        <v>0</v>
      </c>
      <c r="AU92" s="77">
        <f>COUNTIFS($E$10:$E$5001,"TG007X",$S$10:$S$5001,"*GSM*")</f>
        <v>2</v>
      </c>
      <c r="AV92" s="77">
        <f>COUNTIFS($E$10:$E$5001,"TG007X",$S$10:$S$5001,"*GPS*")</f>
        <v>3</v>
      </c>
      <c r="AW92" s="77">
        <f>COUNTIFS($E$10:$E$5001,"TG007X",$R$10:$R$5001,"*PC*",$T$10:$T$5001,"*I/O*")</f>
        <v>0</v>
      </c>
      <c r="AX92" s="77">
        <f>COUNTIFS($E$10:$E$5001,"TG007X",$S$10:$S$5001,"*LK*")</f>
        <v>4</v>
      </c>
      <c r="AY92" s="77">
        <f>COUNTIFS($E$10:$E$5001,"TG007X",$S$10:$S$5001,"*ACC*",$Q$10:$Q$5001,"Thể")</f>
        <v>0</v>
      </c>
      <c r="AZ92" s="81">
        <f>COUNTIFS($E$10:$E$5001,"TG007X",$P$10:$P$5001,"*KS*")</f>
        <v>1</v>
      </c>
      <c r="BA92" s="77">
        <f t="shared" si="60"/>
        <v>15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hidden="1" customHeight="1" x14ac:dyDescent="0.25">
      <c r="A93" s="175">
        <v>82</v>
      </c>
      <c r="B93" s="220"/>
      <c r="C93" s="211">
        <v>44615</v>
      </c>
      <c r="D93" s="211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10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/>
      <c r="AK93" s="74"/>
      <c r="AL93" s="21"/>
      <c r="AM93" s="21"/>
      <c r="AN93" s="21"/>
      <c r="AO93" s="28"/>
      <c r="AP93" s="28"/>
      <c r="AQ93" s="28"/>
      <c r="AR93" s="81"/>
      <c r="AS93" s="82"/>
      <c r="AT93" s="77"/>
      <c r="AU93" s="77"/>
      <c r="AV93" s="77"/>
      <c r="AW93" s="77"/>
      <c r="AX93" s="77"/>
      <c r="AY93" s="77"/>
      <c r="AZ93" s="81"/>
      <c r="BA93" s="77"/>
      <c r="BD93" s="87"/>
      <c r="BE93" s="82"/>
      <c r="BF93" s="77"/>
      <c r="BG93" s="77"/>
      <c r="BH93" s="77"/>
      <c r="BI93" s="77"/>
      <c r="BJ93" s="77"/>
      <c r="BM93" s="8"/>
    </row>
    <row r="94" spans="1:65" ht="16.5" hidden="1" customHeight="1" x14ac:dyDescent="0.25">
      <c r="A94" s="175">
        <v>83</v>
      </c>
      <c r="B94" s="220"/>
      <c r="C94" s="211">
        <v>44615</v>
      </c>
      <c r="D94" s="211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10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/>
      <c r="AK94" s="74"/>
      <c r="AL94" s="21"/>
      <c r="AM94" s="21"/>
      <c r="AN94" s="21"/>
      <c r="AO94" s="28"/>
      <c r="AP94" s="28"/>
      <c r="AQ94" s="28"/>
      <c r="AR94" s="81"/>
      <c r="AS94" s="82"/>
      <c r="AT94" s="77"/>
      <c r="AU94" s="77"/>
      <c r="AV94" s="77"/>
      <c r="AW94" s="77"/>
      <c r="AX94" s="77"/>
      <c r="AY94" s="77"/>
      <c r="AZ94" s="81"/>
      <c r="BA94" s="77"/>
      <c r="BD94" s="87"/>
      <c r="BE94" s="82"/>
      <c r="BF94" s="77"/>
      <c r="BG94" s="77"/>
      <c r="BH94" s="77"/>
      <c r="BI94" s="77"/>
      <c r="BJ94" s="77"/>
      <c r="BM94" s="8"/>
    </row>
    <row r="95" spans="1:65" ht="16.5" hidden="1" customHeight="1" x14ac:dyDescent="0.25">
      <c r="A95" s="175">
        <v>84</v>
      </c>
      <c r="B95" s="220"/>
      <c r="C95" s="211">
        <v>44615</v>
      </c>
      <c r="D95" s="211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10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3</v>
      </c>
      <c r="AL95" s="21">
        <f>COUNTIFS($E$10:$E$5001,"TG007X",$R$10:$R$5001,"PM")</f>
        <v>10</v>
      </c>
      <c r="AM95" s="21">
        <f>COUNTIFS($E$10:$E$5001,"TG007X",$R$10:$R$5001,"PC+PM")</f>
        <v>10</v>
      </c>
      <c r="AN95" s="21">
        <f t="shared" ref="AN95:AN98" si="62">SUM(AK95:AM95)</f>
        <v>23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1</v>
      </c>
      <c r="BI95" s="77">
        <f>COUNTIFS($E$10:$E$5001,"NQ899",$S$10:$S$5001,"*KL*")</f>
        <v>0</v>
      </c>
      <c r="BJ95" s="77">
        <f t="shared" ref="BJ95" si="64">SUM(BE95:BI95)</f>
        <v>1</v>
      </c>
      <c r="BM95" s="8"/>
    </row>
    <row r="96" spans="1:65" ht="16.5" hidden="1" customHeight="1" x14ac:dyDescent="0.25">
      <c r="A96" s="175">
        <v>85</v>
      </c>
      <c r="B96" s="220"/>
      <c r="C96" s="211">
        <v>44615</v>
      </c>
      <c r="D96" s="211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10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0</v>
      </c>
      <c r="AV96" s="77">
        <f>COUNTIFS($E$10:$E$5001,"NQ899",$S$10:$S$5001,"*GPS*")</f>
        <v>7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7</v>
      </c>
      <c r="BA96" s="77">
        <f t="shared" si="63"/>
        <v>15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hidden="1" customHeight="1" x14ac:dyDescent="0.25">
      <c r="A97" s="175">
        <v>86</v>
      </c>
      <c r="B97" s="221"/>
      <c r="C97" s="211">
        <v>44615</v>
      </c>
      <c r="D97" s="211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10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8</v>
      </c>
      <c r="AL97" s="21">
        <f>COUNTIFS($E$10:$E$5001,"NQ899",$R$10:$R$5001,"PM")</f>
        <v>1</v>
      </c>
      <c r="AM97" s="21">
        <f>COUNTIFS($E$10:$E$5001,"NQ899",$R$10:$R$5001,"PC+PM")</f>
        <v>0</v>
      </c>
      <c r="AN97" s="21">
        <f t="shared" si="62"/>
        <v>9</v>
      </c>
      <c r="AO97" s="28"/>
      <c r="AP97" s="28"/>
      <c r="AQ97" s="28"/>
      <c r="AR97" s="81" t="s">
        <v>99</v>
      </c>
      <c r="AS97" s="77">
        <f>COUNTIFS($E$10:$E$5001,"ACT-01",$S$10:$S$5001,"*NG*")</f>
        <v>7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4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11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1</v>
      </c>
      <c r="BI97" s="21">
        <f>COUNTIFS($E$10:$E$5001,"TOP-1",$S$10:$S$5001,"*KL*")</f>
        <v>0</v>
      </c>
      <c r="BJ97" s="21">
        <f>SUM(BE97:BI97)</f>
        <v>2</v>
      </c>
      <c r="BM97" s="8"/>
    </row>
    <row r="98" spans="1:66" ht="16.5" hidden="1" customHeight="1" x14ac:dyDescent="0.25">
      <c r="A98" s="175">
        <v>87</v>
      </c>
      <c r="B98" s="219" t="s">
        <v>313</v>
      </c>
      <c r="C98" s="211">
        <v>44615</v>
      </c>
      <c r="D98" s="211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10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hidden="1" customHeight="1" x14ac:dyDescent="0.25">
      <c r="A99" s="175">
        <v>88</v>
      </c>
      <c r="B99" s="220"/>
      <c r="C99" s="211">
        <v>44615</v>
      </c>
      <c r="D99" s="211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10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hidden="1" customHeight="1" x14ac:dyDescent="0.25">
      <c r="A100" s="175">
        <v>89</v>
      </c>
      <c r="B100" s="220"/>
      <c r="C100" s="211">
        <v>44615</v>
      </c>
      <c r="D100" s="211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10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hidden="1" customHeight="1" x14ac:dyDescent="0.25">
      <c r="A101" s="175">
        <v>90</v>
      </c>
      <c r="B101" s="220"/>
      <c r="C101" s="211">
        <v>44615</v>
      </c>
      <c r="D101" s="211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10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hidden="1" customHeight="1" x14ac:dyDescent="0.25">
      <c r="A102" s="175">
        <v>91</v>
      </c>
      <c r="B102" s="220"/>
      <c r="C102" s="211">
        <v>44615</v>
      </c>
      <c r="D102" s="211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10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5">
        <v>92</v>
      </c>
      <c r="B103" s="220"/>
      <c r="C103" s="211">
        <v>44615</v>
      </c>
      <c r="D103" s="211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10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5">
        <v>93</v>
      </c>
      <c r="B104" s="220"/>
      <c r="C104" s="211">
        <v>44615</v>
      </c>
      <c r="D104" s="211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10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5">
        <v>94</v>
      </c>
      <c r="B105" s="220"/>
      <c r="C105" s="211">
        <v>44615</v>
      </c>
      <c r="D105" s="211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10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5">
        <v>95</v>
      </c>
      <c r="B106" s="221"/>
      <c r="C106" s="211">
        <v>44615</v>
      </c>
      <c r="D106" s="211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10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5">
        <v>96</v>
      </c>
      <c r="B107" s="175" t="s">
        <v>314</v>
      </c>
      <c r="C107" s="211">
        <v>44614</v>
      </c>
      <c r="D107" s="211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10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5">
        <v>97</v>
      </c>
      <c r="B108" s="175" t="s">
        <v>318</v>
      </c>
      <c r="C108" s="211">
        <v>44608</v>
      </c>
      <c r="D108" s="211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10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5">
        <v>98</v>
      </c>
      <c r="B109" s="175" t="s">
        <v>322</v>
      </c>
      <c r="C109" s="211">
        <v>44603</v>
      </c>
      <c r="D109" s="211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10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11">
        <v>44614</v>
      </c>
      <c r="D110" s="211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10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5">
        <v>100</v>
      </c>
      <c r="B111" s="219" t="s">
        <v>325</v>
      </c>
      <c r="C111" s="211">
        <v>44601</v>
      </c>
      <c r="D111" s="211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10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5">
        <v>101</v>
      </c>
      <c r="B112" s="221"/>
      <c r="C112" s="211">
        <v>44601</v>
      </c>
      <c r="D112" s="211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10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5">
        <v>102</v>
      </c>
      <c r="B113" s="219" t="s">
        <v>332</v>
      </c>
      <c r="C113" s="211">
        <v>44600</v>
      </c>
      <c r="D113" s="211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10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5">
        <v>103</v>
      </c>
      <c r="B114" s="220"/>
      <c r="C114" s="211">
        <v>44600</v>
      </c>
      <c r="D114" s="211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10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5">
        <v>104</v>
      </c>
      <c r="B115" s="221"/>
      <c r="C115" s="211">
        <v>44600</v>
      </c>
      <c r="D115" s="211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10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225" t="s">
        <v>81</v>
      </c>
      <c r="B116" s="226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7"/>
      <c r="V116" s="21"/>
      <c r="W116" s="210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228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30"/>
      <c r="V117" s="21"/>
      <c r="W117" s="210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5">
        <v>105</v>
      </c>
      <c r="B118" s="219" t="s">
        <v>348</v>
      </c>
      <c r="C118" s="211">
        <v>44637</v>
      </c>
      <c r="D118" s="211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10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5">
        <v>106</v>
      </c>
      <c r="B119" s="220"/>
      <c r="C119" s="211">
        <v>44637</v>
      </c>
      <c r="D119" s="211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10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5">
        <v>107</v>
      </c>
      <c r="B120" s="220"/>
      <c r="C120" s="211">
        <v>44637</v>
      </c>
      <c r="D120" s="211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10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5">
        <v>108</v>
      </c>
      <c r="B121" s="220"/>
      <c r="C121" s="211">
        <v>44637</v>
      </c>
      <c r="D121" s="211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200"/>
      <c r="V121" s="52"/>
      <c r="W121" s="210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5">
        <v>109</v>
      </c>
      <c r="B122" s="220"/>
      <c r="C122" s="211">
        <v>44637</v>
      </c>
      <c r="D122" s="211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200"/>
      <c r="V122" s="52"/>
      <c r="W122" s="210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5">
        <v>110</v>
      </c>
      <c r="B123" s="220"/>
      <c r="C123" s="211">
        <v>44637</v>
      </c>
      <c r="D123" s="211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10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8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5">
        <v>111</v>
      </c>
      <c r="B124" s="220"/>
      <c r="C124" s="211">
        <v>44637</v>
      </c>
      <c r="D124" s="211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10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8"/>
      <c r="AL124" s="8"/>
      <c r="AM124" s="8"/>
      <c r="AN124" s="8"/>
      <c r="AO124" s="8"/>
      <c r="AP124" s="28"/>
      <c r="AQ124" s="28"/>
      <c r="AR124" s="28"/>
      <c r="AS124" s="209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5">
        <v>112</v>
      </c>
      <c r="B125" s="220"/>
      <c r="C125" s="211">
        <v>44637</v>
      </c>
      <c r="D125" s="211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10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8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5">
        <v>113</v>
      </c>
      <c r="B126" s="220"/>
      <c r="C126" s="211">
        <v>44637</v>
      </c>
      <c r="D126" s="211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10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5">
        <v>114</v>
      </c>
      <c r="B127" s="220"/>
      <c r="C127" s="211">
        <v>44637</v>
      </c>
      <c r="D127" s="211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10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5">
        <v>115</v>
      </c>
      <c r="B128" s="220"/>
      <c r="C128" s="211">
        <v>44637</v>
      </c>
      <c r="D128" s="211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10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5">
        <v>116</v>
      </c>
      <c r="B129" s="220"/>
      <c r="C129" s="211">
        <v>44637</v>
      </c>
      <c r="D129" s="211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10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5">
        <v>117</v>
      </c>
      <c r="B130" s="220"/>
      <c r="C130" s="211">
        <v>44637</v>
      </c>
      <c r="D130" s="211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10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hidden="1" customHeight="1" x14ac:dyDescent="0.25">
      <c r="A131" s="175">
        <v>118</v>
      </c>
      <c r="B131" s="220"/>
      <c r="C131" s="211">
        <v>44637</v>
      </c>
      <c r="D131" s="211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10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hidden="1" customHeight="1" x14ac:dyDescent="0.25">
      <c r="A132" s="175">
        <v>119</v>
      </c>
      <c r="B132" s="220"/>
      <c r="C132" s="211">
        <v>44637</v>
      </c>
      <c r="D132" s="211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10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hidden="1" customHeight="1" x14ac:dyDescent="0.25">
      <c r="A133" s="175">
        <v>120</v>
      </c>
      <c r="B133" s="220"/>
      <c r="C133" s="211">
        <v>44637</v>
      </c>
      <c r="D133" s="211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10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hidden="1" customHeight="1" x14ac:dyDescent="0.25">
      <c r="A134" s="175">
        <v>121</v>
      </c>
      <c r="B134" s="220"/>
      <c r="C134" s="211">
        <v>44637</v>
      </c>
      <c r="D134" s="211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10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hidden="1" customHeight="1" x14ac:dyDescent="0.25">
      <c r="A135" s="175">
        <v>122</v>
      </c>
      <c r="B135" s="220"/>
      <c r="C135" s="211">
        <v>44637</v>
      </c>
      <c r="D135" s="211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10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20"/>
      <c r="C136" s="211">
        <v>44637</v>
      </c>
      <c r="D136" s="211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10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20"/>
      <c r="C137" s="211">
        <v>44637</v>
      </c>
      <c r="D137" s="211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10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20"/>
      <c r="C138" s="211">
        <v>44637</v>
      </c>
      <c r="D138" s="211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10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20"/>
      <c r="C139" s="211">
        <v>44637</v>
      </c>
      <c r="D139" s="211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10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20"/>
      <c r="C140" s="211">
        <v>44637</v>
      </c>
      <c r="D140" s="211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10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20"/>
      <c r="C141" s="211">
        <v>44637</v>
      </c>
      <c r="D141" s="211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10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20"/>
      <c r="C142" s="211">
        <v>44637</v>
      </c>
      <c r="D142" s="211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10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20"/>
      <c r="C143" s="211">
        <v>44637</v>
      </c>
      <c r="D143" s="211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10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20"/>
      <c r="C144" s="211">
        <v>44637</v>
      </c>
      <c r="D144" s="211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10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21"/>
      <c r="C145" s="211">
        <v>44637</v>
      </c>
      <c r="D145" s="211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10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5">
        <v>133</v>
      </c>
      <c r="B146" s="219" t="s">
        <v>352</v>
      </c>
      <c r="C146" s="211">
        <v>44628</v>
      </c>
      <c r="D146" s="211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10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5">
        <v>134</v>
      </c>
      <c r="B147" s="220"/>
      <c r="C147" s="211">
        <v>44628</v>
      </c>
      <c r="D147" s="211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10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5">
        <v>135</v>
      </c>
      <c r="B148" s="221"/>
      <c r="C148" s="211">
        <v>44628</v>
      </c>
      <c r="D148" s="211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10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5">
        <v>136</v>
      </c>
      <c r="B149" s="219" t="s">
        <v>386</v>
      </c>
      <c r="C149" s="211">
        <v>44629</v>
      </c>
      <c r="D149" s="211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10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5">
        <v>137</v>
      </c>
      <c r="B150" s="220"/>
      <c r="C150" s="211">
        <v>44629</v>
      </c>
      <c r="D150" s="211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10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5">
        <v>138</v>
      </c>
      <c r="B151" s="220"/>
      <c r="C151" s="211">
        <v>44629</v>
      </c>
      <c r="D151" s="211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10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5">
        <v>139</v>
      </c>
      <c r="B152" s="220"/>
      <c r="C152" s="211">
        <v>44629</v>
      </c>
      <c r="D152" s="211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10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5">
        <v>140</v>
      </c>
      <c r="B153" s="220"/>
      <c r="C153" s="211">
        <v>44629</v>
      </c>
      <c r="D153" s="211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10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5">
        <v>141</v>
      </c>
      <c r="B154" s="220"/>
      <c r="C154" s="211">
        <v>44629</v>
      </c>
      <c r="D154" s="211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10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5">
        <v>142</v>
      </c>
      <c r="B155" s="220"/>
      <c r="C155" s="211">
        <v>44629</v>
      </c>
      <c r="D155" s="211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10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5">
        <v>143</v>
      </c>
      <c r="B156" s="220"/>
      <c r="C156" s="211">
        <v>44629</v>
      </c>
      <c r="D156" s="211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10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5">
        <v>144</v>
      </c>
      <c r="B157" s="220"/>
      <c r="C157" s="211">
        <v>44629</v>
      </c>
      <c r="D157" s="211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10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5">
        <v>145</v>
      </c>
      <c r="B158" s="220"/>
      <c r="C158" s="211">
        <v>44629</v>
      </c>
      <c r="D158" s="211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10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5">
        <v>146</v>
      </c>
      <c r="B159" s="220"/>
      <c r="C159" s="211">
        <v>44629</v>
      </c>
      <c r="D159" s="211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10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5">
        <v>147</v>
      </c>
      <c r="B160" s="220"/>
      <c r="C160" s="211">
        <v>44629</v>
      </c>
      <c r="D160" s="211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10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5">
        <v>148</v>
      </c>
      <c r="B161" s="220"/>
      <c r="C161" s="211">
        <v>44629</v>
      </c>
      <c r="D161" s="211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10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5">
        <v>149</v>
      </c>
      <c r="B162" s="220"/>
      <c r="C162" s="211">
        <v>44629</v>
      </c>
      <c r="D162" s="211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10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5">
        <v>150</v>
      </c>
      <c r="B163" s="220"/>
      <c r="C163" s="211">
        <v>44629</v>
      </c>
      <c r="D163" s="211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10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5">
        <v>151</v>
      </c>
      <c r="B164" s="220"/>
      <c r="C164" s="211">
        <v>44629</v>
      </c>
      <c r="D164" s="211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10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5">
        <v>152</v>
      </c>
      <c r="B165" s="220"/>
      <c r="C165" s="211">
        <v>44629</v>
      </c>
      <c r="D165" s="211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10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5">
        <v>153</v>
      </c>
      <c r="B166" s="220"/>
      <c r="C166" s="211">
        <v>44629</v>
      </c>
      <c r="D166" s="211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10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5">
        <v>154</v>
      </c>
      <c r="B167" s="220"/>
      <c r="C167" s="211">
        <v>44629</v>
      </c>
      <c r="D167" s="211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10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5">
        <v>155</v>
      </c>
      <c r="B168" s="220"/>
      <c r="C168" s="211">
        <v>44629</v>
      </c>
      <c r="D168" s="211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10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5">
        <v>156</v>
      </c>
      <c r="B169" s="220"/>
      <c r="C169" s="211">
        <v>44629</v>
      </c>
      <c r="D169" s="211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10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5">
        <v>157</v>
      </c>
      <c r="B170" s="220"/>
      <c r="C170" s="211">
        <v>44629</v>
      </c>
      <c r="D170" s="211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10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5">
        <v>158</v>
      </c>
      <c r="B171" s="220"/>
      <c r="C171" s="211">
        <v>44629</v>
      </c>
      <c r="D171" s="211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10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5">
        <v>159</v>
      </c>
      <c r="B172" s="220"/>
      <c r="C172" s="211">
        <v>44629</v>
      </c>
      <c r="D172" s="211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10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5">
        <v>160</v>
      </c>
      <c r="B173" s="220"/>
      <c r="C173" s="211">
        <v>44629</v>
      </c>
      <c r="D173" s="211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10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5">
        <v>161</v>
      </c>
      <c r="B174" s="220"/>
      <c r="C174" s="211">
        <v>44629</v>
      </c>
      <c r="D174" s="211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10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5">
        <v>162</v>
      </c>
      <c r="B175" s="220"/>
      <c r="C175" s="211">
        <v>44629</v>
      </c>
      <c r="D175" s="211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10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5">
        <v>163</v>
      </c>
      <c r="B176" s="220"/>
      <c r="C176" s="211">
        <v>44629</v>
      </c>
      <c r="D176" s="211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10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5">
        <v>164</v>
      </c>
      <c r="B177" s="220"/>
      <c r="C177" s="211">
        <v>44629</v>
      </c>
      <c r="D177" s="211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10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5">
        <v>165</v>
      </c>
      <c r="B178" s="220"/>
      <c r="C178" s="211">
        <v>44629</v>
      </c>
      <c r="D178" s="211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10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5">
        <v>166</v>
      </c>
      <c r="B179" s="220"/>
      <c r="C179" s="211">
        <v>44629</v>
      </c>
      <c r="D179" s="211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10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5">
        <v>167</v>
      </c>
      <c r="B180" s="220"/>
      <c r="C180" s="211">
        <v>44629</v>
      </c>
      <c r="D180" s="211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10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5">
        <v>168</v>
      </c>
      <c r="B181" s="220"/>
      <c r="C181" s="211">
        <v>44629</v>
      </c>
      <c r="D181" s="211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10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5">
        <v>169</v>
      </c>
      <c r="B182" s="220"/>
      <c r="C182" s="211">
        <v>44629</v>
      </c>
      <c r="D182" s="211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10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5">
        <v>170</v>
      </c>
      <c r="B183" s="220"/>
      <c r="C183" s="211">
        <v>44629</v>
      </c>
      <c r="D183" s="211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10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5">
        <v>171</v>
      </c>
      <c r="B184" s="220"/>
      <c r="C184" s="211">
        <v>44629</v>
      </c>
      <c r="D184" s="211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10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5">
        <v>172</v>
      </c>
      <c r="B185" s="220"/>
      <c r="C185" s="211">
        <v>44629</v>
      </c>
      <c r="D185" s="211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10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5">
        <v>173</v>
      </c>
      <c r="B186" s="220"/>
      <c r="C186" s="211">
        <v>44629</v>
      </c>
      <c r="D186" s="211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10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5">
        <v>174</v>
      </c>
      <c r="B187" s="220"/>
      <c r="C187" s="211">
        <v>44629</v>
      </c>
      <c r="D187" s="211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10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5">
        <v>175</v>
      </c>
      <c r="B188" s="220"/>
      <c r="C188" s="211">
        <v>44629</v>
      </c>
      <c r="D188" s="211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10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5">
        <v>176</v>
      </c>
      <c r="B189" s="221"/>
      <c r="C189" s="211">
        <v>44629</v>
      </c>
      <c r="D189" s="211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5">
        <v>177</v>
      </c>
      <c r="B190" s="219" t="s">
        <v>390</v>
      </c>
      <c r="C190" s="211">
        <v>44630</v>
      </c>
      <c r="D190" s="211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5">
        <v>178</v>
      </c>
      <c r="B191" s="220"/>
      <c r="C191" s="211">
        <v>44630</v>
      </c>
      <c r="D191" s="211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5">
        <v>179</v>
      </c>
      <c r="B192" s="220"/>
      <c r="C192" s="211">
        <v>44630</v>
      </c>
      <c r="D192" s="211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5">
        <v>180</v>
      </c>
      <c r="B193" s="220"/>
      <c r="C193" s="211">
        <v>44630</v>
      </c>
      <c r="D193" s="211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5">
        <v>181</v>
      </c>
      <c r="B194" s="221"/>
      <c r="C194" s="211">
        <v>44630</v>
      </c>
      <c r="D194" s="211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5">
        <v>182</v>
      </c>
      <c r="B195" s="219" t="s">
        <v>407</v>
      </c>
      <c r="C195" s="211">
        <v>44643</v>
      </c>
      <c r="D195" s="211"/>
      <c r="E195" s="148" t="s">
        <v>101</v>
      </c>
      <c r="F195" s="149">
        <v>868183038597733</v>
      </c>
      <c r="G195" s="148"/>
      <c r="H195" s="148" t="s">
        <v>158</v>
      </c>
      <c r="I195" s="156"/>
      <c r="J195" s="103" t="s">
        <v>171</v>
      </c>
      <c r="K195" s="138" t="s">
        <v>182</v>
      </c>
      <c r="L195" s="138" t="s">
        <v>161</v>
      </c>
      <c r="M195" s="150"/>
      <c r="N195" s="150" t="s">
        <v>391</v>
      </c>
      <c r="O195" s="138"/>
      <c r="P195" s="150" t="s">
        <v>151</v>
      </c>
      <c r="Q195" s="138" t="s">
        <v>152</v>
      </c>
      <c r="R195" s="139" t="s">
        <v>23</v>
      </c>
      <c r="S195" s="148" t="s">
        <v>25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5">
        <v>183</v>
      </c>
      <c r="B196" s="220"/>
      <c r="C196" s="211">
        <v>44643</v>
      </c>
      <c r="D196" s="211"/>
      <c r="E196" s="148" t="s">
        <v>38</v>
      </c>
      <c r="F196" s="149">
        <v>868183038596727</v>
      </c>
      <c r="G196" s="148"/>
      <c r="H196" s="148" t="s">
        <v>139</v>
      </c>
      <c r="I196" s="148"/>
      <c r="J196" s="103" t="s">
        <v>340</v>
      </c>
      <c r="K196" s="138"/>
      <c r="L196" s="138"/>
      <c r="M196" s="150" t="s">
        <v>162</v>
      </c>
      <c r="N196" s="150" t="s">
        <v>40</v>
      </c>
      <c r="O196" s="138"/>
      <c r="P196" s="150" t="s">
        <v>151</v>
      </c>
      <c r="Q196" s="138" t="s">
        <v>152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5">
        <v>184</v>
      </c>
      <c r="B197" s="220"/>
      <c r="C197" s="211">
        <v>44643</v>
      </c>
      <c r="D197" s="211"/>
      <c r="E197" s="148" t="s">
        <v>38</v>
      </c>
      <c r="F197" s="149">
        <v>868183037804312</v>
      </c>
      <c r="G197" s="148"/>
      <c r="H197" s="148" t="s">
        <v>139</v>
      </c>
      <c r="I197" s="148"/>
      <c r="J197" s="103" t="s">
        <v>171</v>
      </c>
      <c r="K197" s="138"/>
      <c r="L197" s="138"/>
      <c r="M197" s="150" t="s">
        <v>162</v>
      </c>
      <c r="N197" s="150" t="s">
        <v>40</v>
      </c>
      <c r="O197" s="138"/>
      <c r="P197" s="150" t="s">
        <v>151</v>
      </c>
      <c r="Q197" s="138" t="s">
        <v>152</v>
      </c>
      <c r="R197" s="139" t="s">
        <v>28</v>
      </c>
      <c r="S197" s="148" t="s">
        <v>30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5">
        <v>185</v>
      </c>
      <c r="B198" s="220"/>
      <c r="C198" s="211">
        <v>44643</v>
      </c>
      <c r="D198" s="211"/>
      <c r="E198" s="148" t="s">
        <v>38</v>
      </c>
      <c r="F198" s="41">
        <v>868183034615620</v>
      </c>
      <c r="G198" s="148"/>
      <c r="H198" s="148" t="s">
        <v>139</v>
      </c>
      <c r="I198" s="148" t="s">
        <v>392</v>
      </c>
      <c r="J198" s="103" t="s">
        <v>393</v>
      </c>
      <c r="K198" s="138"/>
      <c r="L198" s="138" t="s">
        <v>238</v>
      </c>
      <c r="M198" s="150"/>
      <c r="N198" s="150" t="s">
        <v>394</v>
      </c>
      <c r="O198" s="138"/>
      <c r="P198" s="150" t="s">
        <v>167</v>
      </c>
      <c r="Q198" s="138" t="s">
        <v>152</v>
      </c>
      <c r="R198" s="139" t="s">
        <v>28</v>
      </c>
      <c r="S198" s="148" t="s">
        <v>31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5">
        <v>186</v>
      </c>
      <c r="B199" s="220"/>
      <c r="C199" s="211">
        <v>44643</v>
      </c>
      <c r="D199" s="211"/>
      <c r="E199" s="148" t="s">
        <v>38</v>
      </c>
      <c r="F199" s="41">
        <v>868183034700174</v>
      </c>
      <c r="G199" s="148"/>
      <c r="H199" s="148" t="s">
        <v>139</v>
      </c>
      <c r="I199" s="148"/>
      <c r="J199" s="103" t="s">
        <v>340</v>
      </c>
      <c r="K199" s="138"/>
      <c r="L199" s="138"/>
      <c r="M199" s="150" t="s">
        <v>162</v>
      </c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5">
        <v>187</v>
      </c>
      <c r="B200" s="220"/>
      <c r="C200" s="211">
        <v>44643</v>
      </c>
      <c r="D200" s="211"/>
      <c r="E200" s="148" t="s">
        <v>38</v>
      </c>
      <c r="F200" s="41">
        <v>868183034810957</v>
      </c>
      <c r="G200" s="148"/>
      <c r="H200" s="148" t="s">
        <v>139</v>
      </c>
      <c r="I200" s="148"/>
      <c r="J200" s="103" t="s">
        <v>340</v>
      </c>
      <c r="K200" s="138" t="s">
        <v>165</v>
      </c>
      <c r="L200" s="138"/>
      <c r="M200" s="150" t="s">
        <v>162</v>
      </c>
      <c r="N200" s="150"/>
      <c r="O200" s="138"/>
      <c r="P200" s="150"/>
      <c r="Q200" s="138"/>
      <c r="R200" s="139"/>
      <c r="S200" s="148"/>
      <c r="T200" s="140"/>
      <c r="U200" s="175"/>
      <c r="V200" s="21"/>
    </row>
    <row r="201" spans="1:32" ht="16.5" hidden="1" customHeight="1" x14ac:dyDescent="0.25">
      <c r="A201" s="175">
        <v>188</v>
      </c>
      <c r="B201" s="220"/>
      <c r="C201" s="211">
        <v>44643</v>
      </c>
      <c r="D201" s="211"/>
      <c r="E201" s="148" t="s">
        <v>38</v>
      </c>
      <c r="F201" s="41">
        <v>868183035860480</v>
      </c>
      <c r="G201" s="148"/>
      <c r="H201" s="148" t="s">
        <v>139</v>
      </c>
      <c r="I201" s="148"/>
      <c r="J201" s="103" t="s">
        <v>395</v>
      </c>
      <c r="K201" s="138"/>
      <c r="L201" s="138" t="s">
        <v>274</v>
      </c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hidden="1" customHeight="1" x14ac:dyDescent="0.25">
      <c r="A202" s="175">
        <v>189</v>
      </c>
      <c r="B202" s="220"/>
      <c r="C202" s="211">
        <v>44643</v>
      </c>
      <c r="D202" s="211"/>
      <c r="E202" s="148" t="s">
        <v>38</v>
      </c>
      <c r="F202" s="41">
        <v>868183034806625</v>
      </c>
      <c r="G202" s="148"/>
      <c r="H202" s="148" t="s">
        <v>139</v>
      </c>
      <c r="I202" s="148"/>
      <c r="J202" s="103" t="s">
        <v>340</v>
      </c>
      <c r="K202" s="138"/>
      <c r="L202" s="138" t="s">
        <v>396</v>
      </c>
      <c r="M202" s="150" t="s">
        <v>162</v>
      </c>
      <c r="N202" s="150" t="s">
        <v>40</v>
      </c>
      <c r="O202" s="138"/>
      <c r="P202" s="150" t="s">
        <v>151</v>
      </c>
      <c r="Q202" s="138" t="s">
        <v>152</v>
      </c>
      <c r="R202" s="139" t="s">
        <v>28</v>
      </c>
      <c r="S202" s="148" t="s">
        <v>30</v>
      </c>
      <c r="T202" s="140"/>
      <c r="U202" s="175"/>
      <c r="V202" s="21"/>
    </row>
    <row r="203" spans="1:32" ht="16.5" hidden="1" customHeight="1" x14ac:dyDescent="0.25">
      <c r="A203" s="175">
        <v>190</v>
      </c>
      <c r="B203" s="220"/>
      <c r="C203" s="211">
        <v>44643</v>
      </c>
      <c r="D203" s="211"/>
      <c r="E203" s="148" t="s">
        <v>38</v>
      </c>
      <c r="F203" s="41">
        <v>868183034783378</v>
      </c>
      <c r="G203" s="148"/>
      <c r="H203" s="148" t="s">
        <v>139</v>
      </c>
      <c r="I203" s="148"/>
      <c r="J203" s="103" t="s">
        <v>340</v>
      </c>
      <c r="K203" s="138"/>
      <c r="L203" s="150" t="s">
        <v>162</v>
      </c>
      <c r="M203" s="150"/>
      <c r="N203" s="150" t="s">
        <v>40</v>
      </c>
      <c r="O203" s="138"/>
      <c r="P203" s="150" t="s">
        <v>151</v>
      </c>
      <c r="Q203" s="138" t="s">
        <v>152</v>
      </c>
      <c r="R203" s="139" t="s">
        <v>28</v>
      </c>
      <c r="S203" s="148" t="s">
        <v>30</v>
      </c>
      <c r="T203" s="140"/>
      <c r="U203" s="175"/>
      <c r="V203" s="21"/>
    </row>
    <row r="204" spans="1:32" ht="16.5" hidden="1" customHeight="1" x14ac:dyDescent="0.25">
      <c r="A204" s="175">
        <v>191</v>
      </c>
      <c r="B204" s="220"/>
      <c r="C204" s="211">
        <v>44643</v>
      </c>
      <c r="D204" s="211"/>
      <c r="E204" s="148" t="s">
        <v>38</v>
      </c>
      <c r="F204" s="41">
        <v>868183034609508</v>
      </c>
      <c r="G204" s="148"/>
      <c r="H204" s="148" t="s">
        <v>139</v>
      </c>
      <c r="I204" s="148" t="s">
        <v>397</v>
      </c>
      <c r="J204" s="103" t="s">
        <v>288</v>
      </c>
      <c r="K204" s="138"/>
      <c r="L204" s="138" t="s">
        <v>370</v>
      </c>
      <c r="M204" s="150" t="s">
        <v>162</v>
      </c>
      <c r="N204" s="150" t="s">
        <v>394</v>
      </c>
      <c r="O204" s="138"/>
      <c r="P204" s="150" t="s">
        <v>167</v>
      </c>
      <c r="Q204" s="138" t="s">
        <v>152</v>
      </c>
      <c r="R204" s="139" t="s">
        <v>28</v>
      </c>
      <c r="S204" s="148" t="s">
        <v>31</v>
      </c>
      <c r="T204" s="140"/>
      <c r="U204" s="175"/>
      <c r="V204" s="21"/>
    </row>
    <row r="205" spans="1:32" ht="16.5" hidden="1" customHeight="1" x14ac:dyDescent="0.25">
      <c r="A205" s="175">
        <v>192</v>
      </c>
      <c r="B205" s="220"/>
      <c r="C205" s="211">
        <v>44643</v>
      </c>
      <c r="D205" s="211"/>
      <c r="E205" s="148" t="s">
        <v>38</v>
      </c>
      <c r="F205" s="41">
        <v>868183034678362</v>
      </c>
      <c r="G205" s="148"/>
      <c r="H205" s="148" t="s">
        <v>139</v>
      </c>
      <c r="I205" s="148"/>
      <c r="J205" s="103" t="s">
        <v>340</v>
      </c>
      <c r="K205" s="138"/>
      <c r="L205" s="138" t="s">
        <v>372</v>
      </c>
      <c r="M205" s="150" t="s">
        <v>162</v>
      </c>
      <c r="N205" s="150" t="s">
        <v>40</v>
      </c>
      <c r="O205" s="138"/>
      <c r="P205" s="150" t="s">
        <v>151</v>
      </c>
      <c r="Q205" s="138" t="s">
        <v>152</v>
      </c>
      <c r="R205" s="139" t="s">
        <v>28</v>
      </c>
      <c r="S205" s="148" t="s">
        <v>30</v>
      </c>
      <c r="T205" s="140"/>
      <c r="U205" s="175"/>
      <c r="V205" s="21"/>
    </row>
    <row r="206" spans="1:32" ht="16.5" hidden="1" customHeight="1" x14ac:dyDescent="0.25">
      <c r="A206" s="175">
        <v>193</v>
      </c>
      <c r="B206" s="220"/>
      <c r="C206" s="211">
        <v>44643</v>
      </c>
      <c r="D206" s="211"/>
      <c r="E206" s="148" t="s">
        <v>38</v>
      </c>
      <c r="F206" s="41">
        <v>868183034554902</v>
      </c>
      <c r="G206" s="148"/>
      <c r="H206" s="148" t="s">
        <v>139</v>
      </c>
      <c r="I206" s="148" t="s">
        <v>398</v>
      </c>
      <c r="J206" s="103" t="s">
        <v>216</v>
      </c>
      <c r="K206" s="138"/>
      <c r="L206" s="138" t="s">
        <v>306</v>
      </c>
      <c r="M206" s="150"/>
      <c r="N206" s="150" t="s">
        <v>394</v>
      </c>
      <c r="O206" s="138"/>
      <c r="P206" s="150" t="s">
        <v>167</v>
      </c>
      <c r="Q206" s="138" t="s">
        <v>152</v>
      </c>
      <c r="R206" s="139" t="s">
        <v>28</v>
      </c>
      <c r="S206" s="148" t="s">
        <v>31</v>
      </c>
      <c r="T206" s="140"/>
      <c r="U206" s="175"/>
      <c r="V206" s="21"/>
    </row>
    <row r="207" spans="1:32" ht="16.5" hidden="1" customHeight="1" x14ac:dyDescent="0.25">
      <c r="A207" s="175">
        <v>194</v>
      </c>
      <c r="B207" s="220"/>
      <c r="C207" s="211">
        <v>44643</v>
      </c>
      <c r="D207" s="211"/>
      <c r="E207" s="148" t="s">
        <v>19</v>
      </c>
      <c r="F207" s="149">
        <v>864811036930738</v>
      </c>
      <c r="G207" s="148"/>
      <c r="H207" s="148" t="s">
        <v>139</v>
      </c>
      <c r="I207" s="148" t="s">
        <v>399</v>
      </c>
      <c r="J207" s="103"/>
      <c r="K207" s="138"/>
      <c r="L207" s="138"/>
      <c r="M207" s="150"/>
      <c r="N207" s="150" t="s">
        <v>394</v>
      </c>
      <c r="O207" s="138"/>
      <c r="P207" s="150" t="s">
        <v>167</v>
      </c>
      <c r="Q207" s="138" t="s">
        <v>152</v>
      </c>
      <c r="R207" s="139" t="s">
        <v>28</v>
      </c>
      <c r="S207" s="148" t="s">
        <v>31</v>
      </c>
      <c r="T207" s="140"/>
      <c r="U207" s="175"/>
      <c r="V207" s="21"/>
    </row>
    <row r="208" spans="1:32" ht="16.5" hidden="1" customHeight="1" x14ac:dyDescent="0.25">
      <c r="A208" s="175">
        <v>195</v>
      </c>
      <c r="B208" s="220"/>
      <c r="C208" s="211">
        <v>44615</v>
      </c>
      <c r="D208" s="211"/>
      <c r="E208" s="148" t="s">
        <v>16</v>
      </c>
      <c r="F208" s="149">
        <v>861694031118274</v>
      </c>
      <c r="G208" s="148"/>
      <c r="H208" s="148" t="s">
        <v>139</v>
      </c>
      <c r="I208" s="156"/>
      <c r="J208" s="103" t="s">
        <v>400</v>
      </c>
      <c r="K208" s="138" t="s">
        <v>401</v>
      </c>
      <c r="L208" s="138" t="s">
        <v>402</v>
      </c>
      <c r="M208" s="150"/>
      <c r="N208" s="150"/>
      <c r="O208" s="138"/>
      <c r="P208" s="150"/>
      <c r="Q208" s="138"/>
      <c r="R208" s="139"/>
      <c r="S208" s="148"/>
      <c r="T208" s="140"/>
      <c r="U208" s="175"/>
      <c r="V208" s="21"/>
    </row>
    <row r="209" spans="1:22" ht="16.5" hidden="1" customHeight="1" x14ac:dyDescent="0.25">
      <c r="A209" s="175">
        <v>196</v>
      </c>
      <c r="B209" s="220"/>
      <c r="C209" s="211">
        <v>44615</v>
      </c>
      <c r="D209" s="211"/>
      <c r="E209" s="148" t="s">
        <v>16</v>
      </c>
      <c r="F209" s="149">
        <v>866104024581277</v>
      </c>
      <c r="G209" s="148"/>
      <c r="H209" s="148" t="s">
        <v>139</v>
      </c>
      <c r="I209" s="156"/>
      <c r="J209" s="103"/>
      <c r="K209" s="138"/>
      <c r="L209" s="138"/>
      <c r="M209" s="150"/>
      <c r="N209" s="150"/>
      <c r="O209" s="138"/>
      <c r="P209" s="150"/>
      <c r="Q209" s="138"/>
      <c r="R209" s="139"/>
      <c r="S209" s="148"/>
      <c r="T209" s="140"/>
      <c r="U209" s="175"/>
      <c r="V209" s="21"/>
    </row>
    <row r="210" spans="1:22" ht="16.5" hidden="1" customHeight="1" x14ac:dyDescent="0.25">
      <c r="A210" s="175">
        <v>197</v>
      </c>
      <c r="B210" s="220"/>
      <c r="C210" s="211">
        <v>44615</v>
      </c>
      <c r="D210" s="211"/>
      <c r="E210" s="148" t="s">
        <v>16</v>
      </c>
      <c r="F210" s="149">
        <v>861694030875221</v>
      </c>
      <c r="G210" s="148"/>
      <c r="H210" s="148" t="s">
        <v>139</v>
      </c>
      <c r="I210" s="156"/>
      <c r="J210" s="103"/>
      <c r="K210" s="138"/>
      <c r="L210" s="138"/>
      <c r="M210" s="150"/>
      <c r="N210" s="150"/>
      <c r="O210" s="138"/>
      <c r="P210" s="150"/>
      <c r="Q210" s="138"/>
      <c r="R210" s="139"/>
      <c r="S210" s="148"/>
      <c r="T210" s="140"/>
      <c r="U210" s="175"/>
      <c r="V210" s="21"/>
    </row>
    <row r="211" spans="1:22" ht="16.5" hidden="1" customHeight="1" x14ac:dyDescent="0.25">
      <c r="A211" s="175">
        <v>198</v>
      </c>
      <c r="B211" s="220"/>
      <c r="C211" s="211">
        <v>44615</v>
      </c>
      <c r="D211" s="211"/>
      <c r="E211" s="148" t="s">
        <v>16</v>
      </c>
      <c r="F211" s="149">
        <v>861694031094699</v>
      </c>
      <c r="G211" s="148"/>
      <c r="H211" s="148" t="s">
        <v>139</v>
      </c>
      <c r="I211" s="156"/>
      <c r="J211" s="103"/>
      <c r="K211" s="138"/>
      <c r="L211" s="138"/>
      <c r="M211" s="150"/>
      <c r="N211" s="150"/>
      <c r="O211" s="138"/>
      <c r="P211" s="150"/>
      <c r="Q211" s="138"/>
      <c r="R211" s="139"/>
      <c r="S211" s="148"/>
      <c r="T211" s="140"/>
      <c r="U211" s="175"/>
      <c r="V211" s="21"/>
    </row>
    <row r="212" spans="1:22" ht="16.5" hidden="1" customHeight="1" x14ac:dyDescent="0.25">
      <c r="A212" s="175">
        <v>199</v>
      </c>
      <c r="B212" s="220"/>
      <c r="C212" s="211">
        <v>44615</v>
      </c>
      <c r="D212" s="211"/>
      <c r="E212" s="148" t="s">
        <v>16</v>
      </c>
      <c r="F212" s="149">
        <v>862631034749704</v>
      </c>
      <c r="G212" s="148"/>
      <c r="H212" s="148" t="s">
        <v>139</v>
      </c>
      <c r="I212" s="156"/>
      <c r="J212" s="103"/>
      <c r="K212" s="138"/>
      <c r="L212" s="138"/>
      <c r="M212" s="150"/>
      <c r="N212" s="150"/>
      <c r="O212" s="138"/>
      <c r="P212" s="150"/>
      <c r="Q212" s="138"/>
      <c r="R212" s="139"/>
      <c r="S212" s="148"/>
      <c r="T212" s="140"/>
      <c r="U212" s="175"/>
      <c r="V212" s="21"/>
    </row>
    <row r="213" spans="1:22" ht="16.5" hidden="1" customHeight="1" x14ac:dyDescent="0.25">
      <c r="A213" s="175">
        <v>200</v>
      </c>
      <c r="B213" s="220"/>
      <c r="C213" s="211">
        <v>44615</v>
      </c>
      <c r="D213" s="211"/>
      <c r="E213" s="148" t="s">
        <v>16</v>
      </c>
      <c r="F213" s="149">
        <v>864811036963697</v>
      </c>
      <c r="G213" s="148"/>
      <c r="H213" s="148" t="s">
        <v>139</v>
      </c>
      <c r="I213" s="156"/>
      <c r="J213" s="103"/>
      <c r="K213" s="138"/>
      <c r="L213" s="138"/>
      <c r="M213" s="150"/>
      <c r="N213" s="150"/>
      <c r="O213" s="138"/>
      <c r="P213" s="150"/>
      <c r="Q213" s="138"/>
      <c r="R213" s="139"/>
      <c r="S213" s="148"/>
      <c r="T213" s="140"/>
      <c r="U213" s="175"/>
      <c r="V213" s="21"/>
    </row>
    <row r="214" spans="1:22" ht="16.5" hidden="1" customHeight="1" x14ac:dyDescent="0.25">
      <c r="A214" s="175">
        <v>201</v>
      </c>
      <c r="B214" s="220"/>
      <c r="C214" s="211">
        <v>44615</v>
      </c>
      <c r="D214" s="211"/>
      <c r="E214" s="148" t="s">
        <v>16</v>
      </c>
      <c r="F214" s="149">
        <v>861694031778440</v>
      </c>
      <c r="G214" s="148"/>
      <c r="H214" s="148" t="s">
        <v>139</v>
      </c>
      <c r="I214" s="156"/>
      <c r="J214" s="103" t="s">
        <v>400</v>
      </c>
      <c r="K214" s="138" t="s">
        <v>403</v>
      </c>
      <c r="L214" s="138" t="s">
        <v>143</v>
      </c>
      <c r="M214" s="150"/>
      <c r="N214" s="150" t="s">
        <v>404</v>
      </c>
      <c r="O214" s="138"/>
      <c r="P214" s="150" t="s">
        <v>151</v>
      </c>
      <c r="Q214" s="138" t="s">
        <v>152</v>
      </c>
      <c r="R214" s="139" t="s">
        <v>28</v>
      </c>
      <c r="S214" s="148" t="s">
        <v>31</v>
      </c>
      <c r="T214" s="140"/>
      <c r="U214" s="175"/>
      <c r="V214" s="21"/>
    </row>
    <row r="215" spans="1:22" ht="16.5" hidden="1" customHeight="1" x14ac:dyDescent="0.25">
      <c r="A215" s="175">
        <v>202</v>
      </c>
      <c r="B215" s="220"/>
      <c r="C215" s="211">
        <v>44615</v>
      </c>
      <c r="D215" s="211"/>
      <c r="E215" s="148" t="s">
        <v>16</v>
      </c>
      <c r="F215" s="149">
        <v>869627031816655</v>
      </c>
      <c r="G215" s="148"/>
      <c r="H215" s="148" t="s">
        <v>139</v>
      </c>
      <c r="I215" s="156"/>
      <c r="J215" s="103" t="s">
        <v>340</v>
      </c>
      <c r="K215" s="138" t="s">
        <v>188</v>
      </c>
      <c r="L215" s="138" t="s">
        <v>405</v>
      </c>
      <c r="M215" s="150"/>
      <c r="N215" s="150"/>
      <c r="O215" s="138"/>
      <c r="P215" s="150"/>
      <c r="Q215" s="138"/>
      <c r="R215" s="139"/>
      <c r="S215" s="148"/>
      <c r="T215" s="140"/>
      <c r="U215" s="175"/>
      <c r="V215" s="21"/>
    </row>
    <row r="216" spans="1:22" ht="16.5" hidden="1" customHeight="1" x14ac:dyDescent="0.25">
      <c r="A216" s="175">
        <v>203</v>
      </c>
      <c r="B216" s="220"/>
      <c r="C216" s="211">
        <v>44615</v>
      </c>
      <c r="D216" s="211"/>
      <c r="E216" s="148" t="s">
        <v>16</v>
      </c>
      <c r="F216" s="149">
        <v>861694030888869</v>
      </c>
      <c r="G216" s="148"/>
      <c r="H216" s="148" t="s">
        <v>139</v>
      </c>
      <c r="I216" s="156"/>
      <c r="J216" s="103"/>
      <c r="K216" s="138"/>
      <c r="L216" s="138"/>
      <c r="M216" s="150"/>
      <c r="N216" s="150"/>
      <c r="O216" s="138"/>
      <c r="P216" s="150"/>
      <c r="Q216" s="138"/>
      <c r="R216" s="139"/>
      <c r="S216" s="148"/>
      <c r="T216" s="140"/>
      <c r="U216" s="175"/>
      <c r="V216" s="21"/>
    </row>
    <row r="217" spans="1:22" ht="16.5" hidden="1" customHeight="1" x14ac:dyDescent="0.25">
      <c r="A217" s="175">
        <v>204</v>
      </c>
      <c r="B217" s="220"/>
      <c r="C217" s="211">
        <v>44615</v>
      </c>
      <c r="D217" s="211"/>
      <c r="E217" s="148" t="s">
        <v>16</v>
      </c>
      <c r="F217" s="149">
        <v>866104022179934</v>
      </c>
      <c r="G217" s="148"/>
      <c r="H217" s="148" t="s">
        <v>139</v>
      </c>
      <c r="I217" s="156"/>
      <c r="J217" s="103"/>
      <c r="K217" s="138"/>
      <c r="L217" s="138"/>
      <c r="M217" s="150"/>
      <c r="N217" s="150"/>
      <c r="O217" s="138"/>
      <c r="P217" s="150"/>
      <c r="Q217" s="138"/>
      <c r="R217" s="139"/>
      <c r="S217" s="148"/>
      <c r="T217" s="140"/>
      <c r="U217" s="175"/>
      <c r="V217" s="21"/>
    </row>
    <row r="218" spans="1:22" ht="15.75" hidden="1" customHeight="1" x14ac:dyDescent="0.25">
      <c r="A218" s="175">
        <v>205</v>
      </c>
      <c r="B218" s="220"/>
      <c r="C218" s="211">
        <v>44615</v>
      </c>
      <c r="D218" s="211"/>
      <c r="E218" s="148" t="s">
        <v>16</v>
      </c>
      <c r="F218" s="149">
        <v>861694031133240</v>
      </c>
      <c r="G218" s="148"/>
      <c r="H218" s="148" t="s">
        <v>139</v>
      </c>
      <c r="I218" s="148"/>
      <c r="J218" s="103"/>
      <c r="K218" s="138"/>
      <c r="L218" s="138"/>
      <c r="M218" s="150"/>
      <c r="N218" s="150"/>
      <c r="O218" s="138"/>
      <c r="P218" s="150"/>
      <c r="Q218" s="138"/>
      <c r="R218" s="139"/>
      <c r="S218" s="148"/>
      <c r="T218" s="140"/>
      <c r="U218" s="175"/>
      <c r="V218" s="21"/>
    </row>
    <row r="219" spans="1:22" ht="16.5" hidden="1" customHeight="1" x14ac:dyDescent="0.25">
      <c r="A219" s="175">
        <v>206</v>
      </c>
      <c r="B219" s="220"/>
      <c r="C219" s="211">
        <v>44615</v>
      </c>
      <c r="D219" s="211"/>
      <c r="E219" s="148" t="s">
        <v>16</v>
      </c>
      <c r="F219" s="149">
        <v>863586034524193</v>
      </c>
      <c r="G219" s="148"/>
      <c r="H219" s="148" t="s">
        <v>139</v>
      </c>
      <c r="I219" s="138"/>
      <c r="J219" s="103"/>
      <c r="K219" s="150"/>
      <c r="L219" s="214"/>
      <c r="M219" s="138"/>
      <c r="N219" s="150"/>
      <c r="O219" s="138"/>
      <c r="P219" s="150"/>
      <c r="Q219" s="138"/>
      <c r="R219" s="139"/>
      <c r="S219" s="148"/>
      <c r="T219" s="140"/>
      <c r="U219" s="175"/>
      <c r="V219" s="21"/>
    </row>
    <row r="220" spans="1:22" ht="16.5" hidden="1" customHeight="1" x14ac:dyDescent="0.25">
      <c r="A220" s="175">
        <v>207</v>
      </c>
      <c r="B220" s="220"/>
      <c r="C220" s="211">
        <v>44615</v>
      </c>
      <c r="D220" s="141"/>
      <c r="E220" s="148" t="s">
        <v>16</v>
      </c>
      <c r="F220" s="149">
        <v>869627031846561</v>
      </c>
      <c r="G220" s="148"/>
      <c r="H220" s="148" t="s">
        <v>139</v>
      </c>
      <c r="I220" s="138"/>
      <c r="J220" s="103" t="s">
        <v>147</v>
      </c>
      <c r="K220" s="138" t="s">
        <v>174</v>
      </c>
      <c r="L220" s="138"/>
      <c r="M220" s="138" t="s">
        <v>143</v>
      </c>
      <c r="N220" s="175" t="s">
        <v>230</v>
      </c>
      <c r="O220" s="138"/>
      <c r="P220" s="150" t="s">
        <v>151</v>
      </c>
      <c r="Q220" s="138" t="s">
        <v>152</v>
      </c>
      <c r="R220" s="140" t="s">
        <v>28</v>
      </c>
      <c r="S220" s="175" t="s">
        <v>47</v>
      </c>
      <c r="T220" s="140"/>
      <c r="U220" s="175"/>
      <c r="V220" s="21"/>
    </row>
    <row r="221" spans="1:22" ht="16.5" hidden="1" customHeight="1" x14ac:dyDescent="0.25">
      <c r="A221" s="175">
        <v>208</v>
      </c>
      <c r="B221" s="220"/>
      <c r="C221" s="211">
        <v>44615</v>
      </c>
      <c r="D221" s="141"/>
      <c r="E221" s="148" t="s">
        <v>16</v>
      </c>
      <c r="F221" s="149">
        <v>866104022167384</v>
      </c>
      <c r="G221" s="148"/>
      <c r="H221" s="148" t="s">
        <v>139</v>
      </c>
      <c r="I221" s="138"/>
      <c r="J221" s="103"/>
      <c r="K221" s="138"/>
      <c r="L221" s="138"/>
      <c r="M221" s="138"/>
      <c r="N221" s="138"/>
      <c r="O221" s="151"/>
      <c r="P221" s="150"/>
      <c r="Q221" s="150"/>
      <c r="R221" s="139"/>
      <c r="S221" s="148"/>
      <c r="T221" s="140"/>
      <c r="U221" s="175"/>
      <c r="V221" s="21"/>
    </row>
    <row r="222" spans="1:22" ht="16.5" hidden="1" customHeight="1" x14ac:dyDescent="0.25">
      <c r="A222" s="175">
        <v>209</v>
      </c>
      <c r="B222" s="220"/>
      <c r="C222" s="211">
        <v>44615</v>
      </c>
      <c r="D222" s="141"/>
      <c r="E222" s="148" t="s">
        <v>16</v>
      </c>
      <c r="F222" s="149">
        <v>866104022179090</v>
      </c>
      <c r="G222" s="148"/>
      <c r="H222" s="148" t="s">
        <v>139</v>
      </c>
      <c r="I222" s="138"/>
      <c r="J222" s="103"/>
      <c r="K222" s="138" t="s">
        <v>354</v>
      </c>
      <c r="L222" s="138" t="s">
        <v>265</v>
      </c>
      <c r="M222" s="175" t="s">
        <v>143</v>
      </c>
      <c r="N222" s="138" t="s">
        <v>406</v>
      </c>
      <c r="O222" s="138"/>
      <c r="P222" s="150" t="s">
        <v>151</v>
      </c>
      <c r="Q222" s="138" t="s">
        <v>152</v>
      </c>
      <c r="R222" s="140" t="s">
        <v>28</v>
      </c>
      <c r="S222" s="175" t="s">
        <v>29</v>
      </c>
      <c r="T222" s="140"/>
      <c r="U222" s="175"/>
      <c r="V222" s="21"/>
    </row>
    <row r="223" spans="1:22" ht="16.5" hidden="1" customHeight="1" x14ac:dyDescent="0.25">
      <c r="A223" s="175">
        <v>210</v>
      </c>
      <c r="B223" s="220"/>
      <c r="C223" s="211">
        <v>44615</v>
      </c>
      <c r="D223" s="141"/>
      <c r="E223" s="148" t="s">
        <v>16</v>
      </c>
      <c r="F223" s="149">
        <v>869627031846454</v>
      </c>
      <c r="G223" s="148"/>
      <c r="H223" s="148" t="s">
        <v>139</v>
      </c>
      <c r="I223" s="138"/>
      <c r="J223" s="103"/>
      <c r="K223" s="138"/>
      <c r="L223" s="138"/>
      <c r="M223" s="138"/>
      <c r="N223" s="138"/>
      <c r="O223" s="138"/>
      <c r="P223" s="150"/>
      <c r="Q223" s="138"/>
      <c r="R223" s="140"/>
      <c r="S223" s="175"/>
      <c r="T223" s="140"/>
      <c r="U223" s="175"/>
      <c r="V223" s="21"/>
    </row>
    <row r="224" spans="1:22" ht="16.5" hidden="1" customHeight="1" x14ac:dyDescent="0.25">
      <c r="A224" s="175">
        <v>211</v>
      </c>
      <c r="B224" s="220"/>
      <c r="C224" s="211">
        <v>44615</v>
      </c>
      <c r="D224" s="141"/>
      <c r="E224" s="148" t="s">
        <v>16</v>
      </c>
      <c r="F224" s="149">
        <v>862631034792803</v>
      </c>
      <c r="G224" s="148"/>
      <c r="H224" s="148" t="s">
        <v>139</v>
      </c>
      <c r="I224" s="175"/>
      <c r="J224" s="103" t="s">
        <v>340</v>
      </c>
      <c r="K224" s="175"/>
      <c r="L224" s="175" t="s">
        <v>143</v>
      </c>
      <c r="M224" s="138"/>
      <c r="N224" s="175"/>
      <c r="O224" s="175"/>
      <c r="P224" s="150"/>
      <c r="Q224" s="175"/>
      <c r="R224" s="140"/>
      <c r="S224" s="175"/>
      <c r="T224" s="140"/>
      <c r="U224" s="175"/>
      <c r="V224" s="21"/>
    </row>
    <row r="225" spans="1:23" ht="16.5" hidden="1" customHeight="1" x14ac:dyDescent="0.25">
      <c r="A225" s="175">
        <v>212</v>
      </c>
      <c r="B225" s="220"/>
      <c r="C225" s="211">
        <v>44643</v>
      </c>
      <c r="D225" s="211"/>
      <c r="E225" s="148" t="s">
        <v>18</v>
      </c>
      <c r="F225" s="149">
        <v>867330029942565</v>
      </c>
      <c r="G225" s="148"/>
      <c r="H225" s="148" t="s">
        <v>139</v>
      </c>
      <c r="I225" s="148" t="s">
        <v>399</v>
      </c>
      <c r="J225" s="103"/>
      <c r="K225" s="138"/>
      <c r="L225" s="138"/>
      <c r="M225" s="150"/>
      <c r="N225" s="150"/>
      <c r="O225" s="138"/>
      <c r="P225" s="150"/>
      <c r="Q225" s="138"/>
      <c r="R225" s="139"/>
      <c r="S225" s="148"/>
      <c r="T225" s="140"/>
      <c r="U225" s="175"/>
      <c r="V225" s="21"/>
    </row>
    <row r="226" spans="1:23" ht="16.5" hidden="1" customHeight="1" x14ac:dyDescent="0.25">
      <c r="A226" s="175">
        <v>213</v>
      </c>
      <c r="B226" s="220"/>
      <c r="C226" s="211">
        <v>44643</v>
      </c>
      <c r="D226" s="211"/>
      <c r="E226" s="148" t="s">
        <v>14</v>
      </c>
      <c r="F226" s="149">
        <v>866762025242353</v>
      </c>
      <c r="G226" s="148"/>
      <c r="H226" s="148" t="s">
        <v>139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40"/>
      <c r="S226" s="175"/>
      <c r="T226" s="140"/>
      <c r="U226" s="175"/>
      <c r="V226" s="21"/>
    </row>
    <row r="227" spans="1:23" ht="16.5" hidden="1" customHeight="1" x14ac:dyDescent="0.25">
      <c r="A227" s="175">
        <v>214</v>
      </c>
      <c r="B227" s="220"/>
      <c r="C227" s="211">
        <v>44643</v>
      </c>
      <c r="D227" s="211"/>
      <c r="E227" s="148" t="s">
        <v>14</v>
      </c>
      <c r="F227" s="149">
        <v>862118027452645</v>
      </c>
      <c r="G227" s="148"/>
      <c r="H227" s="148" t="s">
        <v>139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40"/>
      <c r="S227" s="175"/>
      <c r="T227" s="140"/>
      <c r="U227" s="175"/>
      <c r="V227" s="21"/>
    </row>
    <row r="228" spans="1:23" ht="16.5" hidden="1" customHeight="1" x14ac:dyDescent="0.25">
      <c r="A228" s="175">
        <v>215</v>
      </c>
      <c r="B228" s="220"/>
      <c r="C228" s="211">
        <v>44643</v>
      </c>
      <c r="D228" s="211"/>
      <c r="E228" s="148" t="s">
        <v>14</v>
      </c>
      <c r="F228" s="149">
        <v>866762025780360</v>
      </c>
      <c r="G228" s="148"/>
      <c r="H228" s="148" t="s">
        <v>139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40"/>
      <c r="S228" s="175"/>
      <c r="T228" s="140"/>
      <c r="U228" s="175"/>
      <c r="V228" s="21"/>
    </row>
    <row r="229" spans="1:23" ht="16.5" hidden="1" customHeight="1" x14ac:dyDescent="0.25">
      <c r="A229" s="175">
        <v>216</v>
      </c>
      <c r="B229" s="220"/>
      <c r="C229" s="211">
        <v>44643</v>
      </c>
      <c r="D229" s="211"/>
      <c r="E229" s="148" t="s">
        <v>14</v>
      </c>
      <c r="F229" s="149">
        <v>862118020882186</v>
      </c>
      <c r="G229" s="148"/>
      <c r="H229" s="148" t="s">
        <v>139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40"/>
      <c r="S229" s="175"/>
      <c r="T229" s="140"/>
      <c r="U229" s="175"/>
      <c r="V229" s="21"/>
    </row>
    <row r="230" spans="1:23" ht="16.5" hidden="1" customHeight="1" x14ac:dyDescent="0.25">
      <c r="A230" s="175">
        <v>217</v>
      </c>
      <c r="B230" s="220"/>
      <c r="C230" s="211">
        <v>44643</v>
      </c>
      <c r="D230" s="211"/>
      <c r="E230" s="148" t="s">
        <v>14</v>
      </c>
      <c r="F230" s="149">
        <v>863306024485465</v>
      </c>
      <c r="G230" s="148"/>
      <c r="H230" s="148" t="s">
        <v>139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40"/>
      <c r="S230" s="175"/>
      <c r="T230" s="140"/>
      <c r="U230" s="175"/>
      <c r="V230" s="21"/>
    </row>
    <row r="231" spans="1:23" ht="16.5" hidden="1" customHeight="1" x14ac:dyDescent="0.25">
      <c r="A231" s="175">
        <v>218</v>
      </c>
      <c r="B231" s="220"/>
      <c r="C231" s="211">
        <v>44643</v>
      </c>
      <c r="D231" s="211"/>
      <c r="E231" s="148" t="s">
        <v>14</v>
      </c>
      <c r="F231" s="149">
        <v>863306024449461</v>
      </c>
      <c r="G231" s="148"/>
      <c r="H231" s="148" t="s">
        <v>139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40"/>
      <c r="S231" s="175"/>
      <c r="T231" s="140"/>
      <c r="U231" s="175"/>
      <c r="V231" s="21"/>
    </row>
    <row r="232" spans="1:23" ht="16.5" hidden="1" customHeight="1" x14ac:dyDescent="0.25">
      <c r="A232" s="175">
        <v>219</v>
      </c>
      <c r="B232" s="220"/>
      <c r="C232" s="211">
        <v>44643</v>
      </c>
      <c r="D232" s="211"/>
      <c r="E232" s="148" t="s">
        <v>14</v>
      </c>
      <c r="F232" s="149">
        <v>862118021603979</v>
      </c>
      <c r="G232" s="148"/>
      <c r="H232" s="148" t="s">
        <v>139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40"/>
      <c r="S232" s="175"/>
      <c r="T232" s="140"/>
      <c r="U232" s="175"/>
      <c r="V232" s="21"/>
    </row>
    <row r="233" spans="1:23" s="4" customFormat="1" ht="16.5" hidden="1" customHeight="1" x14ac:dyDescent="0.25">
      <c r="A233" s="175">
        <v>220</v>
      </c>
      <c r="B233" s="220"/>
      <c r="C233" s="211">
        <v>44643</v>
      </c>
      <c r="D233" s="211"/>
      <c r="E233" s="148" t="s">
        <v>14</v>
      </c>
      <c r="F233" s="149">
        <v>862118022273889</v>
      </c>
      <c r="G233" s="148"/>
      <c r="H233" s="148" t="s">
        <v>139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40"/>
      <c r="S233" s="175"/>
      <c r="T233" s="140"/>
      <c r="U233" s="175"/>
      <c r="V233" s="21"/>
      <c r="W233" s="1"/>
    </row>
    <row r="234" spans="1:23" ht="16.5" hidden="1" customHeight="1" x14ac:dyDescent="0.25">
      <c r="A234" s="175">
        <v>221</v>
      </c>
      <c r="B234" s="221"/>
      <c r="C234" s="211">
        <v>44643</v>
      </c>
      <c r="D234" s="211"/>
      <c r="E234" s="148" t="s">
        <v>14</v>
      </c>
      <c r="F234" s="149">
        <v>862118020684202</v>
      </c>
      <c r="G234" s="148"/>
      <c r="H234" s="148" t="s">
        <v>139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40"/>
      <c r="S234" s="175"/>
      <c r="T234" s="140"/>
      <c r="U234" s="175"/>
      <c r="V234" s="21"/>
    </row>
    <row r="235" spans="1:23" ht="16.5" hidden="1" customHeight="1" x14ac:dyDescent="0.25">
      <c r="A235" s="175">
        <v>222</v>
      </c>
      <c r="B235" s="219" t="s">
        <v>411</v>
      </c>
      <c r="C235" s="211">
        <v>44622</v>
      </c>
      <c r="D235" s="211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hidden="1" customHeight="1" x14ac:dyDescent="0.25">
      <c r="A236" s="175">
        <v>223</v>
      </c>
      <c r="B236" s="220"/>
      <c r="C236" s="211">
        <v>44622</v>
      </c>
      <c r="D236" s="211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408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hidden="1" customHeight="1" x14ac:dyDescent="0.25">
      <c r="A237" s="175">
        <v>224</v>
      </c>
      <c r="B237" s="220"/>
      <c r="C237" s="211">
        <v>44622</v>
      </c>
      <c r="D237" s="211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hidden="1" customHeight="1" x14ac:dyDescent="0.25">
      <c r="A238" s="175">
        <v>225</v>
      </c>
      <c r="B238" s="220"/>
      <c r="C238" s="211">
        <v>44622</v>
      </c>
      <c r="D238" s="211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hidden="1" customHeight="1" x14ac:dyDescent="0.25">
      <c r="A239" s="175">
        <v>226</v>
      </c>
      <c r="B239" s="220"/>
      <c r="C239" s="211">
        <v>44622</v>
      </c>
      <c r="D239" s="211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409</v>
      </c>
      <c r="M239" s="150" t="s">
        <v>189</v>
      </c>
      <c r="N239" s="150" t="s">
        <v>410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hidden="1" customHeight="1" x14ac:dyDescent="0.25">
      <c r="A240" s="175">
        <v>227</v>
      </c>
      <c r="B240" s="220"/>
      <c r="C240" s="211">
        <v>44622</v>
      </c>
      <c r="D240" s="211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410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hidden="1" customHeight="1" x14ac:dyDescent="0.25">
      <c r="A241" s="175">
        <v>228</v>
      </c>
      <c r="B241" s="221"/>
      <c r="C241" s="211">
        <v>44622</v>
      </c>
      <c r="D241" s="211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hidden="1" customHeight="1" x14ac:dyDescent="0.25">
      <c r="A242" s="175">
        <v>229</v>
      </c>
      <c r="B242" s="175" t="s">
        <v>314</v>
      </c>
      <c r="C242" s="211">
        <v>44623</v>
      </c>
      <c r="D242" s="211">
        <v>44623</v>
      </c>
      <c r="E242" s="148" t="s">
        <v>16</v>
      </c>
      <c r="F242" s="149">
        <v>862631034802586</v>
      </c>
      <c r="G242" s="148" t="s">
        <v>412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413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hidden="1" customHeight="1" x14ac:dyDescent="0.25">
      <c r="A243" s="175">
        <v>230</v>
      </c>
      <c r="B243" s="219" t="s">
        <v>186</v>
      </c>
      <c r="C243" s="211">
        <v>44642</v>
      </c>
      <c r="D243" s="211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414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415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hidden="1" customHeight="1" x14ac:dyDescent="0.25">
      <c r="A244" s="175">
        <v>231</v>
      </c>
      <c r="B244" s="221"/>
      <c r="C244" s="211">
        <v>44642</v>
      </c>
      <c r="D244" s="211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416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415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hidden="1" customHeight="1" x14ac:dyDescent="0.25">
      <c r="A245" s="175">
        <v>232</v>
      </c>
      <c r="B245" s="219" t="s">
        <v>292</v>
      </c>
      <c r="C245" s="211">
        <v>44637</v>
      </c>
      <c r="D245" s="211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hidden="1" customHeight="1" x14ac:dyDescent="0.25">
      <c r="A246" s="175">
        <v>233</v>
      </c>
      <c r="B246" s="220"/>
      <c r="C246" s="211">
        <v>44637</v>
      </c>
      <c r="D246" s="211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hidden="1" customHeight="1" x14ac:dyDescent="0.25">
      <c r="A247" s="175">
        <v>234</v>
      </c>
      <c r="B247" s="220"/>
      <c r="C247" s="211">
        <v>44642</v>
      </c>
      <c r="D247" s="211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/>
      <c r="O247" s="138"/>
      <c r="P247" s="150"/>
      <c r="Q247" s="138"/>
      <c r="R247" s="139"/>
      <c r="S247" s="148"/>
      <c r="T247" s="140"/>
      <c r="U247" s="175"/>
      <c r="V247" s="21"/>
    </row>
    <row r="248" spans="1:22" ht="16.5" hidden="1" customHeight="1" x14ac:dyDescent="0.25">
      <c r="A248" s="175">
        <v>235</v>
      </c>
      <c r="B248" s="220"/>
      <c r="C248" s="211">
        <v>44642</v>
      </c>
      <c r="D248" s="211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/>
      <c r="O248" s="138"/>
      <c r="P248" s="150"/>
      <c r="Q248" s="138"/>
      <c r="R248" s="139"/>
      <c r="S248" s="148"/>
      <c r="T248" s="140"/>
      <c r="U248" s="175"/>
      <c r="V248" s="21"/>
    </row>
    <row r="249" spans="1:22" ht="16.5" hidden="1" customHeight="1" x14ac:dyDescent="0.25">
      <c r="A249" s="175">
        <v>236</v>
      </c>
      <c r="B249" s="220"/>
      <c r="C249" s="211">
        <v>44637</v>
      </c>
      <c r="D249" s="211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417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hidden="1" customHeight="1" x14ac:dyDescent="0.25">
      <c r="A250" s="175">
        <v>237</v>
      </c>
      <c r="B250" s="220"/>
      <c r="C250" s="211">
        <v>44642</v>
      </c>
      <c r="D250" s="211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hidden="1" customHeight="1" x14ac:dyDescent="0.25">
      <c r="A251" s="175">
        <v>238</v>
      </c>
      <c r="B251" s="220"/>
      <c r="C251" s="211">
        <v>44635</v>
      </c>
      <c r="D251" s="211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hidden="1" customHeight="1" x14ac:dyDescent="0.25">
      <c r="A252" s="175">
        <v>239</v>
      </c>
      <c r="B252" s="220"/>
      <c r="C252" s="211">
        <v>44635</v>
      </c>
      <c r="D252" s="211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hidden="1" customHeight="1" x14ac:dyDescent="0.25">
      <c r="A253" s="175">
        <v>240</v>
      </c>
      <c r="B253" s="220"/>
      <c r="C253" s="211">
        <v>44635</v>
      </c>
      <c r="D253" s="211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hidden="1" customHeight="1" x14ac:dyDescent="0.25">
      <c r="A254" s="175">
        <v>241</v>
      </c>
      <c r="B254" s="220"/>
      <c r="C254" s="211">
        <v>44635</v>
      </c>
      <c r="D254" s="211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hidden="1" customHeight="1" x14ac:dyDescent="0.25">
      <c r="A255" s="175">
        <v>242</v>
      </c>
      <c r="B255" s="220"/>
      <c r="C255" s="211">
        <v>44635</v>
      </c>
      <c r="D255" s="211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hidden="1" customHeight="1" x14ac:dyDescent="0.25">
      <c r="A256" s="175">
        <v>243</v>
      </c>
      <c r="B256" s="220"/>
      <c r="C256" s="211">
        <v>44635</v>
      </c>
      <c r="D256" s="211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418</v>
      </c>
      <c r="L256" s="138" t="s">
        <v>405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hidden="1" customHeight="1" x14ac:dyDescent="0.25">
      <c r="A257" s="175">
        <v>244</v>
      </c>
      <c r="B257" s="221"/>
      <c r="C257" s="211">
        <v>44635</v>
      </c>
      <c r="D257" s="211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419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hidden="1" customHeight="1" x14ac:dyDescent="0.25">
      <c r="A258" s="175">
        <v>245</v>
      </c>
      <c r="B258" s="175" t="s">
        <v>421</v>
      </c>
      <c r="C258" s="211">
        <v>44627</v>
      </c>
      <c r="D258" s="211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420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hidden="1" customHeight="1" x14ac:dyDescent="0.25">
      <c r="A259" s="175">
        <v>246</v>
      </c>
      <c r="B259" s="222" t="s">
        <v>426</v>
      </c>
      <c r="C259" s="211">
        <v>44628</v>
      </c>
      <c r="D259" s="211">
        <v>44629</v>
      </c>
      <c r="E259" s="149" t="s">
        <v>422</v>
      </c>
      <c r="F259" s="149" t="s">
        <v>423</v>
      </c>
      <c r="G259" s="148"/>
      <c r="H259" s="148"/>
      <c r="I259" s="148"/>
      <c r="J259" s="103"/>
      <c r="K259" s="138"/>
      <c r="L259" s="150"/>
      <c r="M259" s="150"/>
      <c r="N259" s="150" t="s">
        <v>424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hidden="1" customHeight="1" x14ac:dyDescent="0.25">
      <c r="A260" s="175">
        <v>247</v>
      </c>
      <c r="B260" s="223"/>
      <c r="C260" s="211">
        <v>44628</v>
      </c>
      <c r="D260" s="211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420</v>
      </c>
      <c r="K260" s="138" t="s">
        <v>35</v>
      </c>
      <c r="L260" s="138" t="s">
        <v>162</v>
      </c>
      <c r="M260" s="150"/>
      <c r="N260" s="150" t="s">
        <v>425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24"/>
      <c r="C261" s="211">
        <v>44628</v>
      </c>
      <c r="D261" s="211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hidden="1" customHeight="1" x14ac:dyDescent="0.25">
      <c r="A262" s="175">
        <v>249</v>
      </c>
      <c r="B262" s="219" t="s">
        <v>322</v>
      </c>
      <c r="C262" s="211">
        <v>44630</v>
      </c>
      <c r="D262" s="211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hidden="1" customHeight="1" x14ac:dyDescent="0.25">
      <c r="A263" s="175">
        <v>250</v>
      </c>
      <c r="B263" s="220"/>
      <c r="C263" s="211">
        <v>44621</v>
      </c>
      <c r="D263" s="211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427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hidden="1" customHeight="1" x14ac:dyDescent="0.25">
      <c r="A264" s="175">
        <v>251</v>
      </c>
      <c r="B264" s="221"/>
      <c r="C264" s="211">
        <v>44621</v>
      </c>
      <c r="D264" s="211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428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hidden="1" customHeight="1" x14ac:dyDescent="0.25">
      <c r="A265" s="175">
        <v>252</v>
      </c>
      <c r="B265" s="219" t="s">
        <v>268</v>
      </c>
      <c r="C265" s="211">
        <v>44628</v>
      </c>
      <c r="D265" s="211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429</v>
      </c>
      <c r="K265" s="138" t="s">
        <v>430</v>
      </c>
      <c r="L265" s="150" t="s">
        <v>431</v>
      </c>
      <c r="M265" s="150" t="s">
        <v>432</v>
      </c>
      <c r="N265" s="150" t="s">
        <v>433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hidden="1" customHeight="1" x14ac:dyDescent="0.25">
      <c r="A266" s="175">
        <v>255</v>
      </c>
      <c r="B266" s="220"/>
      <c r="C266" s="211">
        <v>44628</v>
      </c>
      <c r="D266" s="211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434</v>
      </c>
      <c r="J266" s="103"/>
      <c r="K266" s="138" t="s">
        <v>430</v>
      </c>
      <c r="L266" s="150" t="s">
        <v>435</v>
      </c>
      <c r="M266" s="150"/>
      <c r="N266" s="150" t="s">
        <v>433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hidden="1" customHeight="1" x14ac:dyDescent="0.25">
      <c r="A267" s="175">
        <v>256</v>
      </c>
      <c r="B267" s="220"/>
      <c r="C267" s="211">
        <v>44628</v>
      </c>
      <c r="D267" s="211">
        <v>44646</v>
      </c>
      <c r="E267" s="148" t="s">
        <v>14</v>
      </c>
      <c r="F267" s="153" t="s">
        <v>436</v>
      </c>
      <c r="G267" s="148"/>
      <c r="H267" s="148" t="s">
        <v>139</v>
      </c>
      <c r="I267" s="40" t="s">
        <v>437</v>
      </c>
      <c r="J267" s="103" t="s">
        <v>438</v>
      </c>
      <c r="K267" s="138"/>
      <c r="L267" s="150" t="s">
        <v>439</v>
      </c>
      <c r="M267" s="150" t="s">
        <v>435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hidden="1" customHeight="1" x14ac:dyDescent="0.25">
      <c r="A268" s="175">
        <v>257</v>
      </c>
      <c r="B268" s="220"/>
      <c r="C268" s="211">
        <v>44628</v>
      </c>
      <c r="D268" s="211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429</v>
      </c>
      <c r="K268" s="138" t="s">
        <v>440</v>
      </c>
      <c r="L268" s="150" t="s">
        <v>431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hidden="1" customHeight="1" x14ac:dyDescent="0.25">
      <c r="A269" s="175">
        <v>258</v>
      </c>
      <c r="B269" s="220"/>
      <c r="C269" s="211">
        <v>44628</v>
      </c>
      <c r="D269" s="211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441</v>
      </c>
      <c r="J269" s="157" t="s">
        <v>353</v>
      </c>
      <c r="K269" s="138" t="s">
        <v>154</v>
      </c>
      <c r="L269" s="150" t="s">
        <v>442</v>
      </c>
      <c r="M269" s="154" t="s">
        <v>435</v>
      </c>
      <c r="N269" s="150" t="s">
        <v>443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hidden="1" customHeight="1" x14ac:dyDescent="0.25">
      <c r="A270" s="175">
        <v>259</v>
      </c>
      <c r="B270" s="220"/>
      <c r="C270" s="211">
        <v>44628</v>
      </c>
      <c r="D270" s="211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444</v>
      </c>
      <c r="K270" s="138" t="s">
        <v>141</v>
      </c>
      <c r="L270" s="150" t="s">
        <v>445</v>
      </c>
      <c r="M270" s="150" t="s">
        <v>446</v>
      </c>
      <c r="N270" s="150" t="s">
        <v>447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hidden="1" customHeight="1" x14ac:dyDescent="0.25">
      <c r="A271" s="175">
        <v>260</v>
      </c>
      <c r="B271" s="220"/>
      <c r="C271" s="211">
        <v>44628</v>
      </c>
      <c r="D271" s="211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448</v>
      </c>
      <c r="K271" s="138" t="s">
        <v>141</v>
      </c>
      <c r="L271" s="150" t="s">
        <v>445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hidden="1" customHeight="1" x14ac:dyDescent="0.25">
      <c r="A272" s="175">
        <v>261</v>
      </c>
      <c r="B272" s="220"/>
      <c r="C272" s="211">
        <v>44628</v>
      </c>
      <c r="D272" s="211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449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hidden="1" customHeight="1" x14ac:dyDescent="0.25">
      <c r="A273" s="175">
        <v>262</v>
      </c>
      <c r="B273" s="220"/>
      <c r="C273" s="211">
        <v>44649</v>
      </c>
      <c r="D273" s="211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450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hidden="1" customHeight="1" x14ac:dyDescent="0.25">
      <c r="A274" s="175">
        <v>263</v>
      </c>
      <c r="B274" s="220"/>
      <c r="C274" s="211">
        <v>44628</v>
      </c>
      <c r="D274" s="211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444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hidden="1" customHeight="1" x14ac:dyDescent="0.25">
      <c r="A275" s="175">
        <v>264</v>
      </c>
      <c r="B275" s="220"/>
      <c r="C275" s="211">
        <v>44649</v>
      </c>
      <c r="D275" s="211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444</v>
      </c>
      <c r="K275" s="138" t="s">
        <v>451</v>
      </c>
      <c r="L275" s="150" t="s">
        <v>452</v>
      </c>
      <c r="M275" s="150"/>
      <c r="N275" s="150" t="s">
        <v>453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hidden="1" customHeight="1" x14ac:dyDescent="0.25">
      <c r="A276" s="175">
        <v>265</v>
      </c>
      <c r="B276" s="220"/>
      <c r="C276" s="211">
        <v>44628</v>
      </c>
      <c r="D276" s="211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454</v>
      </c>
      <c r="K276" s="138" t="s">
        <v>455</v>
      </c>
      <c r="L276" s="150" t="s">
        <v>155</v>
      </c>
      <c r="M276" s="150" t="s">
        <v>143</v>
      </c>
      <c r="N276" s="150" t="s">
        <v>456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hidden="1" customHeight="1" x14ac:dyDescent="0.25">
      <c r="A277" s="175">
        <v>266</v>
      </c>
      <c r="B277" s="220"/>
      <c r="C277" s="211">
        <v>44649</v>
      </c>
      <c r="D277" s="211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457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hidden="1" customHeight="1" x14ac:dyDescent="0.25">
      <c r="A278" s="175">
        <v>267</v>
      </c>
      <c r="B278" s="220"/>
      <c r="C278" s="211">
        <v>44649</v>
      </c>
      <c r="D278" s="211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458</v>
      </c>
      <c r="K278" s="138" t="s">
        <v>459</v>
      </c>
      <c r="L278" s="150" t="s">
        <v>149</v>
      </c>
      <c r="M278" s="150" t="s">
        <v>143</v>
      </c>
      <c r="N278" s="150" t="s">
        <v>460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hidden="1" customHeight="1" x14ac:dyDescent="0.25">
      <c r="A279" s="175">
        <v>268</v>
      </c>
      <c r="B279" s="220"/>
      <c r="C279" s="211">
        <v>44628</v>
      </c>
      <c r="D279" s="211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461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hidden="1" customHeight="1" x14ac:dyDescent="0.25">
      <c r="A280" s="175">
        <v>269</v>
      </c>
      <c r="B280" s="220"/>
      <c r="C280" s="211">
        <v>44628</v>
      </c>
      <c r="D280" s="211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462</v>
      </c>
      <c r="K280" s="138" t="s">
        <v>165</v>
      </c>
      <c r="L280" s="150" t="s">
        <v>463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hidden="1" customHeight="1" x14ac:dyDescent="0.25">
      <c r="A281" s="175">
        <v>270</v>
      </c>
      <c r="B281" s="220"/>
      <c r="C281" s="211">
        <v>44628</v>
      </c>
      <c r="D281" s="211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464</v>
      </c>
      <c r="K281" s="138" t="s">
        <v>465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hidden="1" customHeight="1" x14ac:dyDescent="0.25">
      <c r="A282" s="175">
        <v>271</v>
      </c>
      <c r="B282" s="220"/>
      <c r="C282" s="211">
        <v>44628</v>
      </c>
      <c r="D282" s="211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466</v>
      </c>
      <c r="K282" s="138" t="s">
        <v>467</v>
      </c>
      <c r="L282" s="150" t="s">
        <v>468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hidden="1" customHeight="1" x14ac:dyDescent="0.25">
      <c r="A283" s="175">
        <v>272</v>
      </c>
      <c r="B283" s="220"/>
      <c r="C283" s="211">
        <v>44628</v>
      </c>
      <c r="D283" s="211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466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hidden="1" customHeight="1" x14ac:dyDescent="0.25">
      <c r="A284" s="175">
        <v>273</v>
      </c>
      <c r="B284" s="220"/>
      <c r="C284" s="211">
        <v>44628</v>
      </c>
      <c r="D284" s="211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469</v>
      </c>
      <c r="K284" s="138" t="s">
        <v>470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hidden="1" customHeight="1" x14ac:dyDescent="0.25">
      <c r="A285" s="175">
        <v>274</v>
      </c>
      <c r="B285" s="220"/>
      <c r="C285" s="211">
        <v>44628</v>
      </c>
      <c r="D285" s="211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hidden="1" customHeight="1" x14ac:dyDescent="0.25">
      <c r="A286" s="175">
        <v>275</v>
      </c>
      <c r="B286" s="220"/>
      <c r="C286" s="211">
        <v>44628</v>
      </c>
      <c r="D286" s="211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465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hidden="1" customHeight="1" x14ac:dyDescent="0.25">
      <c r="A287" s="175">
        <v>276</v>
      </c>
      <c r="B287" s="220"/>
      <c r="C287" s="211">
        <v>44628</v>
      </c>
      <c r="D287" s="211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464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hidden="1" customHeight="1" x14ac:dyDescent="0.25">
      <c r="A288" s="175">
        <v>277</v>
      </c>
      <c r="B288" s="220"/>
      <c r="C288" s="211">
        <v>44628</v>
      </c>
      <c r="D288" s="211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471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hidden="1" customHeight="1" x14ac:dyDescent="0.25">
      <c r="A289" s="175">
        <v>278</v>
      </c>
      <c r="B289" s="220"/>
      <c r="C289" s="211">
        <v>44628</v>
      </c>
      <c r="D289" s="211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469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hidden="1" customHeight="1" x14ac:dyDescent="0.25">
      <c r="A290" s="175">
        <v>279</v>
      </c>
      <c r="B290" s="220"/>
      <c r="C290" s="211">
        <v>44628</v>
      </c>
      <c r="D290" s="211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465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hidden="1" customHeight="1" x14ac:dyDescent="0.25">
      <c r="A291" s="175">
        <v>280</v>
      </c>
      <c r="B291" s="220"/>
      <c r="C291" s="211">
        <v>44628</v>
      </c>
      <c r="D291" s="211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469</v>
      </c>
      <c r="K291" s="138" t="s">
        <v>472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hidden="1" customHeight="1" x14ac:dyDescent="0.25">
      <c r="A292" s="175">
        <v>281</v>
      </c>
      <c r="B292" s="220"/>
      <c r="C292" s="211">
        <v>44649</v>
      </c>
      <c r="D292" s="211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469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hidden="1" customHeight="1" x14ac:dyDescent="0.25">
      <c r="A293" s="175">
        <v>282</v>
      </c>
      <c r="B293" s="221"/>
      <c r="C293" s="211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473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22" t="s">
        <v>476</v>
      </c>
      <c r="C294" s="211">
        <v>44641</v>
      </c>
      <c r="D294" s="211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hidden="1" customHeight="1" x14ac:dyDescent="0.25">
      <c r="A295" s="175">
        <v>284</v>
      </c>
      <c r="B295" s="223"/>
      <c r="C295" s="211">
        <v>44621</v>
      </c>
      <c r="D295" s="211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474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hidden="1" customHeight="1" x14ac:dyDescent="0.25">
      <c r="A296" s="175">
        <v>285</v>
      </c>
      <c r="B296" s="223"/>
      <c r="C296" s="211">
        <v>44621</v>
      </c>
      <c r="D296" s="211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474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hidden="1" customHeight="1" x14ac:dyDescent="0.25">
      <c r="A297" s="175">
        <v>286</v>
      </c>
      <c r="B297" s="223"/>
      <c r="C297" s="211">
        <v>44621</v>
      </c>
      <c r="D297" s="211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474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hidden="1" customHeight="1" x14ac:dyDescent="0.25">
      <c r="A298" s="175">
        <v>287</v>
      </c>
      <c r="B298" s="223"/>
      <c r="C298" s="211">
        <v>44621</v>
      </c>
      <c r="D298" s="211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474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hidden="1" customHeight="1" x14ac:dyDescent="0.25">
      <c r="A299" s="175">
        <v>288</v>
      </c>
      <c r="B299" s="223"/>
      <c r="C299" s="211">
        <v>44621</v>
      </c>
      <c r="D299" s="211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475</v>
      </c>
      <c r="J299" s="103" t="s">
        <v>474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hidden="1" customHeight="1" x14ac:dyDescent="0.25">
      <c r="A300" s="175">
        <v>289</v>
      </c>
      <c r="B300" s="223"/>
      <c r="C300" s="211">
        <v>44621</v>
      </c>
      <c r="D300" s="211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474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hidden="1" customHeight="1" x14ac:dyDescent="0.25">
      <c r="A301" s="175">
        <v>290</v>
      </c>
      <c r="B301" s="223"/>
      <c r="C301" s="211">
        <v>44621</v>
      </c>
      <c r="D301" s="211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475</v>
      </c>
      <c r="J301" s="103" t="s">
        <v>474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hidden="1" customHeight="1" x14ac:dyDescent="0.25">
      <c r="A302" s="175">
        <v>291</v>
      </c>
      <c r="B302" s="223"/>
      <c r="C302" s="211">
        <v>44621</v>
      </c>
      <c r="D302" s="211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475</v>
      </c>
      <c r="J302" s="103" t="s">
        <v>474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hidden="1" customHeight="1" x14ac:dyDescent="0.25">
      <c r="A303" s="175">
        <v>292</v>
      </c>
      <c r="B303" s="223"/>
      <c r="C303" s="211">
        <v>44621</v>
      </c>
      <c r="D303" s="211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474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hidden="1" customHeight="1" x14ac:dyDescent="0.25">
      <c r="A304" s="175">
        <v>293</v>
      </c>
      <c r="B304" s="223"/>
      <c r="C304" s="211">
        <v>44621</v>
      </c>
      <c r="D304" s="211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474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hidden="1" customHeight="1" x14ac:dyDescent="0.25">
      <c r="A305" s="175">
        <v>294</v>
      </c>
      <c r="B305" s="224"/>
      <c r="C305" s="211">
        <v>44621</v>
      </c>
      <c r="D305" s="211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475</v>
      </c>
      <c r="J305" s="103" t="s">
        <v>474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hidden="1" customHeight="1" x14ac:dyDescent="0.25">
      <c r="A306" s="175">
        <v>295</v>
      </c>
      <c r="B306" s="219" t="s">
        <v>332</v>
      </c>
      <c r="C306" s="211">
        <v>44648</v>
      </c>
      <c r="D306" s="211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hidden="1" customHeight="1" x14ac:dyDescent="0.25">
      <c r="A307" s="175">
        <v>296</v>
      </c>
      <c r="B307" s="220"/>
      <c r="C307" s="211">
        <v>44648</v>
      </c>
      <c r="D307" s="211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hidden="1" customHeight="1" x14ac:dyDescent="0.25">
      <c r="A308" s="175">
        <v>297</v>
      </c>
      <c r="B308" s="220"/>
      <c r="C308" s="211">
        <v>44648</v>
      </c>
      <c r="D308" s="211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hidden="1" customHeight="1" x14ac:dyDescent="0.25">
      <c r="A309" s="175">
        <v>298</v>
      </c>
      <c r="B309" s="220"/>
      <c r="C309" s="211">
        <v>44648</v>
      </c>
      <c r="D309" s="211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477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hidden="1" customHeight="1" x14ac:dyDescent="0.25">
      <c r="A310" s="175">
        <v>299</v>
      </c>
      <c r="B310" s="220"/>
      <c r="C310" s="211">
        <v>44648</v>
      </c>
      <c r="D310" s="211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478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hidden="1" customHeight="1" x14ac:dyDescent="0.25">
      <c r="A311" s="175">
        <v>300</v>
      </c>
      <c r="B311" s="220"/>
      <c r="C311" s="211">
        <v>44648</v>
      </c>
      <c r="D311" s="211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479</v>
      </c>
      <c r="J311" s="103" t="s">
        <v>480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hidden="1" customHeight="1" x14ac:dyDescent="0.25">
      <c r="A312" s="175">
        <v>301</v>
      </c>
      <c r="B312" s="220"/>
      <c r="C312" s="211">
        <v>44648</v>
      </c>
      <c r="D312" s="211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481</v>
      </c>
      <c r="J312" s="103" t="s">
        <v>480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hidden="1" customHeight="1" x14ac:dyDescent="0.25">
      <c r="A313" s="175">
        <v>302</v>
      </c>
      <c r="B313" s="221"/>
      <c r="C313" s="211">
        <v>44648</v>
      </c>
      <c r="D313" s="211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482</v>
      </c>
      <c r="J313" s="103" t="s">
        <v>480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hidden="1" customHeight="1" x14ac:dyDescent="0.25">
      <c r="A314" s="175">
        <v>303</v>
      </c>
      <c r="B314" s="219" t="s">
        <v>484</v>
      </c>
      <c r="C314" s="211">
        <v>44635</v>
      </c>
      <c r="D314" s="211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483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hidden="1" customHeight="1" x14ac:dyDescent="0.25">
      <c r="A315" s="175">
        <v>304</v>
      </c>
      <c r="B315" s="220"/>
      <c r="C315" s="211">
        <v>44635</v>
      </c>
      <c r="D315" s="211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483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hidden="1" customHeight="1" x14ac:dyDescent="0.25">
      <c r="A316" s="175">
        <v>305</v>
      </c>
      <c r="B316" s="220"/>
      <c r="C316" s="211">
        <v>44635</v>
      </c>
      <c r="D316" s="211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483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hidden="1" customHeight="1" x14ac:dyDescent="0.25">
      <c r="A317" s="175">
        <v>306</v>
      </c>
      <c r="B317" s="220"/>
      <c r="C317" s="211">
        <v>44635</v>
      </c>
      <c r="D317" s="211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483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hidden="1" customHeight="1" x14ac:dyDescent="0.25">
      <c r="A318" s="175">
        <v>307</v>
      </c>
      <c r="B318" s="220"/>
      <c r="C318" s="211">
        <v>44635</v>
      </c>
      <c r="D318" s="211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483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hidden="1" customHeight="1" x14ac:dyDescent="0.25">
      <c r="A319" s="175">
        <v>308</v>
      </c>
      <c r="B319" s="220"/>
      <c r="C319" s="211">
        <v>44635</v>
      </c>
      <c r="D319" s="211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483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hidden="1" customHeight="1" x14ac:dyDescent="0.25">
      <c r="A320" s="175">
        <v>309</v>
      </c>
      <c r="B320" s="220"/>
      <c r="C320" s="211">
        <v>44635</v>
      </c>
      <c r="D320" s="211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483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hidden="1" customHeight="1" x14ac:dyDescent="0.25">
      <c r="A321" s="175">
        <v>310</v>
      </c>
      <c r="B321" s="220"/>
      <c r="C321" s="211">
        <v>44635</v>
      </c>
      <c r="D321" s="211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483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hidden="1" customHeight="1" x14ac:dyDescent="0.25">
      <c r="A322" s="175">
        <v>311</v>
      </c>
      <c r="B322" s="220"/>
      <c r="C322" s="211">
        <v>44635</v>
      </c>
      <c r="D322" s="211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483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hidden="1" customHeight="1" x14ac:dyDescent="0.25">
      <c r="A323" s="175">
        <v>312</v>
      </c>
      <c r="B323" s="221"/>
      <c r="C323" s="211">
        <v>44635</v>
      </c>
      <c r="D323" s="211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483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hidden="1" customHeight="1" x14ac:dyDescent="0.25">
      <c r="A324" s="225" t="s">
        <v>82</v>
      </c>
      <c r="B324" s="226"/>
      <c r="C324" s="226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7"/>
      <c r="V324" s="21"/>
    </row>
    <row r="325" spans="1:22" s="2" customFormat="1" ht="16.5" hidden="1" customHeight="1" x14ac:dyDescent="0.25">
      <c r="A325" s="228"/>
      <c r="B325" s="229"/>
      <c r="C325" s="229"/>
      <c r="D325" s="229"/>
      <c r="E325" s="229"/>
      <c r="F325" s="229"/>
      <c r="G325" s="229"/>
      <c r="H325" s="229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30"/>
      <c r="V325" s="52"/>
    </row>
    <row r="326" spans="1:22" ht="16.5" hidden="1" customHeight="1" x14ac:dyDescent="0.25">
      <c r="A326" s="175">
        <v>313</v>
      </c>
      <c r="B326" s="175" t="s">
        <v>487</v>
      </c>
      <c r="C326" s="211">
        <v>44660</v>
      </c>
      <c r="D326" s="211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485</v>
      </c>
      <c r="L326" s="184" t="s">
        <v>161</v>
      </c>
      <c r="M326" s="150" t="s">
        <v>162</v>
      </c>
      <c r="N326" s="150" t="s">
        <v>486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hidden="1" customHeight="1" x14ac:dyDescent="0.25">
      <c r="A327" s="175">
        <v>314</v>
      </c>
      <c r="B327" s="219" t="s">
        <v>490</v>
      </c>
      <c r="C327" s="211">
        <v>44657</v>
      </c>
      <c r="D327" s="211"/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hidden="1" customHeight="1" x14ac:dyDescent="0.25">
      <c r="A328" s="175">
        <v>315</v>
      </c>
      <c r="B328" s="220"/>
      <c r="C328" s="211">
        <v>44657</v>
      </c>
      <c r="D328" s="211"/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hidden="1" customHeight="1" x14ac:dyDescent="0.25">
      <c r="A329" s="175">
        <v>316</v>
      </c>
      <c r="B329" s="220"/>
      <c r="C329" s="211">
        <v>44657</v>
      </c>
      <c r="D329" s="211"/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394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hidden="1" customHeight="1" x14ac:dyDescent="0.25">
      <c r="A330" s="175">
        <v>317</v>
      </c>
      <c r="B330" s="220"/>
      <c r="C330" s="211">
        <v>44657</v>
      </c>
      <c r="D330" s="211"/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401</v>
      </c>
      <c r="L330" s="138" t="s">
        <v>155</v>
      </c>
      <c r="M330" s="150" t="s">
        <v>143</v>
      </c>
      <c r="N330" s="150" t="s">
        <v>144</v>
      </c>
      <c r="O330" s="138"/>
      <c r="P330" s="138" t="s">
        <v>167</v>
      </c>
      <c r="Q330" s="150" t="s">
        <v>152</v>
      </c>
      <c r="R330" s="138" t="s">
        <v>23</v>
      </c>
      <c r="S330" s="139" t="s">
        <v>25</v>
      </c>
      <c r="T330" s="140"/>
      <c r="U330" s="183"/>
      <c r="V330" s="21"/>
    </row>
    <row r="331" spans="1:22" ht="16.5" hidden="1" customHeight="1" x14ac:dyDescent="0.25">
      <c r="A331" s="175">
        <v>318</v>
      </c>
      <c r="B331" s="220"/>
      <c r="C331" s="211">
        <v>44657</v>
      </c>
      <c r="D331" s="211"/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488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83"/>
      <c r="V331" s="21"/>
    </row>
    <row r="332" spans="1:22" ht="16.5" hidden="1" customHeight="1" x14ac:dyDescent="0.25">
      <c r="A332" s="175">
        <v>319</v>
      </c>
      <c r="B332" s="221"/>
      <c r="C332" s="211">
        <v>44657</v>
      </c>
      <c r="D332" s="211"/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489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hidden="1" customHeight="1" x14ac:dyDescent="0.25">
      <c r="A333" s="175">
        <v>320</v>
      </c>
      <c r="B333" s="219" t="s">
        <v>352</v>
      </c>
      <c r="C333" s="211">
        <v>44677</v>
      </c>
      <c r="D333" s="211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hidden="1" customHeight="1" x14ac:dyDescent="0.25">
      <c r="A334" s="175">
        <v>321</v>
      </c>
      <c r="B334" s="220"/>
      <c r="C334" s="211">
        <v>44677</v>
      </c>
      <c r="D334" s="211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hidden="1" customHeight="1" x14ac:dyDescent="0.25">
      <c r="A335" s="175">
        <v>322</v>
      </c>
      <c r="B335" s="220"/>
      <c r="C335" s="211">
        <v>44677</v>
      </c>
      <c r="D335" s="211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463</v>
      </c>
      <c r="M335" s="150" t="s">
        <v>189</v>
      </c>
      <c r="N335" s="150" t="s">
        <v>489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hidden="1" customHeight="1" x14ac:dyDescent="0.25">
      <c r="A336" s="175">
        <v>323</v>
      </c>
      <c r="B336" s="221"/>
      <c r="C336" s="211">
        <v>44677</v>
      </c>
      <c r="D336" s="211">
        <v>44679</v>
      </c>
      <c r="E336" s="148" t="s">
        <v>333</v>
      </c>
      <c r="F336" s="149" t="s">
        <v>491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hidden="1" customHeight="1" x14ac:dyDescent="0.25">
      <c r="A337" s="175">
        <v>324</v>
      </c>
      <c r="B337" s="219" t="s">
        <v>507</v>
      </c>
      <c r="C337" s="211" t="s">
        <v>492</v>
      </c>
      <c r="D337" s="211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493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hidden="1" customHeight="1" x14ac:dyDescent="0.25">
      <c r="A338" s="175">
        <v>325</v>
      </c>
      <c r="B338" s="220"/>
      <c r="C338" s="211" t="s">
        <v>492</v>
      </c>
      <c r="D338" s="211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474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hidden="1" customHeight="1" x14ac:dyDescent="0.25">
      <c r="A339" s="175">
        <v>326</v>
      </c>
      <c r="B339" s="220"/>
      <c r="C339" s="211" t="s">
        <v>492</v>
      </c>
      <c r="D339" s="211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494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hidden="1" customHeight="1" x14ac:dyDescent="0.25">
      <c r="A340" s="175">
        <v>327</v>
      </c>
      <c r="B340" s="220"/>
      <c r="C340" s="211" t="s">
        <v>492</v>
      </c>
      <c r="D340" s="211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495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hidden="1" customHeight="1" x14ac:dyDescent="0.25">
      <c r="A341" s="175">
        <v>328</v>
      </c>
      <c r="B341" s="220"/>
      <c r="C341" s="211" t="s">
        <v>492</v>
      </c>
      <c r="D341" s="211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496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hidden="1" customHeight="1" x14ac:dyDescent="0.25">
      <c r="A342" s="175">
        <v>329</v>
      </c>
      <c r="B342" s="220"/>
      <c r="C342" s="211" t="s">
        <v>492</v>
      </c>
      <c r="D342" s="211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497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hidden="1" customHeight="1" x14ac:dyDescent="0.25">
      <c r="A343" s="175">
        <v>330</v>
      </c>
      <c r="B343" s="220"/>
      <c r="C343" s="211" t="s">
        <v>492</v>
      </c>
      <c r="D343" s="211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498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hidden="1" customHeight="1" x14ac:dyDescent="0.25">
      <c r="A344" s="175">
        <v>331</v>
      </c>
      <c r="B344" s="220"/>
      <c r="C344" s="211" t="s">
        <v>492</v>
      </c>
      <c r="D344" s="211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499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hidden="1" customHeight="1" x14ac:dyDescent="0.25">
      <c r="A345" s="175">
        <v>332</v>
      </c>
      <c r="B345" s="220"/>
      <c r="C345" s="211" t="s">
        <v>492</v>
      </c>
      <c r="D345" s="211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500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hidden="1" customHeight="1" x14ac:dyDescent="0.25">
      <c r="A346" s="175">
        <v>333</v>
      </c>
      <c r="B346" s="220"/>
      <c r="C346" s="211" t="s">
        <v>492</v>
      </c>
      <c r="D346" s="211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501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hidden="1" customHeight="1" x14ac:dyDescent="0.25">
      <c r="A347" s="175">
        <v>334</v>
      </c>
      <c r="B347" s="220"/>
      <c r="C347" s="211" t="s">
        <v>492</v>
      </c>
      <c r="D347" s="211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502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hidden="1" customHeight="1" x14ac:dyDescent="0.25">
      <c r="A348" s="175">
        <v>335</v>
      </c>
      <c r="B348" s="220"/>
      <c r="C348" s="211" t="s">
        <v>492</v>
      </c>
      <c r="D348" s="211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hidden="1" customHeight="1" x14ac:dyDescent="0.25">
      <c r="A349" s="175">
        <v>336</v>
      </c>
      <c r="B349" s="220"/>
      <c r="C349" s="211" t="s">
        <v>492</v>
      </c>
      <c r="D349" s="211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hidden="1" customHeight="1" x14ac:dyDescent="0.25">
      <c r="A350" s="175">
        <v>337</v>
      </c>
      <c r="B350" s="220"/>
      <c r="C350" s="211" t="s">
        <v>492</v>
      </c>
      <c r="D350" s="211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503</v>
      </c>
      <c r="O350" s="138"/>
      <c r="P350" s="150" t="s">
        <v>151</v>
      </c>
      <c r="Q350" s="138" t="s">
        <v>152</v>
      </c>
      <c r="R350" s="139" t="s">
        <v>28</v>
      </c>
      <c r="S350" s="148" t="s">
        <v>504</v>
      </c>
      <c r="T350" s="140"/>
      <c r="U350" s="175"/>
      <c r="V350" s="21"/>
    </row>
    <row r="351" spans="1:22" ht="16.5" hidden="1" customHeight="1" x14ac:dyDescent="0.25">
      <c r="A351" s="175">
        <v>338</v>
      </c>
      <c r="B351" s="220"/>
      <c r="C351" s="211" t="s">
        <v>492</v>
      </c>
      <c r="D351" s="211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hidden="1" customHeight="1" x14ac:dyDescent="0.25">
      <c r="A352" s="175">
        <v>339</v>
      </c>
      <c r="B352" s="220"/>
      <c r="C352" s="211" t="s">
        <v>492</v>
      </c>
      <c r="D352" s="211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505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hidden="1" customHeight="1" x14ac:dyDescent="0.25">
      <c r="A353" s="175">
        <v>340</v>
      </c>
      <c r="B353" s="220"/>
      <c r="C353" s="211" t="s">
        <v>492</v>
      </c>
      <c r="D353" s="211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hidden="1" customHeight="1" x14ac:dyDescent="0.25">
      <c r="A354" s="175">
        <v>341</v>
      </c>
      <c r="B354" s="220"/>
      <c r="C354" s="211" t="s">
        <v>492</v>
      </c>
      <c r="D354" s="211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506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hidden="1" customHeight="1" x14ac:dyDescent="0.25">
      <c r="A355" s="175">
        <v>342</v>
      </c>
      <c r="B355" s="220"/>
      <c r="C355" s="211" t="s">
        <v>492</v>
      </c>
      <c r="D355" s="211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hidden="1" customHeight="1" x14ac:dyDescent="0.25">
      <c r="A356" s="175">
        <v>343</v>
      </c>
      <c r="B356" s="220"/>
      <c r="C356" s="211" t="s">
        <v>492</v>
      </c>
      <c r="D356" s="211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hidden="1" customHeight="1" x14ac:dyDescent="0.25">
      <c r="A357" s="175">
        <v>344</v>
      </c>
      <c r="B357" s="221"/>
      <c r="C357" s="211" t="s">
        <v>492</v>
      </c>
      <c r="D357" s="211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406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hidden="1" customHeight="1" x14ac:dyDescent="0.25">
      <c r="A358" s="175">
        <v>345</v>
      </c>
      <c r="B358" s="219" t="s">
        <v>407</v>
      </c>
      <c r="C358" s="211">
        <v>44669</v>
      </c>
      <c r="D358" s="211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hidden="1" customHeight="1" x14ac:dyDescent="0.25">
      <c r="A359" s="175">
        <v>346</v>
      </c>
      <c r="B359" s="220"/>
      <c r="C359" s="211">
        <v>44669</v>
      </c>
      <c r="D359" s="211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508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hidden="1" customHeight="1" x14ac:dyDescent="0.25">
      <c r="A360" s="175">
        <v>347</v>
      </c>
      <c r="B360" s="220"/>
      <c r="C360" s="211">
        <v>44669</v>
      </c>
      <c r="D360" s="211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442</v>
      </c>
      <c r="M360" s="138"/>
      <c r="N360" s="150" t="s">
        <v>509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hidden="1" customHeight="1" x14ac:dyDescent="0.25">
      <c r="A361" s="175">
        <v>348</v>
      </c>
      <c r="B361" s="220"/>
      <c r="C361" s="211">
        <v>44669</v>
      </c>
      <c r="D361" s="211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442</v>
      </c>
      <c r="M361" s="138" t="s">
        <v>432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hidden="1" customHeight="1" x14ac:dyDescent="0.25">
      <c r="A362" s="175">
        <v>349</v>
      </c>
      <c r="B362" s="220"/>
      <c r="C362" s="211">
        <v>44669</v>
      </c>
      <c r="D362" s="211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401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hidden="1" customHeight="1" x14ac:dyDescent="0.25">
      <c r="A363" s="175">
        <v>350</v>
      </c>
      <c r="B363" s="220"/>
      <c r="C363" s="211">
        <v>44669</v>
      </c>
      <c r="D363" s="211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400</v>
      </c>
      <c r="K363" s="138" t="s">
        <v>174</v>
      </c>
      <c r="L363" s="138" t="s">
        <v>155</v>
      </c>
      <c r="M363" s="138"/>
      <c r="N363" s="150" t="s">
        <v>510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hidden="1" customHeight="1" x14ac:dyDescent="0.25">
      <c r="A364" s="175">
        <v>351</v>
      </c>
      <c r="B364" s="220"/>
      <c r="C364" s="211">
        <v>44669</v>
      </c>
      <c r="D364" s="211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405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hidden="1" customHeight="1" x14ac:dyDescent="0.25">
      <c r="A365" s="175">
        <v>352</v>
      </c>
      <c r="B365" s="220"/>
      <c r="C365" s="211">
        <v>44669</v>
      </c>
      <c r="D365" s="211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401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hidden="1" customHeight="1" x14ac:dyDescent="0.25">
      <c r="A366" s="175">
        <v>353</v>
      </c>
      <c r="B366" s="221"/>
      <c r="C366" s="211">
        <v>44669</v>
      </c>
      <c r="D366" s="211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19" t="s">
        <v>313</v>
      </c>
      <c r="C367" s="211">
        <v>44664</v>
      </c>
      <c r="D367" s="211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hidden="1" customHeight="1" x14ac:dyDescent="0.25">
      <c r="A368" s="175">
        <v>355</v>
      </c>
      <c r="B368" s="220"/>
      <c r="C368" s="211">
        <v>44664</v>
      </c>
      <c r="D368" s="211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20"/>
      <c r="C369" s="211">
        <v>44664</v>
      </c>
      <c r="D369" s="211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hidden="1" customHeight="1" x14ac:dyDescent="0.25">
      <c r="A370" s="175">
        <v>357</v>
      </c>
      <c r="B370" s="220"/>
      <c r="C370" s="211">
        <v>44664</v>
      </c>
      <c r="D370" s="211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hidden="1" customHeight="1" x14ac:dyDescent="0.25">
      <c r="A371" s="175">
        <v>358</v>
      </c>
      <c r="B371" s="221"/>
      <c r="C371" s="211">
        <v>44664</v>
      </c>
      <c r="D371" s="211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511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hidden="1" customHeight="1" x14ac:dyDescent="0.25">
      <c r="A372" s="175">
        <v>359</v>
      </c>
      <c r="B372" s="219" t="s">
        <v>411</v>
      </c>
      <c r="C372" s="211">
        <v>44652</v>
      </c>
      <c r="D372" s="211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401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hidden="1" customHeight="1" x14ac:dyDescent="0.25">
      <c r="A373" s="175">
        <v>360</v>
      </c>
      <c r="B373" s="220"/>
      <c r="C373" s="211">
        <v>44656</v>
      </c>
      <c r="D373" s="211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512</v>
      </c>
      <c r="R373" s="138" t="s">
        <v>72</v>
      </c>
      <c r="S373" s="139" t="s">
        <v>513</v>
      </c>
      <c r="T373" s="140" t="s">
        <v>76</v>
      </c>
      <c r="U373" s="175"/>
      <c r="V373" s="21"/>
    </row>
    <row r="374" spans="1:22" ht="16.5" hidden="1" customHeight="1" x14ac:dyDescent="0.25">
      <c r="A374" s="175">
        <v>361</v>
      </c>
      <c r="B374" s="220"/>
      <c r="C374" s="211">
        <v>44656</v>
      </c>
      <c r="D374" s="211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505</v>
      </c>
      <c r="L374" s="184"/>
      <c r="M374" s="150"/>
      <c r="N374" s="150" t="s">
        <v>166</v>
      </c>
      <c r="O374" s="138"/>
      <c r="P374" s="138" t="s">
        <v>167</v>
      </c>
      <c r="Q374" s="150" t="s">
        <v>512</v>
      </c>
      <c r="R374" s="138" t="s">
        <v>23</v>
      </c>
      <c r="S374" s="139" t="s">
        <v>27</v>
      </c>
      <c r="T374" s="140"/>
      <c r="U374" s="175"/>
      <c r="V374" s="21"/>
    </row>
    <row r="375" spans="1:22" ht="15" hidden="1" customHeight="1" x14ac:dyDescent="0.25">
      <c r="A375" s="175">
        <v>362</v>
      </c>
      <c r="B375" s="220"/>
      <c r="C375" s="211">
        <v>44656</v>
      </c>
      <c r="D375" s="211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505</v>
      </c>
      <c r="L375" s="138" t="s">
        <v>514</v>
      </c>
      <c r="M375" s="150"/>
      <c r="N375" s="150" t="s">
        <v>166</v>
      </c>
      <c r="O375" s="138"/>
      <c r="P375" s="138" t="s">
        <v>167</v>
      </c>
      <c r="Q375" s="150" t="s">
        <v>512</v>
      </c>
      <c r="R375" s="138" t="s">
        <v>23</v>
      </c>
      <c r="S375" s="139" t="s">
        <v>27</v>
      </c>
      <c r="T375" s="140"/>
      <c r="U375" s="175"/>
      <c r="V375" s="21"/>
    </row>
    <row r="376" spans="1:22" ht="16.5" hidden="1" customHeight="1" x14ac:dyDescent="0.25">
      <c r="A376" s="175">
        <v>363</v>
      </c>
      <c r="B376" s="220"/>
      <c r="C376" s="211">
        <v>44656</v>
      </c>
      <c r="D376" s="211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505</v>
      </c>
      <c r="L376" s="138"/>
      <c r="M376" s="150"/>
      <c r="N376" s="150" t="s">
        <v>166</v>
      </c>
      <c r="O376" s="138"/>
      <c r="P376" s="138" t="s">
        <v>167</v>
      </c>
      <c r="Q376" s="150" t="s">
        <v>512</v>
      </c>
      <c r="R376" s="138" t="s">
        <v>23</v>
      </c>
      <c r="S376" s="139" t="s">
        <v>27</v>
      </c>
      <c r="T376" s="140"/>
      <c r="U376" s="175"/>
      <c r="V376" s="21"/>
    </row>
    <row r="377" spans="1:22" ht="16.5" hidden="1" customHeight="1" x14ac:dyDescent="0.25">
      <c r="A377" s="175">
        <v>364</v>
      </c>
      <c r="B377" s="220"/>
      <c r="C377" s="211">
        <v>44656</v>
      </c>
      <c r="D377" s="211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413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hidden="1" customHeight="1" x14ac:dyDescent="0.25">
      <c r="A378" s="175">
        <v>365</v>
      </c>
      <c r="B378" s="220"/>
      <c r="C378" s="211">
        <v>44656</v>
      </c>
      <c r="D378" s="211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hidden="1" customHeight="1" x14ac:dyDescent="0.25">
      <c r="A379" s="175">
        <v>366</v>
      </c>
      <c r="B379" s="221"/>
      <c r="C379" s="211">
        <v>44656</v>
      </c>
      <c r="D379" s="211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hidden="1" customHeight="1" x14ac:dyDescent="0.25">
      <c r="A380" s="175">
        <v>367</v>
      </c>
      <c r="B380" s="219" t="s">
        <v>516</v>
      </c>
      <c r="C380" s="211">
        <v>44679</v>
      </c>
      <c r="D380" s="211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515</v>
      </c>
      <c r="L380" s="138" t="s">
        <v>155</v>
      </c>
      <c r="M380" s="150" t="s">
        <v>143</v>
      </c>
      <c r="N380" s="150" t="s">
        <v>413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hidden="1" customHeight="1" x14ac:dyDescent="0.25">
      <c r="A381" s="175">
        <v>368</v>
      </c>
      <c r="B381" s="221"/>
      <c r="C381" s="211">
        <v>44666</v>
      </c>
      <c r="D381" s="211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hidden="1" customHeight="1" x14ac:dyDescent="0.25">
      <c r="A382" s="175">
        <v>369</v>
      </c>
      <c r="B382" s="219" t="s">
        <v>186</v>
      </c>
      <c r="C382" s="211">
        <v>44652</v>
      </c>
      <c r="D382" s="211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517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415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hidden="1" customHeight="1" x14ac:dyDescent="0.25">
      <c r="A383" s="175">
        <v>370</v>
      </c>
      <c r="B383" s="220"/>
      <c r="C383" s="211">
        <v>44652</v>
      </c>
      <c r="D383" s="211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518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415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hidden="1" customHeight="1" x14ac:dyDescent="0.25">
      <c r="A384" s="175">
        <v>371</v>
      </c>
      <c r="B384" s="220"/>
      <c r="C384" s="211">
        <v>44652</v>
      </c>
      <c r="D384" s="211">
        <v>44652</v>
      </c>
      <c r="E384" s="148" t="s">
        <v>99</v>
      </c>
      <c r="F384" s="148" t="s">
        <v>519</v>
      </c>
      <c r="G384" s="148"/>
      <c r="H384" s="148" t="s">
        <v>158</v>
      </c>
      <c r="I384" s="148" t="s">
        <v>520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415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hidden="1" customHeight="1" x14ac:dyDescent="0.25">
      <c r="A385" s="175">
        <v>372</v>
      </c>
      <c r="B385" s="221"/>
      <c r="C385" s="211">
        <v>44657</v>
      </c>
      <c r="D385" s="211" t="s">
        <v>521</v>
      </c>
      <c r="E385" s="148" t="s">
        <v>99</v>
      </c>
      <c r="F385" s="149">
        <v>21060028</v>
      </c>
      <c r="G385" s="156"/>
      <c r="H385" s="148" t="s">
        <v>158</v>
      </c>
      <c r="I385" s="148" t="s">
        <v>522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415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hidden="1" customHeight="1" x14ac:dyDescent="0.25">
      <c r="A386" s="175">
        <v>373</v>
      </c>
      <c r="B386" s="219" t="s">
        <v>292</v>
      </c>
      <c r="C386" s="211">
        <v>44652</v>
      </c>
      <c r="D386" s="211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463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hidden="1" customHeight="1" x14ac:dyDescent="0.25">
      <c r="A387" s="175">
        <v>374</v>
      </c>
      <c r="B387" s="220"/>
      <c r="C387" s="211">
        <v>44652</v>
      </c>
      <c r="D387" s="211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hidden="1" customHeight="1" x14ac:dyDescent="0.25">
      <c r="A388" s="175">
        <v>375</v>
      </c>
      <c r="B388" s="220"/>
      <c r="C388" s="211">
        <v>44666</v>
      </c>
      <c r="D388" s="211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523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hidden="1" customHeight="1" x14ac:dyDescent="0.25">
      <c r="A389" s="175">
        <v>376</v>
      </c>
      <c r="B389" s="220"/>
      <c r="C389" s="211">
        <v>44666</v>
      </c>
      <c r="D389" s="211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523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hidden="1" customHeight="1" x14ac:dyDescent="0.25">
      <c r="A390" s="175">
        <v>377</v>
      </c>
      <c r="B390" s="220"/>
      <c r="C390" s="211">
        <v>44666</v>
      </c>
      <c r="D390" s="211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hidden="1" customHeight="1" x14ac:dyDescent="0.25">
      <c r="A391" s="175">
        <v>378</v>
      </c>
      <c r="B391" s="220"/>
      <c r="C391" s="211">
        <v>44666</v>
      </c>
      <c r="D391" s="211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523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hidden="1" customHeight="1" x14ac:dyDescent="0.25">
      <c r="A392" s="175">
        <v>379</v>
      </c>
      <c r="B392" s="220"/>
      <c r="C392" s="211">
        <v>44672</v>
      </c>
      <c r="D392" s="211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524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hidden="1" customHeight="1" x14ac:dyDescent="0.25">
      <c r="A393" s="175">
        <v>380</v>
      </c>
      <c r="B393" s="220"/>
      <c r="C393" s="211">
        <v>44674</v>
      </c>
      <c r="D393" s="211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525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hidden="1" customHeight="1" x14ac:dyDescent="0.25">
      <c r="A394" s="175">
        <v>381</v>
      </c>
      <c r="B394" s="220"/>
      <c r="C394" s="211">
        <v>44652</v>
      </c>
      <c r="D394" s="211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hidden="1" customHeight="1" x14ac:dyDescent="0.25">
      <c r="A395" s="175">
        <v>382</v>
      </c>
      <c r="B395" s="220"/>
      <c r="C395" s="211">
        <v>44666</v>
      </c>
      <c r="D395" s="211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hidden="1" customHeight="1" x14ac:dyDescent="0.25">
      <c r="A396" s="175">
        <v>383</v>
      </c>
      <c r="B396" s="220"/>
      <c r="C396" s="211">
        <v>44672</v>
      </c>
      <c r="D396" s="211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hidden="1" customHeight="1" x14ac:dyDescent="0.25">
      <c r="A397" s="175">
        <v>384</v>
      </c>
      <c r="B397" s="220"/>
      <c r="C397" s="211">
        <v>44672</v>
      </c>
      <c r="D397" s="211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526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hidden="1" customHeight="1" x14ac:dyDescent="0.25">
      <c r="A398" s="175">
        <v>385</v>
      </c>
      <c r="B398" s="220"/>
      <c r="C398" s="211">
        <v>44674</v>
      </c>
      <c r="D398" s="211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527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hidden="1" customHeight="1" x14ac:dyDescent="0.25">
      <c r="A399" s="175">
        <v>386</v>
      </c>
      <c r="B399" s="220"/>
      <c r="C399" s="211">
        <v>44674</v>
      </c>
      <c r="D399" s="211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528</v>
      </c>
      <c r="K399" s="138"/>
      <c r="L399" s="138" t="s">
        <v>529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hidden="1" customHeight="1" x14ac:dyDescent="0.25">
      <c r="A400" s="175">
        <v>387</v>
      </c>
      <c r="B400" s="221"/>
      <c r="C400" s="211">
        <v>44674</v>
      </c>
      <c r="D400" s="211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527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hidden="1" customHeight="1" x14ac:dyDescent="0.25">
      <c r="A401" s="175">
        <v>388</v>
      </c>
      <c r="B401" s="219" t="s">
        <v>322</v>
      </c>
      <c r="C401" s="211">
        <v>44652</v>
      </c>
      <c r="D401" s="211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hidden="1" customHeight="1" x14ac:dyDescent="0.25">
      <c r="A402" s="175">
        <v>389</v>
      </c>
      <c r="B402" s="220"/>
      <c r="C402" s="211">
        <v>44677</v>
      </c>
      <c r="D402" s="211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hidden="1" customHeight="1" x14ac:dyDescent="0.25">
      <c r="A403" s="175">
        <v>390</v>
      </c>
      <c r="B403" s="220"/>
      <c r="C403" s="211">
        <v>44677</v>
      </c>
      <c r="D403" s="211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530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hidden="1" customHeight="1" x14ac:dyDescent="0.25">
      <c r="A404" s="175">
        <v>391</v>
      </c>
      <c r="B404" s="220"/>
      <c r="C404" s="211">
        <v>44677</v>
      </c>
      <c r="D404" s="211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530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hidden="1" customHeight="1" x14ac:dyDescent="0.25">
      <c r="A405" s="175">
        <v>392</v>
      </c>
      <c r="B405" s="220"/>
      <c r="C405" s="211">
        <v>44677</v>
      </c>
      <c r="D405" s="211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405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hidden="1" customHeight="1" x14ac:dyDescent="0.25">
      <c r="A406" s="175">
        <v>393</v>
      </c>
      <c r="B406" s="220"/>
      <c r="C406" s="211">
        <v>44677</v>
      </c>
      <c r="D406" s="211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hidden="1" customHeight="1" x14ac:dyDescent="0.25">
      <c r="A407" s="175">
        <v>394</v>
      </c>
      <c r="B407" s="220"/>
      <c r="C407" s="211">
        <v>44652</v>
      </c>
      <c r="D407" s="211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hidden="1" customHeight="1" x14ac:dyDescent="0.25">
      <c r="A408" s="175">
        <v>395</v>
      </c>
      <c r="B408" s="220"/>
      <c r="C408" s="211">
        <v>44652</v>
      </c>
      <c r="D408" s="211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531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hidden="1" customHeight="1" x14ac:dyDescent="0.25">
      <c r="A409" s="175">
        <v>396</v>
      </c>
      <c r="B409" s="220"/>
      <c r="C409" s="211">
        <v>44652</v>
      </c>
      <c r="D409" s="211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532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hidden="1" customHeight="1" x14ac:dyDescent="0.25">
      <c r="A410" s="175">
        <v>397</v>
      </c>
      <c r="B410" s="220"/>
      <c r="C410" s="211">
        <v>44659</v>
      </c>
      <c r="D410" s="211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533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hidden="1" customHeight="1" x14ac:dyDescent="0.25">
      <c r="A411" s="175">
        <v>398</v>
      </c>
      <c r="B411" s="220"/>
      <c r="C411" s="211">
        <v>44677</v>
      </c>
      <c r="D411" s="211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534</v>
      </c>
      <c r="M411" s="138" t="s">
        <v>531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hidden="1" customHeight="1" x14ac:dyDescent="0.25">
      <c r="A412" s="175">
        <v>399</v>
      </c>
      <c r="B412" s="220"/>
      <c r="C412" s="211">
        <v>44677</v>
      </c>
      <c r="D412" s="211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535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hidden="1" customHeight="1" x14ac:dyDescent="0.25">
      <c r="A413" s="175">
        <v>400</v>
      </c>
      <c r="B413" s="220"/>
      <c r="C413" s="211">
        <v>44677</v>
      </c>
      <c r="D413" s="211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531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hidden="1" customHeight="1" x14ac:dyDescent="0.25">
      <c r="A414" s="175">
        <v>401</v>
      </c>
      <c r="B414" s="220"/>
      <c r="C414" s="211">
        <v>44677</v>
      </c>
      <c r="D414" s="211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531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hidden="1" customHeight="1" x14ac:dyDescent="0.25">
      <c r="A415" s="175">
        <v>402</v>
      </c>
      <c r="B415" s="220"/>
      <c r="C415" s="211">
        <v>44677</v>
      </c>
      <c r="D415" s="211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532</v>
      </c>
      <c r="M415" s="138" t="s">
        <v>531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hidden="1" customHeight="1" x14ac:dyDescent="0.25">
      <c r="A416" s="175">
        <v>403</v>
      </c>
      <c r="B416" s="220"/>
      <c r="C416" s="211">
        <v>44652</v>
      </c>
      <c r="D416" s="211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hidden="1" customHeight="1" x14ac:dyDescent="0.25">
      <c r="A417" s="175">
        <v>404</v>
      </c>
      <c r="B417" s="221"/>
      <c r="C417" s="211">
        <v>44677</v>
      </c>
      <c r="D417" s="211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527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hidden="1" customHeight="1" x14ac:dyDescent="0.25">
      <c r="A418" s="175">
        <v>405</v>
      </c>
      <c r="B418" s="222" t="s">
        <v>541</v>
      </c>
      <c r="C418" s="211">
        <v>44679</v>
      </c>
      <c r="D418" s="211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536</v>
      </c>
      <c r="K418" s="138" t="s">
        <v>165</v>
      </c>
      <c r="L418" s="184" t="s">
        <v>161</v>
      </c>
      <c r="M418" s="150" t="s">
        <v>162</v>
      </c>
      <c r="N418" s="150" t="s">
        <v>537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hidden="1" customHeight="1" x14ac:dyDescent="0.25">
      <c r="A419" s="175">
        <v>406</v>
      </c>
      <c r="B419" s="223"/>
      <c r="C419" s="211">
        <v>44672</v>
      </c>
      <c r="D419" s="211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538</v>
      </c>
      <c r="K419" s="138" t="s">
        <v>188</v>
      </c>
      <c r="L419" s="184" t="s">
        <v>161</v>
      </c>
      <c r="M419" s="150" t="s">
        <v>162</v>
      </c>
      <c r="N419" s="150" t="s">
        <v>537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hidden="1" customHeight="1" x14ac:dyDescent="0.25">
      <c r="A420" s="175">
        <v>407</v>
      </c>
      <c r="B420" s="223"/>
      <c r="C420" s="211">
        <v>44672</v>
      </c>
      <c r="D420" s="211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539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hidden="1" customHeight="1" x14ac:dyDescent="0.25">
      <c r="A421" s="175">
        <v>408</v>
      </c>
      <c r="B421" s="224"/>
      <c r="C421" s="211">
        <v>44672</v>
      </c>
      <c r="D421" s="211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540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hidden="1" customHeight="1" x14ac:dyDescent="0.25">
      <c r="A422" s="175">
        <v>409</v>
      </c>
      <c r="B422" s="222" t="s">
        <v>476</v>
      </c>
      <c r="C422" s="211">
        <v>44657</v>
      </c>
      <c r="D422" s="211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474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hidden="1" customHeight="1" x14ac:dyDescent="0.25">
      <c r="A423" s="175">
        <v>410</v>
      </c>
      <c r="B423" s="223"/>
      <c r="C423" s="211">
        <v>44657</v>
      </c>
      <c r="D423" s="211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474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hidden="1" customHeight="1" x14ac:dyDescent="0.25">
      <c r="A424" s="175">
        <v>411</v>
      </c>
      <c r="B424" s="223"/>
      <c r="C424" s="211">
        <v>44657</v>
      </c>
      <c r="D424" s="211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474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hidden="1" customHeight="1" x14ac:dyDescent="0.25">
      <c r="A425" s="175">
        <v>412</v>
      </c>
      <c r="B425" s="223"/>
      <c r="C425" s="211">
        <v>44657</v>
      </c>
      <c r="D425" s="211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474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hidden="1" customHeight="1" x14ac:dyDescent="0.25">
      <c r="A426" s="175">
        <v>413</v>
      </c>
      <c r="B426" s="223"/>
      <c r="C426" s="211">
        <v>44657</v>
      </c>
      <c r="D426" s="211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474</v>
      </c>
      <c r="K426" s="138" t="s">
        <v>542</v>
      </c>
      <c r="L426" s="138"/>
      <c r="M426" s="150"/>
      <c r="N426" s="150" t="s">
        <v>413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hidden="1" customHeight="1" x14ac:dyDescent="0.25">
      <c r="A427" s="175">
        <v>414</v>
      </c>
      <c r="B427" s="223"/>
      <c r="C427" s="211">
        <v>44657</v>
      </c>
      <c r="D427" s="211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474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hidden="1" customHeight="1" x14ac:dyDescent="0.25">
      <c r="A428" s="175">
        <v>415</v>
      </c>
      <c r="B428" s="223"/>
      <c r="C428" s="211">
        <v>44657</v>
      </c>
      <c r="D428" s="211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474</v>
      </c>
      <c r="K428" s="138" t="s">
        <v>543</v>
      </c>
      <c r="L428" s="138" t="s">
        <v>161</v>
      </c>
      <c r="M428" s="138" t="s">
        <v>162</v>
      </c>
      <c r="N428" s="150" t="s">
        <v>406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hidden="1" customHeight="1" x14ac:dyDescent="0.25">
      <c r="A429" s="175">
        <v>416</v>
      </c>
      <c r="B429" s="223"/>
      <c r="C429" s="211">
        <v>44657</v>
      </c>
      <c r="D429" s="211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474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hidden="1" customHeight="1" x14ac:dyDescent="0.25">
      <c r="A430" s="175">
        <v>417</v>
      </c>
      <c r="B430" s="223"/>
      <c r="C430" s="211">
        <v>44657</v>
      </c>
      <c r="D430" s="211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474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hidden="1" customHeight="1" x14ac:dyDescent="0.25">
      <c r="A431" s="175">
        <v>418</v>
      </c>
      <c r="B431" s="224"/>
      <c r="C431" s="211">
        <v>44657</v>
      </c>
      <c r="D431" s="211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474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hidden="1" customHeight="1" x14ac:dyDescent="0.25">
      <c r="A432" s="175">
        <v>419</v>
      </c>
      <c r="B432" s="138" t="s">
        <v>545</v>
      </c>
      <c r="C432" s="211">
        <v>44672</v>
      </c>
      <c r="D432" s="211">
        <v>44674</v>
      </c>
      <c r="E432" s="150" t="s">
        <v>38</v>
      </c>
      <c r="F432" s="155">
        <v>868183037790016</v>
      </c>
      <c r="G432" s="150" t="s">
        <v>544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489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hidden="1" customHeight="1" x14ac:dyDescent="0.25">
      <c r="A433" s="225" t="s">
        <v>83</v>
      </c>
      <c r="B433" s="226"/>
      <c r="C433" s="226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7"/>
      <c r="V433" s="52"/>
    </row>
    <row r="434" spans="1:22" s="2" customFormat="1" ht="16.5" hidden="1" customHeight="1" x14ac:dyDescent="0.25">
      <c r="A434" s="228"/>
      <c r="B434" s="229"/>
      <c r="C434" s="229"/>
      <c r="D434" s="229"/>
      <c r="E434" s="229"/>
      <c r="F434" s="229"/>
      <c r="G434" s="229"/>
      <c r="H434" s="229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30"/>
      <c r="V434" s="52"/>
    </row>
    <row r="435" spans="1:22" s="2" customFormat="1" ht="16.5" hidden="1" customHeight="1" x14ac:dyDescent="0.25">
      <c r="A435" s="175">
        <v>420</v>
      </c>
      <c r="B435" s="222" t="s">
        <v>567</v>
      </c>
      <c r="C435" s="211">
        <v>44703</v>
      </c>
      <c r="D435" s="211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551</v>
      </c>
      <c r="K435" s="138" t="s">
        <v>188</v>
      </c>
      <c r="L435" s="184" t="s">
        <v>508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hidden="1" customHeight="1" x14ac:dyDescent="0.25">
      <c r="A436" s="175">
        <v>421</v>
      </c>
      <c r="B436" s="223"/>
      <c r="C436" s="211">
        <v>44703</v>
      </c>
      <c r="D436" s="211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551</v>
      </c>
      <c r="K436" s="138" t="s">
        <v>188</v>
      </c>
      <c r="L436" s="184" t="s">
        <v>508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hidden="1" customHeight="1" x14ac:dyDescent="0.25">
      <c r="A437" s="175">
        <v>422</v>
      </c>
      <c r="B437" s="223"/>
      <c r="C437" s="211">
        <v>44703</v>
      </c>
      <c r="D437" s="211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551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hidden="1" customHeight="1" x14ac:dyDescent="0.25">
      <c r="A438" s="175">
        <v>423</v>
      </c>
      <c r="B438" s="223"/>
      <c r="C438" s="211">
        <v>44703</v>
      </c>
      <c r="D438" s="211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551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hidden="1" customHeight="1" x14ac:dyDescent="0.25">
      <c r="A439" s="175">
        <v>424</v>
      </c>
      <c r="B439" s="223"/>
      <c r="C439" s="211">
        <v>44703</v>
      </c>
      <c r="D439" s="211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551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hidden="1" customHeight="1" x14ac:dyDescent="0.25">
      <c r="A440" s="175">
        <v>425</v>
      </c>
      <c r="B440" s="223"/>
      <c r="C440" s="211">
        <v>44703</v>
      </c>
      <c r="D440" s="211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hidden="1" customHeight="1" x14ac:dyDescent="0.25">
      <c r="A441" s="175">
        <v>426</v>
      </c>
      <c r="B441" s="223"/>
      <c r="C441" s="211">
        <v>44703</v>
      </c>
      <c r="D441" s="211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552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hidden="1" customHeight="1" x14ac:dyDescent="0.25">
      <c r="A442" s="175">
        <v>427</v>
      </c>
      <c r="B442" s="223"/>
      <c r="C442" s="211">
        <v>44703</v>
      </c>
      <c r="D442" s="211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551</v>
      </c>
      <c r="K442" s="138" t="s">
        <v>233</v>
      </c>
      <c r="L442" s="184" t="s">
        <v>161</v>
      </c>
      <c r="M442" s="150" t="s">
        <v>162</v>
      </c>
      <c r="N442" s="150" t="s">
        <v>553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hidden="1" customHeight="1" x14ac:dyDescent="0.25">
      <c r="A443" s="175">
        <v>428</v>
      </c>
      <c r="B443" s="223"/>
      <c r="C443" s="211">
        <v>44703</v>
      </c>
      <c r="D443" s="211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551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hidden="1" customHeight="1" x14ac:dyDescent="0.25">
      <c r="A444" s="175">
        <v>429</v>
      </c>
      <c r="B444" s="223"/>
      <c r="C444" s="211">
        <v>44703</v>
      </c>
      <c r="D444" s="211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551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hidden="1" customHeight="1" x14ac:dyDescent="0.25">
      <c r="A445" s="175">
        <v>430</v>
      </c>
      <c r="B445" s="223"/>
      <c r="C445" s="211">
        <v>44703</v>
      </c>
      <c r="D445" s="211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551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hidden="1" customHeight="1" x14ac:dyDescent="0.25">
      <c r="A446" s="175">
        <v>431</v>
      </c>
      <c r="B446" s="223"/>
      <c r="C446" s="211">
        <v>44703</v>
      </c>
      <c r="D446" s="211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hidden="1" customHeight="1" x14ac:dyDescent="0.25">
      <c r="A447" s="175">
        <v>432</v>
      </c>
      <c r="B447" s="223"/>
      <c r="C447" s="211">
        <v>44703</v>
      </c>
      <c r="D447" s="211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554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hidden="1" customHeight="1" x14ac:dyDescent="0.25">
      <c r="A448" s="175">
        <v>433</v>
      </c>
      <c r="B448" s="223"/>
      <c r="C448" s="211">
        <v>44704</v>
      </c>
      <c r="D448" s="211">
        <v>44714</v>
      </c>
      <c r="E448" s="148" t="s">
        <v>546</v>
      </c>
      <c r="F448" s="149" t="s">
        <v>555</v>
      </c>
      <c r="G448" s="156"/>
      <c r="H448" s="148" t="s">
        <v>158</v>
      </c>
      <c r="I448" s="148" t="s">
        <v>556</v>
      </c>
      <c r="J448" s="103"/>
      <c r="K448" s="138"/>
      <c r="L448" s="184"/>
      <c r="M448" s="150"/>
      <c r="N448" s="150"/>
      <c r="O448" s="138"/>
      <c r="P448" s="138"/>
      <c r="Q448" s="150"/>
      <c r="R448" s="138"/>
      <c r="S448" s="139"/>
      <c r="T448" s="140"/>
      <c r="U448" s="175"/>
      <c r="V448" s="21"/>
    </row>
    <row r="449" spans="1:22" ht="16.5" hidden="1" customHeight="1" x14ac:dyDescent="0.25">
      <c r="A449" s="175">
        <v>434</v>
      </c>
      <c r="B449" s="223"/>
      <c r="C449" s="211">
        <v>44704</v>
      </c>
      <c r="D449" s="211">
        <v>44714</v>
      </c>
      <c r="E449" s="148" t="s">
        <v>546</v>
      </c>
      <c r="F449" s="149" t="s">
        <v>557</v>
      </c>
      <c r="G449" s="156"/>
      <c r="H449" s="148" t="s">
        <v>158</v>
      </c>
      <c r="I449" s="156"/>
      <c r="J449" s="103"/>
      <c r="K449" s="138"/>
      <c r="L449" s="184"/>
      <c r="M449" s="150"/>
      <c r="N449" s="150"/>
      <c r="O449" s="138"/>
      <c r="P449" s="138"/>
      <c r="Q449" s="150"/>
      <c r="R449" s="138"/>
      <c r="S449" s="139"/>
      <c r="T449" s="140"/>
      <c r="U449" s="175"/>
      <c r="V449" s="21"/>
    </row>
    <row r="450" spans="1:22" ht="16.5" hidden="1" customHeight="1" x14ac:dyDescent="0.25">
      <c r="A450" s="175">
        <v>435</v>
      </c>
      <c r="B450" s="223"/>
      <c r="C450" s="211">
        <v>44704</v>
      </c>
      <c r="D450" s="211">
        <v>44714</v>
      </c>
      <c r="E450" s="148" t="s">
        <v>546</v>
      </c>
      <c r="F450" s="149" t="s">
        <v>558</v>
      </c>
      <c r="G450" s="156"/>
      <c r="H450" s="148" t="s">
        <v>158</v>
      </c>
      <c r="I450" s="148" t="s">
        <v>559</v>
      </c>
      <c r="J450" s="103"/>
      <c r="K450" s="138"/>
      <c r="L450" s="184"/>
      <c r="M450" s="150"/>
      <c r="N450" s="150"/>
      <c r="O450" s="138"/>
      <c r="P450" s="138"/>
      <c r="Q450" s="150"/>
      <c r="R450" s="138"/>
      <c r="S450" s="139"/>
      <c r="T450" s="140"/>
      <c r="U450" s="175"/>
      <c r="V450" s="21"/>
    </row>
    <row r="451" spans="1:22" ht="16.5" hidden="1" customHeight="1" x14ac:dyDescent="0.25">
      <c r="A451" s="175">
        <v>436</v>
      </c>
      <c r="B451" s="223"/>
      <c r="C451" s="211">
        <v>44704</v>
      </c>
      <c r="D451" s="211">
        <v>44714</v>
      </c>
      <c r="E451" s="148" t="s">
        <v>546</v>
      </c>
      <c r="F451" s="149" t="s">
        <v>560</v>
      </c>
      <c r="G451" s="148"/>
      <c r="H451" s="148" t="s">
        <v>158</v>
      </c>
      <c r="I451" s="148" t="s">
        <v>561</v>
      </c>
      <c r="J451" s="103"/>
      <c r="K451" s="138"/>
      <c r="L451" s="138"/>
      <c r="M451" s="150"/>
      <c r="N451" s="150"/>
      <c r="O451" s="138"/>
      <c r="P451" s="138"/>
      <c r="Q451" s="150"/>
      <c r="R451" s="138"/>
      <c r="S451" s="139"/>
      <c r="T451" s="140"/>
      <c r="U451" s="175"/>
      <c r="V451" s="21"/>
    </row>
    <row r="452" spans="1:22" ht="16.5" hidden="1" customHeight="1" x14ac:dyDescent="0.25">
      <c r="A452" s="175">
        <v>437</v>
      </c>
      <c r="B452" s="223"/>
      <c r="C452" s="211">
        <v>44704</v>
      </c>
      <c r="D452" s="211">
        <v>44714</v>
      </c>
      <c r="E452" s="148" t="s">
        <v>546</v>
      </c>
      <c r="F452" s="149" t="s">
        <v>562</v>
      </c>
      <c r="G452" s="148"/>
      <c r="H452" s="148" t="s">
        <v>158</v>
      </c>
      <c r="I452" s="156"/>
      <c r="J452" s="103"/>
      <c r="K452" s="138"/>
      <c r="L452" s="149"/>
      <c r="M452" s="150"/>
      <c r="N452" s="150"/>
      <c r="O452" s="138"/>
      <c r="P452" s="138"/>
      <c r="Q452" s="150"/>
      <c r="R452" s="138"/>
      <c r="S452" s="139"/>
      <c r="T452" s="140"/>
      <c r="U452" s="175"/>
      <c r="V452" s="21"/>
    </row>
    <row r="453" spans="1:22" ht="16.5" hidden="1" customHeight="1" x14ac:dyDescent="0.25">
      <c r="A453" s="175">
        <v>438</v>
      </c>
      <c r="B453" s="223"/>
      <c r="C453" s="211">
        <v>44704</v>
      </c>
      <c r="D453" s="211">
        <v>44714</v>
      </c>
      <c r="E453" s="148" t="s">
        <v>546</v>
      </c>
      <c r="F453" s="149" t="s">
        <v>563</v>
      </c>
      <c r="G453" s="148"/>
      <c r="H453" s="148" t="s">
        <v>158</v>
      </c>
      <c r="I453" s="49" t="s">
        <v>564</v>
      </c>
      <c r="J453" s="103"/>
      <c r="K453" s="138"/>
      <c r="L453" s="149"/>
      <c r="M453" s="150"/>
      <c r="N453" s="150"/>
      <c r="O453" s="138"/>
      <c r="P453" s="138"/>
      <c r="Q453" s="150"/>
      <c r="R453" s="138"/>
      <c r="S453" s="139"/>
      <c r="T453" s="140"/>
      <c r="U453" s="175"/>
      <c r="V453" s="21"/>
    </row>
    <row r="454" spans="1:22" ht="16.5" hidden="1" customHeight="1" x14ac:dyDescent="0.25">
      <c r="A454" s="175">
        <v>439</v>
      </c>
      <c r="B454" s="224"/>
      <c r="C454" s="211">
        <v>44704</v>
      </c>
      <c r="D454" s="211">
        <v>44714</v>
      </c>
      <c r="E454" s="148" t="s">
        <v>546</v>
      </c>
      <c r="F454" s="149" t="s">
        <v>565</v>
      </c>
      <c r="G454" s="148"/>
      <c r="H454" s="148" t="s">
        <v>158</v>
      </c>
      <c r="I454" s="49" t="s">
        <v>566</v>
      </c>
      <c r="J454" s="103"/>
      <c r="K454" s="138"/>
      <c r="L454" s="138"/>
      <c r="M454" s="150"/>
      <c r="N454" s="150"/>
      <c r="O454" s="138"/>
      <c r="P454" s="138"/>
      <c r="Q454" s="150"/>
      <c r="R454" s="138"/>
      <c r="S454" s="139"/>
      <c r="T454" s="138"/>
      <c r="U454" s="175"/>
      <c r="V454" s="21"/>
    </row>
    <row r="455" spans="1:22" ht="16.5" hidden="1" customHeight="1" x14ac:dyDescent="0.25">
      <c r="A455" s="175">
        <v>440</v>
      </c>
      <c r="B455" s="219" t="s">
        <v>348</v>
      </c>
      <c r="C455" s="211">
        <v>44685</v>
      </c>
      <c r="D455" s="211">
        <v>44709</v>
      </c>
      <c r="E455" s="148" t="s">
        <v>546</v>
      </c>
      <c r="F455" s="149" t="s">
        <v>568</v>
      </c>
      <c r="G455" s="175" t="s">
        <v>569</v>
      </c>
      <c r="H455" s="148" t="s">
        <v>158</v>
      </c>
      <c r="I455" s="156"/>
      <c r="J455" s="103"/>
      <c r="K455" s="138" t="s">
        <v>570</v>
      </c>
      <c r="L455" s="184"/>
      <c r="M455" s="150"/>
      <c r="N455" s="150"/>
      <c r="O455" s="138"/>
      <c r="P455" s="138"/>
      <c r="Q455" s="150"/>
      <c r="R455" s="138"/>
      <c r="S455" s="139"/>
      <c r="T455" s="138"/>
      <c r="U455" s="175"/>
      <c r="V455" s="21"/>
    </row>
    <row r="456" spans="1:22" ht="16.5" hidden="1" customHeight="1" x14ac:dyDescent="0.25">
      <c r="A456" s="175">
        <v>441</v>
      </c>
      <c r="B456" s="220"/>
      <c r="C456" s="211">
        <v>44685</v>
      </c>
      <c r="D456" s="211">
        <v>44709</v>
      </c>
      <c r="E456" s="148" t="s">
        <v>546</v>
      </c>
      <c r="F456" s="149" t="s">
        <v>571</v>
      </c>
      <c r="G456" s="175" t="s">
        <v>569</v>
      </c>
      <c r="H456" s="148" t="s">
        <v>158</v>
      </c>
      <c r="I456" s="156"/>
      <c r="J456" s="103"/>
      <c r="K456" s="138"/>
      <c r="L456" s="184"/>
      <c r="M456" s="150"/>
      <c r="N456" s="150"/>
      <c r="O456" s="138"/>
      <c r="P456" s="138"/>
      <c r="Q456" s="150"/>
      <c r="R456" s="138"/>
      <c r="S456" s="139"/>
      <c r="T456" s="140"/>
      <c r="U456" s="175"/>
      <c r="V456" s="21"/>
    </row>
    <row r="457" spans="1:22" ht="16.5" hidden="1" customHeight="1" x14ac:dyDescent="0.25">
      <c r="A457" s="175">
        <v>442</v>
      </c>
      <c r="B457" s="220"/>
      <c r="C457" s="211">
        <v>44685</v>
      </c>
      <c r="D457" s="211">
        <v>44709</v>
      </c>
      <c r="E457" s="148" t="s">
        <v>546</v>
      </c>
      <c r="F457" s="149" t="s">
        <v>572</v>
      </c>
      <c r="G457" s="175" t="s">
        <v>569</v>
      </c>
      <c r="H457" s="148" t="s">
        <v>158</v>
      </c>
      <c r="I457" s="148" t="s">
        <v>573</v>
      </c>
      <c r="J457" s="103"/>
      <c r="K457" s="138" t="s">
        <v>188</v>
      </c>
      <c r="L457" s="184"/>
      <c r="M457" s="150"/>
      <c r="N457" s="150"/>
      <c r="O457" s="138"/>
      <c r="P457" s="150"/>
      <c r="Q457" s="138"/>
      <c r="R457" s="139"/>
      <c r="S457" s="148"/>
      <c r="T457" s="140"/>
      <c r="U457" s="175"/>
      <c r="V457" s="21"/>
    </row>
    <row r="458" spans="1:22" ht="16.5" hidden="1" customHeight="1" x14ac:dyDescent="0.25">
      <c r="A458" s="175">
        <v>443</v>
      </c>
      <c r="B458" s="220"/>
      <c r="C458" s="211">
        <v>44685</v>
      </c>
      <c r="D458" s="211">
        <v>44709</v>
      </c>
      <c r="E458" s="148" t="s">
        <v>546</v>
      </c>
      <c r="F458" s="149" t="s">
        <v>574</v>
      </c>
      <c r="G458" s="175" t="s">
        <v>569</v>
      </c>
      <c r="H458" s="148" t="s">
        <v>158</v>
      </c>
      <c r="I458" s="148"/>
      <c r="J458" s="103"/>
      <c r="K458" s="138" t="s">
        <v>575</v>
      </c>
      <c r="L458" s="138"/>
      <c r="M458" s="150"/>
      <c r="N458" s="150"/>
      <c r="O458" s="138"/>
      <c r="P458" s="150"/>
      <c r="Q458" s="138"/>
      <c r="R458" s="139"/>
      <c r="S458" s="148"/>
      <c r="T458" s="140"/>
      <c r="U458" s="175"/>
      <c r="V458" s="21"/>
    </row>
    <row r="459" spans="1:22" ht="16.5" hidden="1" customHeight="1" x14ac:dyDescent="0.25">
      <c r="A459" s="175">
        <v>444</v>
      </c>
      <c r="B459" s="220"/>
      <c r="C459" s="211">
        <v>44685</v>
      </c>
      <c r="D459" s="211">
        <v>44709</v>
      </c>
      <c r="E459" s="148" t="s">
        <v>546</v>
      </c>
      <c r="F459" s="149" t="s">
        <v>576</v>
      </c>
      <c r="G459" s="175" t="s">
        <v>569</v>
      </c>
      <c r="H459" s="148" t="s">
        <v>158</v>
      </c>
      <c r="I459" s="156"/>
      <c r="J459" s="103"/>
      <c r="K459" s="138" t="s">
        <v>577</v>
      </c>
      <c r="L459" s="149"/>
      <c r="M459" s="150"/>
      <c r="N459" s="150"/>
      <c r="O459" s="138"/>
      <c r="P459" s="150"/>
      <c r="Q459" s="138"/>
      <c r="R459" s="139"/>
      <c r="S459" s="148"/>
      <c r="T459" s="140"/>
      <c r="U459" s="175"/>
      <c r="V459" s="21"/>
    </row>
    <row r="460" spans="1:22" ht="16.5" hidden="1" customHeight="1" x14ac:dyDescent="0.25">
      <c r="A460" s="175">
        <v>445</v>
      </c>
      <c r="B460" s="220"/>
      <c r="C460" s="211">
        <v>44685</v>
      </c>
      <c r="D460" s="211">
        <v>44709</v>
      </c>
      <c r="E460" s="148" t="s">
        <v>546</v>
      </c>
      <c r="F460" s="149" t="s">
        <v>578</v>
      </c>
      <c r="G460" s="175" t="s">
        <v>569</v>
      </c>
      <c r="H460" s="148" t="s">
        <v>158</v>
      </c>
      <c r="I460" s="156"/>
      <c r="J460" s="103"/>
      <c r="K460" s="150" t="s">
        <v>378</v>
      </c>
      <c r="L460" s="149"/>
      <c r="M460" s="150"/>
      <c r="N460" s="150"/>
      <c r="O460" s="138"/>
      <c r="P460" s="150"/>
      <c r="Q460" s="138"/>
      <c r="R460" s="139"/>
      <c r="S460" s="148"/>
      <c r="T460" s="140"/>
      <c r="U460" s="175"/>
      <c r="V460" s="21"/>
    </row>
    <row r="461" spans="1:22" ht="16.5" hidden="1" customHeight="1" x14ac:dyDescent="0.25">
      <c r="A461" s="175">
        <v>446</v>
      </c>
      <c r="B461" s="220"/>
      <c r="C461" s="211">
        <v>44685</v>
      </c>
      <c r="D461" s="211">
        <v>44709</v>
      </c>
      <c r="E461" s="148" t="s">
        <v>546</v>
      </c>
      <c r="F461" s="149" t="s">
        <v>579</v>
      </c>
      <c r="G461" s="175" t="s">
        <v>569</v>
      </c>
      <c r="H461" s="148" t="s">
        <v>158</v>
      </c>
      <c r="I461" s="156"/>
      <c r="J461" s="103"/>
      <c r="K461" s="138"/>
      <c r="L461" s="138"/>
      <c r="M461" s="150"/>
      <c r="N461" s="150"/>
      <c r="O461" s="138"/>
      <c r="P461" s="150"/>
      <c r="Q461" s="138"/>
      <c r="R461" s="139"/>
      <c r="S461" s="148"/>
      <c r="T461" s="140"/>
      <c r="U461" s="175"/>
      <c r="V461" s="21"/>
    </row>
    <row r="462" spans="1:22" ht="16.5" hidden="1" customHeight="1" x14ac:dyDescent="0.25">
      <c r="A462" s="175">
        <v>447</v>
      </c>
      <c r="B462" s="220"/>
      <c r="C462" s="211">
        <v>44685</v>
      </c>
      <c r="D462" s="211">
        <v>44709</v>
      </c>
      <c r="E462" s="148" t="s">
        <v>546</v>
      </c>
      <c r="F462" s="149" t="s">
        <v>580</v>
      </c>
      <c r="G462" s="175" t="s">
        <v>569</v>
      </c>
      <c r="H462" s="148" t="s">
        <v>158</v>
      </c>
      <c r="I462" s="156"/>
      <c r="J462" s="103"/>
      <c r="K462" s="138"/>
      <c r="L462" s="138"/>
      <c r="M462" s="150"/>
      <c r="N462" s="150"/>
      <c r="O462" s="138"/>
      <c r="P462" s="150"/>
      <c r="Q462" s="138"/>
      <c r="R462" s="139"/>
      <c r="S462" s="148"/>
      <c r="T462" s="140"/>
      <c r="U462" s="175"/>
      <c r="V462" s="21"/>
    </row>
    <row r="463" spans="1:22" ht="16.5" hidden="1" customHeight="1" x14ac:dyDescent="0.25">
      <c r="A463" s="175">
        <v>448</v>
      </c>
      <c r="B463" s="220"/>
      <c r="C463" s="211">
        <v>44685</v>
      </c>
      <c r="D463" s="211">
        <v>44709</v>
      </c>
      <c r="E463" s="148" t="s">
        <v>546</v>
      </c>
      <c r="F463" s="149" t="s">
        <v>581</v>
      </c>
      <c r="G463" s="175" t="s">
        <v>569</v>
      </c>
      <c r="H463" s="148" t="s">
        <v>158</v>
      </c>
      <c r="I463" s="156"/>
      <c r="J463" s="103"/>
      <c r="K463" s="138"/>
      <c r="L463" s="138"/>
      <c r="M463" s="150"/>
      <c r="N463" s="150"/>
      <c r="O463" s="138"/>
      <c r="P463" s="150"/>
      <c r="Q463" s="138"/>
      <c r="R463" s="139"/>
      <c r="S463" s="148"/>
      <c r="T463" s="140"/>
      <c r="U463" s="175"/>
      <c r="V463" s="21"/>
    </row>
    <row r="464" spans="1:22" ht="16.5" hidden="1" customHeight="1" x14ac:dyDescent="0.25">
      <c r="A464" s="175">
        <v>449</v>
      </c>
      <c r="B464" s="220"/>
      <c r="C464" s="211">
        <v>44685</v>
      </c>
      <c r="D464" s="211">
        <v>44709</v>
      </c>
      <c r="E464" s="148" t="s">
        <v>546</v>
      </c>
      <c r="F464" s="149" t="s">
        <v>582</v>
      </c>
      <c r="G464" s="175" t="s">
        <v>569</v>
      </c>
      <c r="H464" s="148" t="s">
        <v>158</v>
      </c>
      <c r="I464" s="156"/>
      <c r="J464" s="103"/>
      <c r="K464" s="138"/>
      <c r="L464" s="138"/>
      <c r="M464" s="150"/>
      <c r="N464" s="150"/>
      <c r="O464" s="138"/>
      <c r="P464" s="150"/>
      <c r="Q464" s="138"/>
      <c r="R464" s="139"/>
      <c r="S464" s="148"/>
      <c r="T464" s="140"/>
      <c r="U464" s="175"/>
      <c r="V464" s="21"/>
    </row>
    <row r="465" spans="1:22" ht="16.5" hidden="1" customHeight="1" x14ac:dyDescent="0.25">
      <c r="A465" s="175">
        <v>450</v>
      </c>
      <c r="B465" s="220"/>
      <c r="C465" s="211">
        <v>44685</v>
      </c>
      <c r="D465" s="211">
        <v>44709</v>
      </c>
      <c r="E465" s="148" t="s">
        <v>546</v>
      </c>
      <c r="F465" s="149" t="s">
        <v>583</v>
      </c>
      <c r="G465" s="175" t="s">
        <v>569</v>
      </c>
      <c r="H465" s="148" t="s">
        <v>158</v>
      </c>
      <c r="I465" s="148"/>
      <c r="J465" s="103"/>
      <c r="K465" s="138"/>
      <c r="L465" s="138"/>
      <c r="M465" s="150"/>
      <c r="N465" s="150"/>
      <c r="O465" s="138"/>
      <c r="P465" s="150"/>
      <c r="Q465" s="138"/>
      <c r="R465" s="139"/>
      <c r="S465" s="148"/>
      <c r="T465" s="140"/>
      <c r="U465" s="175"/>
      <c r="V465" s="21"/>
    </row>
    <row r="466" spans="1:22" ht="16.5" hidden="1" customHeight="1" x14ac:dyDescent="0.25">
      <c r="A466" s="175">
        <v>451</v>
      </c>
      <c r="B466" s="220"/>
      <c r="C466" s="211">
        <v>44685</v>
      </c>
      <c r="D466" s="211">
        <v>44709</v>
      </c>
      <c r="E466" s="148" t="s">
        <v>546</v>
      </c>
      <c r="F466" s="149" t="s">
        <v>584</v>
      </c>
      <c r="G466" s="175" t="s">
        <v>569</v>
      </c>
      <c r="H466" s="148" t="s">
        <v>158</v>
      </c>
      <c r="I466" s="138"/>
      <c r="J466" s="103"/>
      <c r="K466" s="150"/>
      <c r="L466" s="214"/>
      <c r="M466" s="138"/>
      <c r="N466" s="150"/>
      <c r="O466" s="138"/>
      <c r="P466" s="150"/>
      <c r="Q466" s="138"/>
      <c r="R466" s="139"/>
      <c r="S466" s="148"/>
      <c r="T466" s="140"/>
      <c r="U466" s="175"/>
      <c r="V466" s="21"/>
    </row>
    <row r="467" spans="1:22" ht="16.5" hidden="1" customHeight="1" x14ac:dyDescent="0.25">
      <c r="A467" s="175">
        <v>452</v>
      </c>
      <c r="B467" s="220"/>
      <c r="C467" s="211">
        <v>44685</v>
      </c>
      <c r="D467" s="211">
        <v>44709</v>
      </c>
      <c r="E467" s="148" t="s">
        <v>546</v>
      </c>
      <c r="F467" s="149" t="s">
        <v>585</v>
      </c>
      <c r="G467" s="175" t="s">
        <v>569</v>
      </c>
      <c r="H467" s="148" t="s">
        <v>158</v>
      </c>
      <c r="I467" s="138"/>
      <c r="J467" s="103"/>
      <c r="K467" s="138" t="s">
        <v>586</v>
      </c>
      <c r="L467" s="138"/>
      <c r="M467" s="138"/>
      <c r="N467" s="175"/>
      <c r="O467" s="138"/>
      <c r="P467" s="150"/>
      <c r="Q467" s="138"/>
      <c r="R467" s="140"/>
      <c r="S467" s="175"/>
      <c r="T467" s="140"/>
      <c r="U467" s="175"/>
      <c r="V467" s="21"/>
    </row>
    <row r="468" spans="1:22" ht="16.5" hidden="1" customHeight="1" x14ac:dyDescent="0.25">
      <c r="A468" s="175">
        <v>453</v>
      </c>
      <c r="B468" s="220"/>
      <c r="C468" s="211">
        <v>44685</v>
      </c>
      <c r="D468" s="211">
        <v>44709</v>
      </c>
      <c r="E468" s="148" t="s">
        <v>546</v>
      </c>
      <c r="F468" s="149" t="s">
        <v>587</v>
      </c>
      <c r="G468" s="175" t="s">
        <v>569</v>
      </c>
      <c r="H468" s="148" t="s">
        <v>158</v>
      </c>
      <c r="I468" s="138"/>
      <c r="J468" s="103"/>
      <c r="K468" s="138"/>
      <c r="L468" s="138"/>
      <c r="M468" s="138"/>
      <c r="N468" s="138"/>
      <c r="O468" s="151"/>
      <c r="P468" s="150"/>
      <c r="Q468" s="150"/>
      <c r="R468" s="139"/>
      <c r="S468" s="148"/>
      <c r="T468" s="140"/>
      <c r="U468" s="175"/>
      <c r="V468" s="21"/>
    </row>
    <row r="469" spans="1:22" ht="16.5" hidden="1" customHeight="1" x14ac:dyDescent="0.25">
      <c r="A469" s="175">
        <v>454</v>
      </c>
      <c r="B469" s="220"/>
      <c r="C469" s="211">
        <v>44685</v>
      </c>
      <c r="D469" s="211">
        <v>44709</v>
      </c>
      <c r="E469" s="148" t="s">
        <v>546</v>
      </c>
      <c r="F469" s="149" t="s">
        <v>588</v>
      </c>
      <c r="G469" s="175" t="s">
        <v>569</v>
      </c>
      <c r="H469" s="148" t="s">
        <v>158</v>
      </c>
      <c r="I469" s="138"/>
      <c r="J469" s="103"/>
      <c r="K469" s="138"/>
      <c r="L469" s="138"/>
      <c r="M469" s="138"/>
      <c r="N469" s="138" t="s">
        <v>589</v>
      </c>
      <c r="O469" s="138"/>
      <c r="P469" s="150"/>
      <c r="Q469" s="138"/>
      <c r="R469" s="140"/>
      <c r="S469" s="175"/>
      <c r="T469" s="140"/>
      <c r="U469" s="175"/>
      <c r="V469" s="21"/>
    </row>
    <row r="470" spans="1:22" ht="16.5" hidden="1" customHeight="1" x14ac:dyDescent="0.25">
      <c r="A470" s="175">
        <v>455</v>
      </c>
      <c r="B470" s="220"/>
      <c r="C470" s="211">
        <v>44685</v>
      </c>
      <c r="D470" s="211">
        <v>44709</v>
      </c>
      <c r="E470" s="148" t="s">
        <v>546</v>
      </c>
      <c r="F470" s="149" t="s">
        <v>590</v>
      </c>
      <c r="G470" s="175" t="s">
        <v>569</v>
      </c>
      <c r="H470" s="148" t="s">
        <v>158</v>
      </c>
      <c r="I470" s="138"/>
      <c r="J470" s="103"/>
      <c r="K470" s="138"/>
      <c r="L470" s="138"/>
      <c r="M470" s="138"/>
      <c r="N470" s="138"/>
      <c r="O470" s="138"/>
      <c r="P470" s="150"/>
      <c r="Q470" s="138"/>
      <c r="R470" s="140"/>
      <c r="S470" s="175"/>
      <c r="T470" s="140"/>
      <c r="U470" s="175"/>
      <c r="V470" s="21"/>
    </row>
    <row r="471" spans="1:22" ht="18" hidden="1" customHeight="1" x14ac:dyDescent="0.25">
      <c r="A471" s="175">
        <v>456</v>
      </c>
      <c r="B471" s="220"/>
      <c r="C471" s="211">
        <v>44685</v>
      </c>
      <c r="D471" s="211">
        <v>44709</v>
      </c>
      <c r="E471" s="148" t="s">
        <v>546</v>
      </c>
      <c r="F471" s="149" t="s">
        <v>591</v>
      </c>
      <c r="G471" s="175" t="s">
        <v>569</v>
      </c>
      <c r="H471" s="148" t="s">
        <v>158</v>
      </c>
      <c r="I471" s="175"/>
      <c r="J471" s="103"/>
      <c r="K471" s="175"/>
      <c r="L471" s="175"/>
      <c r="M471" s="138"/>
      <c r="N471" s="138" t="s">
        <v>589</v>
      </c>
      <c r="O471" s="175"/>
      <c r="P471" s="150"/>
      <c r="Q471" s="175"/>
      <c r="R471" s="140"/>
      <c r="S471" s="175"/>
      <c r="T471" s="140"/>
      <c r="U471" s="175"/>
      <c r="V471" s="175"/>
    </row>
    <row r="472" spans="1:22" ht="16.5" hidden="1" customHeight="1" x14ac:dyDescent="0.25">
      <c r="A472" s="175">
        <v>457</v>
      </c>
      <c r="B472" s="220"/>
      <c r="C472" s="211">
        <v>44685</v>
      </c>
      <c r="D472" s="211">
        <v>44709</v>
      </c>
      <c r="E472" s="148" t="s">
        <v>547</v>
      </c>
      <c r="F472" s="149">
        <v>869492055075344</v>
      </c>
      <c r="G472" s="175" t="s">
        <v>592</v>
      </c>
      <c r="H472" s="148" t="s">
        <v>158</v>
      </c>
      <c r="I472" s="156"/>
      <c r="J472" s="103"/>
      <c r="K472" s="138"/>
      <c r="L472" s="184"/>
      <c r="M472" s="150"/>
      <c r="N472" s="150"/>
      <c r="O472" s="138"/>
      <c r="P472" s="138"/>
      <c r="Q472" s="150"/>
      <c r="R472" s="138"/>
      <c r="S472" s="139"/>
      <c r="T472" s="140"/>
      <c r="U472" s="175"/>
      <c r="V472" s="175"/>
    </row>
    <row r="473" spans="1:22" ht="16.5" hidden="1" customHeight="1" x14ac:dyDescent="0.25">
      <c r="A473" s="175">
        <v>458</v>
      </c>
      <c r="B473" s="220"/>
      <c r="C473" s="211">
        <v>44685</v>
      </c>
      <c r="D473" s="211">
        <v>44709</v>
      </c>
      <c r="E473" s="148" t="s">
        <v>547</v>
      </c>
      <c r="F473" s="149">
        <v>869492055082027</v>
      </c>
      <c r="G473" s="175" t="s">
        <v>592</v>
      </c>
      <c r="H473" s="148" t="s">
        <v>158</v>
      </c>
      <c r="I473" s="156"/>
      <c r="J473" s="103"/>
      <c r="K473" s="138"/>
      <c r="L473" s="184"/>
      <c r="M473" s="150"/>
      <c r="N473" s="150"/>
      <c r="O473" s="138"/>
      <c r="P473" s="138"/>
      <c r="Q473" s="150"/>
      <c r="R473" s="138"/>
      <c r="S473" s="139"/>
      <c r="T473" s="140"/>
      <c r="U473" s="175"/>
      <c r="V473" s="175"/>
    </row>
    <row r="474" spans="1:22" ht="16.5" hidden="1" customHeight="1" x14ac:dyDescent="0.25">
      <c r="A474" s="175">
        <v>459</v>
      </c>
      <c r="B474" s="220"/>
      <c r="C474" s="211">
        <v>44697</v>
      </c>
      <c r="D474" s="211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593</v>
      </c>
      <c r="N474" s="150" t="s">
        <v>594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hidden="1" customHeight="1" x14ac:dyDescent="0.25">
      <c r="A475" s="175">
        <v>460</v>
      </c>
      <c r="B475" s="220"/>
      <c r="C475" s="211">
        <v>44697</v>
      </c>
      <c r="D475" s="211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593</v>
      </c>
      <c r="N475" s="150" t="s">
        <v>594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5"/>
      <c r="U475" s="205"/>
      <c r="V475" s="205"/>
    </row>
    <row r="476" spans="1:22" s="2" customFormat="1" ht="16.5" hidden="1" customHeight="1" x14ac:dyDescent="0.25">
      <c r="A476" s="175">
        <v>461</v>
      </c>
      <c r="B476" s="220"/>
      <c r="C476" s="211">
        <v>44697</v>
      </c>
      <c r="D476" s="211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594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5"/>
      <c r="U476" s="205"/>
      <c r="V476" s="205"/>
    </row>
    <row r="477" spans="1:22" ht="16.5" hidden="1" customHeight="1" x14ac:dyDescent="0.25">
      <c r="A477" s="175">
        <v>462</v>
      </c>
      <c r="B477" s="220"/>
      <c r="C477" s="211">
        <v>44697</v>
      </c>
      <c r="D477" s="211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594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hidden="1" customHeight="1" x14ac:dyDescent="0.25">
      <c r="A478" s="175">
        <v>463</v>
      </c>
      <c r="B478" s="220"/>
      <c r="C478" s="211">
        <v>44697</v>
      </c>
      <c r="D478" s="211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594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hidden="1" customHeight="1" x14ac:dyDescent="0.25">
      <c r="A479" s="175">
        <v>464</v>
      </c>
      <c r="B479" s="220"/>
      <c r="C479" s="211">
        <v>44697</v>
      </c>
      <c r="D479" s="211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594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hidden="1" customHeight="1" x14ac:dyDescent="0.25">
      <c r="A480" s="175">
        <v>465</v>
      </c>
      <c r="B480" s="220"/>
      <c r="C480" s="211">
        <v>44697</v>
      </c>
      <c r="D480" s="211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594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hidden="1" customHeight="1" x14ac:dyDescent="0.25">
      <c r="A481" s="175">
        <v>466</v>
      </c>
      <c r="B481" s="220"/>
      <c r="C481" s="211">
        <v>44697</v>
      </c>
      <c r="D481" s="211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594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hidden="1" customHeight="1" x14ac:dyDescent="0.25">
      <c r="A482" s="175">
        <v>467</v>
      </c>
      <c r="B482" s="220"/>
      <c r="C482" s="211">
        <v>44697</v>
      </c>
      <c r="D482" s="211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594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hidden="1" customHeight="1" x14ac:dyDescent="0.25">
      <c r="A483" s="175">
        <v>468</v>
      </c>
      <c r="B483" s="220"/>
      <c r="C483" s="211">
        <v>44697</v>
      </c>
      <c r="D483" s="211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594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hidden="1" customHeight="1" x14ac:dyDescent="0.25">
      <c r="A484" s="175">
        <v>469</v>
      </c>
      <c r="B484" s="220"/>
      <c r="C484" s="211">
        <v>44697</v>
      </c>
      <c r="D484" s="211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594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hidden="1" customHeight="1" x14ac:dyDescent="0.25">
      <c r="A485" s="175">
        <v>470</v>
      </c>
      <c r="B485" s="220"/>
      <c r="C485" s="211">
        <v>44697</v>
      </c>
      <c r="D485" s="211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4"/>
      <c r="M485" s="150" t="s">
        <v>176</v>
      </c>
      <c r="N485" s="150" t="s">
        <v>594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hidden="1" customHeight="1" x14ac:dyDescent="0.25">
      <c r="A486" s="175">
        <v>471</v>
      </c>
      <c r="B486" s="220"/>
      <c r="C486" s="211">
        <v>44697</v>
      </c>
      <c r="D486" s="211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594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hidden="1" customHeight="1" x14ac:dyDescent="0.25">
      <c r="A487" s="175">
        <v>472</v>
      </c>
      <c r="B487" s="220"/>
      <c r="C487" s="211">
        <v>44697</v>
      </c>
      <c r="D487" s="211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594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hidden="1" customHeight="1" x14ac:dyDescent="0.25">
      <c r="A488" s="175">
        <v>473</v>
      </c>
      <c r="B488" s="220"/>
      <c r="C488" s="211">
        <v>44697</v>
      </c>
      <c r="D488" s="211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594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hidden="1" customHeight="1" x14ac:dyDescent="0.25">
      <c r="A489" s="175">
        <v>474</v>
      </c>
      <c r="B489" s="220"/>
      <c r="C489" s="211">
        <v>44697</v>
      </c>
      <c r="D489" s="211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594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hidden="1" customHeight="1" x14ac:dyDescent="0.25">
      <c r="A490" s="175">
        <v>475</v>
      </c>
      <c r="B490" s="220"/>
      <c r="C490" s="211">
        <v>44697</v>
      </c>
      <c r="D490" s="211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594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hidden="1" customHeight="1" x14ac:dyDescent="0.25">
      <c r="A491" s="175">
        <v>476</v>
      </c>
      <c r="B491" s="220"/>
      <c r="C491" s="211">
        <v>44697</v>
      </c>
      <c r="D491" s="211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594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hidden="1" customHeight="1" x14ac:dyDescent="0.25">
      <c r="A492" s="175">
        <v>477</v>
      </c>
      <c r="B492" s="220"/>
      <c r="C492" s="211">
        <v>44697</v>
      </c>
      <c r="D492" s="211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594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hidden="1" customHeight="1" x14ac:dyDescent="0.25">
      <c r="A493" s="175">
        <v>478</v>
      </c>
      <c r="B493" s="220"/>
      <c r="C493" s="211">
        <v>44697</v>
      </c>
      <c r="D493" s="211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594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hidden="1" customHeight="1" x14ac:dyDescent="0.25">
      <c r="A494" s="175">
        <v>479</v>
      </c>
      <c r="B494" s="220"/>
      <c r="C494" s="211">
        <v>44697</v>
      </c>
      <c r="D494" s="211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594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hidden="1" customHeight="1" x14ac:dyDescent="0.25">
      <c r="A495" s="175">
        <v>480</v>
      </c>
      <c r="B495" s="220"/>
      <c r="C495" s="211">
        <v>44697</v>
      </c>
      <c r="D495" s="211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594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hidden="1" customHeight="1" x14ac:dyDescent="0.25">
      <c r="A496" s="175">
        <v>481</v>
      </c>
      <c r="B496" s="220"/>
      <c r="C496" s="211">
        <v>44697</v>
      </c>
      <c r="D496" s="211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594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hidden="1" customHeight="1" x14ac:dyDescent="0.25">
      <c r="A497" s="175">
        <v>482</v>
      </c>
      <c r="B497" s="220"/>
      <c r="C497" s="211">
        <v>44697</v>
      </c>
      <c r="D497" s="211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594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hidden="1" customHeight="1" x14ac:dyDescent="0.25">
      <c r="A498" s="175">
        <v>483</v>
      </c>
      <c r="B498" s="220"/>
      <c r="C498" s="211">
        <v>44697</v>
      </c>
      <c r="D498" s="211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594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hidden="1" customHeight="1" x14ac:dyDescent="0.25">
      <c r="A499" s="175">
        <v>484</v>
      </c>
      <c r="B499" s="220"/>
      <c r="C499" s="211">
        <v>44697</v>
      </c>
      <c r="D499" s="211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594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hidden="1" customHeight="1" x14ac:dyDescent="0.25">
      <c r="A500" s="175">
        <v>485</v>
      </c>
      <c r="B500" s="220"/>
      <c r="C500" s="211">
        <v>44697</v>
      </c>
      <c r="D500" s="211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594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hidden="1" customHeight="1" x14ac:dyDescent="0.25">
      <c r="A501" s="175">
        <v>486</v>
      </c>
      <c r="B501" s="220"/>
      <c r="C501" s="211">
        <v>44697</v>
      </c>
      <c r="D501" s="211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594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hidden="1" customHeight="1" x14ac:dyDescent="0.25">
      <c r="A502" s="175">
        <v>487</v>
      </c>
      <c r="B502" s="220"/>
      <c r="C502" s="211">
        <v>44697</v>
      </c>
      <c r="D502" s="211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594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hidden="1" customHeight="1" x14ac:dyDescent="0.25">
      <c r="A503" s="175">
        <v>488</v>
      </c>
      <c r="B503" s="220"/>
      <c r="C503" s="211">
        <v>44697</v>
      </c>
      <c r="D503" s="211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594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hidden="1" customHeight="1" x14ac:dyDescent="0.25">
      <c r="A504" s="175">
        <v>489</v>
      </c>
      <c r="B504" s="220"/>
      <c r="C504" s="211">
        <v>44697</v>
      </c>
      <c r="D504" s="211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594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hidden="1" customHeight="1" x14ac:dyDescent="0.25">
      <c r="A505" s="175">
        <v>490</v>
      </c>
      <c r="B505" s="220"/>
      <c r="C505" s="211">
        <v>44697</v>
      </c>
      <c r="D505" s="211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594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hidden="1" customHeight="1" x14ac:dyDescent="0.25">
      <c r="A506" s="175">
        <v>491</v>
      </c>
      <c r="B506" s="220"/>
      <c r="C506" s="211">
        <v>44697</v>
      </c>
      <c r="D506" s="211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594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hidden="1" customHeight="1" x14ac:dyDescent="0.25">
      <c r="A507" s="175">
        <v>492</v>
      </c>
      <c r="B507" s="220"/>
      <c r="C507" s="211">
        <v>44697</v>
      </c>
      <c r="D507" s="211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594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hidden="1" customHeight="1" x14ac:dyDescent="0.25">
      <c r="A508" s="175">
        <v>493</v>
      </c>
      <c r="B508" s="220"/>
      <c r="C508" s="211">
        <v>44697</v>
      </c>
      <c r="D508" s="211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594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hidden="1" customHeight="1" x14ac:dyDescent="0.25">
      <c r="A509" s="175">
        <v>494</v>
      </c>
      <c r="B509" s="220"/>
      <c r="C509" s="211">
        <v>44697</v>
      </c>
      <c r="D509" s="211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594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hidden="1" customHeight="1" x14ac:dyDescent="0.25">
      <c r="A510" s="175">
        <v>495</v>
      </c>
      <c r="B510" s="220"/>
      <c r="C510" s="211">
        <v>44697</v>
      </c>
      <c r="D510" s="211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594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hidden="1" customHeight="1" x14ac:dyDescent="0.25">
      <c r="A511" s="175">
        <v>496</v>
      </c>
      <c r="B511" s="220"/>
      <c r="C511" s="211">
        <v>44697</v>
      </c>
      <c r="D511" s="211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594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hidden="1" customHeight="1" x14ac:dyDescent="0.25">
      <c r="A512" s="175">
        <v>497</v>
      </c>
      <c r="B512" s="220"/>
      <c r="C512" s="211">
        <v>44697</v>
      </c>
      <c r="D512" s="211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594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hidden="1" customHeight="1" x14ac:dyDescent="0.25">
      <c r="A513" s="175">
        <v>498</v>
      </c>
      <c r="B513" s="220"/>
      <c r="C513" s="211">
        <v>44697</v>
      </c>
      <c r="D513" s="211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594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hidden="1" customHeight="1" x14ac:dyDescent="0.25">
      <c r="A514" s="175">
        <v>499</v>
      </c>
      <c r="B514" s="220"/>
      <c r="C514" s="211">
        <v>44697</v>
      </c>
      <c r="D514" s="211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594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hidden="1" customHeight="1" x14ac:dyDescent="0.25">
      <c r="A515" s="175">
        <v>500</v>
      </c>
      <c r="B515" s="220"/>
      <c r="C515" s="211">
        <v>44697</v>
      </c>
      <c r="D515" s="211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594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hidden="1" customHeight="1" x14ac:dyDescent="0.25">
      <c r="A516" s="175">
        <v>501</v>
      </c>
      <c r="B516" s="220"/>
      <c r="C516" s="211">
        <v>44697</v>
      </c>
      <c r="D516" s="211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594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hidden="1" customHeight="1" x14ac:dyDescent="0.25">
      <c r="A517" s="175">
        <v>502</v>
      </c>
      <c r="B517" s="220"/>
      <c r="C517" s="211">
        <v>44697</v>
      </c>
      <c r="D517" s="211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594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hidden="1" customHeight="1" x14ac:dyDescent="0.25">
      <c r="A518" s="175">
        <v>503</v>
      </c>
      <c r="B518" s="220"/>
      <c r="C518" s="211">
        <v>44697</v>
      </c>
      <c r="D518" s="211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6"/>
      <c r="J518" s="103" t="s">
        <v>171</v>
      </c>
      <c r="K518" s="216"/>
      <c r="L518" s="216"/>
      <c r="M518" s="150" t="s">
        <v>176</v>
      </c>
      <c r="N518" s="150" t="s">
        <v>594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hidden="1" customHeight="1" x14ac:dyDescent="0.25">
      <c r="A519" s="175">
        <v>504</v>
      </c>
      <c r="B519" s="220"/>
      <c r="C519" s="211">
        <v>44697</v>
      </c>
      <c r="D519" s="211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594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hidden="1" customHeight="1" x14ac:dyDescent="0.25">
      <c r="A520" s="175">
        <v>505</v>
      </c>
      <c r="B520" s="220"/>
      <c r="C520" s="211">
        <v>44697</v>
      </c>
      <c r="D520" s="211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7"/>
      <c r="J520" s="103" t="s">
        <v>171</v>
      </c>
      <c r="K520" s="217"/>
      <c r="L520" s="217"/>
      <c r="M520" s="150" t="s">
        <v>176</v>
      </c>
      <c r="N520" s="150" t="s">
        <v>594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hidden="1" customHeight="1" x14ac:dyDescent="0.25">
      <c r="A521" s="175">
        <v>506</v>
      </c>
      <c r="B521" s="220"/>
      <c r="C521" s="211">
        <v>44697</v>
      </c>
      <c r="D521" s="211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7"/>
      <c r="J521" s="103" t="s">
        <v>171</v>
      </c>
      <c r="K521" s="217"/>
      <c r="L521" s="217"/>
      <c r="M521" s="150" t="s">
        <v>176</v>
      </c>
      <c r="N521" s="150" t="s">
        <v>594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hidden="1" customHeight="1" x14ac:dyDescent="0.25">
      <c r="A522" s="175">
        <v>507</v>
      </c>
      <c r="B522" s="220"/>
      <c r="C522" s="211">
        <v>44697</v>
      </c>
      <c r="D522" s="211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7"/>
      <c r="J522" s="103" t="s">
        <v>171</v>
      </c>
      <c r="K522" s="217"/>
      <c r="L522" s="217"/>
      <c r="M522" s="150" t="s">
        <v>176</v>
      </c>
      <c r="N522" s="150" t="s">
        <v>594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hidden="1" customHeight="1" x14ac:dyDescent="0.25">
      <c r="A523" s="175">
        <v>508</v>
      </c>
      <c r="B523" s="220"/>
      <c r="C523" s="211">
        <v>44697</v>
      </c>
      <c r="D523" s="211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7"/>
      <c r="J523" s="103" t="s">
        <v>171</v>
      </c>
      <c r="K523" s="217"/>
      <c r="L523" s="217"/>
      <c r="M523" s="150" t="s">
        <v>176</v>
      </c>
      <c r="N523" s="150" t="s">
        <v>594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hidden="1" customHeight="1" x14ac:dyDescent="0.25">
      <c r="A524" s="175">
        <v>509</v>
      </c>
      <c r="B524" s="220"/>
      <c r="C524" s="211">
        <v>44697</v>
      </c>
      <c r="D524" s="211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7"/>
      <c r="J524" s="103" t="s">
        <v>171</v>
      </c>
      <c r="K524" s="217"/>
      <c r="L524" s="217"/>
      <c r="M524" s="150" t="s">
        <v>176</v>
      </c>
      <c r="N524" s="150" t="s">
        <v>594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hidden="1" customHeight="1" x14ac:dyDescent="0.25">
      <c r="A525" s="175">
        <v>510</v>
      </c>
      <c r="B525" s="220"/>
      <c r="C525" s="211">
        <v>44697</v>
      </c>
      <c r="D525" s="211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7"/>
      <c r="J525" s="103" t="s">
        <v>171</v>
      </c>
      <c r="K525" s="217"/>
      <c r="L525" s="217"/>
      <c r="M525" s="150" t="s">
        <v>176</v>
      </c>
      <c r="N525" s="150" t="s">
        <v>594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hidden="1" customHeight="1" x14ac:dyDescent="0.25">
      <c r="A526" s="175">
        <v>511</v>
      </c>
      <c r="B526" s="220"/>
      <c r="C526" s="211">
        <v>44697</v>
      </c>
      <c r="D526" s="211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7"/>
      <c r="J526" s="103" t="s">
        <v>171</v>
      </c>
      <c r="K526" s="217"/>
      <c r="L526" s="217"/>
      <c r="M526" s="150" t="s">
        <v>176</v>
      </c>
      <c r="N526" s="150" t="s">
        <v>594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hidden="1" customHeight="1" x14ac:dyDescent="0.25">
      <c r="A527" s="175">
        <v>512</v>
      </c>
      <c r="B527" s="220"/>
      <c r="C527" s="211">
        <v>44697</v>
      </c>
      <c r="D527" s="211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7"/>
      <c r="J527" s="103" t="s">
        <v>171</v>
      </c>
      <c r="K527" s="217"/>
      <c r="L527" s="217"/>
      <c r="M527" s="150" t="s">
        <v>176</v>
      </c>
      <c r="N527" s="150" t="s">
        <v>594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hidden="1" customHeight="1" x14ac:dyDescent="0.25">
      <c r="A528" s="175">
        <v>513</v>
      </c>
      <c r="B528" s="221"/>
      <c r="C528" s="211">
        <v>44697</v>
      </c>
      <c r="D528" s="211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7"/>
      <c r="J528" s="103" t="s">
        <v>171</v>
      </c>
      <c r="K528" s="217"/>
      <c r="L528" s="217"/>
      <c r="M528" s="150" t="s">
        <v>176</v>
      </c>
      <c r="N528" s="150" t="s">
        <v>594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hidden="1" customHeight="1" x14ac:dyDescent="0.25">
      <c r="A529" s="175">
        <v>514</v>
      </c>
      <c r="B529" s="219" t="s">
        <v>598</v>
      </c>
      <c r="C529" s="211">
        <v>44691</v>
      </c>
      <c r="D529" s="211"/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595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hidden="1" customHeight="1" x14ac:dyDescent="0.25">
      <c r="A530" s="175">
        <v>515</v>
      </c>
      <c r="B530" s="220"/>
      <c r="C530" s="211">
        <v>44691</v>
      </c>
      <c r="D530" s="211"/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596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hidden="1" customHeight="1" x14ac:dyDescent="0.25">
      <c r="A531" s="175">
        <v>516</v>
      </c>
      <c r="B531" s="221"/>
      <c r="C531" s="211">
        <v>44691</v>
      </c>
      <c r="D531" s="211"/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401</v>
      </c>
      <c r="L531" s="138" t="s">
        <v>155</v>
      </c>
      <c r="M531" s="150"/>
      <c r="N531" s="150" t="s">
        <v>597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hidden="1" customHeight="1" x14ac:dyDescent="0.25">
      <c r="A532" s="175">
        <v>517</v>
      </c>
      <c r="B532" s="219" t="s">
        <v>179</v>
      </c>
      <c r="C532" s="211">
        <v>44699</v>
      </c>
      <c r="D532" s="211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hidden="1" customHeight="1" x14ac:dyDescent="0.25">
      <c r="A533" s="175">
        <v>518</v>
      </c>
      <c r="B533" s="221"/>
      <c r="C533" s="211">
        <v>44699</v>
      </c>
      <c r="D533" s="211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hidden="1" customHeight="1" x14ac:dyDescent="0.25">
      <c r="A534" s="175">
        <v>519</v>
      </c>
      <c r="B534" s="175" t="s">
        <v>599</v>
      </c>
      <c r="C534" s="211">
        <v>44693</v>
      </c>
      <c r="D534" s="211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hidden="1" customHeight="1" x14ac:dyDescent="0.25">
      <c r="A535" s="175">
        <v>520</v>
      </c>
      <c r="B535" s="219" t="s">
        <v>507</v>
      </c>
      <c r="C535" s="211">
        <v>44693</v>
      </c>
      <c r="D535" s="211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hidden="1" customHeight="1" x14ac:dyDescent="0.25">
      <c r="A536" s="175">
        <v>521</v>
      </c>
      <c r="B536" s="220"/>
      <c r="C536" s="211">
        <v>44693</v>
      </c>
      <c r="D536" s="211">
        <v>44697</v>
      </c>
      <c r="E536" s="148" t="s">
        <v>546</v>
      </c>
      <c r="F536" s="149" t="s">
        <v>600</v>
      </c>
      <c r="G536" s="156"/>
      <c r="H536" s="148" t="s">
        <v>158</v>
      </c>
      <c r="I536" s="148" t="s">
        <v>601</v>
      </c>
      <c r="J536" s="175" t="s">
        <v>602</v>
      </c>
      <c r="K536" s="138" t="s">
        <v>188</v>
      </c>
      <c r="L536" s="138"/>
      <c r="M536" s="150"/>
      <c r="N536" s="150" t="s">
        <v>58</v>
      </c>
      <c r="O536" s="138"/>
      <c r="P536" s="150" t="s">
        <v>415</v>
      </c>
      <c r="Q536" s="138" t="s">
        <v>152</v>
      </c>
      <c r="R536" s="139" t="s">
        <v>23</v>
      </c>
      <c r="S536" s="148" t="s">
        <v>27</v>
      </c>
      <c r="T536" s="140"/>
      <c r="U536" s="175"/>
      <c r="V536" s="21"/>
    </row>
    <row r="537" spans="1:22" ht="16.5" hidden="1" customHeight="1" x14ac:dyDescent="0.25">
      <c r="A537" s="175">
        <v>522</v>
      </c>
      <c r="B537" s="220"/>
      <c r="C537" s="211">
        <v>44693</v>
      </c>
      <c r="D537" s="211">
        <v>44697</v>
      </c>
      <c r="E537" s="148" t="s">
        <v>546</v>
      </c>
      <c r="F537" s="149" t="s">
        <v>603</v>
      </c>
      <c r="G537" s="156"/>
      <c r="H537" s="148" t="s">
        <v>158</v>
      </c>
      <c r="I537" s="148"/>
      <c r="J537" s="175" t="s">
        <v>604</v>
      </c>
      <c r="K537" s="138" t="s">
        <v>188</v>
      </c>
      <c r="L537" s="138"/>
      <c r="M537" s="150"/>
      <c r="N537" s="150" t="s">
        <v>58</v>
      </c>
      <c r="O537" s="138"/>
      <c r="P537" s="150" t="s">
        <v>415</v>
      </c>
      <c r="Q537" s="138" t="s">
        <v>152</v>
      </c>
      <c r="R537" s="139" t="s">
        <v>23</v>
      </c>
      <c r="S537" s="148" t="s">
        <v>27</v>
      </c>
      <c r="T537" s="140"/>
      <c r="U537" s="175"/>
      <c r="V537" s="21"/>
    </row>
    <row r="538" spans="1:22" ht="16.5" hidden="1" customHeight="1" x14ac:dyDescent="0.25">
      <c r="A538" s="175">
        <v>523</v>
      </c>
      <c r="B538" s="220"/>
      <c r="C538" s="211">
        <v>44693</v>
      </c>
      <c r="D538" s="211">
        <v>44697</v>
      </c>
      <c r="E538" s="148" t="s">
        <v>546</v>
      </c>
      <c r="F538" s="149" t="s">
        <v>605</v>
      </c>
      <c r="G538" s="148" t="s">
        <v>333</v>
      </c>
      <c r="H538" s="148" t="s">
        <v>158</v>
      </c>
      <c r="I538" s="49" t="s">
        <v>606</v>
      </c>
      <c r="J538" s="175" t="s">
        <v>607</v>
      </c>
      <c r="K538" s="138" t="s">
        <v>608</v>
      </c>
      <c r="L538" s="138"/>
      <c r="M538" s="138"/>
      <c r="N538" s="150" t="s">
        <v>58</v>
      </c>
      <c r="O538" s="138"/>
      <c r="P538" s="150" t="s">
        <v>415</v>
      </c>
      <c r="Q538" s="138" t="s">
        <v>152</v>
      </c>
      <c r="R538" s="139" t="s">
        <v>23</v>
      </c>
      <c r="S538" s="148" t="s">
        <v>27</v>
      </c>
      <c r="T538" s="140"/>
      <c r="U538" s="175"/>
      <c r="V538" s="21"/>
    </row>
    <row r="539" spans="1:22" s="2" customFormat="1" ht="16.5" hidden="1" customHeight="1" x14ac:dyDescent="0.25">
      <c r="A539" s="175">
        <v>524</v>
      </c>
      <c r="B539" s="221"/>
      <c r="C539" s="211">
        <v>44693</v>
      </c>
      <c r="D539" s="211">
        <v>44697</v>
      </c>
      <c r="E539" s="148" t="s">
        <v>546</v>
      </c>
      <c r="F539" s="149" t="s">
        <v>609</v>
      </c>
      <c r="G539" s="148" t="s">
        <v>333</v>
      </c>
      <c r="H539" s="148" t="s">
        <v>158</v>
      </c>
      <c r="I539" s="49" t="s">
        <v>610</v>
      </c>
      <c r="J539" s="175" t="s">
        <v>611</v>
      </c>
      <c r="K539" s="138" t="s">
        <v>188</v>
      </c>
      <c r="L539" s="138"/>
      <c r="M539" s="138"/>
      <c r="N539" s="150" t="s">
        <v>58</v>
      </c>
      <c r="O539" s="138"/>
      <c r="P539" s="150" t="s">
        <v>415</v>
      </c>
      <c r="Q539" s="138" t="s">
        <v>152</v>
      </c>
      <c r="R539" s="139" t="s">
        <v>23</v>
      </c>
      <c r="S539" s="148" t="s">
        <v>27</v>
      </c>
      <c r="T539" s="138"/>
      <c r="U539" s="138"/>
      <c r="V539" s="52"/>
    </row>
    <row r="540" spans="1:22" s="2" customFormat="1" ht="16.5" hidden="1" customHeight="1" x14ac:dyDescent="0.25">
      <c r="A540" s="175">
        <v>525</v>
      </c>
      <c r="B540" s="278" t="s">
        <v>612</v>
      </c>
      <c r="C540" s="211">
        <v>44698</v>
      </c>
      <c r="D540" s="211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hidden="1" customHeight="1" x14ac:dyDescent="0.25">
      <c r="A541" s="175">
        <v>526</v>
      </c>
      <c r="B541" s="279"/>
      <c r="C541" s="211">
        <v>44698</v>
      </c>
      <c r="D541" s="211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hidden="1" customHeight="1" x14ac:dyDescent="0.25">
      <c r="A542" s="175">
        <v>527</v>
      </c>
      <c r="B542" s="280"/>
      <c r="C542" s="211">
        <v>44609</v>
      </c>
      <c r="D542" s="211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hidden="1" customHeight="1" x14ac:dyDescent="0.25">
      <c r="A543" s="175">
        <v>528</v>
      </c>
      <c r="B543" s="138" t="s">
        <v>615</v>
      </c>
      <c r="C543" s="211">
        <v>44687</v>
      </c>
      <c r="D543" s="211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613</v>
      </c>
      <c r="J543" s="103"/>
      <c r="K543" s="138" t="s">
        <v>614</v>
      </c>
      <c r="L543" s="138"/>
      <c r="M543" s="150"/>
      <c r="N543" s="150" t="s">
        <v>58</v>
      </c>
      <c r="O543" s="138"/>
      <c r="P543" s="150" t="s">
        <v>415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hidden="1" customHeight="1" x14ac:dyDescent="0.25">
      <c r="A544" s="175">
        <v>529</v>
      </c>
      <c r="B544" s="222" t="s">
        <v>621</v>
      </c>
      <c r="C544" s="211">
        <v>44707</v>
      </c>
      <c r="D544" s="211"/>
      <c r="E544" s="148" t="s">
        <v>546</v>
      </c>
      <c r="F544" s="149" t="s">
        <v>616</v>
      </c>
      <c r="G544" s="148"/>
      <c r="H544" s="148" t="s">
        <v>158</v>
      </c>
      <c r="I544" s="148" t="s">
        <v>617</v>
      </c>
      <c r="J544" s="103"/>
      <c r="K544" s="218" t="s">
        <v>188</v>
      </c>
      <c r="L544" s="138"/>
      <c r="M544" s="150"/>
      <c r="N544" s="150" t="s">
        <v>618</v>
      </c>
      <c r="O544" s="138"/>
      <c r="P544" s="150" t="s">
        <v>415</v>
      </c>
      <c r="Q544" s="138" t="s">
        <v>152</v>
      </c>
      <c r="R544" s="139" t="s">
        <v>23</v>
      </c>
      <c r="S544" s="148" t="s">
        <v>27</v>
      </c>
      <c r="T544" s="138"/>
      <c r="U544" s="138"/>
      <c r="V544" s="52"/>
    </row>
    <row r="545" spans="1:22" s="2" customFormat="1" ht="16.5" hidden="1" customHeight="1" x14ac:dyDescent="0.25">
      <c r="A545" s="175">
        <v>530</v>
      </c>
      <c r="B545" s="224"/>
      <c r="C545" s="211">
        <v>44707</v>
      </c>
      <c r="D545" s="211"/>
      <c r="E545" s="148" t="s">
        <v>546</v>
      </c>
      <c r="F545" s="149" t="s">
        <v>619</v>
      </c>
      <c r="G545" s="148"/>
      <c r="H545" s="148" t="s">
        <v>158</v>
      </c>
      <c r="I545" s="148" t="s">
        <v>620</v>
      </c>
      <c r="J545" s="103"/>
      <c r="K545" s="218" t="s">
        <v>188</v>
      </c>
      <c r="L545" s="138"/>
      <c r="M545" s="150"/>
      <c r="N545" s="150" t="s">
        <v>618</v>
      </c>
      <c r="O545" s="138"/>
      <c r="P545" s="150" t="s">
        <v>415</v>
      </c>
      <c r="Q545" s="138" t="s">
        <v>152</v>
      </c>
      <c r="R545" s="139" t="s">
        <v>23</v>
      </c>
      <c r="S545" s="148" t="s">
        <v>27</v>
      </c>
      <c r="T545" s="138"/>
      <c r="U545" s="138"/>
      <c r="V545" s="52"/>
    </row>
    <row r="546" spans="1:22" ht="16.5" hidden="1" customHeight="1" x14ac:dyDescent="0.25">
      <c r="A546" s="175">
        <v>531</v>
      </c>
      <c r="B546" s="219" t="s">
        <v>623</v>
      </c>
      <c r="C546" s="211">
        <v>44705</v>
      </c>
      <c r="D546" s="211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417</v>
      </c>
      <c r="O546" s="138"/>
      <c r="P546" s="150" t="s">
        <v>151</v>
      </c>
      <c r="Q546" s="138" t="s">
        <v>152</v>
      </c>
      <c r="R546" s="139" t="s">
        <v>72</v>
      </c>
      <c r="S546" s="148" t="s">
        <v>513</v>
      </c>
      <c r="T546" s="140" t="s">
        <v>76</v>
      </c>
      <c r="U546" s="175"/>
      <c r="V546" s="21"/>
    </row>
    <row r="547" spans="1:22" ht="16.5" hidden="1" customHeight="1" x14ac:dyDescent="0.25">
      <c r="A547" s="175">
        <v>532</v>
      </c>
      <c r="B547" s="220"/>
      <c r="C547" s="211">
        <v>44705</v>
      </c>
      <c r="D547" s="211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417</v>
      </c>
      <c r="O547" s="138"/>
      <c r="P547" s="150" t="s">
        <v>151</v>
      </c>
      <c r="Q547" s="138" t="s">
        <v>152</v>
      </c>
      <c r="R547" s="139" t="s">
        <v>72</v>
      </c>
      <c r="S547" s="148" t="s">
        <v>513</v>
      </c>
      <c r="T547" s="140" t="s">
        <v>76</v>
      </c>
      <c r="U547" s="175"/>
      <c r="V547" s="21"/>
    </row>
    <row r="548" spans="1:22" ht="16.5" hidden="1" customHeight="1" x14ac:dyDescent="0.25">
      <c r="A548" s="175">
        <v>533</v>
      </c>
      <c r="B548" s="220"/>
      <c r="C548" s="211">
        <v>44705</v>
      </c>
      <c r="D548" s="211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417</v>
      </c>
      <c r="O548" s="138"/>
      <c r="P548" s="150" t="s">
        <v>151</v>
      </c>
      <c r="Q548" s="138" t="s">
        <v>152</v>
      </c>
      <c r="R548" s="139" t="s">
        <v>72</v>
      </c>
      <c r="S548" s="148" t="s">
        <v>513</v>
      </c>
      <c r="T548" s="140" t="s">
        <v>76</v>
      </c>
      <c r="U548" s="175"/>
      <c r="V548" s="21"/>
    </row>
    <row r="549" spans="1:22" ht="16.5" hidden="1" customHeight="1" x14ac:dyDescent="0.25">
      <c r="A549" s="175">
        <v>534</v>
      </c>
      <c r="B549" s="220"/>
      <c r="C549" s="211">
        <v>44705</v>
      </c>
      <c r="D549" s="211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417</v>
      </c>
      <c r="O549" s="138"/>
      <c r="P549" s="150" t="s">
        <v>151</v>
      </c>
      <c r="Q549" s="138" t="s">
        <v>152</v>
      </c>
      <c r="R549" s="139" t="s">
        <v>72</v>
      </c>
      <c r="S549" s="148" t="s">
        <v>513</v>
      </c>
      <c r="T549" s="140" t="s">
        <v>76</v>
      </c>
      <c r="U549" s="175"/>
      <c r="V549" s="21"/>
    </row>
    <row r="550" spans="1:22" ht="16.5" hidden="1" customHeight="1" x14ac:dyDescent="0.25">
      <c r="A550" s="175">
        <v>535</v>
      </c>
      <c r="B550" s="220"/>
      <c r="C550" s="211">
        <v>44705</v>
      </c>
      <c r="D550" s="211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hidden="1" customHeight="1" x14ac:dyDescent="0.25">
      <c r="A551" s="175">
        <v>536</v>
      </c>
      <c r="B551" s="221"/>
      <c r="C551" s="211">
        <v>44705</v>
      </c>
      <c r="D551" s="211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622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hidden="1" customHeight="1" x14ac:dyDescent="0.25">
      <c r="A552" s="175">
        <v>537</v>
      </c>
      <c r="B552" s="219" t="s">
        <v>186</v>
      </c>
      <c r="C552" s="211">
        <v>44700</v>
      </c>
      <c r="D552" s="211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hidden="1" customHeight="1" x14ac:dyDescent="0.25">
      <c r="A553" s="175">
        <v>538</v>
      </c>
      <c r="B553" s="221"/>
      <c r="C553" s="211">
        <v>44700</v>
      </c>
      <c r="D553" s="211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505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hidden="1" customHeight="1" x14ac:dyDescent="0.25">
      <c r="A554" s="175">
        <v>539</v>
      </c>
      <c r="B554" s="219" t="s">
        <v>292</v>
      </c>
      <c r="C554" s="211">
        <v>44686</v>
      </c>
      <c r="D554" s="211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508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513</v>
      </c>
      <c r="T554" s="140" t="s">
        <v>76</v>
      </c>
      <c r="U554" s="175"/>
      <c r="V554" s="21"/>
    </row>
    <row r="555" spans="1:22" ht="16.5" hidden="1" customHeight="1" x14ac:dyDescent="0.25">
      <c r="A555" s="175">
        <v>540</v>
      </c>
      <c r="B555" s="220"/>
      <c r="C555" s="211">
        <v>44686</v>
      </c>
      <c r="D555" s="211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463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513</v>
      </c>
      <c r="T555" s="140" t="s">
        <v>76</v>
      </c>
      <c r="U555" s="175"/>
      <c r="V555" s="21"/>
    </row>
    <row r="556" spans="1:22" ht="16.5" hidden="1" customHeight="1" x14ac:dyDescent="0.25">
      <c r="A556" s="175">
        <v>541</v>
      </c>
      <c r="B556" s="220"/>
      <c r="C556" s="211">
        <v>44686</v>
      </c>
      <c r="D556" s="211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409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513</v>
      </c>
      <c r="T556" s="140" t="s">
        <v>76</v>
      </c>
      <c r="U556" s="175"/>
      <c r="V556" s="21"/>
    </row>
    <row r="557" spans="1:22" ht="16.5" hidden="1" customHeight="1" x14ac:dyDescent="0.25">
      <c r="A557" s="175">
        <v>542</v>
      </c>
      <c r="B557" s="220"/>
      <c r="C557" s="211">
        <v>44686</v>
      </c>
      <c r="D557" s="211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513</v>
      </c>
      <c r="T557" s="140" t="s">
        <v>76</v>
      </c>
      <c r="U557" s="175"/>
      <c r="V557" s="21"/>
    </row>
    <row r="558" spans="1:22" ht="16.5" hidden="1" customHeight="1" x14ac:dyDescent="0.25">
      <c r="A558" s="175">
        <v>543</v>
      </c>
      <c r="B558" s="220"/>
      <c r="C558" s="211">
        <v>44690</v>
      </c>
      <c r="D558" s="211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513</v>
      </c>
      <c r="T558" s="140" t="s">
        <v>76</v>
      </c>
      <c r="U558" s="175"/>
      <c r="V558" s="21"/>
    </row>
    <row r="559" spans="1:22" ht="16.5" hidden="1" customHeight="1" x14ac:dyDescent="0.25">
      <c r="A559" s="175">
        <v>544</v>
      </c>
      <c r="B559" s="220"/>
      <c r="C559" s="211">
        <v>44690</v>
      </c>
      <c r="D559" s="211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463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513</v>
      </c>
      <c r="T559" s="140" t="s">
        <v>76</v>
      </c>
      <c r="U559" s="175"/>
      <c r="V559" s="21"/>
    </row>
    <row r="560" spans="1:22" ht="16.5" hidden="1" customHeight="1" x14ac:dyDescent="0.25">
      <c r="A560" s="175">
        <v>545</v>
      </c>
      <c r="B560" s="220"/>
      <c r="C560" s="211">
        <v>44690</v>
      </c>
      <c r="D560" s="211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513</v>
      </c>
      <c r="T560" s="140" t="s">
        <v>76</v>
      </c>
      <c r="U560" s="175"/>
      <c r="V560" s="21"/>
    </row>
    <row r="561" spans="1:22" ht="16.5" hidden="1" customHeight="1" x14ac:dyDescent="0.25">
      <c r="A561" s="175">
        <v>546</v>
      </c>
      <c r="B561" s="220"/>
      <c r="C561" s="211">
        <v>44702</v>
      </c>
      <c r="D561" s="211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463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513</v>
      </c>
      <c r="T561" s="140" t="s">
        <v>76</v>
      </c>
      <c r="U561" s="175"/>
      <c r="V561" s="21"/>
    </row>
    <row r="562" spans="1:22" ht="16.5" hidden="1" customHeight="1" x14ac:dyDescent="0.25">
      <c r="A562" s="175">
        <v>547</v>
      </c>
      <c r="B562" s="220"/>
      <c r="C562" s="211">
        <v>44702</v>
      </c>
      <c r="D562" s="211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624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hidden="1" customHeight="1" x14ac:dyDescent="0.25">
      <c r="A563" s="175">
        <v>548</v>
      </c>
      <c r="B563" s="220"/>
      <c r="C563" s="211">
        <v>44702</v>
      </c>
      <c r="D563" s="211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508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513</v>
      </c>
      <c r="T563" s="140" t="s">
        <v>76</v>
      </c>
      <c r="U563" s="175"/>
      <c r="V563" s="21"/>
    </row>
    <row r="564" spans="1:22" ht="16.5" hidden="1" customHeight="1" x14ac:dyDescent="0.25">
      <c r="A564" s="175">
        <v>549</v>
      </c>
      <c r="B564" s="220"/>
      <c r="C564" s="211">
        <v>44702</v>
      </c>
      <c r="D564" s="211">
        <v>44702</v>
      </c>
      <c r="E564" s="148" t="s">
        <v>19</v>
      </c>
      <c r="F564" s="149">
        <v>863586032929030</v>
      </c>
      <c r="G564" s="214"/>
      <c r="H564" s="148" t="s">
        <v>139</v>
      </c>
      <c r="I564" s="148"/>
      <c r="J564" s="103" t="s">
        <v>159</v>
      </c>
      <c r="K564" s="138" t="s">
        <v>188</v>
      </c>
      <c r="L564" s="138" t="s">
        <v>625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513</v>
      </c>
      <c r="T564" s="140" t="s">
        <v>76</v>
      </c>
      <c r="U564" s="175"/>
      <c r="V564" s="21"/>
    </row>
    <row r="565" spans="1:22" ht="16.5" hidden="1" customHeight="1" x14ac:dyDescent="0.25">
      <c r="A565" s="175">
        <v>550</v>
      </c>
      <c r="B565" s="220"/>
      <c r="C565" s="211">
        <v>44704</v>
      </c>
      <c r="D565" s="211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4"/>
      <c r="M565" s="150" t="s">
        <v>189</v>
      </c>
      <c r="N565" s="150" t="s">
        <v>626</v>
      </c>
      <c r="O565" s="138"/>
      <c r="P565" s="150" t="s">
        <v>151</v>
      </c>
      <c r="Q565" s="138" t="s">
        <v>152</v>
      </c>
      <c r="R565" s="139" t="s">
        <v>72</v>
      </c>
      <c r="S565" s="148" t="s">
        <v>627</v>
      </c>
      <c r="T565" s="140" t="s">
        <v>76</v>
      </c>
      <c r="U565" s="175"/>
      <c r="V565" s="21"/>
    </row>
    <row r="566" spans="1:22" ht="16.5" hidden="1" customHeight="1" x14ac:dyDescent="0.25">
      <c r="A566" s="175">
        <v>551</v>
      </c>
      <c r="B566" s="220"/>
      <c r="C566" s="211">
        <v>44686</v>
      </c>
      <c r="D566" s="211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hidden="1" customHeight="1" x14ac:dyDescent="0.25">
      <c r="A567" s="175">
        <v>552</v>
      </c>
      <c r="B567" s="220"/>
      <c r="C567" s="211">
        <v>44690</v>
      </c>
      <c r="D567" s="211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628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hidden="1" customHeight="1" x14ac:dyDescent="0.25">
      <c r="A568" s="175">
        <v>553</v>
      </c>
      <c r="B568" s="220"/>
      <c r="C568" s="211">
        <v>44700</v>
      </c>
      <c r="D568" s="211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hidden="1" customHeight="1" x14ac:dyDescent="0.25">
      <c r="A569" s="175">
        <v>554</v>
      </c>
      <c r="B569" s="220"/>
      <c r="C569" s="211">
        <v>44700</v>
      </c>
      <c r="D569" s="211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hidden="1" customHeight="1" x14ac:dyDescent="0.25">
      <c r="A570" s="175">
        <v>555</v>
      </c>
      <c r="B570" s="220"/>
      <c r="C570" s="211">
        <v>44686</v>
      </c>
      <c r="D570" s="211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hidden="1" customHeight="1" x14ac:dyDescent="0.25">
      <c r="A571" s="175">
        <v>556</v>
      </c>
      <c r="B571" s="220"/>
      <c r="C571" s="211">
        <v>44691</v>
      </c>
      <c r="D571" s="211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401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hidden="1" customHeight="1" x14ac:dyDescent="0.25">
      <c r="A572" s="175">
        <v>557</v>
      </c>
      <c r="B572" s="220"/>
      <c r="C572" s="211">
        <v>44691</v>
      </c>
      <c r="D572" s="211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526</v>
      </c>
      <c r="K572" s="138"/>
      <c r="L572" s="138" t="s">
        <v>405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hidden="1" customHeight="1" x14ac:dyDescent="0.25">
      <c r="A573" s="175">
        <v>558</v>
      </c>
      <c r="B573" s="220"/>
      <c r="C573" s="211">
        <v>44691</v>
      </c>
      <c r="D573" s="211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629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hidden="1" customHeight="1" x14ac:dyDescent="0.25">
      <c r="A574" s="175">
        <v>559</v>
      </c>
      <c r="B574" s="220"/>
      <c r="C574" s="211">
        <v>44691</v>
      </c>
      <c r="D574" s="211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hidden="1" customHeight="1" x14ac:dyDescent="0.25">
      <c r="A575" s="175">
        <v>560</v>
      </c>
      <c r="B575" s="220"/>
      <c r="C575" s="211">
        <v>44691</v>
      </c>
      <c r="D575" s="211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hidden="1" customHeight="1" x14ac:dyDescent="0.25">
      <c r="A576" s="175">
        <v>561</v>
      </c>
      <c r="B576" s="220"/>
      <c r="C576" s="211">
        <v>44691</v>
      </c>
      <c r="D576" s="211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hidden="1" customHeight="1" x14ac:dyDescent="0.25">
      <c r="A577" s="175">
        <v>562</v>
      </c>
      <c r="B577" s="220"/>
      <c r="C577" s="211">
        <v>44691</v>
      </c>
      <c r="D577" s="211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hidden="1" customHeight="1" x14ac:dyDescent="0.25">
      <c r="A578" s="175">
        <v>563</v>
      </c>
      <c r="B578" s="220"/>
      <c r="C578" s="211">
        <v>44691</v>
      </c>
      <c r="D578" s="211">
        <v>44691</v>
      </c>
      <c r="E578" s="148" t="s">
        <v>14</v>
      </c>
      <c r="F578" s="153" t="s">
        <v>630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hidden="1" customHeight="1" x14ac:dyDescent="0.25">
      <c r="A579" s="175">
        <v>564</v>
      </c>
      <c r="B579" s="220"/>
      <c r="C579" s="211">
        <v>44691</v>
      </c>
      <c r="D579" s="211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hidden="1" customHeight="1" x14ac:dyDescent="0.25">
      <c r="A580" s="175">
        <v>565</v>
      </c>
      <c r="B580" s="220"/>
      <c r="C580" s="211">
        <v>44691</v>
      </c>
      <c r="D580" s="211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hidden="1" customHeight="1" x14ac:dyDescent="0.25">
      <c r="A581" s="175">
        <v>566</v>
      </c>
      <c r="B581" s="220"/>
      <c r="C581" s="211">
        <v>44691</v>
      </c>
      <c r="D581" s="211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hidden="1" customHeight="1" x14ac:dyDescent="0.25">
      <c r="A582" s="175">
        <v>567</v>
      </c>
      <c r="B582" s="220"/>
      <c r="C582" s="211">
        <v>44691</v>
      </c>
      <c r="D582" s="211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hidden="1" customHeight="1" x14ac:dyDescent="0.25">
      <c r="A583" s="175">
        <v>568</v>
      </c>
      <c r="B583" s="220"/>
      <c r="C583" s="211">
        <v>44691</v>
      </c>
      <c r="D583" s="211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hidden="1" customHeight="1" x14ac:dyDescent="0.25">
      <c r="A584" s="175">
        <v>569</v>
      </c>
      <c r="B584" s="220"/>
      <c r="C584" s="211">
        <v>44691</v>
      </c>
      <c r="D584" s="211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hidden="1" customHeight="1" x14ac:dyDescent="0.25">
      <c r="A585" s="175">
        <v>570</v>
      </c>
      <c r="B585" s="220"/>
      <c r="C585" s="211">
        <v>44691</v>
      </c>
      <c r="D585" s="211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4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hidden="1" customHeight="1" x14ac:dyDescent="0.25">
      <c r="A586" s="175">
        <v>571</v>
      </c>
      <c r="B586" s="221"/>
      <c r="C586" s="211">
        <v>44691</v>
      </c>
      <c r="D586" s="211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432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hidden="1" customHeight="1" x14ac:dyDescent="0.25">
      <c r="A587" s="175">
        <v>572</v>
      </c>
      <c r="B587" s="175" t="s">
        <v>634</v>
      </c>
      <c r="C587" s="211">
        <v>44691</v>
      </c>
      <c r="D587" s="211">
        <v>44692</v>
      </c>
      <c r="E587" s="148" t="s">
        <v>546</v>
      </c>
      <c r="F587" s="149" t="s">
        <v>631</v>
      </c>
      <c r="G587" s="148" t="s">
        <v>333</v>
      </c>
      <c r="H587" s="148" t="s">
        <v>158</v>
      </c>
      <c r="I587" s="156"/>
      <c r="J587" s="103"/>
      <c r="K587" s="138" t="s">
        <v>632</v>
      </c>
      <c r="L587" s="138"/>
      <c r="M587" s="150"/>
      <c r="N587" s="150" t="s">
        <v>633</v>
      </c>
      <c r="O587" s="138"/>
      <c r="P587" s="150" t="s">
        <v>415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hidden="1" customHeight="1" x14ac:dyDescent="0.25">
      <c r="A588" s="175">
        <v>573</v>
      </c>
      <c r="B588" s="219" t="s">
        <v>322</v>
      </c>
      <c r="C588" s="211">
        <v>44701</v>
      </c>
      <c r="D588" s="211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635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hidden="1" customHeight="1" x14ac:dyDescent="0.25">
      <c r="A589" s="175">
        <v>574</v>
      </c>
      <c r="B589" s="220"/>
      <c r="C589" s="211">
        <v>44701</v>
      </c>
      <c r="D589" s="211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635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hidden="1" customHeight="1" x14ac:dyDescent="0.25">
      <c r="A590" s="175">
        <v>575</v>
      </c>
      <c r="B590" s="220"/>
      <c r="C590" s="211">
        <v>44701</v>
      </c>
      <c r="D590" s="211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635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hidden="1" customHeight="1" x14ac:dyDescent="0.25">
      <c r="A591" s="175">
        <v>576</v>
      </c>
      <c r="B591" s="220"/>
      <c r="C591" s="211">
        <v>44698</v>
      </c>
      <c r="D591" s="211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635</v>
      </c>
      <c r="K591" s="138" t="s">
        <v>636</v>
      </c>
      <c r="L591" s="138" t="s">
        <v>531</v>
      </c>
      <c r="M591" s="150"/>
      <c r="N591" s="150" t="s">
        <v>637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hidden="1" customHeight="1" x14ac:dyDescent="0.25">
      <c r="A592" s="175">
        <v>577</v>
      </c>
      <c r="B592" s="220"/>
      <c r="C592" s="211">
        <v>44701</v>
      </c>
      <c r="D592" s="211">
        <v>44703</v>
      </c>
      <c r="E592" s="148" t="s">
        <v>638</v>
      </c>
      <c r="F592" s="149">
        <v>866104028740754</v>
      </c>
      <c r="G592" s="148"/>
      <c r="H592" s="148" t="s">
        <v>139</v>
      </c>
      <c r="I592" s="156"/>
      <c r="J592" s="103" t="s">
        <v>635</v>
      </c>
      <c r="K592" s="138"/>
      <c r="L592" s="138" t="s">
        <v>532</v>
      </c>
      <c r="M592" s="150" t="s">
        <v>531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hidden="1" customHeight="1" x14ac:dyDescent="0.25">
      <c r="A593" s="175">
        <v>578</v>
      </c>
      <c r="B593" s="220"/>
      <c r="C593" s="211">
        <v>44691</v>
      </c>
      <c r="D593" s="211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hidden="1" customHeight="1" x14ac:dyDescent="0.25">
      <c r="A594" s="175">
        <v>579</v>
      </c>
      <c r="B594" s="220"/>
      <c r="C594" s="211">
        <v>44691</v>
      </c>
      <c r="D594" s="211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hidden="1" customHeight="1" x14ac:dyDescent="0.25">
      <c r="A595" s="175">
        <v>580</v>
      </c>
      <c r="B595" s="220"/>
      <c r="C595" s="211">
        <v>44698</v>
      </c>
      <c r="D595" s="211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hidden="1" customHeight="1" x14ac:dyDescent="0.25">
      <c r="A596" s="175">
        <v>581</v>
      </c>
      <c r="B596" s="220"/>
      <c r="C596" s="211">
        <v>44698</v>
      </c>
      <c r="D596" s="211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635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hidden="1" customHeight="1" x14ac:dyDescent="0.25">
      <c r="A597" s="175">
        <v>582</v>
      </c>
      <c r="B597" s="220"/>
      <c r="C597" s="211">
        <v>44691</v>
      </c>
      <c r="D597" s="211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hidden="1" customHeight="1" x14ac:dyDescent="0.25">
      <c r="A598" s="175">
        <v>583</v>
      </c>
      <c r="B598" s="221"/>
      <c r="C598" s="211">
        <v>44698</v>
      </c>
      <c r="D598" s="211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639</v>
      </c>
      <c r="K598" s="138" t="s">
        <v>188</v>
      </c>
      <c r="L598" s="138" t="s">
        <v>370</v>
      </c>
      <c r="M598" s="150" t="s">
        <v>162</v>
      </c>
      <c r="N598" s="150" t="s">
        <v>640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hidden="1" customHeight="1" x14ac:dyDescent="0.25">
      <c r="A599" s="175">
        <v>584</v>
      </c>
      <c r="B599" s="219" t="s">
        <v>644</v>
      </c>
      <c r="C599" s="211">
        <v>44693</v>
      </c>
      <c r="D599" s="211">
        <v>44702</v>
      </c>
      <c r="E599" s="148" t="s">
        <v>546</v>
      </c>
      <c r="F599" s="149" t="s">
        <v>641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633</v>
      </c>
      <c r="O599" s="138"/>
      <c r="P599" s="150" t="s">
        <v>415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hidden="1" customHeight="1" x14ac:dyDescent="0.25">
      <c r="A600" s="175">
        <v>585</v>
      </c>
      <c r="B600" s="221"/>
      <c r="C600" s="211">
        <v>44693</v>
      </c>
      <c r="D600" s="211">
        <v>44702</v>
      </c>
      <c r="E600" s="148" t="s">
        <v>547</v>
      </c>
      <c r="F600" s="149">
        <v>869492055074149</v>
      </c>
      <c r="G600" s="156"/>
      <c r="H600" s="148" t="s">
        <v>158</v>
      </c>
      <c r="I600" s="156"/>
      <c r="J600" s="103"/>
      <c r="K600" s="138" t="s">
        <v>642</v>
      </c>
      <c r="L600" s="138"/>
      <c r="M600" s="150"/>
      <c r="N600" s="150" t="s">
        <v>58</v>
      </c>
      <c r="O600" s="138"/>
      <c r="P600" s="150" t="s">
        <v>415</v>
      </c>
      <c r="Q600" s="138" t="s">
        <v>152</v>
      </c>
      <c r="R600" s="139" t="s">
        <v>23</v>
      </c>
      <c r="S600" s="148" t="s">
        <v>643</v>
      </c>
      <c r="T600" s="140"/>
      <c r="U600" s="175"/>
      <c r="V600" s="21"/>
    </row>
    <row r="601" spans="1:22" ht="16.5" hidden="1" customHeight="1" x14ac:dyDescent="0.25">
      <c r="A601" s="175">
        <v>586</v>
      </c>
      <c r="B601" s="175" t="s">
        <v>325</v>
      </c>
      <c r="C601" s="211">
        <v>44691</v>
      </c>
      <c r="D601" s="211">
        <v>44692</v>
      </c>
      <c r="E601" s="148" t="s">
        <v>546</v>
      </c>
      <c r="F601" s="149" t="s">
        <v>645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hidden="1" customHeight="1" x14ac:dyDescent="0.25">
      <c r="A602" s="175">
        <v>587</v>
      </c>
      <c r="B602" s="219" t="s">
        <v>268</v>
      </c>
      <c r="C602" s="211">
        <v>44699</v>
      </c>
      <c r="D602" s="211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429</v>
      </c>
      <c r="K602" s="138" t="s">
        <v>77</v>
      </c>
      <c r="L602" s="138" t="s">
        <v>442</v>
      </c>
      <c r="M602" s="138" t="s">
        <v>432</v>
      </c>
      <c r="N602" s="150" t="s">
        <v>646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hidden="1" customHeight="1" x14ac:dyDescent="0.25">
      <c r="A603" s="175">
        <v>588</v>
      </c>
      <c r="B603" s="220"/>
      <c r="C603" s="211">
        <v>44699</v>
      </c>
      <c r="D603" s="211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429</v>
      </c>
      <c r="K603" s="138" t="s">
        <v>172</v>
      </c>
      <c r="L603" s="138"/>
      <c r="M603" s="150" t="s">
        <v>432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hidden="1" customHeight="1" x14ac:dyDescent="0.25">
      <c r="A604" s="175">
        <v>589</v>
      </c>
      <c r="B604" s="220"/>
      <c r="C604" s="211">
        <v>44699</v>
      </c>
      <c r="D604" s="211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hidden="1" customHeight="1" x14ac:dyDescent="0.25">
      <c r="A605" s="175">
        <v>590</v>
      </c>
      <c r="B605" s="220"/>
      <c r="C605" s="211">
        <v>44699</v>
      </c>
      <c r="D605" s="211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647</v>
      </c>
      <c r="K605" s="138"/>
      <c r="L605" s="138" t="s">
        <v>648</v>
      </c>
      <c r="M605" s="138" t="s">
        <v>432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hidden="1" customHeight="1" x14ac:dyDescent="0.25">
      <c r="A606" s="175">
        <v>591</v>
      </c>
      <c r="B606" s="220"/>
      <c r="C606" s="211">
        <v>44699</v>
      </c>
      <c r="D606" s="211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444</v>
      </c>
      <c r="K606" s="138" t="s">
        <v>649</v>
      </c>
      <c r="L606" s="138" t="s">
        <v>249</v>
      </c>
      <c r="M606" s="150"/>
      <c r="N606" s="150" t="s">
        <v>650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hidden="1" customHeight="1" x14ac:dyDescent="0.25">
      <c r="A607" s="175">
        <v>592</v>
      </c>
      <c r="B607" s="220"/>
      <c r="C607" s="211">
        <v>44699</v>
      </c>
      <c r="D607" s="211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651</v>
      </c>
      <c r="K607" s="138" t="s">
        <v>172</v>
      </c>
      <c r="L607" s="138"/>
      <c r="M607" s="138" t="s">
        <v>446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hidden="1" customHeight="1" x14ac:dyDescent="0.25">
      <c r="A608" s="175">
        <v>593</v>
      </c>
      <c r="B608" s="220"/>
      <c r="C608" s="211">
        <v>44699</v>
      </c>
      <c r="D608" s="211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444</v>
      </c>
      <c r="K608" s="138" t="s">
        <v>272</v>
      </c>
      <c r="L608" s="138" t="s">
        <v>445</v>
      </c>
      <c r="M608" s="138" t="s">
        <v>446</v>
      </c>
      <c r="N608" s="150" t="s">
        <v>652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hidden="1" customHeight="1" x14ac:dyDescent="0.25">
      <c r="A609" s="175">
        <v>594</v>
      </c>
      <c r="B609" s="220"/>
      <c r="C609" s="211">
        <v>44699</v>
      </c>
      <c r="D609" s="211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653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654</v>
      </c>
      <c r="T609" s="140"/>
      <c r="U609" s="175"/>
      <c r="V609" s="21"/>
    </row>
    <row r="610" spans="1:22" ht="18" hidden="1" customHeight="1" x14ac:dyDescent="0.25">
      <c r="A610" s="175">
        <v>595</v>
      </c>
      <c r="B610" s="220"/>
      <c r="C610" s="211">
        <v>44699</v>
      </c>
      <c r="D610" s="211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401</v>
      </c>
      <c r="L610" s="138"/>
      <c r="M610" s="150" t="s">
        <v>143</v>
      </c>
      <c r="N610" s="150" t="s">
        <v>655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hidden="1" customHeight="1" x14ac:dyDescent="0.25">
      <c r="A611" s="175">
        <v>596</v>
      </c>
      <c r="B611" s="220"/>
      <c r="C611" s="211">
        <v>44699</v>
      </c>
      <c r="D611" s="211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656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hidden="1" customHeight="1" x14ac:dyDescent="0.25">
      <c r="A612" s="175">
        <v>597</v>
      </c>
      <c r="B612" s="220"/>
      <c r="C612" s="211">
        <v>44699</v>
      </c>
      <c r="D612" s="211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523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hidden="1" customHeight="1" x14ac:dyDescent="0.25">
      <c r="A613" s="175">
        <v>598</v>
      </c>
      <c r="B613" s="220"/>
      <c r="C613" s="211">
        <v>44699</v>
      </c>
      <c r="D613" s="211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657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hidden="1" customHeight="1" x14ac:dyDescent="0.25">
      <c r="A614" s="175">
        <v>599</v>
      </c>
      <c r="B614" s="220"/>
      <c r="C614" s="211">
        <v>44699</v>
      </c>
      <c r="D614" s="211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hidden="1" customHeight="1" x14ac:dyDescent="0.25">
      <c r="A615" s="175">
        <v>600</v>
      </c>
      <c r="B615" s="220"/>
      <c r="C615" s="211">
        <v>44699</v>
      </c>
      <c r="D615" s="211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658</v>
      </c>
      <c r="K615" s="138" t="s">
        <v>182</v>
      </c>
      <c r="L615" s="138" t="s">
        <v>242</v>
      </c>
      <c r="M615" s="150" t="s">
        <v>162</v>
      </c>
      <c r="N615" s="150" t="s">
        <v>659</v>
      </c>
      <c r="O615" s="138"/>
      <c r="P615" s="150" t="s">
        <v>151</v>
      </c>
      <c r="Q615" s="138" t="s">
        <v>71</v>
      </c>
      <c r="R615" s="139" t="s">
        <v>72</v>
      </c>
      <c r="S615" s="148" t="s">
        <v>660</v>
      </c>
      <c r="T615" s="140"/>
      <c r="U615" s="175"/>
      <c r="V615" s="21"/>
    </row>
    <row r="616" spans="1:22" ht="16.5" hidden="1" customHeight="1" x14ac:dyDescent="0.25">
      <c r="A616" s="175">
        <v>601</v>
      </c>
      <c r="B616" s="221"/>
      <c r="C616" s="211">
        <v>44699</v>
      </c>
      <c r="D616" s="211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466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hidden="1" customHeight="1" x14ac:dyDescent="0.25">
      <c r="A617" s="175">
        <v>602</v>
      </c>
      <c r="B617" s="219" t="s">
        <v>670</v>
      </c>
      <c r="C617" s="211" t="s">
        <v>661</v>
      </c>
      <c r="D617" s="211">
        <v>44701</v>
      </c>
      <c r="E617" s="148" t="s">
        <v>546</v>
      </c>
      <c r="F617" s="149" t="s">
        <v>662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415</v>
      </c>
      <c r="Q617" s="138" t="s">
        <v>152</v>
      </c>
      <c r="R617" s="139" t="s">
        <v>23</v>
      </c>
      <c r="S617" s="148" t="s">
        <v>663</v>
      </c>
      <c r="T617" s="140"/>
      <c r="U617" s="175"/>
      <c r="V617" s="21"/>
    </row>
    <row r="618" spans="1:22" ht="16.5" hidden="1" customHeight="1" x14ac:dyDescent="0.25">
      <c r="A618" s="175">
        <v>603</v>
      </c>
      <c r="B618" s="220"/>
      <c r="C618" s="211" t="s">
        <v>661</v>
      </c>
      <c r="D618" s="211">
        <v>44701</v>
      </c>
      <c r="E618" s="148" t="s">
        <v>546</v>
      </c>
      <c r="F618" s="149" t="s">
        <v>664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415</v>
      </c>
      <c r="Q618" s="138" t="s">
        <v>152</v>
      </c>
      <c r="R618" s="139" t="s">
        <v>23</v>
      </c>
      <c r="S618" s="148" t="s">
        <v>663</v>
      </c>
      <c r="T618" s="140"/>
      <c r="U618" s="175"/>
      <c r="V618" s="21"/>
    </row>
    <row r="619" spans="1:22" ht="16.5" hidden="1" customHeight="1" x14ac:dyDescent="0.25">
      <c r="A619" s="175">
        <v>604</v>
      </c>
      <c r="B619" s="220"/>
      <c r="C619" s="211" t="s">
        <v>661</v>
      </c>
      <c r="D619" s="211">
        <v>44701</v>
      </c>
      <c r="E619" s="148" t="s">
        <v>546</v>
      </c>
      <c r="F619" s="149" t="s">
        <v>665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hidden="1" customHeight="1" x14ac:dyDescent="0.25">
      <c r="A620" s="175">
        <v>605</v>
      </c>
      <c r="B620" s="220"/>
      <c r="C620" s="211" t="s">
        <v>661</v>
      </c>
      <c r="D620" s="211">
        <v>44701</v>
      </c>
      <c r="E620" s="148" t="s">
        <v>546</v>
      </c>
      <c r="F620" s="149" t="s">
        <v>666</v>
      </c>
      <c r="G620" s="148"/>
      <c r="H620" s="148" t="s">
        <v>158</v>
      </c>
      <c r="I620" s="156"/>
      <c r="J620" s="103"/>
      <c r="K620" s="138" t="s">
        <v>667</v>
      </c>
      <c r="L620" s="138"/>
      <c r="M620" s="138"/>
      <c r="N620" s="150" t="s">
        <v>58</v>
      </c>
      <c r="O620" s="138"/>
      <c r="P620" s="150" t="s">
        <v>415</v>
      </c>
      <c r="Q620" s="138" t="s">
        <v>152</v>
      </c>
      <c r="R620" s="139" t="s">
        <v>23</v>
      </c>
      <c r="S620" s="148" t="s">
        <v>663</v>
      </c>
      <c r="T620" s="140"/>
      <c r="U620" s="175"/>
      <c r="V620" s="21"/>
    </row>
    <row r="621" spans="1:22" ht="16.5" hidden="1" customHeight="1" x14ac:dyDescent="0.25">
      <c r="A621" s="175">
        <v>606</v>
      </c>
      <c r="B621" s="220"/>
      <c r="C621" s="211" t="s">
        <v>661</v>
      </c>
      <c r="D621" s="211">
        <v>44701</v>
      </c>
      <c r="E621" s="148" t="s">
        <v>546</v>
      </c>
      <c r="F621" s="149" t="s">
        <v>668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415</v>
      </c>
      <c r="Q621" s="138" t="s">
        <v>152</v>
      </c>
      <c r="R621" s="139" t="s">
        <v>23</v>
      </c>
      <c r="S621" s="148" t="s">
        <v>663</v>
      </c>
      <c r="T621" s="140"/>
      <c r="U621" s="175"/>
      <c r="V621" s="21"/>
    </row>
    <row r="622" spans="1:22" ht="16.5" hidden="1" customHeight="1" x14ac:dyDescent="0.25">
      <c r="A622" s="175">
        <v>607</v>
      </c>
      <c r="B622" s="221"/>
      <c r="C622" s="211" t="s">
        <v>661</v>
      </c>
      <c r="D622" s="211">
        <v>44701</v>
      </c>
      <c r="E622" s="148" t="s">
        <v>546</v>
      </c>
      <c r="F622" s="149" t="s">
        <v>669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hidden="1" customHeight="1" x14ac:dyDescent="0.25">
      <c r="A623" s="225" t="s">
        <v>84</v>
      </c>
      <c r="B623" s="226"/>
      <c r="C623" s="226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7"/>
      <c r="V623" s="21"/>
    </row>
    <row r="624" spans="1:22" ht="16.5" hidden="1" customHeight="1" x14ac:dyDescent="0.25">
      <c r="A624" s="228"/>
      <c r="B624" s="229"/>
      <c r="C624" s="229"/>
      <c r="D624" s="229"/>
      <c r="E624" s="229"/>
      <c r="F624" s="229"/>
      <c r="G624" s="229"/>
      <c r="H624" s="229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30"/>
      <c r="V624" s="21"/>
    </row>
    <row r="625" spans="1:22" ht="18" hidden="1" customHeight="1" x14ac:dyDescent="0.25">
      <c r="A625" s="175">
        <v>608</v>
      </c>
      <c r="B625" s="175"/>
      <c r="C625" s="147"/>
      <c r="D625" s="147"/>
      <c r="E625" s="148"/>
      <c r="F625" s="149"/>
      <c r="G625" s="148"/>
      <c r="H625" s="148"/>
      <c r="I625" s="156"/>
      <c r="J625" s="157"/>
      <c r="K625" s="150"/>
      <c r="L625" s="152"/>
      <c r="M625" s="150"/>
      <c r="N625" s="150"/>
      <c r="O625" s="138"/>
      <c r="P625" s="150"/>
      <c r="Q625" s="150"/>
      <c r="R625" s="139"/>
      <c r="S625" s="148"/>
      <c r="T625" s="140"/>
      <c r="U625" s="175"/>
      <c r="V625" s="21"/>
    </row>
    <row r="626" spans="1:22" ht="16.5" hidden="1" customHeight="1" x14ac:dyDescent="0.25">
      <c r="A626" s="175">
        <v>609</v>
      </c>
      <c r="B626" s="175"/>
      <c r="C626" s="147"/>
      <c r="D626" s="147"/>
      <c r="E626" s="148"/>
      <c r="F626" s="149"/>
      <c r="G626" s="148"/>
      <c r="H626" s="148"/>
      <c r="I626" s="32"/>
      <c r="J626" s="157"/>
      <c r="K626" s="150"/>
      <c r="L626" s="150"/>
      <c r="M626" s="150"/>
      <c r="N626" s="150"/>
      <c r="O626" s="138"/>
      <c r="P626" s="150"/>
      <c r="Q626" s="138"/>
      <c r="R626" s="139"/>
      <c r="S626" s="148"/>
      <c r="T626" s="140"/>
      <c r="U626" s="175"/>
      <c r="V626" s="21"/>
    </row>
    <row r="627" spans="1:22" ht="16.5" hidden="1" customHeight="1" x14ac:dyDescent="0.25">
      <c r="A627" s="175">
        <v>610</v>
      </c>
      <c r="B627" s="175"/>
      <c r="C627" s="147"/>
      <c r="D627" s="147"/>
      <c r="E627" s="148"/>
      <c r="F627" s="149"/>
      <c r="G627" s="148"/>
      <c r="H627" s="148"/>
      <c r="I627" s="32"/>
      <c r="J627" s="157"/>
      <c r="K627" s="150"/>
      <c r="L627" s="138"/>
      <c r="M627" s="150"/>
      <c r="N627" s="150"/>
      <c r="O627" s="138"/>
      <c r="P627" s="150"/>
      <c r="Q627" s="138"/>
      <c r="R627" s="139"/>
      <c r="S627" s="148"/>
      <c r="T627" s="140"/>
      <c r="U627" s="175"/>
      <c r="V627" s="21"/>
    </row>
    <row r="628" spans="1:22" ht="16.5" hidden="1" customHeight="1" x14ac:dyDescent="0.25">
      <c r="A628" s="175">
        <v>611</v>
      </c>
      <c r="B628" s="175"/>
      <c r="C628" s="147"/>
      <c r="D628" s="147"/>
      <c r="E628" s="148"/>
      <c r="F628" s="149"/>
      <c r="G628" s="148"/>
      <c r="H628" s="148"/>
      <c r="I628" s="32"/>
      <c r="J628" s="157"/>
      <c r="K628" s="150"/>
      <c r="L628" s="138"/>
      <c r="M628" s="150"/>
      <c r="N628" s="150"/>
      <c r="O628" s="138"/>
      <c r="P628" s="150"/>
      <c r="Q628" s="138"/>
      <c r="R628" s="140"/>
      <c r="S628" s="148"/>
      <c r="T628" s="140"/>
      <c r="U628" s="175"/>
      <c r="V628" s="21"/>
    </row>
    <row r="629" spans="1:22" ht="16.5" hidden="1" customHeight="1" x14ac:dyDescent="0.25">
      <c r="A629" s="175">
        <v>612</v>
      </c>
      <c r="B629" s="175"/>
      <c r="C629" s="147"/>
      <c r="D629" s="147"/>
      <c r="E629" s="148"/>
      <c r="F629" s="149"/>
      <c r="G629" s="148"/>
      <c r="H629" s="148"/>
      <c r="I629" s="138"/>
      <c r="J629" s="103"/>
      <c r="K629" s="150"/>
      <c r="L629" s="138"/>
      <c r="M629" s="150"/>
      <c r="N629" s="150"/>
      <c r="O629" s="138"/>
      <c r="P629" s="150"/>
      <c r="Q629" s="138"/>
      <c r="R629" s="140"/>
      <c r="S629" s="148"/>
      <c r="T629" s="140"/>
      <c r="U629" s="175"/>
      <c r="V629" s="21"/>
    </row>
    <row r="630" spans="1:22" ht="16.5" hidden="1" customHeight="1" x14ac:dyDescent="0.25">
      <c r="A630" s="175">
        <v>613</v>
      </c>
      <c r="B630" s="175"/>
      <c r="C630" s="147"/>
      <c r="D630" s="147"/>
      <c r="E630" s="148"/>
      <c r="F630" s="149"/>
      <c r="G630" s="148"/>
      <c r="H630" s="148"/>
      <c r="I630" s="40"/>
      <c r="J630" s="157"/>
      <c r="K630" s="150"/>
      <c r="L630" s="138"/>
      <c r="M630" s="150"/>
      <c r="N630" s="150"/>
      <c r="O630" s="138"/>
      <c r="P630" s="150"/>
      <c r="Q630" s="138"/>
      <c r="R630" s="139"/>
      <c r="S630" s="148"/>
      <c r="T630" s="140"/>
      <c r="U630" s="175"/>
      <c r="V630" s="21"/>
    </row>
    <row r="631" spans="1:22" ht="16.5" hidden="1" customHeight="1" x14ac:dyDescent="0.25">
      <c r="A631" s="175">
        <v>614</v>
      </c>
      <c r="B631" s="175"/>
      <c r="C631" s="147"/>
      <c r="D631" s="147"/>
      <c r="E631" s="148"/>
      <c r="F631" s="149"/>
      <c r="G631" s="148"/>
      <c r="H631" s="148"/>
      <c r="I631" s="138"/>
      <c r="J631" s="157"/>
      <c r="K631" s="150"/>
      <c r="L631" s="138"/>
      <c r="M631" s="150"/>
      <c r="N631" s="150"/>
      <c r="O631" s="138"/>
      <c r="P631" s="150"/>
      <c r="Q631" s="138"/>
      <c r="R631" s="139"/>
      <c r="S631" s="148"/>
      <c r="T631" s="140"/>
      <c r="U631" s="175"/>
      <c r="V631" s="21"/>
    </row>
    <row r="632" spans="1:22" ht="16.5" hidden="1" customHeight="1" x14ac:dyDescent="0.25">
      <c r="A632" s="175">
        <v>615</v>
      </c>
      <c r="B632" s="175"/>
      <c r="C632" s="147"/>
      <c r="D632" s="147"/>
      <c r="E632" s="148"/>
      <c r="F632" s="149"/>
      <c r="G632" s="156"/>
      <c r="H632" s="148"/>
      <c r="I632" s="148"/>
      <c r="J632" s="157"/>
      <c r="K632" s="138"/>
      <c r="L632" s="152"/>
      <c r="M632" s="150"/>
      <c r="N632" s="138"/>
      <c r="O632" s="151"/>
      <c r="P632" s="150"/>
      <c r="Q632" s="150"/>
      <c r="R632" s="139"/>
      <c r="S632" s="148"/>
      <c r="T632" s="140"/>
      <c r="U632" s="175"/>
      <c r="V632" s="21"/>
    </row>
    <row r="633" spans="1:22" ht="16.5" hidden="1" customHeight="1" x14ac:dyDescent="0.25">
      <c r="A633" s="175">
        <v>616</v>
      </c>
      <c r="B633" s="175"/>
      <c r="C633" s="147"/>
      <c r="D633" s="147"/>
      <c r="E633" s="148"/>
      <c r="F633" s="149"/>
      <c r="G633" s="156"/>
      <c r="H633" s="148"/>
      <c r="I633" s="148"/>
      <c r="J633" s="157"/>
      <c r="K633" s="150"/>
      <c r="L633" s="118"/>
      <c r="M633" s="150"/>
      <c r="N633" s="150"/>
      <c r="O633" s="139"/>
      <c r="P633" s="150"/>
      <c r="Q633" s="150"/>
      <c r="R633" s="139"/>
      <c r="S633" s="148"/>
      <c r="T633" s="140"/>
      <c r="U633" s="175"/>
      <c r="V633" s="21"/>
    </row>
    <row r="634" spans="1:22" ht="16.5" hidden="1" customHeight="1" x14ac:dyDescent="0.25">
      <c r="A634" s="175">
        <v>617</v>
      </c>
      <c r="B634" s="175"/>
      <c r="C634" s="147"/>
      <c r="D634" s="147"/>
      <c r="E634" s="148"/>
      <c r="F634" s="149"/>
      <c r="G634" s="156"/>
      <c r="H634" s="148"/>
      <c r="I634" s="148"/>
      <c r="J634" s="157"/>
      <c r="K634" s="138"/>
      <c r="L634" s="152"/>
      <c r="M634" s="150"/>
      <c r="N634" s="138"/>
      <c r="O634" s="151"/>
      <c r="P634" s="150"/>
      <c r="Q634" s="150"/>
      <c r="R634" s="139"/>
      <c r="S634" s="148"/>
      <c r="T634" s="140"/>
      <c r="U634" s="175"/>
      <c r="V634" s="21"/>
    </row>
    <row r="635" spans="1:22" ht="16.5" hidden="1" customHeight="1" x14ac:dyDescent="0.25">
      <c r="A635" s="175">
        <v>618</v>
      </c>
      <c r="B635" s="175"/>
      <c r="C635" s="147"/>
      <c r="D635" s="147"/>
      <c r="E635" s="148"/>
      <c r="F635" s="149"/>
      <c r="G635" s="156"/>
      <c r="H635" s="148"/>
      <c r="I635" s="148"/>
      <c r="J635" s="157"/>
      <c r="K635" s="150"/>
      <c r="L635" s="118"/>
      <c r="M635" s="150"/>
      <c r="N635" s="150"/>
      <c r="O635" s="139"/>
      <c r="P635" s="150"/>
      <c r="Q635" s="150"/>
      <c r="R635" s="139"/>
      <c r="S635" s="148"/>
      <c r="T635" s="140"/>
      <c r="U635" s="175"/>
      <c r="V635" s="21"/>
    </row>
    <row r="636" spans="1:22" ht="16.5" hidden="1" customHeight="1" x14ac:dyDescent="0.25">
      <c r="A636" s="175">
        <v>619</v>
      </c>
      <c r="B636" s="175"/>
      <c r="C636" s="147"/>
      <c r="D636" s="147"/>
      <c r="E636" s="148"/>
      <c r="F636" s="149"/>
      <c r="G636" s="156"/>
      <c r="H636" s="148"/>
      <c r="I636" s="148"/>
      <c r="J636" s="157"/>
      <c r="K636" s="150"/>
      <c r="L636" s="150"/>
      <c r="M636" s="150"/>
      <c r="N636" s="150"/>
      <c r="O636" s="139"/>
      <c r="P636" s="150"/>
      <c r="Q636" s="150"/>
      <c r="R636" s="139"/>
      <c r="S636" s="148"/>
      <c r="T636" s="140"/>
      <c r="U636" s="175"/>
      <c r="V636" s="21"/>
    </row>
    <row r="637" spans="1:22" ht="16.5" hidden="1" customHeight="1" x14ac:dyDescent="0.25">
      <c r="A637" s="175">
        <v>620</v>
      </c>
      <c r="B637" s="175"/>
      <c r="C637" s="147"/>
      <c r="D637" s="147"/>
      <c r="E637" s="148"/>
      <c r="F637" s="149"/>
      <c r="G637" s="156"/>
      <c r="H637" s="148"/>
      <c r="I637" s="148"/>
      <c r="J637" s="157"/>
      <c r="K637" s="150"/>
      <c r="L637" s="150"/>
      <c r="M637" s="150"/>
      <c r="N637" s="150"/>
      <c r="O637" s="139"/>
      <c r="P637" s="150"/>
      <c r="Q637" s="150"/>
      <c r="R637" s="139"/>
      <c r="S637" s="148"/>
      <c r="T637" s="140"/>
      <c r="U637" s="175"/>
      <c r="V637" s="21"/>
    </row>
    <row r="638" spans="1:22" ht="16.5" hidden="1" customHeight="1" x14ac:dyDescent="0.25">
      <c r="A638" s="175">
        <v>621</v>
      </c>
      <c r="B638" s="175"/>
      <c r="C638" s="147"/>
      <c r="D638" s="147"/>
      <c r="E638" s="148"/>
      <c r="F638" s="149"/>
      <c r="G638" s="156"/>
      <c r="H638" s="148"/>
      <c r="I638" s="156"/>
      <c r="J638" s="157"/>
      <c r="K638" s="150"/>
      <c r="L638" s="118"/>
      <c r="M638" s="150"/>
      <c r="N638" s="150"/>
      <c r="O638" s="138"/>
      <c r="P638" s="150"/>
      <c r="Q638" s="138"/>
      <c r="R638" s="139"/>
      <c r="S638" s="148"/>
      <c r="T638" s="140"/>
      <c r="U638" s="175"/>
      <c r="V638" s="21"/>
    </row>
    <row r="639" spans="1:22" ht="16.5" hidden="1" customHeight="1" x14ac:dyDescent="0.25">
      <c r="A639" s="175">
        <v>622</v>
      </c>
      <c r="B639" s="175"/>
      <c r="C639" s="147"/>
      <c r="D639" s="147"/>
      <c r="E639" s="148"/>
      <c r="F639" s="149"/>
      <c r="G639" s="156"/>
      <c r="H639" s="148"/>
      <c r="I639" s="32"/>
      <c r="J639" s="157"/>
      <c r="K639" s="150"/>
      <c r="L639" s="118"/>
      <c r="M639" s="150"/>
      <c r="N639" s="150"/>
      <c r="O639" s="138"/>
      <c r="P639" s="150"/>
      <c r="Q639" s="138"/>
      <c r="R639" s="139"/>
      <c r="S639" s="148"/>
      <c r="T639" s="140"/>
      <c r="U639" s="175"/>
      <c r="V639" s="21"/>
    </row>
    <row r="640" spans="1:22" ht="16.5" hidden="1" customHeight="1" x14ac:dyDescent="0.25">
      <c r="A640" s="175">
        <v>623</v>
      </c>
      <c r="B640" s="175"/>
      <c r="C640" s="147"/>
      <c r="D640" s="147"/>
      <c r="E640" s="148"/>
      <c r="F640" s="149"/>
      <c r="G640" s="156"/>
      <c r="H640" s="148"/>
      <c r="I640" s="32"/>
      <c r="J640" s="157"/>
      <c r="K640" s="150"/>
      <c r="L640" s="138"/>
      <c r="M640" s="150"/>
      <c r="N640" s="150"/>
      <c r="O640" s="138"/>
      <c r="P640" s="150"/>
      <c r="Q640" s="138"/>
      <c r="R640" s="139"/>
      <c r="S640" s="148"/>
      <c r="T640" s="140"/>
      <c r="U640" s="175"/>
      <c r="V640" s="21"/>
    </row>
    <row r="641" spans="1:22" ht="16.5" hidden="1" customHeight="1" x14ac:dyDescent="0.25">
      <c r="A641" s="175">
        <v>624</v>
      </c>
      <c r="B641" s="175"/>
      <c r="C641" s="147"/>
      <c r="D641" s="147"/>
      <c r="E641" s="148"/>
      <c r="F641" s="149"/>
      <c r="G641" s="156"/>
      <c r="H641" s="148"/>
      <c r="I641" s="32"/>
      <c r="J641" s="157"/>
      <c r="K641" s="150"/>
      <c r="L641" s="138"/>
      <c r="M641" s="138"/>
      <c r="N641" s="150"/>
      <c r="O641" s="138"/>
      <c r="P641" s="150"/>
      <c r="Q641" s="138"/>
      <c r="R641" s="139"/>
      <c r="S641" s="148"/>
      <c r="T641" s="140"/>
      <c r="U641" s="175"/>
      <c r="V641" s="21"/>
    </row>
    <row r="642" spans="1:22" ht="16.5" hidden="1" customHeight="1" x14ac:dyDescent="0.25">
      <c r="A642" s="175">
        <v>625</v>
      </c>
      <c r="B642" s="175"/>
      <c r="C642" s="147"/>
      <c r="D642" s="147"/>
      <c r="E642" s="148"/>
      <c r="F642" s="149"/>
      <c r="G642" s="156"/>
      <c r="H642" s="148"/>
      <c r="I642" s="138"/>
      <c r="J642" s="103"/>
      <c r="K642" s="150"/>
      <c r="L642" s="138"/>
      <c r="M642" s="138"/>
      <c r="N642" s="150"/>
      <c r="O642" s="138"/>
      <c r="P642" s="150"/>
      <c r="Q642" s="150"/>
      <c r="R642" s="139"/>
      <c r="S642" s="148"/>
      <c r="T642" s="140"/>
      <c r="U642" s="175"/>
      <c r="V642" s="21"/>
    </row>
    <row r="643" spans="1:22" ht="16.5" hidden="1" customHeight="1" x14ac:dyDescent="0.25">
      <c r="A643" s="175">
        <v>626</v>
      </c>
      <c r="B643" s="175"/>
      <c r="C643" s="147"/>
      <c r="D643" s="147"/>
      <c r="E643" s="148"/>
      <c r="F643" s="149"/>
      <c r="G643" s="148"/>
      <c r="H643" s="148"/>
      <c r="I643" s="40"/>
      <c r="J643" s="157"/>
      <c r="K643" s="138"/>
      <c r="L643" s="138"/>
      <c r="M643" s="150"/>
      <c r="N643" s="138"/>
      <c r="O643" s="138"/>
      <c r="P643" s="150"/>
      <c r="Q643" s="138"/>
      <c r="R643" s="139"/>
      <c r="S643" s="175"/>
      <c r="T643" s="140"/>
      <c r="U643" s="175"/>
      <c r="V643" s="21"/>
    </row>
    <row r="644" spans="1:22" ht="16.5" hidden="1" customHeight="1" x14ac:dyDescent="0.25">
      <c r="A644" s="175">
        <v>627</v>
      </c>
      <c r="B644" s="175"/>
      <c r="C644" s="147"/>
      <c r="D644" s="147"/>
      <c r="E644" s="148"/>
      <c r="F644" s="149"/>
      <c r="G644" s="148"/>
      <c r="H644" s="148"/>
      <c r="I644" s="148"/>
      <c r="J644" s="157"/>
      <c r="K644" s="138"/>
      <c r="L644" s="118"/>
      <c r="M644" s="150"/>
      <c r="N644" s="150"/>
      <c r="O644" s="151"/>
      <c r="P644" s="150"/>
      <c r="Q644" s="150"/>
      <c r="R644" s="139"/>
      <c r="S644" s="148"/>
      <c r="T644" s="140"/>
      <c r="U644" s="175"/>
      <c r="V644" s="21"/>
    </row>
    <row r="645" spans="1:22" ht="16.5" hidden="1" customHeight="1" x14ac:dyDescent="0.25">
      <c r="A645" s="175">
        <v>628</v>
      </c>
      <c r="B645" s="175"/>
      <c r="C645" s="147"/>
      <c r="D645" s="147"/>
      <c r="E645" s="148"/>
      <c r="F645" s="149"/>
      <c r="G645" s="156"/>
      <c r="H645" s="148"/>
      <c r="I645" s="148"/>
      <c r="J645" s="157"/>
      <c r="K645" s="138"/>
      <c r="L645" s="118"/>
      <c r="M645" s="150"/>
      <c r="N645" s="138"/>
      <c r="O645" s="151"/>
      <c r="P645" s="150"/>
      <c r="Q645" s="150"/>
      <c r="R645" s="139"/>
      <c r="S645" s="148"/>
      <c r="T645" s="140"/>
      <c r="U645" s="138"/>
      <c r="V645" s="52"/>
    </row>
    <row r="646" spans="1:22" ht="16.5" hidden="1" customHeight="1" x14ac:dyDescent="0.25">
      <c r="A646" s="175">
        <v>629</v>
      </c>
      <c r="B646" s="175"/>
      <c r="C646" s="147"/>
      <c r="D646" s="147"/>
      <c r="E646" s="148"/>
      <c r="F646" s="149"/>
      <c r="G646" s="156"/>
      <c r="H646" s="148"/>
      <c r="I646" s="148"/>
      <c r="J646" s="157"/>
      <c r="K646" s="138"/>
      <c r="L646" s="150"/>
      <c r="M646" s="150"/>
      <c r="N646" s="138"/>
      <c r="O646" s="151"/>
      <c r="P646" s="150"/>
      <c r="Q646" s="150"/>
      <c r="R646" s="139"/>
      <c r="S646" s="148"/>
      <c r="T646" s="140"/>
      <c r="U646" s="200"/>
      <c r="V646" s="200"/>
    </row>
    <row r="647" spans="1:22" ht="16.5" hidden="1" customHeight="1" x14ac:dyDescent="0.25">
      <c r="A647" s="175">
        <v>630</v>
      </c>
      <c r="B647" s="175"/>
      <c r="C647" s="147"/>
      <c r="D647" s="147"/>
      <c r="E647" s="148"/>
      <c r="F647" s="149"/>
      <c r="G647" s="148"/>
      <c r="H647" s="148"/>
      <c r="I647" s="148"/>
      <c r="J647" s="157"/>
      <c r="K647" s="138"/>
      <c r="L647" s="157"/>
      <c r="M647" s="150"/>
      <c r="N647" s="138"/>
      <c r="O647" s="151"/>
      <c r="P647" s="150"/>
      <c r="Q647" s="150"/>
      <c r="R647" s="139"/>
      <c r="S647" s="148"/>
      <c r="T647" s="140"/>
      <c r="U647" s="200"/>
      <c r="V647" s="200"/>
    </row>
    <row r="648" spans="1:22" ht="16.5" hidden="1" customHeight="1" x14ac:dyDescent="0.25">
      <c r="A648" s="175">
        <v>631</v>
      </c>
      <c r="B648" s="138"/>
      <c r="C648" s="147"/>
      <c r="D648" s="147"/>
      <c r="E648" s="148"/>
      <c r="F648" s="149"/>
      <c r="G648" s="148"/>
      <c r="H648" s="148"/>
      <c r="I648" s="148"/>
      <c r="J648" s="157"/>
      <c r="K648" s="138"/>
      <c r="L648" s="118"/>
      <c r="M648" s="150"/>
      <c r="N648" s="150"/>
      <c r="O648" s="151"/>
      <c r="P648" s="150"/>
      <c r="Q648" s="150"/>
      <c r="R648" s="139"/>
      <c r="S648" s="148"/>
      <c r="T648" s="140"/>
      <c r="U648" s="138"/>
      <c r="V648" s="52"/>
    </row>
    <row r="649" spans="1:22" ht="16.5" hidden="1" customHeight="1" x14ac:dyDescent="0.25">
      <c r="A649" s="175">
        <v>632</v>
      </c>
      <c r="B649" s="138"/>
      <c r="C649" s="147"/>
      <c r="D649" s="147"/>
      <c r="E649" s="148"/>
      <c r="F649" s="149"/>
      <c r="G649" s="148"/>
      <c r="H649" s="148"/>
      <c r="I649" s="148"/>
      <c r="J649" s="157"/>
      <c r="K649" s="138"/>
      <c r="L649" s="118"/>
      <c r="M649" s="150"/>
      <c r="N649" s="138"/>
      <c r="O649" s="151"/>
      <c r="P649" s="150"/>
      <c r="Q649" s="150"/>
      <c r="R649" s="139"/>
      <c r="S649" s="148"/>
      <c r="T649" s="140"/>
      <c r="U649" s="138"/>
      <c r="V649" s="52"/>
    </row>
    <row r="650" spans="1:22" s="2" customFormat="1" ht="16.5" hidden="1" customHeight="1" x14ac:dyDescent="0.25">
      <c r="A650" s="175">
        <v>633</v>
      </c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</row>
    <row r="651" spans="1:22" s="2" customFormat="1" ht="16.5" hidden="1" customHeight="1" x14ac:dyDescent="0.25">
      <c r="A651" s="175">
        <v>634</v>
      </c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</row>
    <row r="652" spans="1:22" ht="16.5" hidden="1" customHeight="1" x14ac:dyDescent="0.25">
      <c r="A652" s="175">
        <v>635</v>
      </c>
      <c r="B652" s="175"/>
      <c r="C652" s="147"/>
      <c r="D652" s="147"/>
      <c r="E652" s="148"/>
      <c r="F652" s="149"/>
      <c r="G652" s="148"/>
      <c r="H652" s="148"/>
      <c r="I652" s="148"/>
      <c r="J652" s="157"/>
      <c r="K652" s="138"/>
      <c r="L652" s="118"/>
      <c r="M652" s="150"/>
      <c r="N652" s="150"/>
      <c r="O652" s="151"/>
      <c r="P652" s="150"/>
      <c r="Q652" s="150"/>
      <c r="R652" s="139"/>
      <c r="S652" s="148"/>
      <c r="T652" s="140"/>
      <c r="U652" s="175"/>
      <c r="V652" s="21"/>
    </row>
    <row r="653" spans="1:22" ht="16.5" hidden="1" customHeight="1" x14ac:dyDescent="0.25">
      <c r="A653" s="175">
        <v>636</v>
      </c>
      <c r="B653" s="175"/>
      <c r="C653" s="147"/>
      <c r="D653" s="147"/>
      <c r="E653" s="148"/>
      <c r="F653" s="149"/>
      <c r="G653" s="148"/>
      <c r="H653" s="148"/>
      <c r="I653" s="148"/>
      <c r="J653" s="157"/>
      <c r="K653" s="150"/>
      <c r="L653" s="118"/>
      <c r="M653" s="150"/>
      <c r="N653" s="150"/>
      <c r="O653" s="151"/>
      <c r="P653" s="150"/>
      <c r="Q653" s="150"/>
      <c r="R653" s="139"/>
      <c r="S653" s="148"/>
      <c r="T653" s="140"/>
      <c r="U653" s="175"/>
      <c r="V653" s="21"/>
    </row>
    <row r="654" spans="1:22" ht="16.5" hidden="1" customHeight="1" x14ac:dyDescent="0.25">
      <c r="A654" s="175">
        <v>637</v>
      </c>
      <c r="B654" s="175"/>
      <c r="C654" s="147"/>
      <c r="D654" s="147"/>
      <c r="E654" s="148"/>
      <c r="F654" s="153"/>
      <c r="G654" s="148"/>
      <c r="H654" s="148"/>
      <c r="I654" s="156"/>
      <c r="J654" s="157"/>
      <c r="K654" s="150"/>
      <c r="L654" s="118"/>
      <c r="M654" s="150"/>
      <c r="N654" s="150"/>
      <c r="O654" s="151"/>
      <c r="P654" s="150"/>
      <c r="Q654" s="150"/>
      <c r="R654" s="139"/>
      <c r="S654" s="148"/>
      <c r="T654" s="140"/>
      <c r="U654" s="175"/>
      <c r="V654" s="21"/>
    </row>
    <row r="655" spans="1:22" ht="16.5" hidden="1" customHeight="1" x14ac:dyDescent="0.25">
      <c r="A655" s="175">
        <v>638</v>
      </c>
      <c r="B655" s="175"/>
      <c r="C655" s="147"/>
      <c r="D655" s="147"/>
      <c r="E655" s="148"/>
      <c r="F655" s="149"/>
      <c r="G655" s="148"/>
      <c r="H655" s="148"/>
      <c r="I655" s="32"/>
      <c r="J655" s="157"/>
      <c r="K655" s="150"/>
      <c r="L655" s="150"/>
      <c r="M655" s="150"/>
      <c r="N655" s="150"/>
      <c r="O655" s="138"/>
      <c r="P655" s="150"/>
      <c r="Q655" s="138"/>
      <c r="R655" s="139"/>
      <c r="S655" s="148"/>
      <c r="T655" s="140"/>
      <c r="U655" s="175"/>
      <c r="V655" s="21"/>
    </row>
    <row r="656" spans="1:22" ht="16.5" hidden="1" customHeight="1" x14ac:dyDescent="0.25">
      <c r="A656" s="175">
        <v>639</v>
      </c>
      <c r="B656" s="175"/>
      <c r="C656" s="147"/>
      <c r="D656" s="147"/>
      <c r="E656" s="148"/>
      <c r="F656" s="149"/>
      <c r="G656" s="148"/>
      <c r="H656" s="148"/>
      <c r="I656" s="148"/>
      <c r="J656" s="157"/>
      <c r="K656" s="138"/>
      <c r="L656" s="118"/>
      <c r="M656" s="150"/>
      <c r="N656" s="150"/>
      <c r="O656" s="151"/>
      <c r="P656" s="150"/>
      <c r="Q656" s="150"/>
      <c r="R656" s="139"/>
      <c r="S656" s="148"/>
      <c r="T656" s="140"/>
      <c r="U656" s="175"/>
      <c r="V656" s="21"/>
    </row>
    <row r="657" spans="1:22" ht="16.5" hidden="1" customHeight="1" x14ac:dyDescent="0.25">
      <c r="A657" s="175">
        <v>640</v>
      </c>
      <c r="B657" s="175"/>
      <c r="C657" s="147"/>
      <c r="D657" s="147"/>
      <c r="E657" s="148"/>
      <c r="F657" s="149"/>
      <c r="G657" s="148"/>
      <c r="H657" s="148"/>
      <c r="I657" s="148"/>
      <c r="J657" s="157"/>
      <c r="K657" s="150"/>
      <c r="L657" s="118"/>
      <c r="M657" s="150"/>
      <c r="N657" s="150"/>
      <c r="O657" s="139"/>
      <c r="P657" s="150"/>
      <c r="Q657" s="150"/>
      <c r="R657" s="139"/>
      <c r="S657" s="148"/>
      <c r="T657" s="140"/>
      <c r="U657" s="175"/>
      <c r="V657" s="21"/>
    </row>
    <row r="658" spans="1:22" ht="16.5" hidden="1" customHeight="1" x14ac:dyDescent="0.25">
      <c r="A658" s="175">
        <v>641</v>
      </c>
      <c r="B658" s="175"/>
      <c r="C658" s="147"/>
      <c r="D658" s="147"/>
      <c r="E658" s="148"/>
      <c r="F658" s="149"/>
      <c r="G658" s="148"/>
      <c r="H658" s="148"/>
      <c r="I658" s="156"/>
      <c r="J658" s="157"/>
      <c r="K658" s="150"/>
      <c r="L658" s="118"/>
      <c r="M658" s="150"/>
      <c r="N658" s="150"/>
      <c r="O658" s="138"/>
      <c r="P658" s="150"/>
      <c r="Q658" s="138"/>
      <c r="R658" s="139"/>
      <c r="S658" s="148"/>
      <c r="T658" s="140"/>
      <c r="U658" s="175"/>
      <c r="V658" s="21"/>
    </row>
    <row r="659" spans="1:22" ht="16.5" hidden="1" customHeight="1" x14ac:dyDescent="0.25">
      <c r="A659" s="175">
        <v>642</v>
      </c>
      <c r="B659" s="175"/>
      <c r="C659" s="147"/>
      <c r="D659" s="147"/>
      <c r="E659" s="148"/>
      <c r="F659" s="149"/>
      <c r="G659" s="148"/>
      <c r="H659" s="148"/>
      <c r="I659" s="32"/>
      <c r="J659" s="157"/>
      <c r="K659" s="150"/>
      <c r="L659" s="150"/>
      <c r="M659" s="150"/>
      <c r="N659" s="150"/>
      <c r="O659" s="138"/>
      <c r="P659" s="150"/>
      <c r="Q659" s="150"/>
      <c r="R659" s="139"/>
      <c r="S659" s="148"/>
      <c r="T659" s="140"/>
      <c r="U659" s="175"/>
      <c r="V659" s="21"/>
    </row>
    <row r="660" spans="1:22" ht="16.5" hidden="1" customHeight="1" x14ac:dyDescent="0.25">
      <c r="A660" s="175">
        <v>643</v>
      </c>
      <c r="B660" s="175"/>
      <c r="C660" s="147"/>
      <c r="D660" s="147"/>
      <c r="E660" s="148"/>
      <c r="F660" s="153"/>
      <c r="G660" s="156"/>
      <c r="H660" s="148"/>
      <c r="I660" s="148"/>
      <c r="J660" s="157"/>
      <c r="K660" s="138"/>
      <c r="L660" s="118"/>
      <c r="M660" s="150"/>
      <c r="N660" s="150"/>
      <c r="O660" s="151"/>
      <c r="P660" s="150"/>
      <c r="Q660" s="150"/>
      <c r="R660" s="139"/>
      <c r="S660" s="148"/>
      <c r="T660" s="140"/>
      <c r="U660" s="175"/>
      <c r="V660" s="21"/>
    </row>
    <row r="661" spans="1:22" ht="16.5" hidden="1" customHeight="1" x14ac:dyDescent="0.25">
      <c r="A661" s="175">
        <v>644</v>
      </c>
      <c r="B661" s="175"/>
      <c r="C661" s="147"/>
      <c r="D661" s="147"/>
      <c r="E661" s="148"/>
      <c r="F661" s="153"/>
      <c r="G661" s="156"/>
      <c r="H661" s="148"/>
      <c r="I661" s="148"/>
      <c r="J661" s="157"/>
      <c r="K661" s="138"/>
      <c r="L661" s="118"/>
      <c r="M661" s="150"/>
      <c r="N661" s="150"/>
      <c r="O661" s="151"/>
      <c r="P661" s="150"/>
      <c r="Q661" s="150"/>
      <c r="R661" s="139"/>
      <c r="S661" s="148"/>
      <c r="T661" s="140"/>
      <c r="U661" s="175"/>
      <c r="V661" s="21"/>
    </row>
    <row r="662" spans="1:22" ht="16.5" hidden="1" customHeight="1" x14ac:dyDescent="0.25">
      <c r="A662" s="175">
        <v>645</v>
      </c>
      <c r="B662" s="175"/>
      <c r="C662" s="147"/>
      <c r="D662" s="147"/>
      <c r="E662" s="148"/>
      <c r="F662" s="149"/>
      <c r="G662" s="156"/>
      <c r="H662" s="148"/>
      <c r="I662" s="156"/>
      <c r="J662" s="157"/>
      <c r="K662" s="138"/>
      <c r="L662" s="118"/>
      <c r="M662" s="150"/>
      <c r="N662" s="138"/>
      <c r="O662" s="151"/>
      <c r="P662" s="150"/>
      <c r="Q662" s="150"/>
      <c r="R662" s="139"/>
      <c r="S662" s="148"/>
      <c r="T662" s="140"/>
      <c r="U662" s="175"/>
      <c r="V662" s="21"/>
    </row>
    <row r="663" spans="1:22" ht="16.5" hidden="1" customHeight="1" x14ac:dyDescent="0.25">
      <c r="A663" s="175">
        <v>646</v>
      </c>
      <c r="B663" s="175"/>
      <c r="C663" s="147"/>
      <c r="D663" s="147"/>
      <c r="E663" s="148"/>
      <c r="F663" s="149"/>
      <c r="G663" s="156"/>
      <c r="H663" s="148"/>
      <c r="I663" s="148"/>
      <c r="J663" s="157"/>
      <c r="K663" s="138"/>
      <c r="L663" s="118"/>
      <c r="M663" s="150"/>
      <c r="N663" s="150"/>
      <c r="O663" s="151"/>
      <c r="P663" s="150"/>
      <c r="Q663" s="150"/>
      <c r="R663" s="139"/>
      <c r="S663" s="148"/>
      <c r="T663" s="140"/>
      <c r="U663" s="175"/>
      <c r="V663" s="21"/>
    </row>
    <row r="664" spans="1:22" ht="16.5" hidden="1" customHeight="1" x14ac:dyDescent="0.25">
      <c r="A664" s="175">
        <v>647</v>
      </c>
      <c r="B664" s="175"/>
      <c r="C664" s="147"/>
      <c r="D664" s="147"/>
      <c r="E664" s="148"/>
      <c r="F664" s="149"/>
      <c r="G664" s="148"/>
      <c r="H664" s="148"/>
      <c r="I664" s="148"/>
      <c r="J664" s="157"/>
      <c r="K664" s="138"/>
      <c r="L664" s="118"/>
      <c r="M664" s="150"/>
      <c r="N664" s="138"/>
      <c r="O664" s="151"/>
      <c r="P664" s="150"/>
      <c r="Q664" s="150"/>
      <c r="R664" s="139"/>
      <c r="S664" s="148"/>
      <c r="T664" s="140"/>
      <c r="U664" s="175"/>
      <c r="V664" s="21"/>
    </row>
    <row r="665" spans="1:22" ht="16.5" hidden="1" customHeight="1" x14ac:dyDescent="0.25">
      <c r="A665" s="175">
        <v>648</v>
      </c>
      <c r="B665" s="175"/>
      <c r="C665" s="147"/>
      <c r="D665" s="147"/>
      <c r="E665" s="148"/>
      <c r="F665" s="149"/>
      <c r="G665" s="156"/>
      <c r="H665" s="148"/>
      <c r="I665" s="148"/>
      <c r="J665" s="157"/>
      <c r="K665" s="138"/>
      <c r="L665" s="150"/>
      <c r="M665" s="150"/>
      <c r="N665" s="138"/>
      <c r="O665" s="151"/>
      <c r="P665" s="150"/>
      <c r="Q665" s="150"/>
      <c r="R665" s="139"/>
      <c r="S665" s="148"/>
      <c r="T665" s="140"/>
      <c r="U665" s="175"/>
      <c r="V665" s="21"/>
    </row>
    <row r="666" spans="1:22" ht="16.5" hidden="1" customHeight="1" x14ac:dyDescent="0.25">
      <c r="A666" s="175">
        <v>649</v>
      </c>
      <c r="B666" s="175"/>
      <c r="C666" s="147"/>
      <c r="D666" s="147"/>
      <c r="E666" s="148"/>
      <c r="F666" s="149"/>
      <c r="G666" s="148"/>
      <c r="H666" s="148"/>
      <c r="I666" s="148"/>
      <c r="J666" s="157"/>
      <c r="K666" s="138"/>
      <c r="L666" s="118"/>
      <c r="M666" s="150"/>
      <c r="N666" s="138"/>
      <c r="O666" s="151"/>
      <c r="P666" s="150"/>
      <c r="Q666" s="150"/>
      <c r="R666" s="139"/>
      <c r="S666" s="148"/>
      <c r="T666" s="140"/>
      <c r="U666" s="175"/>
      <c r="V666" s="21"/>
    </row>
    <row r="667" spans="1:22" ht="16.5" hidden="1" customHeight="1" x14ac:dyDescent="0.25">
      <c r="A667" s="175">
        <v>650</v>
      </c>
      <c r="B667" s="175"/>
      <c r="C667" s="147"/>
      <c r="D667" s="147"/>
      <c r="E667" s="148"/>
      <c r="F667" s="149"/>
      <c r="G667" s="148"/>
      <c r="H667" s="148"/>
      <c r="I667" s="148"/>
      <c r="J667" s="157"/>
      <c r="K667" s="138"/>
      <c r="L667" s="118"/>
      <c r="M667" s="150"/>
      <c r="N667" s="138"/>
      <c r="O667" s="151"/>
      <c r="P667" s="150"/>
      <c r="Q667" s="150"/>
      <c r="R667" s="139"/>
      <c r="S667" s="148"/>
      <c r="T667" s="140"/>
      <c r="U667" s="175"/>
      <c r="V667" s="21"/>
    </row>
    <row r="668" spans="1:22" ht="16.5" hidden="1" customHeight="1" x14ac:dyDescent="0.25">
      <c r="A668" s="175">
        <v>651</v>
      </c>
      <c r="B668" s="175"/>
      <c r="C668" s="147"/>
      <c r="D668" s="147"/>
      <c r="E668" s="148"/>
      <c r="F668" s="149"/>
      <c r="G668" s="148"/>
      <c r="H668" s="148"/>
      <c r="I668" s="148"/>
      <c r="J668" s="157"/>
      <c r="K668" s="138"/>
      <c r="L668" s="150"/>
      <c r="M668" s="150"/>
      <c r="N668" s="138"/>
      <c r="O668" s="151"/>
      <c r="P668" s="150"/>
      <c r="Q668" s="150"/>
      <c r="R668" s="139"/>
      <c r="S668" s="148"/>
      <c r="T668" s="140"/>
      <c r="U668" s="175"/>
      <c r="V668" s="21"/>
    </row>
    <row r="669" spans="1:22" ht="16.5" hidden="1" customHeight="1" x14ac:dyDescent="0.25">
      <c r="A669" s="175">
        <v>652</v>
      </c>
      <c r="B669" s="175"/>
      <c r="C669" s="147"/>
      <c r="D669" s="147"/>
      <c r="E669" s="148"/>
      <c r="F669" s="149"/>
      <c r="G669" s="156"/>
      <c r="H669" s="148"/>
      <c r="I669" s="148"/>
      <c r="J669" s="157"/>
      <c r="K669" s="138"/>
      <c r="L669" s="118"/>
      <c r="M669" s="150"/>
      <c r="N669" s="150"/>
      <c r="O669" s="151"/>
      <c r="P669" s="150"/>
      <c r="Q669" s="150"/>
      <c r="R669" s="139"/>
      <c r="S669" s="148"/>
      <c r="T669" s="140"/>
      <c r="U669" s="175"/>
      <c r="V669" s="21"/>
    </row>
    <row r="670" spans="1:22" ht="16.5" hidden="1" customHeight="1" x14ac:dyDescent="0.25">
      <c r="A670" s="175">
        <v>653</v>
      </c>
      <c r="B670" s="175"/>
      <c r="C670" s="147"/>
      <c r="D670" s="147"/>
      <c r="E670" s="148"/>
      <c r="F670" s="149"/>
      <c r="G670" s="148"/>
      <c r="H670" s="148"/>
      <c r="I670" s="148"/>
      <c r="J670" s="157"/>
      <c r="K670" s="138"/>
      <c r="L670" s="118"/>
      <c r="M670" s="150"/>
      <c r="N670" s="150"/>
      <c r="O670" s="151"/>
      <c r="P670" s="150"/>
      <c r="Q670" s="150"/>
      <c r="R670" s="139"/>
      <c r="S670" s="148"/>
      <c r="T670" s="140"/>
      <c r="U670" s="175"/>
      <c r="V670" s="21"/>
    </row>
    <row r="671" spans="1:22" ht="16.5" hidden="1" customHeight="1" x14ac:dyDescent="0.25">
      <c r="A671" s="175">
        <v>654</v>
      </c>
      <c r="B671" s="175"/>
      <c r="C671" s="147"/>
      <c r="D671" s="147"/>
      <c r="E671" s="148"/>
      <c r="F671" s="149"/>
      <c r="G671" s="156"/>
      <c r="H671" s="148"/>
      <c r="I671" s="148"/>
      <c r="J671" s="157"/>
      <c r="K671" s="150"/>
      <c r="L671" s="118"/>
      <c r="M671" s="150"/>
      <c r="N671" s="150"/>
      <c r="O671" s="139"/>
      <c r="P671" s="150"/>
      <c r="Q671" s="150"/>
      <c r="R671" s="139"/>
      <c r="S671" s="148"/>
      <c r="T671" s="140"/>
      <c r="U671" s="175"/>
      <c r="V671" s="21"/>
    </row>
    <row r="672" spans="1:22" ht="16.5" hidden="1" customHeight="1" x14ac:dyDescent="0.25">
      <c r="A672" s="175">
        <v>655</v>
      </c>
      <c r="B672" s="175"/>
      <c r="C672" s="147"/>
      <c r="D672" s="147"/>
      <c r="E672" s="148"/>
      <c r="F672" s="149"/>
      <c r="G672" s="156"/>
      <c r="H672" s="148"/>
      <c r="I672" s="148"/>
      <c r="J672" s="157"/>
      <c r="K672" s="138"/>
      <c r="L672" s="118"/>
      <c r="M672" s="150"/>
      <c r="N672" s="138"/>
      <c r="O672" s="151"/>
      <c r="P672" s="150"/>
      <c r="Q672" s="150"/>
      <c r="R672" s="139"/>
      <c r="S672" s="148"/>
      <c r="T672" s="140"/>
      <c r="U672" s="175"/>
      <c r="V672" s="21"/>
    </row>
    <row r="673" spans="1:22" ht="16.5" hidden="1" customHeight="1" x14ac:dyDescent="0.25">
      <c r="A673" s="175">
        <v>656</v>
      </c>
      <c r="B673" s="175"/>
      <c r="C673" s="147"/>
      <c r="D673" s="147"/>
      <c r="E673" s="148"/>
      <c r="F673" s="149"/>
      <c r="G673" s="148"/>
      <c r="H673" s="148"/>
      <c r="I673" s="148"/>
      <c r="J673" s="157"/>
      <c r="K673" s="138"/>
      <c r="L673" s="118"/>
      <c r="M673" s="150"/>
      <c r="N673" s="138"/>
      <c r="O673" s="151"/>
      <c r="P673" s="150"/>
      <c r="Q673" s="150"/>
      <c r="R673" s="139"/>
      <c r="S673" s="148"/>
      <c r="T673" s="140"/>
      <c r="U673" s="175"/>
      <c r="V673" s="21"/>
    </row>
    <row r="674" spans="1:22" ht="16.5" hidden="1" customHeight="1" x14ac:dyDescent="0.25">
      <c r="A674" s="175">
        <v>657</v>
      </c>
      <c r="B674" s="175"/>
      <c r="C674" s="147"/>
      <c r="D674" s="147"/>
      <c r="E674" s="149"/>
      <c r="F674" s="149"/>
      <c r="G674" s="148"/>
      <c r="H674" s="148"/>
      <c r="I674" s="148"/>
      <c r="J674" s="157"/>
      <c r="K674" s="138"/>
      <c r="L674" s="118"/>
      <c r="M674" s="118"/>
      <c r="N674" s="150"/>
      <c r="O674" s="151"/>
      <c r="P674" s="150"/>
      <c r="Q674" s="150"/>
      <c r="R674" s="139"/>
      <c r="S674" s="148"/>
      <c r="T674" s="140"/>
      <c r="U674" s="175"/>
      <c r="V674" s="21"/>
    </row>
    <row r="675" spans="1:22" ht="16.5" hidden="1" customHeight="1" x14ac:dyDescent="0.25">
      <c r="A675" s="175">
        <v>658</v>
      </c>
      <c r="B675" s="175"/>
      <c r="C675" s="147"/>
      <c r="D675" s="147"/>
      <c r="E675" s="149"/>
      <c r="F675" s="149"/>
      <c r="G675" s="148"/>
      <c r="H675" s="148"/>
      <c r="I675" s="148"/>
      <c r="J675" s="157"/>
      <c r="K675" s="138"/>
      <c r="L675" s="118"/>
      <c r="M675" s="150"/>
      <c r="N675" s="138"/>
      <c r="O675" s="151"/>
      <c r="P675" s="150"/>
      <c r="Q675" s="150"/>
      <c r="R675" s="139"/>
      <c r="S675" s="148"/>
      <c r="T675" s="140"/>
      <c r="U675" s="175"/>
      <c r="V675" s="21"/>
    </row>
    <row r="676" spans="1:22" ht="16.5" hidden="1" customHeight="1" x14ac:dyDescent="0.25">
      <c r="A676" s="175">
        <v>659</v>
      </c>
      <c r="B676" s="175"/>
      <c r="C676" s="147"/>
      <c r="D676" s="147"/>
      <c r="E676" s="149"/>
      <c r="F676" s="149"/>
      <c r="G676" s="148"/>
      <c r="H676" s="148"/>
      <c r="I676" s="148"/>
      <c r="J676" s="150"/>
      <c r="K676" s="138"/>
      <c r="L676" s="118"/>
      <c r="M676" s="150"/>
      <c r="N676" s="150"/>
      <c r="O676" s="144"/>
      <c r="P676" s="150"/>
      <c r="Q676" s="138"/>
      <c r="R676" s="139"/>
      <c r="S676" s="148"/>
      <c r="T676" s="140"/>
      <c r="U676" s="175"/>
      <c r="V676" s="21"/>
    </row>
    <row r="677" spans="1:22" ht="16.5" hidden="1" customHeight="1" x14ac:dyDescent="0.25">
      <c r="A677" s="175">
        <v>660</v>
      </c>
      <c r="B677" s="175"/>
      <c r="C677" s="147"/>
      <c r="D677" s="147"/>
      <c r="E677" s="149"/>
      <c r="F677" s="149"/>
      <c r="G677" s="148"/>
      <c r="H677" s="148"/>
      <c r="I677" s="32"/>
      <c r="J677" s="150"/>
      <c r="K677" s="150"/>
      <c r="L677" s="138"/>
      <c r="M677" s="150"/>
      <c r="N677" s="150"/>
      <c r="O677" s="138"/>
      <c r="P677" s="150"/>
      <c r="Q677" s="138"/>
      <c r="R677" s="139"/>
      <c r="S677" s="148"/>
      <c r="T677" s="140"/>
      <c r="U677" s="175"/>
      <c r="V677" s="21"/>
    </row>
    <row r="678" spans="1:22" ht="16.5" hidden="1" customHeight="1" x14ac:dyDescent="0.25">
      <c r="A678" s="175">
        <v>661</v>
      </c>
      <c r="B678" s="175"/>
      <c r="C678" s="147"/>
      <c r="D678" s="147"/>
      <c r="E678" s="149"/>
      <c r="F678" s="149"/>
      <c r="G678" s="148"/>
      <c r="H678" s="148"/>
      <c r="I678" s="32"/>
      <c r="J678" s="150"/>
      <c r="K678" s="150"/>
      <c r="L678" s="138"/>
      <c r="M678" s="150"/>
      <c r="N678" s="150"/>
      <c r="O678" s="138"/>
      <c r="P678" s="150"/>
      <c r="Q678" s="138"/>
      <c r="R678" s="139"/>
      <c r="S678" s="148"/>
      <c r="T678" s="140"/>
      <c r="U678" s="175"/>
      <c r="V678" s="21"/>
    </row>
    <row r="679" spans="1:22" ht="16.5" hidden="1" customHeight="1" x14ac:dyDescent="0.25">
      <c r="A679" s="175"/>
      <c r="B679" s="175"/>
      <c r="C679" s="147"/>
      <c r="D679" s="147"/>
      <c r="E679" s="149"/>
      <c r="F679" s="149"/>
      <c r="G679" s="148"/>
      <c r="H679" s="148"/>
      <c r="I679" s="148"/>
      <c r="J679" s="157"/>
      <c r="K679" s="150"/>
      <c r="L679" s="152"/>
      <c r="M679" s="150"/>
      <c r="N679" s="138"/>
      <c r="O679" s="151"/>
      <c r="P679" s="150"/>
      <c r="Q679" s="150"/>
      <c r="R679" s="139"/>
      <c r="S679" s="148"/>
      <c r="T679" s="140"/>
      <c r="U679" s="175"/>
      <c r="V679" s="21"/>
    </row>
    <row r="680" spans="1:22" ht="16.5" hidden="1" customHeight="1" x14ac:dyDescent="0.25">
      <c r="A680" s="175"/>
      <c r="B680" s="175"/>
      <c r="C680" s="147"/>
      <c r="D680" s="147"/>
      <c r="E680" s="149"/>
      <c r="F680" s="149"/>
      <c r="G680" s="148"/>
      <c r="H680" s="148"/>
      <c r="I680" s="138"/>
      <c r="J680" s="138"/>
      <c r="K680" s="150"/>
      <c r="L680" s="138"/>
      <c r="M680" s="150"/>
      <c r="N680" s="138"/>
      <c r="O680" s="138"/>
      <c r="P680" s="150"/>
      <c r="Q680" s="150"/>
      <c r="R680" s="139"/>
      <c r="S680" s="148"/>
      <c r="T680" s="140"/>
      <c r="U680" s="175"/>
      <c r="V680" s="21"/>
    </row>
    <row r="681" spans="1:22" ht="16.5" hidden="1" customHeight="1" x14ac:dyDescent="0.25">
      <c r="A681" s="175"/>
      <c r="B681" s="175"/>
      <c r="C681" s="147"/>
      <c r="D681" s="147"/>
      <c r="E681" s="149"/>
      <c r="F681" s="149"/>
      <c r="G681" s="148"/>
      <c r="H681" s="148"/>
      <c r="I681" s="40"/>
      <c r="J681" s="150"/>
      <c r="K681" s="138"/>
      <c r="L681" s="138"/>
      <c r="M681" s="150"/>
      <c r="N681" s="138"/>
      <c r="O681" s="144"/>
      <c r="P681" s="150"/>
      <c r="Q681" s="138"/>
      <c r="R681" s="139"/>
      <c r="S681" s="175"/>
      <c r="T681" s="140"/>
      <c r="U681" s="175"/>
      <c r="V681" s="21"/>
    </row>
    <row r="682" spans="1:22" ht="16.5" hidden="1" customHeight="1" x14ac:dyDescent="0.25">
      <c r="A682" s="175"/>
      <c r="B682" s="175"/>
      <c r="C682" s="147"/>
      <c r="D682" s="147"/>
      <c r="E682" s="149"/>
      <c r="F682" s="149"/>
      <c r="G682" s="148"/>
      <c r="H682" s="148"/>
      <c r="I682" s="148"/>
      <c r="J682" s="157"/>
      <c r="K682" s="138"/>
      <c r="L682" s="118"/>
      <c r="M682" s="150"/>
      <c r="N682" s="150"/>
      <c r="O682" s="151"/>
      <c r="P682" s="150"/>
      <c r="Q682" s="150"/>
      <c r="R682" s="139"/>
      <c r="S682" s="148"/>
      <c r="T682" s="140"/>
      <c r="U682" s="175"/>
      <c r="V682" s="21"/>
    </row>
    <row r="683" spans="1:22" ht="16.5" hidden="1" customHeight="1" x14ac:dyDescent="0.25">
      <c r="A683" s="175"/>
      <c r="B683" s="175"/>
      <c r="C683" s="147"/>
      <c r="D683" s="147"/>
      <c r="E683" s="149"/>
      <c r="F683" s="149"/>
      <c r="G683" s="148"/>
      <c r="H683" s="148"/>
      <c r="I683" s="148"/>
      <c r="J683" s="157"/>
      <c r="K683" s="138"/>
      <c r="L683" s="118"/>
      <c r="M683" s="150"/>
      <c r="N683" s="150"/>
      <c r="O683" s="151"/>
      <c r="P683" s="150"/>
      <c r="Q683" s="150"/>
      <c r="R683" s="139"/>
      <c r="S683" s="148"/>
      <c r="T683" s="140"/>
      <c r="U683" s="175"/>
      <c r="V683" s="21"/>
    </row>
    <row r="684" spans="1:22" ht="16.5" hidden="1" customHeight="1" x14ac:dyDescent="0.25">
      <c r="A684" s="175"/>
      <c r="B684" s="175"/>
      <c r="C684" s="147"/>
      <c r="D684" s="147"/>
      <c r="E684" s="149"/>
      <c r="F684" s="149"/>
      <c r="G684" s="148"/>
      <c r="H684" s="148"/>
      <c r="I684" s="148"/>
      <c r="J684" s="157"/>
      <c r="K684" s="138"/>
      <c r="L684" s="118"/>
      <c r="M684" s="150"/>
      <c r="N684" s="150"/>
      <c r="O684" s="151"/>
      <c r="P684" s="150"/>
      <c r="Q684" s="150"/>
      <c r="R684" s="139"/>
      <c r="S684" s="148"/>
      <c r="T684" s="140"/>
      <c r="U684" s="175"/>
      <c r="V684" s="21"/>
    </row>
    <row r="685" spans="1:22" ht="16.5" hidden="1" customHeight="1" x14ac:dyDescent="0.25">
      <c r="A685" s="175"/>
      <c r="B685" s="175"/>
      <c r="C685" s="147"/>
      <c r="D685" s="147"/>
      <c r="E685" s="149"/>
      <c r="F685" s="149"/>
      <c r="G685" s="148"/>
      <c r="H685" s="148"/>
      <c r="I685" s="148"/>
      <c r="J685" s="150"/>
      <c r="K685" s="150"/>
      <c r="L685" s="152"/>
      <c r="M685" s="150"/>
      <c r="N685" s="150"/>
      <c r="O685" s="144"/>
      <c r="P685" s="150"/>
      <c r="Q685" s="138"/>
      <c r="R685" s="139"/>
      <c r="S685" s="148"/>
      <c r="T685" s="140"/>
      <c r="U685" s="175"/>
      <c r="V685" s="21"/>
    </row>
    <row r="686" spans="1:22" ht="16.5" hidden="1" customHeight="1" x14ac:dyDescent="0.25">
      <c r="A686" s="175"/>
      <c r="B686" s="175"/>
      <c r="C686" s="147"/>
      <c r="D686" s="147"/>
      <c r="E686" s="149"/>
      <c r="F686" s="149"/>
      <c r="G686" s="148"/>
      <c r="H686" s="148"/>
      <c r="I686" s="32"/>
      <c r="J686" s="150"/>
      <c r="K686" s="138"/>
      <c r="L686" s="150"/>
      <c r="M686" s="150"/>
      <c r="N686" s="150"/>
      <c r="O686" s="151"/>
      <c r="P686" s="150"/>
      <c r="Q686" s="150"/>
      <c r="R686" s="139"/>
      <c r="S686" s="148"/>
      <c r="T686" s="140"/>
      <c r="U686" s="175"/>
      <c r="V686" s="21"/>
    </row>
    <row r="687" spans="1:22" ht="16.5" hidden="1" customHeight="1" x14ac:dyDescent="0.25">
      <c r="A687" s="175"/>
      <c r="B687" s="175"/>
      <c r="C687" s="147"/>
      <c r="D687" s="147"/>
      <c r="E687" s="149"/>
      <c r="F687" s="149"/>
      <c r="G687" s="148"/>
      <c r="H687" s="148"/>
      <c r="I687" s="32"/>
      <c r="J687" s="150"/>
      <c r="K687" s="138"/>
      <c r="L687" s="138"/>
      <c r="M687" s="150"/>
      <c r="N687" s="150"/>
      <c r="O687" s="151"/>
      <c r="P687" s="150"/>
      <c r="Q687" s="150"/>
      <c r="R687" s="139"/>
      <c r="S687" s="148"/>
      <c r="T687" s="140"/>
      <c r="U687" s="175"/>
      <c r="V687" s="21"/>
    </row>
    <row r="688" spans="1:22" ht="16.5" hidden="1" customHeight="1" x14ac:dyDescent="0.25">
      <c r="A688" s="175"/>
      <c r="B688" s="175"/>
      <c r="C688" s="147"/>
      <c r="D688" s="147"/>
      <c r="E688" s="149"/>
      <c r="F688" s="149"/>
      <c r="G688" s="148"/>
      <c r="H688" s="148"/>
      <c r="I688" s="148"/>
      <c r="J688" s="157"/>
      <c r="K688" s="148"/>
      <c r="L688" s="157"/>
      <c r="M688" s="150"/>
      <c r="N688" s="150"/>
      <c r="O688" s="151"/>
      <c r="P688" s="150"/>
      <c r="Q688" s="150"/>
      <c r="R688" s="139"/>
      <c r="S688" s="148"/>
      <c r="T688" s="140"/>
      <c r="U688" s="175"/>
      <c r="V688" s="21"/>
    </row>
    <row r="689" spans="1:22" ht="16.5" hidden="1" customHeight="1" x14ac:dyDescent="0.25">
      <c r="A689" s="175"/>
      <c r="B689" s="175"/>
      <c r="C689" s="147"/>
      <c r="D689" s="147"/>
      <c r="E689" s="149"/>
      <c r="F689" s="149"/>
      <c r="G689" s="148"/>
      <c r="H689" s="148"/>
      <c r="I689" s="148"/>
      <c r="J689" s="157"/>
      <c r="K689" s="138"/>
      <c r="L689" s="118"/>
      <c r="M689" s="150"/>
      <c r="N689" s="150"/>
      <c r="O689" s="151"/>
      <c r="P689" s="150"/>
      <c r="Q689" s="150"/>
      <c r="R689" s="139"/>
      <c r="S689" s="148"/>
      <c r="T689" s="140"/>
      <c r="U689" s="175"/>
      <c r="V689" s="21"/>
    </row>
    <row r="690" spans="1:22" ht="16.5" hidden="1" customHeight="1" x14ac:dyDescent="0.25">
      <c r="A690" s="175"/>
      <c r="B690" s="175"/>
      <c r="C690" s="147"/>
      <c r="D690" s="147"/>
      <c r="E690" s="149"/>
      <c r="F690" s="149"/>
      <c r="G690" s="148"/>
      <c r="H690" s="148"/>
      <c r="I690" s="148"/>
      <c r="J690" s="157"/>
      <c r="K690" s="138"/>
      <c r="L690" s="118"/>
      <c r="M690" s="150"/>
      <c r="N690" s="150"/>
      <c r="O690" s="151"/>
      <c r="P690" s="150"/>
      <c r="Q690" s="150"/>
      <c r="R690" s="139"/>
      <c r="S690" s="148"/>
      <c r="T690" s="140"/>
      <c r="U690" s="175"/>
      <c r="V690" s="21"/>
    </row>
    <row r="691" spans="1:22" ht="16.5" hidden="1" customHeight="1" x14ac:dyDescent="0.25">
      <c r="A691" s="175"/>
      <c r="B691" s="175"/>
      <c r="C691" s="147"/>
      <c r="D691" s="147"/>
      <c r="E691" s="149"/>
      <c r="F691" s="149"/>
      <c r="G691" s="148"/>
      <c r="H691" s="148"/>
      <c r="I691" s="148"/>
      <c r="J691" s="150"/>
      <c r="K691" s="138"/>
      <c r="L691" s="118"/>
      <c r="M691" s="150"/>
      <c r="N691" s="138"/>
      <c r="O691" s="151"/>
      <c r="P691" s="150"/>
      <c r="Q691" s="150"/>
      <c r="R691" s="139"/>
      <c r="S691" s="148"/>
      <c r="T691" s="140"/>
      <c r="U691" s="175"/>
      <c r="V691" s="21"/>
    </row>
    <row r="692" spans="1:22" ht="16.5" hidden="1" customHeight="1" x14ac:dyDescent="0.25">
      <c r="A692" s="175"/>
      <c r="B692" s="175"/>
      <c r="C692" s="147"/>
      <c r="D692" s="147"/>
      <c r="E692" s="149"/>
      <c r="F692" s="149"/>
      <c r="G692" s="148"/>
      <c r="H692" s="148"/>
      <c r="I692" s="148"/>
      <c r="J692" s="150"/>
      <c r="K692" s="150"/>
      <c r="L692" s="152"/>
      <c r="M692" s="150"/>
      <c r="N692" s="150"/>
      <c r="O692" s="144"/>
      <c r="P692" s="150"/>
      <c r="Q692" s="138"/>
      <c r="R692" s="139"/>
      <c r="S692" s="148"/>
      <c r="T692" s="140"/>
      <c r="U692" s="175"/>
      <c r="V692" s="21"/>
    </row>
    <row r="693" spans="1:22" ht="16.5" hidden="1" customHeight="1" x14ac:dyDescent="0.25">
      <c r="A693" s="175"/>
      <c r="B693" s="175"/>
      <c r="C693" s="147"/>
      <c r="D693" s="147"/>
      <c r="E693" s="149"/>
      <c r="F693" s="153"/>
      <c r="G693" s="148"/>
      <c r="H693" s="148"/>
      <c r="I693" s="32"/>
      <c r="J693" s="150"/>
      <c r="K693" s="150"/>
      <c r="L693" s="150"/>
      <c r="M693" s="150"/>
      <c r="N693" s="150"/>
      <c r="O693" s="144"/>
      <c r="P693" s="150"/>
      <c r="Q693" s="138"/>
      <c r="R693" s="139"/>
      <c r="S693" s="148"/>
      <c r="T693" s="140"/>
      <c r="U693" s="175"/>
      <c r="V693" s="21"/>
    </row>
    <row r="694" spans="1:22" ht="16.5" hidden="1" customHeight="1" x14ac:dyDescent="0.25">
      <c r="A694" s="175"/>
      <c r="B694" s="175"/>
      <c r="C694" s="147"/>
      <c r="D694" s="147"/>
      <c r="E694" s="149"/>
      <c r="F694" s="153"/>
      <c r="G694" s="148"/>
      <c r="H694" s="148"/>
      <c r="I694" s="32"/>
      <c r="J694" s="150"/>
      <c r="K694" s="150"/>
      <c r="L694" s="118"/>
      <c r="M694" s="150"/>
      <c r="N694" s="150"/>
      <c r="O694" s="144"/>
      <c r="P694" s="150"/>
      <c r="Q694" s="138"/>
      <c r="R694" s="139"/>
      <c r="S694" s="148"/>
      <c r="T694" s="140"/>
      <c r="U694" s="175"/>
      <c r="V694" s="21"/>
    </row>
    <row r="695" spans="1:22" ht="16.5" hidden="1" customHeight="1" x14ac:dyDescent="0.25">
      <c r="A695" s="175"/>
      <c r="B695" s="175"/>
      <c r="C695" s="147"/>
      <c r="D695" s="147"/>
      <c r="E695" s="148"/>
      <c r="F695" s="149"/>
      <c r="G695" s="148"/>
      <c r="H695" s="148"/>
      <c r="I695" s="148"/>
      <c r="J695" s="157"/>
      <c r="K695" s="138"/>
      <c r="L695" s="118"/>
      <c r="M695" s="150"/>
      <c r="N695" s="138"/>
      <c r="O695" s="151"/>
      <c r="P695" s="150"/>
      <c r="Q695" s="150"/>
      <c r="R695" s="139"/>
      <c r="S695" s="148"/>
      <c r="T695" s="140"/>
      <c r="U695" s="175"/>
      <c r="V695" s="21"/>
    </row>
    <row r="696" spans="1:22" ht="16.5" hidden="1" customHeight="1" x14ac:dyDescent="0.25">
      <c r="A696" s="175"/>
      <c r="B696" s="175"/>
      <c r="C696" s="147"/>
      <c r="D696" s="147"/>
      <c r="E696" s="148"/>
      <c r="F696" s="149"/>
      <c r="G696" s="148"/>
      <c r="H696" s="148"/>
      <c r="I696" s="148"/>
      <c r="J696" s="157"/>
      <c r="K696" s="138"/>
      <c r="L696" s="150"/>
      <c r="M696" s="150"/>
      <c r="N696" s="138"/>
      <c r="O696" s="151"/>
      <c r="P696" s="150"/>
      <c r="Q696" s="150"/>
      <c r="R696" s="139"/>
      <c r="S696" s="148"/>
      <c r="T696" s="140"/>
      <c r="U696" s="175"/>
      <c r="V696" s="21"/>
    </row>
    <row r="697" spans="1:22" ht="16.5" hidden="1" customHeight="1" x14ac:dyDescent="0.25">
      <c r="A697" s="175"/>
      <c r="B697" s="175"/>
      <c r="C697" s="147"/>
      <c r="D697" s="147"/>
      <c r="E697" s="148"/>
      <c r="F697" s="149"/>
      <c r="G697" s="148"/>
      <c r="H697" s="148"/>
      <c r="I697" s="148"/>
      <c r="J697" s="157"/>
      <c r="K697" s="138"/>
      <c r="L697" s="157"/>
      <c r="M697" s="150"/>
      <c r="N697" s="138"/>
      <c r="O697" s="151"/>
      <c r="P697" s="150"/>
      <c r="Q697" s="150"/>
      <c r="R697" s="139"/>
      <c r="S697" s="148"/>
      <c r="T697" s="140"/>
      <c r="U697" s="175"/>
      <c r="V697" s="21"/>
    </row>
    <row r="698" spans="1:22" ht="16.5" hidden="1" customHeight="1" x14ac:dyDescent="0.25">
      <c r="A698" s="175"/>
      <c r="B698" s="175"/>
      <c r="C698" s="147"/>
      <c r="D698" s="147"/>
      <c r="E698" s="148"/>
      <c r="F698" s="149"/>
      <c r="G698" s="148"/>
      <c r="H698" s="148"/>
      <c r="I698" s="148"/>
      <c r="J698" s="157"/>
      <c r="K698" s="138"/>
      <c r="L698" s="118"/>
      <c r="M698" s="150"/>
      <c r="N698" s="138"/>
      <c r="O698" s="151"/>
      <c r="P698" s="150"/>
      <c r="Q698" s="150"/>
      <c r="R698" s="139"/>
      <c r="S698" s="148"/>
      <c r="T698" s="140"/>
      <c r="U698" s="175"/>
      <c r="V698" s="21"/>
    </row>
    <row r="699" spans="1:22" ht="16.5" hidden="1" customHeight="1" x14ac:dyDescent="0.25">
      <c r="A699" s="175"/>
      <c r="B699" s="175"/>
      <c r="C699" s="147"/>
      <c r="D699" s="147"/>
      <c r="E699" s="148"/>
      <c r="F699" s="149"/>
      <c r="G699" s="148"/>
      <c r="H699" s="148"/>
      <c r="I699" s="148"/>
      <c r="J699" s="157"/>
      <c r="K699" s="138"/>
      <c r="L699" s="118"/>
      <c r="M699" s="150"/>
      <c r="N699" s="138"/>
      <c r="O699" s="151"/>
      <c r="P699" s="150"/>
      <c r="Q699" s="150"/>
      <c r="R699" s="139"/>
      <c r="S699" s="148"/>
      <c r="T699" s="140"/>
      <c r="U699" s="175"/>
      <c r="V699" s="21"/>
    </row>
    <row r="700" spans="1:22" ht="16.5" hidden="1" customHeight="1" x14ac:dyDescent="0.25">
      <c r="A700" s="175"/>
      <c r="B700" s="175"/>
      <c r="C700" s="147"/>
      <c r="D700" s="147"/>
      <c r="E700" s="148"/>
      <c r="F700" s="149"/>
      <c r="G700" s="148"/>
      <c r="H700" s="148"/>
      <c r="I700" s="148"/>
      <c r="J700" s="157"/>
      <c r="K700" s="138"/>
      <c r="L700" s="150"/>
      <c r="M700" s="150"/>
      <c r="N700" s="138"/>
      <c r="O700" s="151"/>
      <c r="P700" s="150"/>
      <c r="Q700" s="150"/>
      <c r="R700" s="139"/>
      <c r="S700" s="148"/>
      <c r="T700" s="140"/>
      <c r="U700" s="175"/>
      <c r="V700" s="21"/>
    </row>
    <row r="701" spans="1:22" ht="16.5" hidden="1" customHeight="1" x14ac:dyDescent="0.25">
      <c r="A701" s="175"/>
      <c r="B701" s="175"/>
      <c r="C701" s="147"/>
      <c r="D701" s="147"/>
      <c r="E701" s="148"/>
      <c r="F701" s="149"/>
      <c r="G701" s="148"/>
      <c r="H701" s="148"/>
      <c r="I701" s="148"/>
      <c r="J701" s="157"/>
      <c r="K701" s="138"/>
      <c r="L701" s="118"/>
      <c r="M701" s="150"/>
      <c r="N701" s="138"/>
      <c r="O701" s="151"/>
      <c r="P701" s="150"/>
      <c r="Q701" s="150"/>
      <c r="R701" s="139"/>
      <c r="S701" s="148"/>
      <c r="T701" s="140"/>
      <c r="U701" s="175"/>
      <c r="V701" s="21"/>
    </row>
    <row r="702" spans="1:22" ht="16.5" hidden="1" customHeight="1" x14ac:dyDescent="0.25">
      <c r="A702" s="175"/>
      <c r="B702" s="175"/>
      <c r="C702" s="147"/>
      <c r="D702" s="147"/>
      <c r="E702" s="148"/>
      <c r="F702" s="149"/>
      <c r="G702" s="156"/>
      <c r="H702" s="148"/>
      <c r="I702" s="148"/>
      <c r="J702" s="157"/>
      <c r="K702" s="138"/>
      <c r="L702" s="118"/>
      <c r="M702" s="150"/>
      <c r="N702" s="150"/>
      <c r="O702" s="151"/>
      <c r="P702" s="150"/>
      <c r="Q702" s="150"/>
      <c r="R702" s="139"/>
      <c r="S702" s="148"/>
      <c r="T702" s="140"/>
      <c r="U702" s="175"/>
      <c r="V702" s="21"/>
    </row>
    <row r="703" spans="1:22" ht="16.5" hidden="1" customHeight="1" x14ac:dyDescent="0.25">
      <c r="A703" s="175"/>
      <c r="B703" s="175"/>
      <c r="C703" s="147"/>
      <c r="D703" s="147"/>
      <c r="E703" s="148"/>
      <c r="F703" s="149"/>
      <c r="G703" s="156"/>
      <c r="H703" s="148"/>
      <c r="I703" s="148"/>
      <c r="J703" s="157"/>
      <c r="K703" s="138"/>
      <c r="L703" s="118"/>
      <c r="M703" s="150"/>
      <c r="N703" s="150"/>
      <c r="O703" s="151"/>
      <c r="P703" s="150"/>
      <c r="Q703" s="150"/>
      <c r="R703" s="139"/>
      <c r="S703" s="148"/>
      <c r="T703" s="140"/>
      <c r="U703" s="175"/>
      <c r="V703" s="21"/>
    </row>
    <row r="704" spans="1:22" ht="16.5" hidden="1" customHeight="1" x14ac:dyDescent="0.25">
      <c r="A704" s="175"/>
      <c r="B704" s="175"/>
      <c r="C704" s="147"/>
      <c r="D704" s="147"/>
      <c r="E704" s="148"/>
      <c r="F704" s="153"/>
      <c r="G704" s="148"/>
      <c r="H704" s="148"/>
      <c r="I704" s="148"/>
      <c r="J704" s="157"/>
      <c r="K704" s="138"/>
      <c r="L704" s="118"/>
      <c r="M704" s="150"/>
      <c r="N704" s="150"/>
      <c r="O704" s="151"/>
      <c r="P704" s="150"/>
      <c r="Q704" s="150"/>
      <c r="R704" s="139"/>
      <c r="S704" s="148"/>
      <c r="T704" s="140"/>
      <c r="U704" s="175"/>
      <c r="V704" s="21"/>
    </row>
    <row r="705" spans="1:22" ht="16.5" hidden="1" customHeight="1" x14ac:dyDescent="0.25">
      <c r="A705" s="175"/>
      <c r="B705" s="175"/>
      <c r="C705" s="147"/>
      <c r="D705" s="147"/>
      <c r="E705" s="148"/>
      <c r="F705" s="153"/>
      <c r="G705" s="156"/>
      <c r="H705" s="148"/>
      <c r="I705" s="148"/>
      <c r="J705" s="157"/>
      <c r="K705" s="150"/>
      <c r="L705" s="118"/>
      <c r="M705" s="150"/>
      <c r="N705" s="150"/>
      <c r="O705" s="139"/>
      <c r="P705" s="150"/>
      <c r="Q705" s="150"/>
      <c r="R705" s="139"/>
      <c r="S705" s="148"/>
      <c r="T705" s="140"/>
      <c r="U705" s="175"/>
      <c r="V705" s="21"/>
    </row>
    <row r="706" spans="1:22" ht="16.5" hidden="1" customHeight="1" x14ac:dyDescent="0.25">
      <c r="A706" s="175"/>
      <c r="B706" s="175"/>
      <c r="C706" s="147"/>
      <c r="D706" s="147"/>
      <c r="E706" s="148"/>
      <c r="F706" s="149"/>
      <c r="G706" s="148"/>
      <c r="H706" s="148"/>
      <c r="I706" s="150"/>
      <c r="J706" s="157"/>
      <c r="K706" s="138"/>
      <c r="L706" s="154"/>
      <c r="M706" s="150"/>
      <c r="N706" s="150"/>
      <c r="O706" s="151"/>
      <c r="P706" s="150"/>
      <c r="Q706" s="150"/>
      <c r="R706" s="144"/>
      <c r="S706" s="150"/>
      <c r="T706" s="138"/>
      <c r="U706" s="175"/>
      <c r="V706" s="21"/>
    </row>
    <row r="707" spans="1:22" ht="16.5" hidden="1" customHeight="1" x14ac:dyDescent="0.25">
      <c r="A707" s="175"/>
      <c r="B707" s="175"/>
      <c r="C707" s="147"/>
      <c r="D707" s="147"/>
      <c r="E707" s="148"/>
      <c r="F707" s="149"/>
      <c r="G707" s="148"/>
      <c r="H707" s="148"/>
      <c r="I707" s="148"/>
      <c r="J707" s="157"/>
      <c r="K707" s="138"/>
      <c r="L707" s="118"/>
      <c r="M707" s="150"/>
      <c r="N707" s="150"/>
      <c r="O707" s="151"/>
      <c r="P707" s="150"/>
      <c r="Q707" s="150"/>
      <c r="R707" s="139"/>
      <c r="S707" s="148"/>
      <c r="T707" s="140"/>
      <c r="U707" s="175"/>
      <c r="V707" s="21"/>
    </row>
    <row r="708" spans="1:22" ht="16.5" hidden="1" customHeight="1" x14ac:dyDescent="0.25">
      <c r="A708" s="175"/>
      <c r="B708" s="175"/>
      <c r="C708" s="147"/>
      <c r="D708" s="147"/>
      <c r="E708" s="148"/>
      <c r="F708" s="149"/>
      <c r="G708" s="148"/>
      <c r="H708" s="148"/>
      <c r="I708" s="148"/>
      <c r="J708" s="157"/>
      <c r="K708" s="138"/>
      <c r="L708" s="118"/>
      <c r="M708" s="150"/>
      <c r="N708" s="150"/>
      <c r="O708" s="139"/>
      <c r="P708" s="150"/>
      <c r="Q708" s="150"/>
      <c r="R708" s="139"/>
      <c r="S708" s="148"/>
      <c r="T708" s="140"/>
      <c r="U708" s="175"/>
      <c r="V708" s="21"/>
    </row>
    <row r="709" spans="1:22" ht="16.5" hidden="1" customHeight="1" x14ac:dyDescent="0.25">
      <c r="A709" s="175"/>
      <c r="B709" s="175"/>
      <c r="C709" s="147"/>
      <c r="D709" s="147"/>
      <c r="E709" s="148"/>
      <c r="F709" s="149"/>
      <c r="G709" s="148"/>
      <c r="H709" s="148"/>
      <c r="I709" s="156"/>
      <c r="J709" s="157"/>
      <c r="K709" s="150"/>
      <c r="L709" s="118"/>
      <c r="M709" s="150"/>
      <c r="N709" s="150"/>
      <c r="O709" s="138"/>
      <c r="P709" s="150"/>
      <c r="Q709" s="138"/>
      <c r="R709" s="139"/>
      <c r="S709" s="148"/>
      <c r="T709" s="140"/>
      <c r="U709" s="175"/>
      <c r="V709" s="21"/>
    </row>
    <row r="710" spans="1:22" ht="16.5" hidden="1" customHeight="1" x14ac:dyDescent="0.25">
      <c r="A710" s="175"/>
      <c r="B710" s="175"/>
      <c r="C710" s="147"/>
      <c r="D710" s="147"/>
      <c r="E710" s="148"/>
      <c r="F710" s="149"/>
      <c r="G710" s="148"/>
      <c r="H710" s="148"/>
      <c r="I710" s="32"/>
      <c r="J710" s="157"/>
      <c r="K710" s="150"/>
      <c r="L710" s="150"/>
      <c r="M710" s="150"/>
      <c r="N710" s="150"/>
      <c r="O710" s="138"/>
      <c r="P710" s="150"/>
      <c r="Q710" s="138"/>
      <c r="R710" s="139"/>
      <c r="S710" s="148"/>
      <c r="T710" s="140"/>
      <c r="U710" s="175"/>
      <c r="V710" s="21"/>
    </row>
    <row r="711" spans="1:22" ht="16.5" hidden="1" customHeight="1" x14ac:dyDescent="0.25">
      <c r="A711" s="175"/>
      <c r="B711" s="175"/>
      <c r="C711" s="147"/>
      <c r="D711" s="147"/>
      <c r="E711" s="148"/>
      <c r="F711" s="149"/>
      <c r="G711" s="148"/>
      <c r="H711" s="148"/>
      <c r="I711" s="32"/>
      <c r="J711" s="157"/>
      <c r="K711" s="150"/>
      <c r="L711" s="138"/>
      <c r="M711" s="150"/>
      <c r="N711" s="150"/>
      <c r="O711" s="138"/>
      <c r="P711" s="150"/>
      <c r="Q711" s="138"/>
      <c r="R711" s="139"/>
      <c r="S711" s="148"/>
      <c r="T711" s="140"/>
      <c r="U711" s="175"/>
      <c r="V711" s="21"/>
    </row>
    <row r="712" spans="1:22" s="2" customFormat="1" ht="16.5" hidden="1" customHeight="1" x14ac:dyDescent="0.25">
      <c r="A712" s="138"/>
      <c r="B712" s="138"/>
      <c r="C712" s="147"/>
      <c r="D712" s="147"/>
      <c r="E712" s="150"/>
      <c r="F712" s="155"/>
      <c r="G712" s="150"/>
      <c r="H712" s="150"/>
      <c r="I712" s="32"/>
      <c r="J712" s="157"/>
      <c r="K712" s="150"/>
      <c r="L712" s="138"/>
      <c r="M712" s="150"/>
      <c r="N712" s="150"/>
      <c r="O712" s="138"/>
      <c r="P712" s="150"/>
      <c r="Q712" s="138"/>
      <c r="R712" s="144"/>
      <c r="S712" s="150"/>
      <c r="T712" s="138"/>
      <c r="U712" s="138"/>
      <c r="V712" s="52"/>
    </row>
    <row r="713" spans="1:22" ht="16.5" hidden="1" customHeight="1" x14ac:dyDescent="0.25">
      <c r="A713" s="175"/>
      <c r="B713" s="175"/>
      <c r="C713" s="147"/>
      <c r="D713" s="147"/>
      <c r="E713" s="148"/>
      <c r="F713" s="149"/>
      <c r="G713" s="156"/>
      <c r="H713" s="148"/>
      <c r="I713" s="148"/>
      <c r="J713" s="103"/>
      <c r="K713" s="150"/>
      <c r="L713" s="138"/>
      <c r="M713" s="138"/>
      <c r="N713" s="150"/>
      <c r="O713" s="138"/>
      <c r="P713" s="150"/>
      <c r="Q713" s="138"/>
      <c r="R713" s="140"/>
      <c r="S713" s="148"/>
      <c r="T713" s="140"/>
      <c r="U713" s="175"/>
      <c r="V713" s="21"/>
    </row>
    <row r="714" spans="1:22" ht="16.5" hidden="1" customHeight="1" x14ac:dyDescent="0.25">
      <c r="A714" s="175"/>
      <c r="B714" s="175"/>
      <c r="C714" s="147"/>
      <c r="D714" s="147"/>
      <c r="E714" s="148"/>
      <c r="F714" s="149"/>
      <c r="G714" s="156"/>
      <c r="H714" s="148"/>
      <c r="I714" s="148"/>
      <c r="J714" s="103"/>
      <c r="K714" s="138"/>
      <c r="L714" s="138"/>
      <c r="M714" s="150"/>
      <c r="N714" s="138"/>
      <c r="O714" s="138"/>
      <c r="P714" s="150"/>
      <c r="Q714" s="138"/>
      <c r="R714" s="139"/>
      <c r="S714" s="175"/>
      <c r="T714" s="140"/>
      <c r="U714" s="175"/>
      <c r="V714" s="21"/>
    </row>
    <row r="715" spans="1:22" ht="16.5" hidden="1" customHeight="1" x14ac:dyDescent="0.25">
      <c r="A715" s="175"/>
      <c r="B715" s="175"/>
      <c r="C715" s="147"/>
      <c r="D715" s="147"/>
      <c r="E715" s="148"/>
      <c r="F715" s="149"/>
      <c r="G715" s="156"/>
      <c r="H715" s="148"/>
      <c r="I715" s="148"/>
      <c r="J715" s="157"/>
      <c r="K715" s="150"/>
      <c r="L715" s="138"/>
      <c r="M715" s="150"/>
      <c r="N715" s="150"/>
      <c r="O715" s="138"/>
      <c r="P715" s="150"/>
      <c r="Q715" s="138"/>
      <c r="R715" s="140"/>
      <c r="S715" s="148"/>
      <c r="T715" s="140"/>
      <c r="U715" s="175"/>
      <c r="V715" s="21"/>
    </row>
    <row r="716" spans="1:22" ht="16.5" hidden="1" customHeight="1" x14ac:dyDescent="0.25">
      <c r="A716" s="175"/>
      <c r="B716" s="175"/>
      <c r="C716" s="147"/>
      <c r="D716" s="147"/>
      <c r="E716" s="148"/>
      <c r="F716" s="149"/>
      <c r="G716" s="156"/>
      <c r="H716" s="148"/>
      <c r="I716" s="148"/>
      <c r="J716" s="157"/>
      <c r="K716" s="138"/>
      <c r="L716" s="138"/>
      <c r="M716" s="150"/>
      <c r="N716" s="138"/>
      <c r="O716" s="138"/>
      <c r="P716" s="150"/>
      <c r="Q716" s="138"/>
      <c r="R716" s="139"/>
      <c r="S716" s="175"/>
      <c r="T716" s="140"/>
      <c r="U716" s="175"/>
      <c r="V716" s="21"/>
    </row>
    <row r="717" spans="1:22" ht="16.5" hidden="1" customHeight="1" x14ac:dyDescent="0.25">
      <c r="A717" s="175"/>
      <c r="B717" s="175"/>
      <c r="C717" s="147"/>
      <c r="D717" s="147"/>
      <c r="E717" s="148"/>
      <c r="F717" s="149"/>
      <c r="G717" s="148"/>
      <c r="H717" s="148"/>
      <c r="I717" s="138"/>
      <c r="J717" s="103"/>
      <c r="K717" s="138"/>
      <c r="L717" s="138"/>
      <c r="M717" s="138"/>
      <c r="N717" s="138"/>
      <c r="O717" s="138"/>
      <c r="P717" s="150"/>
      <c r="Q717" s="138"/>
      <c r="R717" s="140"/>
      <c r="S717" s="175"/>
      <c r="T717" s="140"/>
      <c r="U717" s="175"/>
      <c r="V717" s="21"/>
    </row>
    <row r="718" spans="1:22" ht="16.5" hidden="1" customHeight="1" x14ac:dyDescent="0.25">
      <c r="A718" s="175"/>
      <c r="B718" s="175"/>
      <c r="C718" s="147"/>
      <c r="D718" s="147"/>
      <c r="E718" s="148"/>
      <c r="F718" s="149"/>
      <c r="G718" s="148"/>
      <c r="H718" s="148"/>
      <c r="I718" s="138"/>
      <c r="J718" s="157"/>
      <c r="K718" s="138"/>
      <c r="L718" s="138"/>
      <c r="M718" s="138"/>
      <c r="N718" s="138"/>
      <c r="O718" s="138"/>
      <c r="P718" s="150"/>
      <c r="Q718" s="138"/>
      <c r="R718" s="140"/>
      <c r="S718" s="175"/>
      <c r="T718" s="140"/>
      <c r="U718" s="175"/>
      <c r="V718" s="21"/>
    </row>
    <row r="719" spans="1:22" ht="16.5" hidden="1" customHeight="1" x14ac:dyDescent="0.25">
      <c r="A719" s="175"/>
      <c r="B719" s="175"/>
      <c r="C719" s="147"/>
      <c r="D719" s="147"/>
      <c r="E719" s="148"/>
      <c r="F719" s="149"/>
      <c r="G719" s="148"/>
      <c r="H719" s="148"/>
      <c r="I719" s="138"/>
      <c r="J719" s="103"/>
      <c r="K719" s="138"/>
      <c r="L719" s="138"/>
      <c r="M719" s="138"/>
      <c r="N719" s="138"/>
      <c r="O719" s="138"/>
      <c r="P719" s="150"/>
      <c r="Q719" s="138"/>
      <c r="R719" s="140"/>
      <c r="S719" s="175"/>
      <c r="T719" s="140"/>
      <c r="U719" s="175"/>
      <c r="V719" s="21"/>
    </row>
    <row r="720" spans="1:22" ht="16.5" hidden="1" customHeight="1" x14ac:dyDescent="0.25">
      <c r="A720" s="175"/>
      <c r="B720" s="175"/>
      <c r="C720" s="147"/>
      <c r="D720" s="147"/>
      <c r="E720" s="148"/>
      <c r="F720" s="149"/>
      <c r="G720" s="148"/>
      <c r="H720" s="148"/>
      <c r="I720" s="138"/>
      <c r="J720" s="103"/>
      <c r="K720" s="138"/>
      <c r="L720" s="138"/>
      <c r="M720" s="138"/>
      <c r="N720" s="138"/>
      <c r="O720" s="138"/>
      <c r="P720" s="150"/>
      <c r="Q720" s="138"/>
      <c r="R720" s="140"/>
      <c r="S720" s="175"/>
      <c r="T720" s="140"/>
      <c r="U720" s="175"/>
      <c r="V720" s="21"/>
    </row>
    <row r="721" spans="1:22" ht="16.5" hidden="1" customHeight="1" x14ac:dyDescent="0.25">
      <c r="A721" s="175"/>
      <c r="B721" s="175"/>
      <c r="C721" s="147"/>
      <c r="D721" s="147"/>
      <c r="E721" s="148"/>
      <c r="F721" s="149"/>
      <c r="G721" s="148"/>
      <c r="H721" s="148"/>
      <c r="I721" s="148"/>
      <c r="J721" s="157"/>
      <c r="K721" s="138"/>
      <c r="L721" s="118"/>
      <c r="M721" s="150"/>
      <c r="N721" s="150"/>
      <c r="O721" s="151"/>
      <c r="P721" s="150"/>
      <c r="Q721" s="150"/>
      <c r="R721" s="139"/>
      <c r="S721" s="148"/>
      <c r="T721" s="140"/>
      <c r="U721" s="175"/>
      <c r="V721" s="21"/>
    </row>
    <row r="722" spans="1:22" ht="16.5" hidden="1" customHeight="1" x14ac:dyDescent="0.25">
      <c r="A722" s="175"/>
      <c r="B722" s="175"/>
      <c r="C722" s="147"/>
      <c r="D722" s="147"/>
      <c r="E722" s="148"/>
      <c r="F722" s="149"/>
      <c r="G722" s="148"/>
      <c r="H722" s="148"/>
      <c r="I722" s="148"/>
      <c r="J722" s="157"/>
      <c r="K722" s="138"/>
      <c r="L722" s="118"/>
      <c r="M722" s="150"/>
      <c r="N722" s="150"/>
      <c r="O722" s="139"/>
      <c r="P722" s="150"/>
      <c r="Q722" s="150"/>
      <c r="R722" s="139"/>
      <c r="S722" s="148"/>
      <c r="T722" s="140"/>
      <c r="U722" s="175"/>
      <c r="V722" s="21"/>
    </row>
    <row r="723" spans="1:22" ht="16.5" hidden="1" customHeight="1" x14ac:dyDescent="0.25">
      <c r="A723" s="175"/>
      <c r="B723" s="175"/>
      <c r="C723" s="147"/>
      <c r="D723" s="147"/>
      <c r="E723" s="148"/>
      <c r="F723" s="149"/>
      <c r="G723" s="148"/>
      <c r="H723" s="148"/>
      <c r="I723" s="175"/>
      <c r="J723" s="157"/>
      <c r="K723" s="150"/>
      <c r="L723" s="118"/>
      <c r="M723" s="150"/>
      <c r="N723" s="150"/>
      <c r="O723" s="138"/>
      <c r="P723" s="150"/>
      <c r="Q723" s="138"/>
      <c r="R723" s="139"/>
      <c r="S723" s="148"/>
      <c r="T723" s="140"/>
      <c r="U723" s="175"/>
      <c r="V723" s="21"/>
    </row>
    <row r="724" spans="1:22" ht="16.5" hidden="1" customHeight="1" x14ac:dyDescent="0.25">
      <c r="A724" s="175"/>
      <c r="B724" s="175"/>
      <c r="C724" s="147"/>
      <c r="D724" s="147"/>
      <c r="E724" s="148"/>
      <c r="F724" s="153"/>
      <c r="G724" s="148"/>
      <c r="H724" s="148"/>
      <c r="I724" s="148"/>
      <c r="J724" s="157"/>
      <c r="K724" s="138"/>
      <c r="L724" s="118"/>
      <c r="M724" s="150"/>
      <c r="N724" s="150"/>
      <c r="O724" s="151"/>
      <c r="P724" s="150"/>
      <c r="Q724" s="150"/>
      <c r="R724" s="139"/>
      <c r="S724" s="148"/>
      <c r="T724" s="140"/>
      <c r="U724" s="175"/>
      <c r="V724" s="21"/>
    </row>
    <row r="725" spans="1:22" ht="16.5" hidden="1" customHeight="1" x14ac:dyDescent="0.25">
      <c r="A725" s="175"/>
      <c r="B725" s="175"/>
      <c r="C725" s="147"/>
      <c r="D725" s="147"/>
      <c r="E725" s="148"/>
      <c r="F725" s="149"/>
      <c r="G725" s="148"/>
      <c r="H725" s="148"/>
      <c r="I725" s="148"/>
      <c r="J725" s="157"/>
      <c r="K725" s="138"/>
      <c r="L725" s="118"/>
      <c r="M725" s="150"/>
      <c r="N725" s="150"/>
      <c r="O725" s="139"/>
      <c r="P725" s="150"/>
      <c r="Q725" s="150"/>
      <c r="R725" s="139"/>
      <c r="S725" s="148"/>
      <c r="T725" s="140"/>
      <c r="U725" s="175"/>
      <c r="V725" s="21"/>
    </row>
    <row r="726" spans="1:22" ht="16.5" hidden="1" customHeight="1" x14ac:dyDescent="0.25">
      <c r="A726" s="175"/>
      <c r="B726" s="175"/>
      <c r="C726" s="147"/>
      <c r="D726" s="147"/>
      <c r="E726" s="148"/>
      <c r="F726" s="149"/>
      <c r="G726" s="148"/>
      <c r="H726" s="148"/>
      <c r="I726" s="156"/>
      <c r="J726" s="157"/>
      <c r="K726" s="138"/>
      <c r="L726" s="118"/>
      <c r="M726" s="150"/>
      <c r="N726" s="150"/>
      <c r="O726" s="138"/>
      <c r="P726" s="150"/>
      <c r="Q726" s="150"/>
      <c r="R726" s="139"/>
      <c r="S726" s="148"/>
      <c r="T726" s="140"/>
      <c r="U726" s="175"/>
      <c r="V726" s="21"/>
    </row>
    <row r="727" spans="1:22" ht="16.5" hidden="1" customHeight="1" x14ac:dyDescent="0.25">
      <c r="A727" s="175"/>
      <c r="B727" s="175"/>
      <c r="C727" s="147"/>
      <c r="D727" s="147"/>
      <c r="E727" s="148"/>
      <c r="F727" s="149"/>
      <c r="G727" s="148"/>
      <c r="H727" s="148"/>
      <c r="I727" s="32"/>
      <c r="J727" s="157"/>
      <c r="K727" s="150"/>
      <c r="L727" s="150"/>
      <c r="M727" s="150"/>
      <c r="N727" s="150"/>
      <c r="O727" s="138"/>
      <c r="P727" s="150"/>
      <c r="Q727" s="138"/>
      <c r="R727" s="139"/>
      <c r="S727" s="148"/>
      <c r="T727" s="140"/>
      <c r="U727" s="175"/>
      <c r="V727" s="21"/>
    </row>
    <row r="728" spans="1:22" ht="16.5" hidden="1" customHeight="1" x14ac:dyDescent="0.25">
      <c r="A728" s="175"/>
      <c r="B728" s="175"/>
      <c r="C728" s="147"/>
      <c r="D728" s="147"/>
      <c r="E728" s="148"/>
      <c r="F728" s="149"/>
      <c r="G728" s="156"/>
      <c r="H728" s="148"/>
      <c r="I728" s="148"/>
      <c r="J728" s="157"/>
      <c r="K728" s="138"/>
      <c r="L728" s="118"/>
      <c r="M728" s="150"/>
      <c r="N728" s="138"/>
      <c r="O728" s="151"/>
      <c r="P728" s="150"/>
      <c r="Q728" s="150"/>
      <c r="R728" s="139"/>
      <c r="S728" s="148"/>
      <c r="T728" s="140"/>
      <c r="U728" s="175"/>
      <c r="V728" s="21"/>
    </row>
    <row r="729" spans="1:22" ht="16.5" hidden="1" customHeight="1" x14ac:dyDescent="0.25">
      <c r="A729" s="175"/>
      <c r="B729" s="175"/>
      <c r="C729" s="147"/>
      <c r="D729" s="147"/>
      <c r="E729" s="148"/>
      <c r="F729" s="149"/>
      <c r="G729" s="156"/>
      <c r="H729" s="148"/>
      <c r="I729" s="148"/>
      <c r="J729" s="157"/>
      <c r="K729" s="138"/>
      <c r="L729" s="118"/>
      <c r="M729" s="150"/>
      <c r="N729" s="138"/>
      <c r="O729" s="151"/>
      <c r="P729" s="150"/>
      <c r="Q729" s="150"/>
      <c r="R729" s="139"/>
      <c r="S729" s="148"/>
      <c r="T729" s="140"/>
      <c r="U729" s="175"/>
      <c r="V729" s="21"/>
    </row>
    <row r="730" spans="1:22" ht="16.5" hidden="1" customHeight="1" x14ac:dyDescent="0.25">
      <c r="A730" s="175"/>
      <c r="B730" s="175"/>
      <c r="C730" s="147"/>
      <c r="D730" s="147"/>
      <c r="E730" s="148"/>
      <c r="F730" s="149"/>
      <c r="G730" s="156"/>
      <c r="H730" s="148"/>
      <c r="I730" s="148"/>
      <c r="J730" s="157"/>
      <c r="K730" s="138"/>
      <c r="L730" s="118"/>
      <c r="M730" s="150"/>
      <c r="N730" s="150"/>
      <c r="O730" s="151"/>
      <c r="P730" s="150"/>
      <c r="Q730" s="150"/>
      <c r="R730" s="139"/>
      <c r="S730" s="148"/>
      <c r="T730" s="140"/>
      <c r="U730" s="175"/>
      <c r="V730" s="21"/>
    </row>
    <row r="731" spans="1:22" ht="16.5" hidden="1" customHeight="1" x14ac:dyDescent="0.25">
      <c r="A731" s="175"/>
      <c r="B731" s="175"/>
      <c r="C731" s="147"/>
      <c r="D731" s="147"/>
      <c r="E731" s="148"/>
      <c r="F731" s="149"/>
      <c r="G731" s="156"/>
      <c r="H731" s="148"/>
      <c r="I731" s="148"/>
      <c r="J731" s="157"/>
      <c r="K731" s="138"/>
      <c r="L731" s="118"/>
      <c r="M731" s="150"/>
      <c r="N731" s="150"/>
      <c r="O731" s="151"/>
      <c r="P731" s="150"/>
      <c r="Q731" s="150"/>
      <c r="R731" s="139"/>
      <c r="S731" s="148"/>
      <c r="T731" s="140"/>
      <c r="U731" s="175"/>
      <c r="V731" s="21"/>
    </row>
    <row r="732" spans="1:22" ht="16.5" hidden="1" customHeight="1" x14ac:dyDescent="0.25">
      <c r="A732" s="175"/>
      <c r="B732" s="175"/>
      <c r="C732" s="147"/>
      <c r="D732" s="147"/>
      <c r="E732" s="148"/>
      <c r="F732" s="149"/>
      <c r="G732" s="156"/>
      <c r="H732" s="148"/>
      <c r="I732" s="148"/>
      <c r="J732" s="157"/>
      <c r="K732" s="150"/>
      <c r="L732" s="152"/>
      <c r="M732" s="150"/>
      <c r="N732" s="150"/>
      <c r="O732" s="151"/>
      <c r="P732" s="150"/>
      <c r="Q732" s="150"/>
      <c r="R732" s="139"/>
      <c r="S732" s="148"/>
      <c r="T732" s="140"/>
      <c r="U732" s="175"/>
      <c r="V732" s="21"/>
    </row>
    <row r="733" spans="1:22" ht="16.5" hidden="1" customHeight="1" x14ac:dyDescent="0.25">
      <c r="A733" s="175"/>
      <c r="B733" s="175"/>
      <c r="C733" s="147"/>
      <c r="D733" s="147"/>
      <c r="E733" s="148"/>
      <c r="F733" s="149"/>
      <c r="G733" s="156"/>
      <c r="H733" s="148"/>
      <c r="I733" s="148"/>
      <c r="J733" s="157"/>
      <c r="K733" s="138"/>
      <c r="L733" s="150"/>
      <c r="M733" s="150"/>
      <c r="N733" s="150"/>
      <c r="O733" s="151"/>
      <c r="P733" s="150"/>
      <c r="Q733" s="150"/>
      <c r="R733" s="139"/>
      <c r="S733" s="148"/>
      <c r="T733" s="140"/>
      <c r="U733" s="175"/>
      <c r="V733" s="21"/>
    </row>
    <row r="734" spans="1:22" ht="16.5" hidden="1" customHeight="1" x14ac:dyDescent="0.25">
      <c r="A734" s="175"/>
      <c r="B734" s="175"/>
      <c r="C734" s="147"/>
      <c r="D734" s="147"/>
      <c r="E734" s="148"/>
      <c r="F734" s="149"/>
      <c r="G734" s="156"/>
      <c r="H734" s="148"/>
      <c r="I734" s="156"/>
      <c r="J734" s="157"/>
      <c r="K734" s="138"/>
      <c r="L734" s="150"/>
      <c r="M734" s="150"/>
      <c r="N734" s="138"/>
      <c r="O734" s="151"/>
      <c r="P734" s="150"/>
      <c r="Q734" s="150"/>
      <c r="R734" s="139"/>
      <c r="S734" s="148"/>
      <c r="T734" s="140"/>
      <c r="U734" s="175"/>
      <c r="V734" s="21"/>
    </row>
    <row r="735" spans="1:22" ht="16.5" hidden="1" customHeight="1" x14ac:dyDescent="0.25">
      <c r="A735" s="175"/>
      <c r="B735" s="175"/>
      <c r="C735" s="147"/>
      <c r="D735" s="147"/>
      <c r="E735" s="148"/>
      <c r="F735" s="149"/>
      <c r="G735" s="156"/>
      <c r="H735" s="148"/>
      <c r="I735" s="148"/>
      <c r="J735" s="157"/>
      <c r="K735" s="138"/>
      <c r="L735" s="157"/>
      <c r="M735" s="150"/>
      <c r="N735" s="150"/>
      <c r="O735" s="138"/>
      <c r="P735" s="150"/>
      <c r="Q735" s="138"/>
      <c r="R735" s="140"/>
      <c r="S735" s="148"/>
      <c r="T735" s="140"/>
      <c r="U735" s="175"/>
      <c r="V735" s="21"/>
    </row>
    <row r="736" spans="1:22" ht="16.5" hidden="1" customHeight="1" x14ac:dyDescent="0.25">
      <c r="A736" s="175"/>
      <c r="B736" s="175"/>
      <c r="C736" s="147"/>
      <c r="D736" s="147"/>
      <c r="E736" s="148"/>
      <c r="F736" s="149"/>
      <c r="G736" s="156"/>
      <c r="H736" s="148"/>
      <c r="I736" s="156"/>
      <c r="J736" s="157"/>
      <c r="K736" s="138"/>
      <c r="L736" s="150"/>
      <c r="M736" s="150"/>
      <c r="N736" s="138"/>
      <c r="O736" s="151"/>
      <c r="P736" s="150"/>
      <c r="Q736" s="150"/>
      <c r="R736" s="139"/>
      <c r="S736" s="148"/>
      <c r="T736" s="140"/>
      <c r="U736" s="175"/>
      <c r="V736" s="21"/>
    </row>
    <row r="737" spans="1:22" ht="16.5" hidden="1" customHeight="1" x14ac:dyDescent="0.25">
      <c r="A737" s="175"/>
      <c r="B737" s="175"/>
      <c r="C737" s="147"/>
      <c r="D737" s="147"/>
      <c r="E737" s="148"/>
      <c r="F737" s="149"/>
      <c r="G737" s="156"/>
      <c r="H737" s="148"/>
      <c r="I737" s="148"/>
      <c r="J737" s="157"/>
      <c r="K737" s="138"/>
      <c r="L737" s="138"/>
      <c r="M737" s="150"/>
      <c r="N737" s="138"/>
      <c r="O737" s="151"/>
      <c r="P737" s="150"/>
      <c r="Q737" s="150"/>
      <c r="R737" s="139"/>
      <c r="S737" s="148"/>
      <c r="T737" s="140"/>
      <c r="U737" s="175"/>
      <c r="V737" s="21"/>
    </row>
    <row r="738" spans="1:22" ht="16.5" hidden="1" customHeight="1" x14ac:dyDescent="0.25">
      <c r="A738" s="175"/>
      <c r="B738" s="175"/>
      <c r="C738" s="147"/>
      <c r="D738" s="147"/>
      <c r="E738" s="148"/>
      <c r="F738" s="149"/>
      <c r="G738" s="156"/>
      <c r="H738" s="148"/>
      <c r="I738" s="156"/>
      <c r="J738" s="157"/>
      <c r="K738" s="138"/>
      <c r="L738" s="150"/>
      <c r="M738" s="150"/>
      <c r="N738" s="150"/>
      <c r="O738" s="138"/>
      <c r="P738" s="150"/>
      <c r="Q738" s="150"/>
      <c r="R738" s="139"/>
      <c r="S738" s="148"/>
      <c r="T738" s="140"/>
      <c r="U738" s="175"/>
      <c r="V738" s="21"/>
    </row>
    <row r="739" spans="1:22" ht="16.5" hidden="1" customHeight="1" x14ac:dyDescent="0.25">
      <c r="A739" s="175"/>
      <c r="B739" s="175"/>
      <c r="C739" s="147"/>
      <c r="D739" s="147"/>
      <c r="E739" s="148"/>
      <c r="F739" s="149"/>
      <c r="G739" s="156"/>
      <c r="H739" s="148"/>
      <c r="I739" s="148"/>
      <c r="J739" s="103"/>
      <c r="K739" s="150"/>
      <c r="L739" s="138"/>
      <c r="M739" s="150"/>
      <c r="N739" s="150"/>
      <c r="O739" s="138"/>
      <c r="P739" s="150"/>
      <c r="Q739" s="138"/>
      <c r="R739" s="140"/>
      <c r="S739" s="148"/>
      <c r="T739" s="140"/>
      <c r="U739" s="175"/>
      <c r="V739" s="21"/>
    </row>
    <row r="740" spans="1:22" ht="16.5" hidden="1" customHeight="1" x14ac:dyDescent="0.25">
      <c r="A740" s="175"/>
      <c r="B740" s="175"/>
      <c r="C740" s="147"/>
      <c r="D740" s="147"/>
      <c r="E740" s="148"/>
      <c r="F740" s="149"/>
      <c r="G740" s="156"/>
      <c r="H740" s="148"/>
      <c r="I740" s="148"/>
      <c r="J740" s="157"/>
      <c r="K740" s="138"/>
      <c r="L740" s="138"/>
      <c r="M740" s="150"/>
      <c r="N740" s="138"/>
      <c r="O740" s="138"/>
      <c r="P740" s="150"/>
      <c r="Q740" s="138"/>
      <c r="R740" s="139"/>
      <c r="S740" s="175"/>
      <c r="T740" s="140"/>
      <c r="U740" s="175"/>
      <c r="V740" s="21"/>
    </row>
    <row r="741" spans="1:22" ht="16.5" hidden="1" customHeight="1" x14ac:dyDescent="0.25">
      <c r="A741" s="175"/>
      <c r="B741" s="175"/>
      <c r="C741" s="147"/>
      <c r="D741" s="147"/>
      <c r="E741" s="148"/>
      <c r="F741" s="149"/>
      <c r="G741" s="156"/>
      <c r="H741" s="148"/>
      <c r="I741" s="156"/>
      <c r="J741" s="157"/>
      <c r="K741" s="138"/>
      <c r="L741" s="150"/>
      <c r="M741" s="150"/>
      <c r="N741" s="150"/>
      <c r="O741" s="138"/>
      <c r="P741" s="150"/>
      <c r="Q741" s="150"/>
      <c r="R741" s="139"/>
      <c r="S741" s="148"/>
      <c r="T741" s="140"/>
      <c r="U741" s="175"/>
      <c r="V741" s="21"/>
    </row>
    <row r="742" spans="1:22" ht="16.5" hidden="1" customHeight="1" x14ac:dyDescent="0.25">
      <c r="A742" s="175"/>
      <c r="B742" s="175"/>
      <c r="C742" s="147"/>
      <c r="D742" s="147"/>
      <c r="E742" s="148"/>
      <c r="F742" s="149"/>
      <c r="G742" s="156"/>
      <c r="H742" s="148"/>
      <c r="I742" s="148"/>
      <c r="J742" s="157"/>
      <c r="K742" s="138"/>
      <c r="L742" s="118"/>
      <c r="M742" s="150"/>
      <c r="N742" s="138"/>
      <c r="O742" s="151"/>
      <c r="P742" s="150"/>
      <c r="Q742" s="150"/>
      <c r="R742" s="139"/>
      <c r="S742" s="148"/>
      <c r="T742" s="140"/>
      <c r="U742" s="175"/>
      <c r="V742" s="21"/>
    </row>
    <row r="743" spans="1:22" ht="16.5" hidden="1" customHeight="1" x14ac:dyDescent="0.25">
      <c r="A743" s="175"/>
      <c r="B743" s="175"/>
      <c r="C743" s="147"/>
      <c r="D743" s="147"/>
      <c r="E743" s="148"/>
      <c r="F743" s="149"/>
      <c r="G743" s="156"/>
      <c r="H743" s="148"/>
      <c r="I743" s="148"/>
      <c r="J743" s="157"/>
      <c r="K743" s="138"/>
      <c r="L743" s="118"/>
      <c r="M743" s="150"/>
      <c r="N743" s="138"/>
      <c r="O743" s="151"/>
      <c r="P743" s="150"/>
      <c r="Q743" s="150"/>
      <c r="R743" s="139"/>
      <c r="S743" s="148"/>
      <c r="T743" s="140"/>
      <c r="U743" s="175"/>
      <c r="V743" s="21"/>
    </row>
    <row r="744" spans="1:22" ht="16.5" hidden="1" customHeight="1" x14ac:dyDescent="0.25">
      <c r="A744" s="175"/>
      <c r="B744" s="175"/>
      <c r="C744" s="147"/>
      <c r="D744" s="147"/>
      <c r="E744" s="148"/>
      <c r="F744" s="149"/>
      <c r="G744" s="156"/>
      <c r="H744" s="148"/>
      <c r="I744" s="148"/>
      <c r="J744" s="157"/>
      <c r="K744" s="138"/>
      <c r="L744" s="118"/>
      <c r="M744" s="150"/>
      <c r="N744" s="138"/>
      <c r="O744" s="151"/>
      <c r="P744" s="150"/>
      <c r="Q744" s="150"/>
      <c r="R744" s="139"/>
      <c r="S744" s="148"/>
      <c r="T744" s="140"/>
      <c r="U744" s="175"/>
      <c r="V744" s="21"/>
    </row>
    <row r="745" spans="1:22" ht="16.5" hidden="1" customHeight="1" x14ac:dyDescent="0.25">
      <c r="A745" s="175"/>
      <c r="B745" s="175"/>
      <c r="C745" s="147"/>
      <c r="D745" s="147"/>
      <c r="E745" s="148"/>
      <c r="F745" s="149"/>
      <c r="G745" s="156"/>
      <c r="H745" s="148"/>
      <c r="I745" s="148"/>
      <c r="J745" s="157"/>
      <c r="K745" s="138"/>
      <c r="L745" s="118"/>
      <c r="M745" s="150"/>
      <c r="N745" s="138"/>
      <c r="O745" s="151"/>
      <c r="P745" s="150"/>
      <c r="Q745" s="150"/>
      <c r="R745" s="139"/>
      <c r="S745" s="148"/>
      <c r="T745" s="140"/>
      <c r="U745" s="175"/>
      <c r="V745" s="21"/>
    </row>
    <row r="746" spans="1:22" ht="16.5" hidden="1" customHeight="1" x14ac:dyDescent="0.25">
      <c r="A746" s="175"/>
      <c r="B746" s="175"/>
      <c r="C746" s="147"/>
      <c r="D746" s="147"/>
      <c r="E746" s="148"/>
      <c r="F746" s="149"/>
      <c r="G746" s="156"/>
      <c r="H746" s="148"/>
      <c r="I746" s="148"/>
      <c r="J746" s="157"/>
      <c r="K746" s="138"/>
      <c r="L746" s="118"/>
      <c r="M746" s="150"/>
      <c r="N746" s="138"/>
      <c r="O746" s="151"/>
      <c r="P746" s="150"/>
      <c r="Q746" s="150"/>
      <c r="R746" s="139"/>
      <c r="S746" s="148"/>
      <c r="T746" s="140"/>
      <c r="U746" s="175"/>
      <c r="V746" s="21"/>
    </row>
    <row r="747" spans="1:22" ht="18" hidden="1" customHeight="1" x14ac:dyDescent="0.25">
      <c r="A747" s="175"/>
      <c r="B747" s="175"/>
      <c r="C747" s="147"/>
      <c r="D747" s="147"/>
      <c r="E747" s="148"/>
      <c r="F747" s="149"/>
      <c r="G747" s="156"/>
      <c r="H747" s="148"/>
      <c r="I747" s="148"/>
      <c r="J747" s="157"/>
      <c r="K747" s="138"/>
      <c r="L747" s="154"/>
      <c r="M747" s="150"/>
      <c r="N747" s="138"/>
      <c r="O747" s="151"/>
      <c r="P747" s="150"/>
      <c r="Q747" s="150"/>
      <c r="R747" s="139"/>
      <c r="S747" s="148"/>
      <c r="T747" s="140"/>
      <c r="U747" s="175"/>
      <c r="V747" s="21"/>
    </row>
    <row r="748" spans="1:22" ht="16.5" hidden="1" customHeight="1" x14ac:dyDescent="0.25">
      <c r="A748" s="175"/>
      <c r="B748" s="175"/>
      <c r="C748" s="147"/>
      <c r="D748" s="147"/>
      <c r="E748" s="148"/>
      <c r="F748" s="149"/>
      <c r="G748" s="148"/>
      <c r="H748" s="148"/>
      <c r="I748" s="148"/>
      <c r="J748" s="157"/>
      <c r="K748" s="138"/>
      <c r="L748" s="150"/>
      <c r="M748" s="150"/>
      <c r="N748" s="138"/>
      <c r="O748" s="151"/>
      <c r="P748" s="150"/>
      <c r="Q748" s="150"/>
      <c r="R748" s="139"/>
      <c r="S748" s="148"/>
      <c r="T748" s="140"/>
      <c r="U748" s="175"/>
      <c r="V748" s="21"/>
    </row>
    <row r="749" spans="1:22" s="2" customFormat="1" ht="16.5" hidden="1" customHeight="1" x14ac:dyDescent="0.25">
      <c r="A749" s="138"/>
      <c r="B749" s="138"/>
      <c r="C749" s="147"/>
      <c r="D749" s="147"/>
      <c r="E749" s="150"/>
      <c r="F749" s="155"/>
      <c r="G749" s="150"/>
      <c r="H749" s="150"/>
      <c r="I749" s="150"/>
      <c r="J749" s="157"/>
      <c r="K749" s="138"/>
      <c r="L749" s="150"/>
      <c r="M749" s="150"/>
      <c r="N749" s="138"/>
      <c r="O749" s="151"/>
      <c r="P749" s="150"/>
      <c r="Q749" s="150"/>
      <c r="R749" s="144"/>
      <c r="S749" s="150"/>
      <c r="T749" s="138"/>
      <c r="U749" s="138"/>
      <c r="V749" s="52"/>
    </row>
    <row r="750" spans="1:22" ht="16.5" hidden="1" customHeight="1" x14ac:dyDescent="0.25">
      <c r="A750" s="175"/>
      <c r="B750" s="175"/>
      <c r="C750" s="147"/>
      <c r="D750" s="147"/>
      <c r="E750" s="148"/>
      <c r="F750" s="149"/>
      <c r="G750" s="148"/>
      <c r="H750" s="148"/>
      <c r="I750" s="148"/>
      <c r="J750" s="157"/>
      <c r="K750" s="138"/>
      <c r="L750" s="157"/>
      <c r="M750" s="150"/>
      <c r="N750" s="138"/>
      <c r="O750" s="151"/>
      <c r="P750" s="150"/>
      <c r="Q750" s="150"/>
      <c r="R750" s="139"/>
      <c r="S750" s="148"/>
      <c r="T750" s="140"/>
      <c r="U750" s="175"/>
      <c r="V750" s="21"/>
    </row>
    <row r="751" spans="1:22" ht="16.5" hidden="1" customHeight="1" x14ac:dyDescent="0.25">
      <c r="A751" s="175"/>
      <c r="B751" s="175"/>
      <c r="C751" s="147"/>
      <c r="D751" s="147"/>
      <c r="E751" s="148"/>
      <c r="F751" s="149"/>
      <c r="G751" s="148"/>
      <c r="H751" s="148"/>
      <c r="I751" s="32"/>
      <c r="J751" s="157"/>
      <c r="K751" s="138"/>
      <c r="L751" s="150"/>
      <c r="M751" s="157"/>
      <c r="N751" s="138"/>
      <c r="O751" s="151"/>
      <c r="P751" s="150"/>
      <c r="Q751" s="150"/>
      <c r="R751" s="139"/>
      <c r="S751" s="148"/>
      <c r="T751" s="140"/>
      <c r="U751" s="175"/>
      <c r="V751" s="21"/>
    </row>
    <row r="752" spans="1:22" ht="16.5" hidden="1" customHeight="1" x14ac:dyDescent="0.25">
      <c r="A752" s="175"/>
      <c r="B752" s="175"/>
      <c r="C752" s="147"/>
      <c r="D752" s="147"/>
      <c r="E752" s="148"/>
      <c r="F752" s="149"/>
      <c r="G752" s="148"/>
      <c r="H752" s="148"/>
      <c r="I752" s="32"/>
      <c r="J752" s="157"/>
      <c r="K752" s="138"/>
      <c r="L752" s="138"/>
      <c r="M752" s="150"/>
      <c r="N752" s="138"/>
      <c r="O752" s="151"/>
      <c r="P752" s="150"/>
      <c r="Q752" s="150"/>
      <c r="R752" s="139"/>
      <c r="S752" s="148"/>
      <c r="T752" s="140"/>
      <c r="U752" s="175"/>
      <c r="V752" s="21"/>
    </row>
    <row r="753" spans="1:22" s="2" customFormat="1" ht="16.5" hidden="1" customHeight="1" x14ac:dyDescent="0.25">
      <c r="A753" s="175"/>
      <c r="B753" s="175"/>
      <c r="C753" s="147"/>
      <c r="D753" s="147"/>
      <c r="E753" s="148"/>
      <c r="F753" s="149"/>
      <c r="G753" s="148"/>
      <c r="H753" s="148"/>
      <c r="I753" s="32"/>
      <c r="J753" s="157"/>
      <c r="K753" s="150"/>
      <c r="L753" s="138"/>
      <c r="M753" s="150"/>
      <c r="N753" s="150"/>
      <c r="O753" s="138"/>
      <c r="P753" s="150"/>
      <c r="Q753" s="138"/>
      <c r="R753" s="139"/>
      <c r="S753" s="148"/>
      <c r="T753" s="140"/>
      <c r="U753" s="138"/>
      <c r="V753" s="52"/>
    </row>
    <row r="754" spans="1:22" ht="15.75" hidden="1" customHeight="1" x14ac:dyDescent="0.25">
      <c r="A754" s="175"/>
      <c r="B754" s="175"/>
      <c r="C754" s="147"/>
      <c r="D754" s="147"/>
      <c r="E754" s="148"/>
      <c r="F754" s="149"/>
      <c r="G754" s="148"/>
      <c r="H754" s="148"/>
      <c r="I754" s="148"/>
      <c r="J754" s="157"/>
      <c r="K754" s="138"/>
      <c r="L754" s="150"/>
      <c r="M754" s="150"/>
      <c r="N754" s="138"/>
      <c r="O754" s="151"/>
      <c r="P754" s="150"/>
      <c r="Q754" s="150"/>
      <c r="R754" s="139"/>
      <c r="S754" s="148"/>
      <c r="T754" s="140"/>
      <c r="U754" s="175"/>
      <c r="V754" s="21"/>
    </row>
    <row r="755" spans="1:22" ht="16.5" hidden="1" customHeight="1" x14ac:dyDescent="0.25">
      <c r="A755" s="175"/>
      <c r="B755" s="175"/>
      <c r="C755" s="147"/>
      <c r="D755" s="147"/>
      <c r="E755" s="148"/>
      <c r="F755" s="149"/>
      <c r="G755" s="148"/>
      <c r="H755" s="148"/>
      <c r="I755" s="148"/>
      <c r="J755" s="157"/>
      <c r="K755" s="138"/>
      <c r="L755" s="150"/>
      <c r="M755" s="150"/>
      <c r="N755" s="138"/>
      <c r="O755" s="151"/>
      <c r="P755" s="150"/>
      <c r="Q755" s="150"/>
      <c r="R755" s="139"/>
      <c r="S755" s="148"/>
      <c r="T755" s="140"/>
      <c r="U755" s="175"/>
      <c r="V755" s="21"/>
    </row>
    <row r="756" spans="1:22" ht="16.5" hidden="1" customHeight="1" x14ac:dyDescent="0.25">
      <c r="A756" s="175"/>
      <c r="B756" s="175"/>
      <c r="C756" s="147"/>
      <c r="D756" s="147"/>
      <c r="E756" s="148"/>
      <c r="F756" s="149"/>
      <c r="G756" s="148"/>
      <c r="H756" s="148"/>
      <c r="I756" s="148"/>
      <c r="J756" s="157"/>
      <c r="K756" s="138"/>
      <c r="L756" s="157"/>
      <c r="M756" s="150"/>
      <c r="N756" s="138"/>
      <c r="O756" s="151"/>
      <c r="P756" s="150"/>
      <c r="Q756" s="150"/>
      <c r="R756" s="139"/>
      <c r="S756" s="148"/>
      <c r="T756" s="140"/>
      <c r="U756" s="175"/>
      <c r="V756" s="21"/>
    </row>
    <row r="757" spans="1:22" ht="16.5" hidden="1" customHeight="1" x14ac:dyDescent="0.25">
      <c r="A757" s="175"/>
      <c r="B757" s="175"/>
      <c r="C757" s="147"/>
      <c r="D757" s="147"/>
      <c r="E757" s="148"/>
      <c r="F757" s="149"/>
      <c r="G757" s="148"/>
      <c r="H757" s="148"/>
      <c r="I757" s="32"/>
      <c r="J757" s="157"/>
      <c r="K757" s="138"/>
      <c r="L757" s="150"/>
      <c r="M757" s="150"/>
      <c r="N757" s="138"/>
      <c r="O757" s="151"/>
      <c r="P757" s="150"/>
      <c r="Q757" s="150"/>
      <c r="R757" s="139"/>
      <c r="S757" s="148"/>
      <c r="T757" s="140"/>
      <c r="U757" s="175"/>
      <c r="V757" s="21"/>
    </row>
    <row r="758" spans="1:22" ht="16.5" hidden="1" customHeight="1" x14ac:dyDescent="0.25">
      <c r="A758" s="175"/>
      <c r="B758" s="175"/>
      <c r="C758" s="147"/>
      <c r="D758" s="147"/>
      <c r="E758" s="148"/>
      <c r="F758" s="149"/>
      <c r="G758" s="148"/>
      <c r="H758" s="148"/>
      <c r="I758" s="32"/>
      <c r="J758" s="157"/>
      <c r="K758" s="138"/>
      <c r="L758" s="138"/>
      <c r="M758" s="150"/>
      <c r="N758" s="138"/>
      <c r="O758" s="151"/>
      <c r="P758" s="150"/>
      <c r="Q758" s="150"/>
      <c r="R758" s="139"/>
      <c r="S758" s="148"/>
      <c r="T758" s="140"/>
      <c r="U758" s="175"/>
      <c r="V758" s="21"/>
    </row>
    <row r="759" spans="1:22" ht="16.5" hidden="1" customHeight="1" x14ac:dyDescent="0.25">
      <c r="A759" s="175"/>
      <c r="B759" s="175"/>
      <c r="C759" s="147"/>
      <c r="D759" s="147"/>
      <c r="E759" s="148"/>
      <c r="F759" s="149"/>
      <c r="G759" s="148"/>
      <c r="H759" s="148"/>
      <c r="I759" s="32"/>
      <c r="J759" s="157"/>
      <c r="K759" s="150"/>
      <c r="L759" s="138"/>
      <c r="M759" s="150"/>
      <c r="N759" s="138"/>
      <c r="O759" s="138"/>
      <c r="P759" s="150"/>
      <c r="Q759" s="150"/>
      <c r="R759" s="139"/>
      <c r="S759" s="148"/>
      <c r="T759" s="140"/>
      <c r="U759" s="175"/>
      <c r="V759" s="21"/>
    </row>
    <row r="760" spans="1:22" ht="16.5" hidden="1" customHeight="1" x14ac:dyDescent="0.25">
      <c r="A760" s="175"/>
      <c r="B760" s="175"/>
      <c r="C760" s="147"/>
      <c r="D760" s="147"/>
      <c r="E760" s="148"/>
      <c r="F760" s="149"/>
      <c r="G760" s="148"/>
      <c r="H760" s="148"/>
      <c r="I760" s="138"/>
      <c r="J760" s="157"/>
      <c r="K760" s="138"/>
      <c r="L760" s="150"/>
      <c r="M760" s="150"/>
      <c r="N760" s="138"/>
      <c r="O760" s="151"/>
      <c r="P760" s="150"/>
      <c r="Q760" s="150"/>
      <c r="R760" s="139"/>
      <c r="S760" s="148"/>
      <c r="T760" s="140"/>
      <c r="U760" s="175"/>
      <c r="V760" s="21"/>
    </row>
    <row r="761" spans="1:22" ht="16.5" hidden="1" customHeight="1" x14ac:dyDescent="0.25">
      <c r="A761" s="175"/>
      <c r="B761" s="175"/>
      <c r="C761" s="147"/>
      <c r="D761" s="147"/>
      <c r="E761" s="148"/>
      <c r="F761" s="149"/>
      <c r="G761" s="148"/>
      <c r="H761" s="148"/>
      <c r="I761" s="148"/>
      <c r="J761" s="157"/>
      <c r="K761" s="138"/>
      <c r="L761" s="150"/>
      <c r="M761" s="150"/>
      <c r="N761" s="138"/>
      <c r="O761" s="151"/>
      <c r="P761" s="150"/>
      <c r="Q761" s="150"/>
      <c r="R761" s="139"/>
      <c r="S761" s="148"/>
      <c r="T761" s="140"/>
      <c r="U761" s="175"/>
      <c r="V761" s="21"/>
    </row>
    <row r="762" spans="1:22" ht="16.5" hidden="1" customHeight="1" x14ac:dyDescent="0.25">
      <c r="A762" s="175"/>
      <c r="B762" s="175"/>
      <c r="C762" s="147"/>
      <c r="D762" s="147"/>
      <c r="E762" s="148"/>
      <c r="F762" s="149"/>
      <c r="G762" s="148"/>
      <c r="H762" s="148"/>
      <c r="I762" s="148"/>
      <c r="J762" s="157"/>
      <c r="K762" s="138"/>
      <c r="L762" s="157"/>
      <c r="M762" s="150"/>
      <c r="N762" s="138"/>
      <c r="O762" s="151"/>
      <c r="P762" s="150"/>
      <c r="Q762" s="150"/>
      <c r="R762" s="139"/>
      <c r="S762" s="148"/>
      <c r="T762" s="140"/>
      <c r="U762" s="175"/>
      <c r="V762" s="21"/>
    </row>
    <row r="763" spans="1:22" ht="16.5" hidden="1" customHeight="1" x14ac:dyDescent="0.25">
      <c r="A763" s="175"/>
      <c r="B763" s="175"/>
      <c r="C763" s="147"/>
      <c r="D763" s="147"/>
      <c r="E763" s="148"/>
      <c r="F763" s="149"/>
      <c r="G763" s="148"/>
      <c r="H763" s="148"/>
      <c r="I763" s="32"/>
      <c r="J763" s="157"/>
      <c r="K763" s="138"/>
      <c r="L763" s="150"/>
      <c r="M763" s="150"/>
      <c r="N763" s="138"/>
      <c r="O763" s="151"/>
      <c r="P763" s="150"/>
      <c r="Q763" s="150"/>
      <c r="R763" s="139"/>
      <c r="S763" s="148"/>
      <c r="T763" s="140"/>
      <c r="U763" s="175"/>
      <c r="V763" s="21"/>
    </row>
    <row r="764" spans="1:22" ht="16.5" hidden="1" customHeight="1" x14ac:dyDescent="0.25">
      <c r="A764" s="175"/>
      <c r="B764" s="175"/>
      <c r="C764" s="147"/>
      <c r="D764" s="147"/>
      <c r="E764" s="148"/>
      <c r="F764" s="149"/>
      <c r="G764" s="148"/>
      <c r="H764" s="148"/>
      <c r="I764" s="32"/>
      <c r="J764" s="157"/>
      <c r="K764" s="138"/>
      <c r="L764" s="138"/>
      <c r="M764" s="150"/>
      <c r="N764" s="138"/>
      <c r="O764" s="151"/>
      <c r="P764" s="150"/>
      <c r="Q764" s="150"/>
      <c r="R764" s="139"/>
      <c r="S764" s="148"/>
      <c r="T764" s="140"/>
      <c r="U764" s="175"/>
      <c r="V764" s="21"/>
    </row>
    <row r="765" spans="1:22" ht="21" hidden="1" customHeight="1" x14ac:dyDescent="0.25">
      <c r="A765" s="175"/>
      <c r="B765" s="175"/>
      <c r="C765" s="147"/>
      <c r="D765" s="147"/>
      <c r="E765" s="148"/>
      <c r="F765" s="149"/>
      <c r="G765" s="148"/>
      <c r="H765" s="148"/>
      <c r="I765" s="32"/>
      <c r="J765" s="157"/>
      <c r="K765" s="150"/>
      <c r="L765" s="138"/>
      <c r="M765" s="150"/>
      <c r="N765" s="150"/>
      <c r="O765" s="144"/>
      <c r="P765" s="150"/>
      <c r="Q765" s="138"/>
      <c r="R765" s="139"/>
      <c r="S765" s="148"/>
      <c r="T765" s="140"/>
      <c r="U765" s="175"/>
      <c r="V765" s="21"/>
    </row>
    <row r="766" spans="1:22" ht="16.5" hidden="1" customHeight="1" x14ac:dyDescent="0.25">
      <c r="A766" s="175"/>
      <c r="B766" s="175"/>
      <c r="C766" s="147"/>
      <c r="D766" s="147"/>
      <c r="E766" s="148"/>
      <c r="F766" s="149"/>
      <c r="G766" s="148"/>
      <c r="H766" s="148"/>
      <c r="I766" s="138"/>
      <c r="J766" s="103"/>
      <c r="K766" s="150"/>
      <c r="L766" s="138"/>
      <c r="M766" s="150"/>
      <c r="N766" s="138"/>
      <c r="O766" s="151"/>
      <c r="P766" s="150"/>
      <c r="Q766" s="150"/>
      <c r="R766" s="139"/>
      <c r="S766" s="148"/>
      <c r="T766" s="140"/>
      <c r="U766" s="175"/>
      <c r="V766" s="21"/>
    </row>
    <row r="767" spans="1:22" ht="16.5" hidden="1" customHeight="1" x14ac:dyDescent="0.25">
      <c r="A767" s="175"/>
      <c r="B767" s="175"/>
      <c r="C767" s="147"/>
      <c r="D767" s="147"/>
      <c r="E767" s="148"/>
      <c r="F767" s="149"/>
      <c r="G767" s="148"/>
      <c r="H767" s="148"/>
      <c r="I767" s="40"/>
      <c r="J767" s="157"/>
      <c r="K767" s="150"/>
      <c r="L767" s="138"/>
      <c r="M767" s="150"/>
      <c r="N767" s="138"/>
      <c r="O767" s="138"/>
      <c r="P767" s="150"/>
      <c r="Q767" s="150"/>
      <c r="R767" s="139"/>
      <c r="S767" s="175"/>
      <c r="T767" s="140"/>
      <c r="U767" s="175"/>
      <c r="V767" s="21"/>
    </row>
    <row r="768" spans="1:22" ht="16.5" hidden="1" customHeight="1" x14ac:dyDescent="0.25">
      <c r="A768" s="175"/>
      <c r="B768" s="175"/>
      <c r="C768" s="147"/>
      <c r="D768" s="147"/>
      <c r="E768" s="148"/>
      <c r="F768" s="149"/>
      <c r="G768" s="148"/>
      <c r="H768" s="148"/>
      <c r="I768" s="138"/>
      <c r="J768" s="157"/>
      <c r="K768" s="150"/>
      <c r="L768" s="138"/>
      <c r="M768" s="150"/>
      <c r="N768" s="150"/>
      <c r="O768" s="138"/>
      <c r="P768" s="150"/>
      <c r="Q768" s="150"/>
      <c r="R768" s="140"/>
      <c r="S768" s="148"/>
      <c r="T768" s="140"/>
      <c r="U768" s="175"/>
      <c r="V768" s="21"/>
    </row>
    <row r="769" spans="1:22" ht="16.5" hidden="1" customHeight="1" x14ac:dyDescent="0.25">
      <c r="A769" s="175"/>
      <c r="B769" s="175"/>
      <c r="C769" s="147"/>
      <c r="D769" s="147"/>
      <c r="E769" s="148"/>
      <c r="F769" s="149"/>
      <c r="G769" s="148"/>
      <c r="H769" s="148"/>
      <c r="I769" s="138"/>
      <c r="J769" s="157"/>
      <c r="K769" s="150"/>
      <c r="L769" s="138"/>
      <c r="M769" s="150"/>
      <c r="N769" s="150"/>
      <c r="O769" s="138"/>
      <c r="P769" s="150"/>
      <c r="Q769" s="150"/>
      <c r="R769" s="140"/>
      <c r="S769" s="148"/>
      <c r="T769" s="140"/>
      <c r="U769" s="175"/>
      <c r="V769" s="21"/>
    </row>
    <row r="770" spans="1:22" ht="16.5" hidden="1" customHeight="1" x14ac:dyDescent="0.25">
      <c r="A770" s="175"/>
      <c r="B770" s="175"/>
      <c r="C770" s="147"/>
      <c r="D770" s="147"/>
      <c r="E770" s="148"/>
      <c r="F770" s="149"/>
      <c r="G770" s="148"/>
      <c r="H770" s="148"/>
      <c r="I770" s="138"/>
      <c r="J770" s="103"/>
      <c r="K770" s="138"/>
      <c r="L770" s="138"/>
      <c r="M770" s="150"/>
      <c r="N770" s="138"/>
      <c r="O770" s="151"/>
      <c r="P770" s="150"/>
      <c r="Q770" s="150"/>
      <c r="R770" s="139"/>
      <c r="S770" s="148"/>
      <c r="T770" s="140"/>
      <c r="U770" s="175"/>
      <c r="V770" s="21"/>
    </row>
    <row r="771" spans="1:22" ht="16.5" hidden="1" customHeight="1" x14ac:dyDescent="0.25">
      <c r="A771" s="175"/>
      <c r="B771" s="175"/>
      <c r="C771" s="147"/>
      <c r="D771" s="147"/>
      <c r="E771" s="148"/>
      <c r="F771" s="149"/>
      <c r="G771" s="148"/>
      <c r="H771" s="148"/>
      <c r="I771" s="138"/>
      <c r="J771" s="157"/>
      <c r="K771" s="138"/>
      <c r="L771" s="138"/>
      <c r="M771" s="150"/>
      <c r="N771" s="138"/>
      <c r="O771" s="138"/>
      <c r="P771" s="150"/>
      <c r="Q771" s="150"/>
      <c r="R771" s="139"/>
      <c r="S771" s="148"/>
      <c r="T771" s="140"/>
      <c r="U771" s="175"/>
      <c r="V771" s="21"/>
    </row>
    <row r="772" spans="1:22" ht="16.5" hidden="1" customHeight="1" x14ac:dyDescent="0.25">
      <c r="A772" s="175"/>
      <c r="B772" s="175"/>
      <c r="C772" s="147"/>
      <c r="D772" s="147"/>
      <c r="E772" s="148"/>
      <c r="F772" s="149"/>
      <c r="G772" s="148"/>
      <c r="H772" s="148"/>
      <c r="I772" s="138"/>
      <c r="J772" s="103"/>
      <c r="K772" s="138"/>
      <c r="L772" s="138"/>
      <c r="M772" s="150"/>
      <c r="N772" s="138"/>
      <c r="O772" s="138"/>
      <c r="P772" s="150"/>
      <c r="Q772" s="150"/>
      <c r="R772" s="139"/>
      <c r="S772" s="148"/>
      <c r="T772" s="140"/>
      <c r="U772" s="175"/>
      <c r="V772" s="21"/>
    </row>
    <row r="773" spans="1:22" ht="16.5" hidden="1" customHeight="1" x14ac:dyDescent="0.25">
      <c r="A773" s="175"/>
      <c r="B773" s="175"/>
      <c r="C773" s="147"/>
      <c r="D773" s="147"/>
      <c r="E773" s="148"/>
      <c r="F773" s="149"/>
      <c r="G773" s="148"/>
      <c r="H773" s="148"/>
      <c r="I773" s="138"/>
      <c r="J773" s="103"/>
      <c r="K773" s="138"/>
      <c r="L773" s="138"/>
      <c r="M773" s="138"/>
      <c r="N773" s="138"/>
      <c r="O773" s="138"/>
      <c r="P773" s="150"/>
      <c r="Q773" s="138"/>
      <c r="R773" s="140"/>
      <c r="S773" s="175"/>
      <c r="T773" s="140"/>
      <c r="U773" s="175"/>
      <c r="V773" s="21"/>
    </row>
    <row r="774" spans="1:22" ht="16.5" hidden="1" customHeight="1" x14ac:dyDescent="0.25">
      <c r="A774" s="175"/>
      <c r="B774" s="175"/>
      <c r="C774" s="147"/>
      <c r="D774" s="147"/>
      <c r="E774" s="148"/>
      <c r="F774" s="149"/>
      <c r="G774" s="156"/>
      <c r="H774" s="148"/>
      <c r="I774" s="148"/>
      <c r="J774" s="157"/>
      <c r="K774" s="138"/>
      <c r="L774" s="138"/>
      <c r="M774" s="138"/>
      <c r="N774" s="150"/>
      <c r="O774" s="138"/>
      <c r="P774" s="150"/>
      <c r="Q774" s="138"/>
      <c r="R774" s="140"/>
      <c r="S774" s="148"/>
      <c r="T774" s="140"/>
      <c r="U774" s="175"/>
      <c r="V774" s="21"/>
    </row>
    <row r="775" spans="1:22" ht="16.5" hidden="1" customHeight="1" x14ac:dyDescent="0.25">
      <c r="A775" s="175"/>
      <c r="B775" s="175"/>
      <c r="C775" s="147"/>
      <c r="D775" s="147"/>
      <c r="E775" s="148"/>
      <c r="F775" s="149"/>
      <c r="G775" s="156"/>
      <c r="H775" s="148"/>
      <c r="I775" s="148"/>
      <c r="J775" s="157"/>
      <c r="K775" s="138"/>
      <c r="L775" s="150"/>
      <c r="M775" s="150"/>
      <c r="N775" s="150"/>
      <c r="O775" s="138"/>
      <c r="P775" s="150"/>
      <c r="Q775" s="138"/>
      <c r="R775" s="140"/>
      <c r="S775" s="148"/>
      <c r="T775" s="140"/>
      <c r="U775" s="175"/>
      <c r="V775" s="21"/>
    </row>
    <row r="776" spans="1:22" ht="16.5" hidden="1" customHeight="1" x14ac:dyDescent="0.25">
      <c r="A776" s="175"/>
      <c r="B776" s="175"/>
      <c r="C776" s="147"/>
      <c r="D776" s="147"/>
      <c r="E776" s="148"/>
      <c r="F776" s="149"/>
      <c r="G776" s="156"/>
      <c r="H776" s="148"/>
      <c r="I776" s="148"/>
      <c r="J776" s="157"/>
      <c r="K776" s="138"/>
      <c r="L776" s="157"/>
      <c r="M776" s="150"/>
      <c r="N776" s="150"/>
      <c r="O776" s="138"/>
      <c r="P776" s="150"/>
      <c r="Q776" s="138"/>
      <c r="R776" s="140"/>
      <c r="S776" s="148"/>
      <c r="T776" s="140"/>
      <c r="U776" s="175"/>
      <c r="V776" s="21"/>
    </row>
    <row r="777" spans="1:22" ht="16.5" hidden="1" customHeight="1" x14ac:dyDescent="0.25">
      <c r="A777" s="175"/>
      <c r="B777" s="175"/>
      <c r="C777" s="147"/>
      <c r="D777" s="147"/>
      <c r="E777" s="148"/>
      <c r="F777" s="149"/>
      <c r="G777" s="156"/>
      <c r="H777" s="148"/>
      <c r="I777" s="32"/>
      <c r="J777" s="157"/>
      <c r="K777" s="138"/>
      <c r="L777" s="150"/>
      <c r="M777" s="150"/>
      <c r="N777" s="150"/>
      <c r="O777" s="138"/>
      <c r="P777" s="150"/>
      <c r="Q777" s="138"/>
      <c r="R777" s="140"/>
      <c r="S777" s="148"/>
      <c r="T777" s="140"/>
      <c r="U777" s="175"/>
      <c r="V777" s="21"/>
    </row>
    <row r="778" spans="1:22" ht="16.5" hidden="1" customHeight="1" x14ac:dyDescent="0.25">
      <c r="A778" s="175"/>
      <c r="B778" s="175"/>
      <c r="C778" s="147"/>
      <c r="D778" s="147"/>
      <c r="E778" s="148"/>
      <c r="F778" s="149"/>
      <c r="G778" s="156"/>
      <c r="H778" s="148"/>
      <c r="I778" s="32"/>
      <c r="J778" s="157"/>
      <c r="K778" s="138"/>
      <c r="L778" s="138"/>
      <c r="M778" s="138"/>
      <c r="N778" s="150"/>
      <c r="O778" s="138"/>
      <c r="P778" s="150"/>
      <c r="Q778" s="138"/>
      <c r="R778" s="140"/>
      <c r="S778" s="148"/>
      <c r="T778" s="140"/>
      <c r="U778" s="175"/>
      <c r="V778" s="21"/>
    </row>
    <row r="779" spans="1:22" ht="16.5" hidden="1" customHeight="1" x14ac:dyDescent="0.25">
      <c r="A779" s="175"/>
      <c r="B779" s="175"/>
      <c r="C779" s="147"/>
      <c r="D779" s="147"/>
      <c r="E779" s="148"/>
      <c r="F779" s="149"/>
      <c r="G779" s="156"/>
      <c r="H779" s="148"/>
      <c r="I779" s="32"/>
      <c r="J779" s="157"/>
      <c r="K779" s="138"/>
      <c r="L779" s="138"/>
      <c r="M779" s="138"/>
      <c r="N779" s="150"/>
      <c r="O779" s="138"/>
      <c r="P779" s="150"/>
      <c r="Q779" s="138"/>
      <c r="R779" s="140"/>
      <c r="S779" s="148"/>
      <c r="T779" s="140"/>
      <c r="U779" s="175"/>
      <c r="V779" s="21"/>
    </row>
    <row r="780" spans="1:22" ht="16.5" hidden="1" customHeight="1" x14ac:dyDescent="0.25">
      <c r="A780" s="175"/>
      <c r="B780" s="175"/>
      <c r="C780" s="147"/>
      <c r="D780" s="147"/>
      <c r="E780" s="148"/>
      <c r="F780" s="149"/>
      <c r="G780" s="156"/>
      <c r="H780" s="148"/>
      <c r="I780" s="138"/>
      <c r="J780" s="103"/>
      <c r="K780" s="138"/>
      <c r="L780" s="150"/>
      <c r="M780" s="150"/>
      <c r="N780" s="150"/>
      <c r="O780" s="138"/>
      <c r="P780" s="150"/>
      <c r="Q780" s="138"/>
      <c r="R780" s="140"/>
      <c r="S780" s="148"/>
      <c r="T780" s="140"/>
      <c r="U780" s="175"/>
      <c r="V780" s="21"/>
    </row>
    <row r="781" spans="1:22" ht="16.5" hidden="1" customHeight="1" x14ac:dyDescent="0.25">
      <c r="A781" s="175"/>
      <c r="B781" s="175"/>
      <c r="C781" s="147"/>
      <c r="D781" s="147"/>
      <c r="E781" s="148"/>
      <c r="F781" s="149"/>
      <c r="G781" s="156"/>
      <c r="H781" s="148"/>
      <c r="I781" s="40"/>
      <c r="J781" s="157"/>
      <c r="K781" s="138"/>
      <c r="L781" s="150"/>
      <c r="M781" s="150"/>
      <c r="N781" s="150"/>
      <c r="O781" s="138"/>
      <c r="P781" s="150"/>
      <c r="Q781" s="138"/>
      <c r="R781" s="140"/>
      <c r="S781" s="148"/>
      <c r="T781" s="140"/>
      <c r="U781" s="175"/>
      <c r="V781" s="21"/>
    </row>
    <row r="782" spans="1:22" ht="16.5" hidden="1" customHeight="1" x14ac:dyDescent="0.25">
      <c r="A782" s="175"/>
      <c r="B782" s="175"/>
      <c r="C782" s="147"/>
      <c r="D782" s="147"/>
      <c r="E782" s="148"/>
      <c r="F782" s="149"/>
      <c r="G782" s="156"/>
      <c r="H782" s="148"/>
      <c r="I782" s="138"/>
      <c r="J782" s="157"/>
      <c r="K782" s="138"/>
      <c r="L782" s="138"/>
      <c r="M782" s="150"/>
      <c r="N782" s="150"/>
      <c r="O782" s="138"/>
      <c r="P782" s="150"/>
      <c r="Q782" s="138"/>
      <c r="R782" s="140"/>
      <c r="S782" s="148"/>
      <c r="T782" s="140"/>
      <c r="U782" s="175"/>
      <c r="V782" s="21"/>
    </row>
    <row r="783" spans="1:22" ht="16.5" hidden="1" customHeight="1" x14ac:dyDescent="0.25">
      <c r="A783" s="175"/>
      <c r="B783" s="175"/>
      <c r="C783" s="147"/>
      <c r="D783" s="147"/>
      <c r="E783" s="148"/>
      <c r="F783" s="149"/>
      <c r="G783" s="156"/>
      <c r="H783" s="148"/>
      <c r="I783" s="138"/>
      <c r="J783" s="103"/>
      <c r="K783" s="138"/>
      <c r="L783" s="138"/>
      <c r="M783" s="150"/>
      <c r="N783" s="150"/>
      <c r="O783" s="138"/>
      <c r="P783" s="150"/>
      <c r="Q783" s="138"/>
      <c r="R783" s="140"/>
      <c r="S783" s="148"/>
      <c r="T783" s="140"/>
      <c r="U783" s="175"/>
      <c r="V783" s="21"/>
    </row>
    <row r="784" spans="1:22" ht="16.5" hidden="1" customHeight="1" x14ac:dyDescent="0.25">
      <c r="A784" s="175"/>
      <c r="B784" s="175"/>
      <c r="C784" s="147"/>
      <c r="D784" s="147"/>
      <c r="E784" s="148"/>
      <c r="F784" s="149"/>
      <c r="G784" s="156"/>
      <c r="H784" s="148"/>
      <c r="I784" s="138"/>
      <c r="J784" s="103"/>
      <c r="K784" s="138"/>
      <c r="L784" s="138"/>
      <c r="M784" s="138"/>
      <c r="N784" s="150"/>
      <c r="O784" s="138"/>
      <c r="P784" s="150"/>
      <c r="Q784" s="138"/>
      <c r="R784" s="140"/>
      <c r="S784" s="148"/>
      <c r="T784" s="140"/>
      <c r="U784" s="175"/>
      <c r="V784" s="21"/>
    </row>
    <row r="785" spans="1:22" ht="16.5" hidden="1" customHeight="1" x14ac:dyDescent="0.25">
      <c r="A785" s="175"/>
      <c r="B785" s="175"/>
      <c r="C785" s="147"/>
      <c r="D785" s="147"/>
      <c r="E785" s="148"/>
      <c r="F785" s="149"/>
      <c r="G785" s="156"/>
      <c r="H785" s="148"/>
      <c r="I785" s="138"/>
      <c r="J785" s="157"/>
      <c r="K785" s="138"/>
      <c r="L785" s="138"/>
      <c r="M785" s="138"/>
      <c r="N785" s="150"/>
      <c r="O785" s="138"/>
      <c r="P785" s="150"/>
      <c r="Q785" s="138"/>
      <c r="R785" s="140"/>
      <c r="S785" s="148"/>
      <c r="T785" s="140"/>
      <c r="U785" s="175"/>
      <c r="V785" s="21"/>
    </row>
    <row r="786" spans="1:22" ht="16.5" hidden="1" customHeight="1" x14ac:dyDescent="0.25">
      <c r="A786" s="175"/>
      <c r="B786" s="175"/>
      <c r="C786" s="147"/>
      <c r="D786" s="147"/>
      <c r="E786" s="148"/>
      <c r="F786" s="149"/>
      <c r="G786" s="156"/>
      <c r="H786" s="148"/>
      <c r="I786" s="138"/>
      <c r="J786" s="103"/>
      <c r="K786" s="138"/>
      <c r="L786" s="138"/>
      <c r="M786" s="150"/>
      <c r="N786" s="150"/>
      <c r="O786" s="138"/>
      <c r="P786" s="150"/>
      <c r="Q786" s="138"/>
      <c r="R786" s="140"/>
      <c r="S786" s="148"/>
      <c r="T786" s="140"/>
      <c r="U786" s="175"/>
      <c r="V786" s="21"/>
    </row>
    <row r="787" spans="1:22" ht="16.5" hidden="1" customHeight="1" x14ac:dyDescent="0.25">
      <c r="A787" s="175"/>
      <c r="B787" s="175"/>
      <c r="C787" s="147"/>
      <c r="D787" s="147"/>
      <c r="E787" s="148"/>
      <c r="F787" s="149"/>
      <c r="G787" s="156"/>
      <c r="H787" s="148"/>
      <c r="I787" s="138"/>
      <c r="J787" s="103"/>
      <c r="K787" s="138"/>
      <c r="L787" s="138"/>
      <c r="M787" s="150"/>
      <c r="N787" s="150"/>
      <c r="O787" s="138"/>
      <c r="P787" s="150"/>
      <c r="Q787" s="138"/>
      <c r="R787" s="140"/>
      <c r="S787" s="148"/>
      <c r="T787" s="140"/>
      <c r="U787" s="175"/>
      <c r="V787" s="21"/>
    </row>
    <row r="788" spans="1:22" ht="16.5" hidden="1" customHeight="1" x14ac:dyDescent="0.25">
      <c r="A788" s="175"/>
      <c r="B788" s="175"/>
      <c r="C788" s="147"/>
      <c r="D788" s="147"/>
      <c r="E788" s="148"/>
      <c r="F788" s="149"/>
      <c r="G788" s="156"/>
      <c r="H788" s="148"/>
      <c r="I788" s="138"/>
      <c r="J788" s="103"/>
      <c r="K788" s="138"/>
      <c r="L788" s="138"/>
      <c r="M788" s="138"/>
      <c r="N788" s="150"/>
      <c r="O788" s="138"/>
      <c r="P788" s="150"/>
      <c r="Q788" s="138"/>
      <c r="R788" s="140"/>
      <c r="S788" s="148"/>
      <c r="T788" s="140"/>
      <c r="U788" s="175"/>
      <c r="V788" s="21"/>
    </row>
    <row r="789" spans="1:22" ht="16.5" hidden="1" customHeight="1" x14ac:dyDescent="0.25">
      <c r="A789" s="175"/>
      <c r="B789" s="175"/>
      <c r="C789" s="188"/>
      <c r="D789" s="147"/>
      <c r="E789" s="148"/>
      <c r="F789" s="149"/>
      <c r="G789" s="156"/>
      <c r="H789" s="148"/>
      <c r="I789" s="138"/>
      <c r="J789" s="103"/>
      <c r="K789" s="138"/>
      <c r="L789" s="138"/>
      <c r="M789" s="138"/>
      <c r="N789" s="150"/>
      <c r="O789" s="138"/>
      <c r="P789" s="150"/>
      <c r="Q789" s="138"/>
      <c r="R789" s="140"/>
      <c r="S789" s="175"/>
      <c r="T789" s="140"/>
      <c r="U789" s="175"/>
      <c r="V789" s="21"/>
    </row>
    <row r="790" spans="1:22" ht="16.5" hidden="1" customHeight="1" x14ac:dyDescent="0.25">
      <c r="A790" s="175"/>
      <c r="B790" s="175"/>
      <c r="C790" s="188"/>
      <c r="D790" s="147"/>
      <c r="E790" s="148"/>
      <c r="F790" s="149"/>
      <c r="G790" s="156"/>
      <c r="H790" s="148"/>
      <c r="I790" s="175"/>
      <c r="J790" s="103"/>
      <c r="K790" s="175"/>
      <c r="L790" s="175"/>
      <c r="M790" s="138"/>
      <c r="N790" s="175"/>
      <c r="O790" s="175"/>
      <c r="P790" s="150"/>
      <c r="Q790" s="175"/>
      <c r="R790" s="140"/>
      <c r="S790" s="175"/>
      <c r="T790" s="140"/>
      <c r="U790" s="175"/>
      <c r="V790" s="21"/>
    </row>
    <row r="791" spans="1:22" ht="16.5" hidden="1" customHeight="1" x14ac:dyDescent="0.25">
      <c r="A791" s="175"/>
      <c r="B791" s="175"/>
      <c r="C791" s="188"/>
      <c r="D791" s="147"/>
      <c r="E791" s="148"/>
      <c r="F791" s="149"/>
      <c r="G791" s="156"/>
      <c r="H791" s="148"/>
      <c r="I791" s="175"/>
      <c r="J791" s="103"/>
      <c r="K791" s="138"/>
      <c r="L791" s="175"/>
      <c r="M791" s="175"/>
      <c r="N791" s="175"/>
      <c r="O791" s="175"/>
      <c r="P791" s="150"/>
      <c r="Q791" s="175"/>
      <c r="R791" s="140"/>
      <c r="S791" s="175"/>
      <c r="T791" s="140"/>
      <c r="U791" s="175"/>
      <c r="V791" s="21"/>
    </row>
    <row r="792" spans="1:22" ht="16.5" hidden="1" customHeight="1" x14ac:dyDescent="0.25">
      <c r="A792" s="175"/>
      <c r="B792" s="175"/>
      <c r="C792" s="188"/>
      <c r="D792" s="147"/>
      <c r="E792" s="148"/>
      <c r="F792" s="149"/>
      <c r="G792" s="156"/>
      <c r="H792" s="148"/>
      <c r="I792" s="175"/>
      <c r="J792" s="103"/>
      <c r="K792" s="138"/>
      <c r="L792" s="175"/>
      <c r="M792" s="150"/>
      <c r="N792" s="175"/>
      <c r="O792" s="175"/>
      <c r="P792" s="150"/>
      <c r="Q792" s="175"/>
      <c r="R792" s="140"/>
      <c r="S792" s="175"/>
      <c r="T792" s="140"/>
      <c r="U792" s="175"/>
      <c r="V792" s="21"/>
    </row>
    <row r="793" spans="1:22" ht="16.5" hidden="1" customHeight="1" x14ac:dyDescent="0.25">
      <c r="A793" s="175"/>
      <c r="B793" s="175"/>
      <c r="C793" s="188"/>
      <c r="D793" s="147"/>
      <c r="E793" s="148"/>
      <c r="F793" s="149"/>
      <c r="G793" s="156"/>
      <c r="H793" s="148"/>
      <c r="I793" s="175"/>
      <c r="J793" s="103"/>
      <c r="K793" s="138"/>
      <c r="L793" s="175"/>
      <c r="M793" s="150"/>
      <c r="N793" s="150"/>
      <c r="O793" s="175"/>
      <c r="P793" s="150"/>
      <c r="Q793" s="175"/>
      <c r="R793" s="140"/>
      <c r="S793" s="175"/>
      <c r="T793" s="140"/>
      <c r="U793" s="175"/>
      <c r="V793" s="21"/>
    </row>
    <row r="794" spans="1:22" ht="16.5" hidden="1" customHeight="1" x14ac:dyDescent="0.25">
      <c r="A794" s="175"/>
      <c r="B794" s="175"/>
      <c r="C794" s="188"/>
      <c r="D794" s="147"/>
      <c r="E794" s="148"/>
      <c r="F794" s="149"/>
      <c r="G794" s="156"/>
      <c r="H794" s="148"/>
      <c r="I794" s="175"/>
      <c r="J794" s="103"/>
      <c r="K794" s="138"/>
      <c r="L794" s="175"/>
      <c r="M794" s="175"/>
      <c r="N794" s="175"/>
      <c r="O794" s="175"/>
      <c r="P794" s="150"/>
      <c r="Q794" s="175"/>
      <c r="R794" s="140"/>
      <c r="S794" s="175"/>
      <c r="T794" s="140"/>
      <c r="U794" s="175"/>
      <c r="V794" s="21"/>
    </row>
    <row r="795" spans="1:22" ht="16.5" hidden="1" customHeight="1" x14ac:dyDescent="0.25">
      <c r="A795" s="175"/>
      <c r="B795" s="175"/>
      <c r="C795" s="188"/>
      <c r="D795" s="147"/>
      <c r="E795" s="148"/>
      <c r="F795" s="149"/>
      <c r="G795" s="156"/>
      <c r="H795" s="148"/>
      <c r="I795" s="175"/>
      <c r="J795" s="103"/>
      <c r="K795" s="138"/>
      <c r="L795" s="175"/>
      <c r="M795" s="175"/>
      <c r="N795" s="175"/>
      <c r="O795" s="175"/>
      <c r="P795" s="150"/>
      <c r="Q795" s="175"/>
      <c r="R795" s="140"/>
      <c r="S795" s="175"/>
      <c r="T795" s="140"/>
      <c r="U795" s="175"/>
      <c r="V795" s="21"/>
    </row>
    <row r="796" spans="1:22" ht="16.5" hidden="1" customHeight="1" x14ac:dyDescent="0.25">
      <c r="A796" s="175"/>
      <c r="B796" s="175"/>
      <c r="C796" s="188"/>
      <c r="D796" s="147"/>
      <c r="E796" s="148"/>
      <c r="F796" s="149"/>
      <c r="G796" s="156"/>
      <c r="H796" s="148"/>
      <c r="I796" s="138"/>
      <c r="J796" s="103"/>
      <c r="K796" s="138"/>
      <c r="L796" s="103"/>
      <c r="M796" s="150"/>
      <c r="N796" s="175"/>
      <c r="O796" s="138"/>
      <c r="P796" s="150"/>
      <c r="Q796" s="175"/>
      <c r="R796" s="140"/>
      <c r="S796" s="175"/>
      <c r="T796" s="140"/>
      <c r="U796" s="175"/>
      <c r="V796" s="21"/>
    </row>
    <row r="797" spans="1:22" ht="16.5" hidden="1" customHeight="1" x14ac:dyDescent="0.25">
      <c r="A797" s="175"/>
      <c r="B797" s="175"/>
      <c r="C797" s="188"/>
      <c r="D797" s="147"/>
      <c r="E797" s="148"/>
      <c r="F797" s="149"/>
      <c r="G797" s="156"/>
      <c r="H797" s="148"/>
      <c r="I797" s="138"/>
      <c r="J797" s="103"/>
      <c r="K797" s="138"/>
      <c r="L797" s="150"/>
      <c r="M797" s="150"/>
      <c r="N797" s="175"/>
      <c r="O797" s="138"/>
      <c r="P797" s="150"/>
      <c r="Q797" s="175"/>
      <c r="R797" s="140"/>
      <c r="S797" s="175"/>
      <c r="T797" s="140"/>
      <c r="U797" s="175"/>
      <c r="V797" s="21"/>
    </row>
    <row r="798" spans="1:22" ht="16.5" hidden="1" customHeight="1" x14ac:dyDescent="0.25">
      <c r="A798" s="175"/>
      <c r="B798" s="175"/>
      <c r="C798" s="188"/>
      <c r="D798" s="147"/>
      <c r="E798" s="148"/>
      <c r="F798" s="149"/>
      <c r="G798" s="156"/>
      <c r="H798" s="148"/>
      <c r="I798" s="138"/>
      <c r="J798" s="103"/>
      <c r="K798" s="138"/>
      <c r="L798" s="103"/>
      <c r="M798" s="138"/>
      <c r="N798" s="138"/>
      <c r="O798" s="138"/>
      <c r="P798" s="138"/>
      <c r="Q798" s="138"/>
      <c r="R798" s="140"/>
      <c r="S798" s="175"/>
      <c r="T798" s="140"/>
      <c r="U798" s="175"/>
      <c r="V798" s="21"/>
    </row>
    <row r="799" spans="1:22" ht="16.5" hidden="1" customHeight="1" x14ac:dyDescent="0.25">
      <c r="A799" s="175"/>
      <c r="B799" s="175"/>
      <c r="C799" s="188"/>
      <c r="D799" s="147"/>
      <c r="E799" s="148"/>
      <c r="F799" s="149"/>
      <c r="G799" s="156"/>
      <c r="H799" s="148"/>
      <c r="I799" s="138"/>
      <c r="J799" s="103"/>
      <c r="K799" s="138"/>
      <c r="L799" s="138"/>
      <c r="M799" s="150"/>
      <c r="N799" s="138"/>
      <c r="O799" s="138"/>
      <c r="P799" s="138"/>
      <c r="Q799" s="138"/>
      <c r="R799" s="140"/>
      <c r="S799" s="175"/>
      <c r="T799" s="140"/>
      <c r="U799" s="175"/>
      <c r="V799" s="21"/>
    </row>
    <row r="800" spans="1:22" ht="16.5" hidden="1" customHeight="1" x14ac:dyDescent="0.25">
      <c r="A800" s="175"/>
      <c r="B800" s="175"/>
      <c r="C800" s="188"/>
      <c r="D800" s="147"/>
      <c r="E800" s="148"/>
      <c r="F800" s="149"/>
      <c r="G800" s="156"/>
      <c r="H800" s="148"/>
      <c r="I800" s="138"/>
      <c r="J800" s="103"/>
      <c r="K800" s="138"/>
      <c r="L800" s="138"/>
      <c r="M800" s="138"/>
      <c r="N800" s="138"/>
      <c r="O800" s="144"/>
      <c r="P800" s="138"/>
      <c r="Q800" s="138"/>
      <c r="R800" s="140"/>
      <c r="S800" s="175"/>
      <c r="T800" s="140"/>
      <c r="U800" s="175"/>
      <c r="V800" s="21"/>
    </row>
    <row r="801" spans="1:22" ht="16.5" hidden="1" customHeight="1" x14ac:dyDescent="0.25">
      <c r="A801" s="175"/>
      <c r="B801" s="175"/>
      <c r="C801" s="188"/>
      <c r="D801" s="147"/>
      <c r="E801" s="148"/>
      <c r="F801" s="149"/>
      <c r="G801" s="156"/>
      <c r="H801" s="148"/>
      <c r="I801" s="138"/>
      <c r="J801" s="103"/>
      <c r="K801" s="138"/>
      <c r="L801" s="138"/>
      <c r="M801" s="175"/>
      <c r="N801" s="138"/>
      <c r="O801" s="138"/>
      <c r="P801" s="138"/>
      <c r="Q801" s="138"/>
      <c r="R801" s="140"/>
      <c r="S801" s="175"/>
      <c r="T801" s="140"/>
      <c r="U801" s="175"/>
      <c r="V801" s="21"/>
    </row>
    <row r="802" spans="1:22" ht="16.5" hidden="1" customHeight="1" x14ac:dyDescent="0.25">
      <c r="A802" s="175"/>
      <c r="B802" s="175"/>
      <c r="C802" s="147"/>
      <c r="D802" s="147"/>
      <c r="E802" s="148"/>
      <c r="F802" s="149"/>
      <c r="G802" s="156"/>
      <c r="H802" s="148"/>
      <c r="I802" s="148"/>
      <c r="J802" s="157"/>
      <c r="K802" s="138"/>
      <c r="L802" s="118"/>
      <c r="M802" s="150"/>
      <c r="N802" s="138"/>
      <c r="O802" s="151"/>
      <c r="P802" s="150"/>
      <c r="Q802" s="150"/>
      <c r="R802" s="139"/>
      <c r="S802" s="148"/>
      <c r="T802" s="140"/>
      <c r="U802" s="175"/>
      <c r="V802" s="21"/>
    </row>
    <row r="803" spans="1:22" ht="16.5" hidden="1" customHeight="1" x14ac:dyDescent="0.25">
      <c r="A803" s="175"/>
      <c r="B803" s="175"/>
      <c r="C803" s="147"/>
      <c r="D803" s="147"/>
      <c r="E803" s="148"/>
      <c r="F803" s="149"/>
      <c r="G803" s="156"/>
      <c r="H803" s="148"/>
      <c r="I803" s="148"/>
      <c r="J803" s="157"/>
      <c r="K803" s="138"/>
      <c r="L803" s="118"/>
      <c r="M803" s="175"/>
      <c r="N803" s="138"/>
      <c r="O803" s="151"/>
      <c r="P803" s="150"/>
      <c r="Q803" s="150"/>
      <c r="R803" s="139"/>
      <c r="S803" s="148"/>
      <c r="T803" s="140"/>
      <c r="U803" s="175"/>
      <c r="V803" s="21"/>
    </row>
    <row r="804" spans="1:22" ht="16.5" hidden="1" customHeight="1" x14ac:dyDescent="0.25">
      <c r="A804" s="175"/>
      <c r="B804" s="175"/>
      <c r="C804" s="147"/>
      <c r="D804" s="147"/>
      <c r="E804" s="148"/>
      <c r="F804" s="149"/>
      <c r="G804" s="156"/>
      <c r="H804" s="148"/>
      <c r="I804" s="148"/>
      <c r="J804" s="157"/>
      <c r="K804" s="138"/>
      <c r="L804" s="150"/>
      <c r="M804" s="175"/>
      <c r="N804" s="138"/>
      <c r="O804" s="138"/>
      <c r="P804" s="150"/>
      <c r="Q804" s="138"/>
      <c r="R804" s="140"/>
      <c r="S804" s="175"/>
      <c r="T804" s="140"/>
      <c r="U804" s="175"/>
      <c r="V804" s="21"/>
    </row>
    <row r="805" spans="1:22" ht="16.5" hidden="1" customHeight="1" x14ac:dyDescent="0.25">
      <c r="A805" s="175"/>
      <c r="B805" s="175"/>
      <c r="C805" s="147"/>
      <c r="D805" s="147"/>
      <c r="E805" s="148"/>
      <c r="F805" s="149"/>
      <c r="G805" s="156"/>
      <c r="H805" s="148"/>
      <c r="I805" s="148"/>
      <c r="J805" s="157"/>
      <c r="K805" s="150"/>
      <c r="L805" s="157"/>
      <c r="M805" s="150"/>
      <c r="N805" s="175"/>
      <c r="O805" s="175"/>
      <c r="P805" s="150"/>
      <c r="Q805" s="175"/>
      <c r="R805" s="140"/>
      <c r="S805" s="175"/>
      <c r="T805" s="140"/>
      <c r="U805" s="175"/>
      <c r="V805" s="21"/>
    </row>
    <row r="806" spans="1:22" ht="16.5" hidden="1" customHeight="1" x14ac:dyDescent="0.25">
      <c r="A806" s="175"/>
      <c r="B806" s="175"/>
      <c r="C806" s="147"/>
      <c r="D806" s="147"/>
      <c r="E806" s="148"/>
      <c r="F806" s="149"/>
      <c r="G806" s="156"/>
      <c r="H806" s="148"/>
      <c r="I806" s="32"/>
      <c r="J806" s="157"/>
      <c r="K806" s="138"/>
      <c r="L806" s="150"/>
      <c r="M806" s="150"/>
      <c r="N806" s="138"/>
      <c r="O806" s="151"/>
      <c r="P806" s="150"/>
      <c r="Q806" s="150"/>
      <c r="R806" s="139"/>
      <c r="S806" s="148"/>
      <c r="T806" s="140"/>
      <c r="U806" s="175"/>
      <c r="V806" s="21"/>
    </row>
    <row r="807" spans="1:22" ht="16.5" hidden="1" customHeight="1" x14ac:dyDescent="0.25">
      <c r="A807" s="175"/>
      <c r="B807" s="175"/>
      <c r="C807" s="147"/>
      <c r="D807" s="147"/>
      <c r="E807" s="148"/>
      <c r="F807" s="149"/>
      <c r="G807" s="156"/>
      <c r="H807" s="148"/>
      <c r="I807" s="32"/>
      <c r="J807" s="157"/>
      <c r="K807" s="138"/>
      <c r="L807" s="138"/>
      <c r="M807" s="175"/>
      <c r="N807" s="175"/>
      <c r="O807" s="175"/>
      <c r="P807" s="150"/>
      <c r="Q807" s="175"/>
      <c r="R807" s="140"/>
      <c r="S807" s="175"/>
      <c r="T807" s="140"/>
      <c r="U807" s="175"/>
      <c r="V807" s="21"/>
    </row>
    <row r="808" spans="1:22" ht="16.5" hidden="1" customHeight="1" x14ac:dyDescent="0.25">
      <c r="A808" s="175"/>
      <c r="B808" s="175"/>
      <c r="C808" s="147"/>
      <c r="D808" s="147"/>
      <c r="E808" s="148"/>
      <c r="F808" s="149"/>
      <c r="G808" s="156"/>
      <c r="H808" s="148"/>
      <c r="I808" s="32"/>
      <c r="J808" s="157"/>
      <c r="K808" s="150"/>
      <c r="L808" s="150"/>
      <c r="M808" s="150"/>
      <c r="N808" s="150"/>
      <c r="O808" s="138"/>
      <c r="P808" s="150"/>
      <c r="Q808" s="138"/>
      <c r="R808" s="139"/>
      <c r="S808" s="148"/>
      <c r="T808" s="140"/>
      <c r="U808" s="175"/>
      <c r="V808" s="21"/>
    </row>
    <row r="809" spans="1:22" ht="16.5" hidden="1" customHeight="1" x14ac:dyDescent="0.25">
      <c r="A809" s="175"/>
      <c r="B809" s="175"/>
      <c r="C809" s="147"/>
      <c r="D809" s="147"/>
      <c r="E809" s="148"/>
      <c r="F809" s="149"/>
      <c r="G809" s="156"/>
      <c r="H809" s="148"/>
      <c r="I809" s="138"/>
      <c r="J809" s="103"/>
      <c r="K809" s="150"/>
      <c r="L809" s="138"/>
      <c r="M809" s="175"/>
      <c r="N809" s="150"/>
      <c r="O809" s="138"/>
      <c r="P809" s="150"/>
      <c r="Q809" s="138"/>
      <c r="R809" s="140"/>
      <c r="S809" s="148"/>
      <c r="T809" s="140"/>
      <c r="U809" s="175"/>
      <c r="V809" s="21"/>
    </row>
    <row r="810" spans="1:22" ht="16.5" hidden="1" customHeight="1" x14ac:dyDescent="0.25">
      <c r="A810" s="175"/>
      <c r="B810" s="175"/>
      <c r="C810" s="147"/>
      <c r="D810" s="147"/>
      <c r="E810" s="148"/>
      <c r="F810" s="149"/>
      <c r="G810" s="156"/>
      <c r="H810" s="148"/>
      <c r="I810" s="40"/>
      <c r="J810" s="157"/>
      <c r="K810" s="138"/>
      <c r="L810" s="138"/>
      <c r="M810" s="150"/>
      <c r="N810" s="138"/>
      <c r="O810" s="138"/>
      <c r="P810" s="150"/>
      <c r="Q810" s="138"/>
      <c r="R810" s="139"/>
      <c r="S810" s="175"/>
      <c r="T810" s="140"/>
      <c r="U810" s="175"/>
      <c r="V810" s="21"/>
    </row>
    <row r="811" spans="1:22" ht="16.5" hidden="1" customHeight="1" x14ac:dyDescent="0.25">
      <c r="A811" s="175"/>
      <c r="B811" s="175"/>
      <c r="C811" s="147"/>
      <c r="D811" s="147"/>
      <c r="E811" s="148"/>
      <c r="F811" s="149"/>
      <c r="G811" s="156"/>
      <c r="H811" s="148"/>
      <c r="I811" s="138"/>
      <c r="J811" s="157"/>
      <c r="K811" s="150"/>
      <c r="L811" s="138"/>
      <c r="M811" s="175"/>
      <c r="N811" s="150"/>
      <c r="O811" s="138"/>
      <c r="P811" s="150"/>
      <c r="Q811" s="138"/>
      <c r="R811" s="140"/>
      <c r="S811" s="148"/>
      <c r="T811" s="140"/>
      <c r="U811" s="175"/>
      <c r="V811" s="21"/>
    </row>
    <row r="812" spans="1:22" ht="16.5" hidden="1" customHeight="1" x14ac:dyDescent="0.25">
      <c r="A812" s="175"/>
      <c r="B812" s="175"/>
      <c r="C812" s="147"/>
      <c r="D812" s="147"/>
      <c r="E812" s="148"/>
      <c r="F812" s="149"/>
      <c r="G812" s="156"/>
      <c r="H812" s="148"/>
      <c r="I812" s="138"/>
      <c r="J812" s="103"/>
      <c r="K812" s="138"/>
      <c r="L812" s="138"/>
      <c r="M812" s="175"/>
      <c r="N812" s="138"/>
      <c r="O812" s="138"/>
      <c r="P812" s="150"/>
      <c r="Q812" s="138"/>
      <c r="R812" s="140"/>
      <c r="S812" s="175"/>
      <c r="T812" s="140"/>
      <c r="U812" s="175"/>
      <c r="V812" s="21"/>
    </row>
    <row r="813" spans="1:22" ht="16.5" hidden="1" customHeight="1" x14ac:dyDescent="0.25">
      <c r="A813" s="175"/>
      <c r="B813" s="175"/>
      <c r="C813" s="147"/>
      <c r="D813" s="147"/>
      <c r="E813" s="148"/>
      <c r="F813" s="149"/>
      <c r="G813" s="156"/>
      <c r="H813" s="148"/>
      <c r="I813" s="138"/>
      <c r="J813" s="103"/>
      <c r="K813" s="138"/>
      <c r="L813" s="138"/>
      <c r="M813" s="175"/>
      <c r="N813" s="138"/>
      <c r="O813" s="138"/>
      <c r="P813" s="150"/>
      <c r="Q813" s="138"/>
      <c r="R813" s="140"/>
      <c r="S813" s="175"/>
      <c r="T813" s="140"/>
      <c r="U813" s="175"/>
      <c r="V813" s="21"/>
    </row>
    <row r="814" spans="1:22" ht="16.5" hidden="1" customHeight="1" x14ac:dyDescent="0.25">
      <c r="A814" s="175"/>
      <c r="B814" s="175"/>
      <c r="C814" s="147"/>
      <c r="D814" s="147"/>
      <c r="E814" s="148"/>
      <c r="F814" s="149"/>
      <c r="G814" s="156"/>
      <c r="H814" s="148"/>
      <c r="I814" s="138"/>
      <c r="J814" s="157"/>
      <c r="K814" s="150"/>
      <c r="L814" s="138"/>
      <c r="M814" s="175"/>
      <c r="N814" s="138"/>
      <c r="O814" s="151"/>
      <c r="P814" s="150"/>
      <c r="Q814" s="150"/>
      <c r="R814" s="139"/>
      <c r="S814" s="148"/>
      <c r="T814" s="140"/>
      <c r="U814" s="175"/>
      <c r="V814" s="21"/>
    </row>
    <row r="815" spans="1:22" ht="16.5" hidden="1" customHeight="1" x14ac:dyDescent="0.25">
      <c r="A815" s="175"/>
      <c r="B815" s="175"/>
      <c r="C815" s="147"/>
      <c r="D815" s="147"/>
      <c r="E815" s="148"/>
      <c r="F815" s="149"/>
      <c r="G815" s="156"/>
      <c r="H815" s="148"/>
      <c r="I815" s="138"/>
      <c r="J815" s="103"/>
      <c r="K815" s="138"/>
      <c r="L815" s="138"/>
      <c r="M815" s="175"/>
      <c r="N815" s="138"/>
      <c r="O815" s="138"/>
      <c r="P815" s="150"/>
      <c r="Q815" s="138"/>
      <c r="R815" s="140"/>
      <c r="S815" s="175"/>
      <c r="T815" s="140"/>
      <c r="U815" s="175"/>
      <c r="V815" s="21"/>
    </row>
    <row r="816" spans="1:22" ht="16.5" hidden="1" customHeight="1" x14ac:dyDescent="0.25">
      <c r="A816" s="175"/>
      <c r="B816" s="175"/>
      <c r="C816" s="147"/>
      <c r="D816" s="147"/>
      <c r="E816" s="148"/>
      <c r="F816" s="149"/>
      <c r="G816" s="156"/>
      <c r="H816" s="148"/>
      <c r="I816" s="138"/>
      <c r="J816" s="103"/>
      <c r="K816" s="138"/>
      <c r="L816" s="138"/>
      <c r="M816" s="175"/>
      <c r="N816" s="138"/>
      <c r="O816" s="138"/>
      <c r="P816" s="150"/>
      <c r="Q816" s="138"/>
      <c r="R816" s="140"/>
      <c r="S816" s="175"/>
      <c r="T816" s="140"/>
      <c r="U816" s="175"/>
      <c r="V816" s="21"/>
    </row>
    <row r="817" spans="1:22" ht="16.5" hidden="1" customHeight="1" x14ac:dyDescent="0.25">
      <c r="A817" s="175"/>
      <c r="B817" s="175"/>
      <c r="C817" s="147"/>
      <c r="D817" s="147"/>
      <c r="E817" s="148"/>
      <c r="F817" s="149"/>
      <c r="G817" s="156"/>
      <c r="H817" s="148"/>
      <c r="I817" s="138"/>
      <c r="J817" s="103"/>
      <c r="K817" s="138"/>
      <c r="L817" s="138"/>
      <c r="M817" s="138"/>
      <c r="N817" s="138"/>
      <c r="O817" s="138"/>
      <c r="P817" s="150"/>
      <c r="Q817" s="138"/>
      <c r="R817" s="140"/>
      <c r="S817" s="175"/>
      <c r="T817" s="140"/>
      <c r="U817" s="175"/>
      <c r="V817" s="21"/>
    </row>
    <row r="818" spans="1:22" ht="16.5" hidden="1" customHeight="1" x14ac:dyDescent="0.25">
      <c r="A818" s="175"/>
      <c r="B818" s="175"/>
      <c r="C818" s="147"/>
      <c r="D818" s="147"/>
      <c r="E818" s="148"/>
      <c r="F818" s="149"/>
      <c r="G818" s="156"/>
      <c r="H818" s="148"/>
      <c r="I818" s="138"/>
      <c r="J818" s="103"/>
      <c r="K818" s="138"/>
      <c r="L818" s="138"/>
      <c r="M818" s="138"/>
      <c r="N818" s="138"/>
      <c r="O818" s="138"/>
      <c r="P818" s="150"/>
      <c r="Q818" s="138"/>
      <c r="R818" s="140"/>
      <c r="S818" s="175"/>
      <c r="T818" s="140"/>
      <c r="U818" s="175"/>
      <c r="V818" s="21"/>
    </row>
    <row r="819" spans="1:22" ht="16.5" hidden="1" customHeight="1" x14ac:dyDescent="0.25">
      <c r="A819" s="175"/>
      <c r="B819" s="175"/>
      <c r="C819" s="147"/>
      <c r="D819" s="147"/>
      <c r="E819" s="148"/>
      <c r="F819" s="149"/>
      <c r="G819" s="156"/>
      <c r="H819" s="148"/>
      <c r="I819" s="175"/>
      <c r="J819" s="103"/>
      <c r="K819" s="175"/>
      <c r="L819" s="138"/>
      <c r="M819" s="175"/>
      <c r="N819" s="175"/>
      <c r="O819" s="175"/>
      <c r="P819" s="150"/>
      <c r="Q819" s="175"/>
      <c r="R819" s="140"/>
      <c r="S819" s="175"/>
      <c r="T819" s="140"/>
      <c r="U819" s="175"/>
      <c r="V819" s="21"/>
    </row>
    <row r="820" spans="1:22" ht="16.5" hidden="1" customHeight="1" x14ac:dyDescent="0.25">
      <c r="A820" s="175"/>
      <c r="B820" s="175"/>
      <c r="C820" s="147"/>
      <c r="D820" s="147"/>
      <c r="E820" s="148"/>
      <c r="F820" s="149"/>
      <c r="G820" s="156"/>
      <c r="H820" s="148"/>
      <c r="I820" s="175"/>
      <c r="J820" s="103"/>
      <c r="K820" s="138"/>
      <c r="L820" s="175"/>
      <c r="M820" s="175"/>
      <c r="N820" s="175"/>
      <c r="O820" s="175"/>
      <c r="P820" s="150"/>
      <c r="Q820" s="175"/>
      <c r="R820" s="140"/>
      <c r="S820" s="175"/>
      <c r="T820" s="140"/>
      <c r="U820" s="175"/>
      <c r="V820" s="21"/>
    </row>
    <row r="821" spans="1:22" ht="16.5" hidden="1" customHeight="1" x14ac:dyDescent="0.25">
      <c r="A821" s="175"/>
      <c r="B821" s="175"/>
      <c r="C821" s="147"/>
      <c r="D821" s="147"/>
      <c r="E821" s="148"/>
      <c r="F821" s="149"/>
      <c r="G821" s="156"/>
      <c r="H821" s="148"/>
      <c r="I821" s="175"/>
      <c r="J821" s="103"/>
      <c r="K821" s="138"/>
      <c r="L821" s="138"/>
      <c r="M821" s="138"/>
      <c r="N821" s="138"/>
      <c r="O821" s="138"/>
      <c r="P821" s="150"/>
      <c r="Q821" s="138"/>
      <c r="R821" s="140"/>
      <c r="S821" s="175"/>
      <c r="T821" s="140"/>
      <c r="U821" s="175"/>
      <c r="V821" s="21"/>
    </row>
    <row r="822" spans="1:22" ht="16.5" hidden="1" customHeight="1" x14ac:dyDescent="0.25">
      <c r="A822" s="175"/>
      <c r="B822" s="175"/>
      <c r="C822" s="147"/>
      <c r="D822" s="147"/>
      <c r="E822" s="148"/>
      <c r="F822" s="149"/>
      <c r="G822" s="156"/>
      <c r="H822" s="148"/>
      <c r="I822" s="175"/>
      <c r="J822" s="103"/>
      <c r="K822" s="150"/>
      <c r="L822" s="175"/>
      <c r="M822" s="175"/>
      <c r="N822" s="138"/>
      <c r="O822" s="138"/>
      <c r="P822" s="150"/>
      <c r="Q822" s="138"/>
      <c r="R822" s="140"/>
      <c r="S822" s="175"/>
      <c r="T822" s="140"/>
      <c r="U822" s="175"/>
      <c r="V822" s="21"/>
    </row>
    <row r="823" spans="1:22" ht="16.5" hidden="1" customHeight="1" x14ac:dyDescent="0.25">
      <c r="A823" s="175"/>
      <c r="B823" s="175"/>
      <c r="C823" s="188"/>
      <c r="D823" s="188"/>
      <c r="E823" s="148"/>
      <c r="F823" s="149"/>
      <c r="G823" s="156"/>
      <c r="H823" s="148"/>
      <c r="I823" s="175"/>
      <c r="J823" s="103"/>
      <c r="K823" s="138"/>
      <c r="L823" s="175"/>
      <c r="M823" s="175"/>
      <c r="N823" s="138"/>
      <c r="O823" s="138"/>
      <c r="P823" s="150"/>
      <c r="Q823" s="138"/>
      <c r="R823" s="140"/>
      <c r="S823" s="175"/>
      <c r="T823" s="140"/>
      <c r="U823" s="175"/>
      <c r="V823" s="21"/>
    </row>
    <row r="824" spans="1:22" ht="16.5" hidden="1" customHeight="1" x14ac:dyDescent="0.25">
      <c r="A824" s="175"/>
      <c r="B824" s="175"/>
      <c r="C824" s="188"/>
      <c r="D824" s="188"/>
      <c r="E824" s="148"/>
      <c r="F824" s="149"/>
      <c r="G824" s="156"/>
      <c r="H824" s="148"/>
      <c r="I824" s="175"/>
      <c r="J824" s="103"/>
      <c r="K824" s="138"/>
      <c r="L824" s="175"/>
      <c r="M824" s="175"/>
      <c r="N824" s="138"/>
      <c r="O824" s="138"/>
      <c r="P824" s="150"/>
      <c r="Q824" s="138"/>
      <c r="R824" s="140"/>
      <c r="S824" s="175"/>
      <c r="T824" s="140"/>
      <c r="U824" s="175"/>
      <c r="V824" s="21"/>
    </row>
    <row r="825" spans="1:22" ht="16.5" hidden="1" customHeight="1" x14ac:dyDescent="0.25">
      <c r="A825" s="175"/>
      <c r="B825" s="175"/>
      <c r="C825" s="188"/>
      <c r="D825" s="188"/>
      <c r="E825" s="148"/>
      <c r="F825" s="149"/>
      <c r="G825" s="156"/>
      <c r="H825" s="148"/>
      <c r="I825" s="138"/>
      <c r="J825" s="103"/>
      <c r="K825" s="138"/>
      <c r="L825" s="138"/>
      <c r="M825" s="175"/>
      <c r="N825" s="138"/>
      <c r="O825" s="138"/>
      <c r="P825" s="150"/>
      <c r="Q825" s="138"/>
      <c r="R825" s="140"/>
      <c r="S825" s="175"/>
      <c r="T825" s="140"/>
      <c r="U825" s="175"/>
      <c r="V825" s="21"/>
    </row>
    <row r="826" spans="1:22" ht="16.5" hidden="1" customHeight="1" x14ac:dyDescent="0.25">
      <c r="A826" s="175"/>
      <c r="B826" s="175"/>
      <c r="C826" s="188"/>
      <c r="D826" s="188"/>
      <c r="E826" s="148"/>
      <c r="F826" s="149"/>
      <c r="G826" s="156"/>
      <c r="H826" s="148"/>
      <c r="I826" s="138"/>
      <c r="J826" s="103"/>
      <c r="K826" s="138"/>
      <c r="L826" s="175"/>
      <c r="M826" s="175"/>
      <c r="N826" s="138"/>
      <c r="O826" s="138"/>
      <c r="P826" s="138"/>
      <c r="Q826" s="138"/>
      <c r="R826" s="140"/>
      <c r="S826" s="175"/>
      <c r="T826" s="140"/>
      <c r="U826" s="175"/>
      <c r="V826" s="21"/>
    </row>
    <row r="827" spans="1:22" ht="16.5" hidden="1" customHeight="1" x14ac:dyDescent="0.25">
      <c r="A827" s="175"/>
      <c r="B827" s="175"/>
      <c r="C827" s="188"/>
      <c r="D827" s="188"/>
      <c r="E827" s="148"/>
      <c r="F827" s="149"/>
      <c r="G827" s="156"/>
      <c r="H827" s="148"/>
      <c r="I827" s="138"/>
      <c r="J827" s="103"/>
      <c r="K827" s="138"/>
      <c r="L827" s="138"/>
      <c r="M827" s="175"/>
      <c r="N827" s="138"/>
      <c r="O827" s="138"/>
      <c r="P827" s="150"/>
      <c r="Q827" s="138"/>
      <c r="R827" s="140"/>
      <c r="S827" s="175"/>
      <c r="T827" s="140"/>
      <c r="U827" s="175"/>
      <c r="V827" s="21"/>
    </row>
    <row r="828" spans="1:22" ht="13.5" hidden="1" customHeight="1" x14ac:dyDescent="0.25">
      <c r="A828" s="175"/>
      <c r="B828" s="175"/>
      <c r="C828" s="188"/>
      <c r="D828" s="188"/>
      <c r="E828" s="148"/>
      <c r="F828" s="149"/>
      <c r="G828" s="156"/>
      <c r="H828" s="148"/>
      <c r="I828" s="138"/>
      <c r="J828" s="103"/>
      <c r="K828" s="138"/>
      <c r="L828" s="138"/>
      <c r="M828" s="175"/>
      <c r="N828" s="138"/>
      <c r="O828" s="138"/>
      <c r="P828" s="138"/>
      <c r="Q828" s="138"/>
      <c r="R828" s="140"/>
      <c r="S828" s="175"/>
      <c r="T828" s="140"/>
      <c r="U828" s="175"/>
      <c r="V828" s="21"/>
    </row>
    <row r="829" spans="1:22" ht="16.5" hidden="1" customHeight="1" x14ac:dyDescent="0.25">
      <c r="A829" s="175"/>
      <c r="B829" s="175"/>
      <c r="C829" s="188"/>
      <c r="D829" s="188"/>
      <c r="E829" s="148"/>
      <c r="F829" s="149"/>
      <c r="G829" s="156"/>
      <c r="H829" s="148"/>
      <c r="I829" s="138"/>
      <c r="J829" s="103"/>
      <c r="K829" s="138"/>
      <c r="L829" s="175"/>
      <c r="M829" s="138"/>
      <c r="N829" s="138"/>
      <c r="O829" s="138"/>
      <c r="P829" s="150"/>
      <c r="Q829" s="138"/>
      <c r="R829" s="140"/>
      <c r="S829" s="175"/>
      <c r="T829" s="140"/>
      <c r="U829" s="175"/>
      <c r="V829" s="21"/>
    </row>
    <row r="830" spans="1:22" ht="16.5" hidden="1" customHeight="1" x14ac:dyDescent="0.25">
      <c r="A830" s="175"/>
      <c r="B830" s="175"/>
      <c r="C830" s="188"/>
      <c r="D830" s="188"/>
      <c r="E830" s="148"/>
      <c r="F830" s="149"/>
      <c r="G830" s="156"/>
      <c r="H830" s="148"/>
      <c r="I830" s="138"/>
      <c r="J830" s="103"/>
      <c r="K830" s="138"/>
      <c r="L830" s="175"/>
      <c r="M830" s="138"/>
      <c r="N830" s="138"/>
      <c r="O830" s="138"/>
      <c r="P830" s="150"/>
      <c r="Q830" s="138"/>
      <c r="R830" s="140"/>
      <c r="S830" s="175"/>
      <c r="T830" s="140"/>
      <c r="U830" s="175"/>
      <c r="V830" s="21"/>
    </row>
    <row r="831" spans="1:22" ht="16.5" hidden="1" customHeight="1" x14ac:dyDescent="0.25">
      <c r="A831" s="175"/>
      <c r="B831" s="175"/>
      <c r="C831" s="188"/>
      <c r="D831" s="188"/>
      <c r="E831" s="148"/>
      <c r="F831" s="149"/>
      <c r="G831" s="156"/>
      <c r="H831" s="148"/>
      <c r="I831" s="138"/>
      <c r="J831" s="103"/>
      <c r="K831" s="150"/>
      <c r="L831" s="138"/>
      <c r="M831" s="175"/>
      <c r="N831" s="138"/>
      <c r="O831" s="175"/>
      <c r="P831" s="150"/>
      <c r="Q831" s="175"/>
      <c r="R831" s="140"/>
      <c r="S831" s="175"/>
      <c r="T831" s="140"/>
      <c r="U831" s="175"/>
      <c r="V831" s="21"/>
    </row>
    <row r="832" spans="1:22" ht="16.5" hidden="1" customHeight="1" x14ac:dyDescent="0.25">
      <c r="A832" s="175"/>
      <c r="B832" s="175"/>
      <c r="C832" s="188"/>
      <c r="D832" s="188"/>
      <c r="E832" s="148"/>
      <c r="F832" s="149"/>
      <c r="G832" s="156"/>
      <c r="H832" s="148"/>
      <c r="I832" s="138"/>
      <c r="J832" s="103"/>
      <c r="K832" s="138"/>
      <c r="L832" s="138"/>
      <c r="M832" s="138"/>
      <c r="N832" s="138"/>
      <c r="O832" s="138"/>
      <c r="P832" s="138"/>
      <c r="Q832" s="138"/>
      <c r="R832" s="140"/>
      <c r="S832" s="175"/>
      <c r="T832" s="140"/>
      <c r="U832" s="175"/>
      <c r="V832" s="21"/>
    </row>
    <row r="833" spans="1:22" ht="16.5" hidden="1" customHeight="1" x14ac:dyDescent="0.25">
      <c r="A833" s="175"/>
      <c r="B833" s="175"/>
      <c r="C833" s="188"/>
      <c r="D833" s="188"/>
      <c r="E833" s="148"/>
      <c r="F833" s="149"/>
      <c r="G833" s="156"/>
      <c r="H833" s="148"/>
      <c r="I833" s="138"/>
      <c r="J833" s="103"/>
      <c r="K833" s="138"/>
      <c r="L833" s="138"/>
      <c r="M833" s="138"/>
      <c r="N833" s="138"/>
      <c r="O833" s="138"/>
      <c r="P833" s="138"/>
      <c r="Q833" s="138"/>
      <c r="R833" s="140"/>
      <c r="S833" s="175"/>
      <c r="T833" s="140"/>
      <c r="U833" s="175"/>
      <c r="V833" s="21"/>
    </row>
    <row r="834" spans="1:22" ht="16.5" hidden="1" customHeight="1" x14ac:dyDescent="0.25">
      <c r="A834" s="175"/>
      <c r="B834" s="175"/>
      <c r="C834" s="188"/>
      <c r="D834" s="188"/>
      <c r="E834" s="148"/>
      <c r="F834" s="149"/>
      <c r="G834" s="156"/>
      <c r="H834" s="148"/>
      <c r="I834" s="150"/>
      <c r="J834" s="138"/>
      <c r="K834" s="138"/>
      <c r="L834" s="138"/>
      <c r="M834" s="138"/>
      <c r="N834" s="138"/>
      <c r="O834" s="138"/>
      <c r="P834" s="138"/>
      <c r="Q834" s="138"/>
      <c r="R834" s="140"/>
      <c r="S834" s="175"/>
      <c r="T834" s="140"/>
      <c r="U834" s="175"/>
      <c r="V834" s="21"/>
    </row>
    <row r="835" spans="1:22" ht="16.5" hidden="1" customHeight="1" x14ac:dyDescent="0.25">
      <c r="A835" s="175"/>
      <c r="B835" s="175"/>
      <c r="C835" s="188"/>
      <c r="D835" s="188"/>
      <c r="E835" s="148"/>
      <c r="F835" s="149"/>
      <c r="G835" s="156"/>
      <c r="H835" s="148"/>
      <c r="I835" s="138"/>
      <c r="J835" s="103"/>
      <c r="K835" s="138"/>
      <c r="L835" s="175"/>
      <c r="M835" s="138"/>
      <c r="N835" s="138"/>
      <c r="O835" s="138"/>
      <c r="P835" s="138"/>
      <c r="Q835" s="138"/>
      <c r="R835" s="140"/>
      <c r="S835" s="175"/>
      <c r="T835" s="140"/>
      <c r="U835" s="175"/>
      <c r="V835" s="21"/>
    </row>
    <row r="836" spans="1:22" ht="16.5" hidden="1" customHeight="1" x14ac:dyDescent="0.25">
      <c r="A836" s="175"/>
      <c r="B836" s="175"/>
      <c r="C836" s="188"/>
      <c r="D836" s="188"/>
      <c r="E836" s="148"/>
      <c r="F836" s="149"/>
      <c r="G836" s="156"/>
      <c r="H836" s="148"/>
      <c r="I836" s="138"/>
      <c r="J836" s="103"/>
      <c r="K836" s="138"/>
      <c r="L836" s="138"/>
      <c r="M836" s="175"/>
      <c r="N836" s="138"/>
      <c r="O836" s="138"/>
      <c r="P836" s="138"/>
      <c r="Q836" s="138"/>
      <c r="R836" s="138"/>
      <c r="S836" s="138"/>
      <c r="T836" s="140"/>
      <c r="U836" s="175"/>
      <c r="V836" s="21"/>
    </row>
    <row r="837" spans="1:22" ht="16.5" hidden="1" customHeight="1" x14ac:dyDescent="0.25">
      <c r="A837" s="175"/>
      <c r="B837" s="175"/>
      <c r="C837" s="188"/>
      <c r="D837" s="188"/>
      <c r="E837" s="148"/>
      <c r="F837" s="149"/>
      <c r="G837" s="156"/>
      <c r="H837" s="148"/>
      <c r="I837" s="138"/>
      <c r="J837" s="103"/>
      <c r="K837" s="150"/>
      <c r="L837" s="138"/>
      <c r="M837" s="175"/>
      <c r="N837" s="138"/>
      <c r="O837" s="138"/>
      <c r="P837" s="138"/>
      <c r="Q837" s="138"/>
      <c r="R837" s="138"/>
      <c r="S837" s="138"/>
      <c r="T837" s="140"/>
      <c r="U837" s="175"/>
      <c r="V837" s="21"/>
    </row>
    <row r="838" spans="1:22" ht="16.5" hidden="1" customHeight="1" x14ac:dyDescent="0.25">
      <c r="A838" s="175"/>
      <c r="B838" s="175"/>
      <c r="C838" s="188"/>
      <c r="D838" s="188"/>
      <c r="E838" s="148"/>
      <c r="F838" s="149"/>
      <c r="G838" s="156"/>
      <c r="H838" s="148"/>
      <c r="I838" s="138"/>
      <c r="J838" s="103"/>
      <c r="K838" s="138"/>
      <c r="L838" s="138"/>
      <c r="M838" s="175"/>
      <c r="N838" s="138"/>
      <c r="O838" s="138"/>
      <c r="P838" s="138"/>
      <c r="Q838" s="138"/>
      <c r="R838" s="140"/>
      <c r="S838" s="175"/>
      <c r="T838" s="140"/>
      <c r="U838" s="175"/>
      <c r="V838" s="21"/>
    </row>
    <row r="839" spans="1:22" ht="16.5" hidden="1" customHeight="1" x14ac:dyDescent="0.25">
      <c r="A839" s="175"/>
      <c r="B839" s="175"/>
      <c r="C839" s="188"/>
      <c r="D839" s="188"/>
      <c r="E839" s="148"/>
      <c r="F839" s="149"/>
      <c r="G839" s="156"/>
      <c r="H839" s="148"/>
      <c r="I839" s="150"/>
      <c r="J839" s="103"/>
      <c r="K839" s="138"/>
      <c r="L839" s="138"/>
      <c r="M839" s="175"/>
      <c r="N839" s="138"/>
      <c r="O839" s="138"/>
      <c r="P839" s="138"/>
      <c r="Q839" s="138"/>
      <c r="R839" s="140"/>
      <c r="S839" s="175"/>
      <c r="T839" s="140"/>
      <c r="U839" s="175"/>
      <c r="V839" s="21"/>
    </row>
    <row r="840" spans="1:22" ht="18" hidden="1" customHeight="1" x14ac:dyDescent="0.25">
      <c r="A840" s="175"/>
      <c r="B840" s="175"/>
      <c r="C840" s="188"/>
      <c r="D840" s="188"/>
      <c r="E840" s="148"/>
      <c r="F840" s="149"/>
      <c r="G840" s="156"/>
      <c r="H840" s="148"/>
      <c r="I840" s="138"/>
      <c r="J840" s="103"/>
      <c r="K840" s="138"/>
      <c r="L840" s="175"/>
      <c r="M840" s="138"/>
      <c r="N840" s="138"/>
      <c r="O840" s="138"/>
      <c r="P840" s="150"/>
      <c r="Q840" s="138"/>
      <c r="R840" s="140"/>
      <c r="S840" s="175"/>
      <c r="T840" s="140"/>
      <c r="U840" s="175"/>
      <c r="V840" s="21"/>
    </row>
    <row r="841" spans="1:22" ht="16.5" hidden="1" customHeight="1" x14ac:dyDescent="0.25">
      <c r="A841" s="175"/>
      <c r="B841" s="175"/>
      <c r="C841" s="188"/>
      <c r="D841" s="188"/>
      <c r="E841" s="148"/>
      <c r="F841" s="149"/>
      <c r="G841" s="156"/>
      <c r="H841" s="148"/>
      <c r="I841" s="138"/>
      <c r="J841" s="103"/>
      <c r="K841" s="138"/>
      <c r="L841" s="138"/>
      <c r="M841" s="175"/>
      <c r="N841" s="138"/>
      <c r="O841" s="138"/>
      <c r="P841" s="138"/>
      <c r="Q841" s="138"/>
      <c r="R841" s="140"/>
      <c r="S841" s="175"/>
      <c r="T841" s="140"/>
      <c r="U841" s="175"/>
      <c r="V841" s="21"/>
    </row>
    <row r="842" spans="1:22" s="13" customFormat="1" ht="16.5" hidden="1" customHeight="1" x14ac:dyDescent="0.25">
      <c r="A842" s="175"/>
      <c r="B842" s="175"/>
      <c r="C842" s="188"/>
      <c r="D842" s="188"/>
      <c r="E842" s="148"/>
      <c r="F842" s="149"/>
      <c r="G842" s="156"/>
      <c r="H842" s="148"/>
      <c r="I842" s="138"/>
      <c r="J842" s="103"/>
      <c r="K842" s="150"/>
      <c r="L842" s="138"/>
      <c r="M842" s="175"/>
      <c r="N842" s="150"/>
      <c r="O842" s="138"/>
      <c r="P842" s="150"/>
      <c r="Q842" s="138"/>
      <c r="R842" s="139"/>
      <c r="S842" s="148"/>
      <c r="T842" s="140"/>
      <c r="U842" s="175"/>
      <c r="V842" s="21"/>
    </row>
    <row r="843" spans="1:22" s="13" customFormat="1" ht="16.5" hidden="1" customHeight="1" x14ac:dyDescent="0.25">
      <c r="A843" s="175"/>
      <c r="B843" s="175"/>
      <c r="C843" s="188"/>
      <c r="D843" s="188"/>
      <c r="E843" s="148"/>
      <c r="F843" s="149"/>
      <c r="G843" s="156"/>
      <c r="H843" s="148"/>
      <c r="I843" s="138"/>
      <c r="J843" s="103"/>
      <c r="K843" s="138"/>
      <c r="L843" s="175"/>
      <c r="M843" s="138"/>
      <c r="N843" s="138"/>
      <c r="O843" s="138"/>
      <c r="P843" s="138"/>
      <c r="Q843" s="138"/>
      <c r="R843" s="140"/>
      <c r="S843" s="175"/>
      <c r="T843" s="140"/>
      <c r="U843" s="175"/>
      <c r="V843" s="21"/>
    </row>
    <row r="844" spans="1:22" s="13" customFormat="1" ht="16.5" hidden="1" customHeight="1" x14ac:dyDescent="0.25">
      <c r="A844" s="175"/>
      <c r="B844" s="175"/>
      <c r="C844" s="147"/>
      <c r="D844" s="147"/>
      <c r="E844" s="148"/>
      <c r="F844" s="149"/>
      <c r="G844" s="148"/>
      <c r="H844" s="148"/>
      <c r="I844" s="148"/>
      <c r="J844" s="157"/>
      <c r="K844" s="138"/>
      <c r="L844" s="118"/>
      <c r="M844" s="118"/>
      <c r="N844" s="138"/>
      <c r="O844" s="151"/>
      <c r="P844" s="150"/>
      <c r="Q844" s="150"/>
      <c r="R844" s="139"/>
      <c r="S844" s="148"/>
      <c r="T844" s="140"/>
      <c r="U844" s="175"/>
      <c r="V844" s="21"/>
    </row>
    <row r="845" spans="1:22" ht="16.5" hidden="1" customHeight="1" x14ac:dyDescent="0.25">
      <c r="A845" s="175"/>
      <c r="B845" s="175"/>
      <c r="C845" s="147"/>
      <c r="D845" s="147"/>
      <c r="E845" s="148"/>
      <c r="F845" s="149"/>
      <c r="G845" s="148"/>
      <c r="H845" s="148"/>
      <c r="I845" s="148"/>
      <c r="J845" s="157"/>
      <c r="K845" s="138"/>
      <c r="L845" s="150"/>
      <c r="M845" s="118"/>
      <c r="N845" s="138"/>
      <c r="O845" s="151"/>
      <c r="P845" s="150"/>
      <c r="Q845" s="150"/>
      <c r="R845" s="139"/>
      <c r="S845" s="148"/>
      <c r="T845" s="140"/>
      <c r="U845" s="175"/>
      <c r="V845" s="21"/>
    </row>
    <row r="846" spans="1:22" ht="16.5" hidden="1" customHeight="1" x14ac:dyDescent="0.25">
      <c r="A846" s="175"/>
      <c r="B846" s="175"/>
      <c r="C846" s="147"/>
      <c r="D846" s="147"/>
      <c r="E846" s="148"/>
      <c r="F846" s="149"/>
      <c r="G846" s="148"/>
      <c r="H846" s="148"/>
      <c r="I846" s="148"/>
      <c r="J846" s="157"/>
      <c r="K846" s="138"/>
      <c r="L846" s="157"/>
      <c r="M846" s="118"/>
      <c r="N846" s="138"/>
      <c r="O846" s="151"/>
      <c r="P846" s="150"/>
      <c r="Q846" s="150"/>
      <c r="R846" s="139"/>
      <c r="S846" s="148"/>
      <c r="T846" s="140"/>
      <c r="U846" s="175"/>
      <c r="V846" s="21"/>
    </row>
    <row r="847" spans="1:22" ht="16.5" hidden="1" customHeight="1" x14ac:dyDescent="0.25">
      <c r="A847" s="175"/>
      <c r="B847" s="175"/>
      <c r="C847" s="147"/>
      <c r="D847" s="147"/>
      <c r="E847" s="148"/>
      <c r="F847" s="149"/>
      <c r="G847" s="148"/>
      <c r="H847" s="148"/>
      <c r="I847" s="148"/>
      <c r="J847" s="157"/>
      <c r="K847" s="138"/>
      <c r="L847" s="118"/>
      <c r="M847" s="150"/>
      <c r="N847" s="138"/>
      <c r="O847" s="151"/>
      <c r="P847" s="150"/>
      <c r="Q847" s="150"/>
      <c r="R847" s="139"/>
      <c r="S847" s="148"/>
      <c r="T847" s="140"/>
      <c r="U847" s="175"/>
      <c r="V847" s="21"/>
    </row>
    <row r="848" spans="1:22" ht="16.5" hidden="1" customHeight="1" x14ac:dyDescent="0.25">
      <c r="A848" s="175"/>
      <c r="B848" s="175"/>
      <c r="C848" s="147"/>
      <c r="D848" s="147"/>
      <c r="E848" s="148"/>
      <c r="F848" s="149"/>
      <c r="G848" s="148"/>
      <c r="H848" s="148"/>
      <c r="I848" s="148"/>
      <c r="J848" s="157"/>
      <c r="K848" s="138"/>
      <c r="L848" s="118"/>
      <c r="M848" s="150"/>
      <c r="N848" s="138"/>
      <c r="O848" s="151"/>
      <c r="P848" s="150"/>
      <c r="Q848" s="150"/>
      <c r="R848" s="139"/>
      <c r="S848" s="148"/>
      <c r="T848" s="140"/>
      <c r="U848" s="175"/>
      <c r="V848" s="21"/>
    </row>
    <row r="849" spans="1:22" ht="18" hidden="1" customHeight="1" x14ac:dyDescent="0.25">
      <c r="A849" s="175"/>
      <c r="B849" s="175"/>
      <c r="C849" s="147"/>
      <c r="D849" s="147"/>
      <c r="E849" s="148"/>
      <c r="F849" s="149"/>
      <c r="G849" s="148"/>
      <c r="H849" s="148"/>
      <c r="I849" s="148"/>
      <c r="J849" s="157"/>
      <c r="K849" s="138"/>
      <c r="L849" s="150"/>
      <c r="M849" s="150"/>
      <c r="N849" s="138"/>
      <c r="O849" s="151"/>
      <c r="P849" s="150"/>
      <c r="Q849" s="150"/>
      <c r="R849" s="139"/>
      <c r="S849" s="148"/>
      <c r="T849" s="140"/>
      <c r="U849" s="175"/>
      <c r="V849" s="21"/>
    </row>
    <row r="850" spans="1:22" ht="16.5" hidden="1" customHeight="1" x14ac:dyDescent="0.25">
      <c r="A850" s="175"/>
      <c r="B850" s="175"/>
      <c r="C850" s="147"/>
      <c r="D850" s="147"/>
      <c r="E850" s="148"/>
      <c r="F850" s="149"/>
      <c r="G850" s="148"/>
      <c r="H850" s="148"/>
      <c r="I850" s="148"/>
      <c r="J850" s="157"/>
      <c r="K850" s="138"/>
      <c r="L850" s="157"/>
      <c r="M850" s="150"/>
      <c r="N850" s="138"/>
      <c r="O850" s="151"/>
      <c r="P850" s="150"/>
      <c r="Q850" s="150"/>
      <c r="R850" s="139"/>
      <c r="S850" s="148"/>
      <c r="T850" s="140"/>
      <c r="U850" s="175"/>
      <c r="V850" s="21"/>
    </row>
    <row r="851" spans="1:22" ht="16.5" hidden="1" customHeight="1" x14ac:dyDescent="0.25">
      <c r="A851" s="175"/>
      <c r="B851" s="175"/>
      <c r="C851" s="147"/>
      <c r="D851" s="147"/>
      <c r="E851" s="148"/>
      <c r="F851" s="149"/>
      <c r="G851" s="148"/>
      <c r="H851" s="148"/>
      <c r="I851" s="32"/>
      <c r="J851" s="157"/>
      <c r="K851" s="138"/>
      <c r="L851" s="150"/>
      <c r="M851" s="150"/>
      <c r="N851" s="138"/>
      <c r="O851" s="151"/>
      <c r="P851" s="150"/>
      <c r="Q851" s="150"/>
      <c r="R851" s="139"/>
      <c r="S851" s="148"/>
      <c r="T851" s="140"/>
      <c r="U851" s="175"/>
      <c r="V851" s="21"/>
    </row>
    <row r="852" spans="1:22" ht="16.5" hidden="1" customHeight="1" x14ac:dyDescent="0.25">
      <c r="A852" s="175"/>
      <c r="B852" s="175"/>
      <c r="C852" s="147"/>
      <c r="D852" s="147"/>
      <c r="E852" s="148"/>
      <c r="F852" s="149"/>
      <c r="G852" s="148"/>
      <c r="H852" s="148"/>
      <c r="I852" s="32"/>
      <c r="J852" s="157"/>
      <c r="K852" s="138"/>
      <c r="L852" s="138"/>
      <c r="M852" s="150"/>
      <c r="N852" s="150"/>
      <c r="O852" s="151"/>
      <c r="P852" s="150"/>
      <c r="Q852" s="138"/>
      <c r="R852" s="139"/>
      <c r="S852" s="148"/>
      <c r="T852" s="140"/>
      <c r="U852" s="175"/>
      <c r="V852" s="21"/>
    </row>
    <row r="853" spans="1:22" ht="16.5" hidden="1" customHeight="1" x14ac:dyDescent="0.25">
      <c r="A853" s="175"/>
      <c r="B853" s="175"/>
      <c r="C853" s="147"/>
      <c r="D853" s="147"/>
      <c r="E853" s="148"/>
      <c r="F853" s="149"/>
      <c r="G853" s="148"/>
      <c r="H853" s="148"/>
      <c r="I853" s="32"/>
      <c r="J853" s="157"/>
      <c r="K853" s="150"/>
      <c r="L853" s="138"/>
      <c r="M853" s="150"/>
      <c r="N853" s="150"/>
      <c r="O853" s="138"/>
      <c r="P853" s="150"/>
      <c r="Q853" s="138"/>
      <c r="R853" s="139"/>
      <c r="S853" s="148"/>
      <c r="T853" s="140"/>
      <c r="U853" s="175"/>
      <c r="V853" s="21"/>
    </row>
    <row r="854" spans="1:22" ht="16.5" hidden="1" customHeight="1" x14ac:dyDescent="0.25">
      <c r="A854" s="175"/>
      <c r="B854" s="175"/>
      <c r="C854" s="147"/>
      <c r="D854" s="147"/>
      <c r="E854" s="148"/>
      <c r="F854" s="149"/>
      <c r="G854" s="148"/>
      <c r="H854" s="148"/>
      <c r="I854" s="138"/>
      <c r="J854" s="103"/>
      <c r="K854" s="150"/>
      <c r="L854" s="138"/>
      <c r="M854" s="150"/>
      <c r="N854" s="150"/>
      <c r="O854" s="144"/>
      <c r="P854" s="150"/>
      <c r="Q854" s="138"/>
      <c r="R854" s="140"/>
      <c r="S854" s="148"/>
      <c r="T854" s="140"/>
      <c r="U854" s="175"/>
      <c r="V854" s="21"/>
    </row>
    <row r="855" spans="1:22" ht="16.5" hidden="1" customHeight="1" x14ac:dyDescent="0.25">
      <c r="A855" s="175"/>
      <c r="B855" s="175"/>
      <c r="C855" s="147"/>
      <c r="D855" s="147"/>
      <c r="E855" s="148"/>
      <c r="F855" s="149"/>
      <c r="G855" s="148"/>
      <c r="H855" s="148"/>
      <c r="I855" s="148"/>
      <c r="J855" s="157"/>
      <c r="K855" s="138"/>
      <c r="L855" s="118"/>
      <c r="M855" s="118"/>
      <c r="N855" s="138"/>
      <c r="O855" s="151"/>
      <c r="P855" s="150"/>
      <c r="Q855" s="150"/>
      <c r="R855" s="139"/>
      <c r="S855" s="148"/>
      <c r="T855" s="140"/>
      <c r="U855" s="175"/>
      <c r="V855" s="21"/>
    </row>
    <row r="856" spans="1:22" ht="16.5" hidden="1" customHeight="1" x14ac:dyDescent="0.25">
      <c r="A856" s="175"/>
      <c r="B856" s="175"/>
      <c r="C856" s="147"/>
      <c r="D856" s="147"/>
      <c r="E856" s="148"/>
      <c r="F856" s="149"/>
      <c r="G856" s="148"/>
      <c r="H856" s="148"/>
      <c r="I856" s="148"/>
      <c r="J856" s="157"/>
      <c r="K856" s="138"/>
      <c r="L856" s="150"/>
      <c r="M856" s="150"/>
      <c r="N856" s="138"/>
      <c r="O856" s="151"/>
      <c r="P856" s="150"/>
      <c r="Q856" s="150"/>
      <c r="R856" s="139"/>
      <c r="S856" s="148"/>
      <c r="T856" s="140"/>
      <c r="U856" s="175"/>
      <c r="V856" s="21"/>
    </row>
    <row r="857" spans="1:22" ht="16.5" hidden="1" customHeight="1" x14ac:dyDescent="0.25">
      <c r="A857" s="175"/>
      <c r="B857" s="175"/>
      <c r="C857" s="147"/>
      <c r="D857" s="147"/>
      <c r="E857" s="148"/>
      <c r="F857" s="149"/>
      <c r="G857" s="148"/>
      <c r="H857" s="148"/>
      <c r="I857" s="148"/>
      <c r="J857" s="157"/>
      <c r="K857" s="138"/>
      <c r="L857" s="150"/>
      <c r="M857" s="150"/>
      <c r="N857" s="138"/>
      <c r="O857" s="151"/>
      <c r="P857" s="150"/>
      <c r="Q857" s="150"/>
      <c r="R857" s="139"/>
      <c r="S857" s="148"/>
      <c r="T857" s="140"/>
      <c r="U857" s="175"/>
      <c r="V857" s="21"/>
    </row>
    <row r="858" spans="1:22" ht="16.5" hidden="1" customHeight="1" x14ac:dyDescent="0.25">
      <c r="A858" s="175"/>
      <c r="B858" s="175"/>
      <c r="C858" s="147"/>
      <c r="D858" s="147"/>
      <c r="E858" s="148"/>
      <c r="F858" s="149"/>
      <c r="G858" s="148"/>
      <c r="H858" s="148"/>
      <c r="I858" s="32"/>
      <c r="J858" s="157"/>
      <c r="K858" s="138"/>
      <c r="L858" s="150"/>
      <c r="M858" s="150"/>
      <c r="N858" s="138"/>
      <c r="O858" s="151"/>
      <c r="P858" s="150"/>
      <c r="Q858" s="150"/>
      <c r="R858" s="139"/>
      <c r="S858" s="148"/>
      <c r="T858" s="140"/>
      <c r="U858" s="175"/>
      <c r="V858" s="21"/>
    </row>
    <row r="859" spans="1:22" ht="16.5" hidden="1" customHeight="1" x14ac:dyDescent="0.25">
      <c r="A859" s="175"/>
      <c r="B859" s="175"/>
      <c r="C859" s="147"/>
      <c r="D859" s="147"/>
      <c r="E859" s="148"/>
      <c r="F859" s="149"/>
      <c r="G859" s="148"/>
      <c r="H859" s="148"/>
      <c r="I859" s="32"/>
      <c r="J859" s="157"/>
      <c r="K859" s="138"/>
      <c r="L859" s="150"/>
      <c r="M859" s="150"/>
      <c r="N859" s="138"/>
      <c r="O859" s="199"/>
      <c r="P859" s="150"/>
      <c r="Q859" s="150"/>
      <c r="R859" s="139"/>
      <c r="S859" s="148"/>
      <c r="T859" s="140"/>
      <c r="U859" s="175"/>
      <c r="V859" s="21"/>
    </row>
    <row r="860" spans="1:22" ht="16.5" hidden="1" customHeight="1" x14ac:dyDescent="0.25">
      <c r="A860" s="175"/>
      <c r="B860" s="175"/>
      <c r="C860" s="147"/>
      <c r="D860" s="147"/>
      <c r="E860" s="148"/>
      <c r="F860" s="149"/>
      <c r="G860" s="148"/>
      <c r="H860" s="148"/>
      <c r="I860" s="148"/>
      <c r="J860" s="157"/>
      <c r="K860" s="138"/>
      <c r="L860" s="118"/>
      <c r="M860" s="150"/>
      <c r="N860" s="150"/>
      <c r="O860" s="151"/>
      <c r="P860" s="150"/>
      <c r="Q860" s="150"/>
      <c r="R860" s="139"/>
      <c r="S860" s="148"/>
      <c r="T860" s="140"/>
      <c r="U860" s="175"/>
      <c r="V860" s="21"/>
    </row>
    <row r="861" spans="1:22" ht="16.5" hidden="1" customHeight="1" x14ac:dyDescent="0.25">
      <c r="A861" s="175"/>
      <c r="B861" s="175"/>
      <c r="C861" s="147"/>
      <c r="D861" s="147"/>
      <c r="E861" s="148"/>
      <c r="F861" s="149"/>
      <c r="G861" s="148"/>
      <c r="H861" s="148"/>
      <c r="I861" s="148"/>
      <c r="J861" s="157"/>
      <c r="K861" s="138"/>
      <c r="L861" s="118"/>
      <c r="M861" s="150"/>
      <c r="N861" s="150"/>
      <c r="O861" s="139"/>
      <c r="P861" s="150"/>
      <c r="Q861" s="150"/>
      <c r="R861" s="139"/>
      <c r="S861" s="148"/>
      <c r="T861" s="140"/>
      <c r="U861" s="175"/>
      <c r="V861" s="21"/>
    </row>
    <row r="862" spans="1:22" ht="16.5" hidden="1" customHeight="1" x14ac:dyDescent="0.25">
      <c r="A862" s="175"/>
      <c r="B862" s="175"/>
      <c r="C862" s="147"/>
      <c r="D862" s="147"/>
      <c r="E862" s="148"/>
      <c r="F862" s="149"/>
      <c r="G862" s="148"/>
      <c r="H862" s="148"/>
      <c r="I862" s="148"/>
      <c r="J862" s="157"/>
      <c r="K862" s="138"/>
      <c r="L862" s="118"/>
      <c r="M862" s="150"/>
      <c r="N862" s="150"/>
      <c r="O862" s="138"/>
      <c r="P862" s="150"/>
      <c r="Q862" s="138"/>
      <c r="R862" s="139"/>
      <c r="S862" s="148"/>
      <c r="T862" s="140"/>
      <c r="U862" s="175"/>
      <c r="V862" s="21"/>
    </row>
    <row r="863" spans="1:22" ht="16.5" hidden="1" customHeight="1" x14ac:dyDescent="0.25">
      <c r="A863" s="175"/>
      <c r="B863" s="175"/>
      <c r="C863" s="147"/>
      <c r="D863" s="147"/>
      <c r="E863" s="148"/>
      <c r="F863" s="149"/>
      <c r="G863" s="148"/>
      <c r="H863" s="148"/>
      <c r="I863" s="32"/>
      <c r="J863" s="157"/>
      <c r="K863" s="150"/>
      <c r="L863" s="150"/>
      <c r="M863" s="150"/>
      <c r="N863" s="150"/>
      <c r="O863" s="144"/>
      <c r="P863" s="150"/>
      <c r="Q863" s="138"/>
      <c r="R863" s="139"/>
      <c r="S863" s="148"/>
      <c r="T863" s="140"/>
      <c r="U863" s="175"/>
      <c r="V863" s="21"/>
    </row>
    <row r="864" spans="1:22" ht="16.5" hidden="1" customHeight="1" x14ac:dyDescent="0.25">
      <c r="A864" s="175"/>
      <c r="B864" s="175"/>
      <c r="C864" s="147"/>
      <c r="D864" s="147"/>
      <c r="E864" s="148"/>
      <c r="F864" s="149"/>
      <c r="G864" s="148"/>
      <c r="H864" s="148"/>
      <c r="I864" s="148"/>
      <c r="J864" s="157"/>
      <c r="K864" s="138"/>
      <c r="L864" s="150"/>
      <c r="M864" s="150"/>
      <c r="N864" s="138"/>
      <c r="O864" s="151"/>
      <c r="P864" s="150"/>
      <c r="Q864" s="150"/>
      <c r="R864" s="139"/>
      <c r="S864" s="148"/>
      <c r="T864" s="140"/>
      <c r="U864" s="175"/>
      <c r="V864" s="21"/>
    </row>
    <row r="865" spans="1:22" ht="16.5" hidden="1" customHeight="1" x14ac:dyDescent="0.25">
      <c r="A865" s="175"/>
      <c r="B865" s="175"/>
      <c r="C865" s="147"/>
      <c r="D865" s="147"/>
      <c r="E865" s="148"/>
      <c r="F865" s="149"/>
      <c r="G865" s="156"/>
      <c r="H865" s="148"/>
      <c r="I865" s="148"/>
      <c r="J865" s="157"/>
      <c r="K865" s="138"/>
      <c r="L865" s="150"/>
      <c r="M865" s="150"/>
      <c r="N865" s="138"/>
      <c r="O865" s="151"/>
      <c r="P865" s="150"/>
      <c r="Q865" s="150"/>
      <c r="R865" s="139"/>
      <c r="S865" s="148"/>
      <c r="T865" s="140"/>
      <c r="U865" s="175"/>
      <c r="V865" s="21"/>
    </row>
    <row r="866" spans="1:22" ht="16.5" hidden="1" customHeight="1" x14ac:dyDescent="0.25">
      <c r="A866" s="175"/>
      <c r="B866" s="175"/>
      <c r="C866" s="147"/>
      <c r="D866" s="147"/>
      <c r="E866" s="148"/>
      <c r="F866" s="149"/>
      <c r="G866" s="156"/>
      <c r="H866" s="148"/>
      <c r="I866" s="148"/>
      <c r="J866" s="157"/>
      <c r="K866" s="138"/>
      <c r="L866" s="150"/>
      <c r="M866" s="150"/>
      <c r="N866" s="138"/>
      <c r="O866" s="151"/>
      <c r="P866" s="150"/>
      <c r="Q866" s="150"/>
      <c r="R866" s="139"/>
      <c r="S866" s="148"/>
      <c r="T866" s="140"/>
      <c r="U866" s="175"/>
      <c r="V866" s="21"/>
    </row>
    <row r="867" spans="1:22" ht="16.5" hidden="1" customHeight="1" x14ac:dyDescent="0.25">
      <c r="A867" s="175"/>
      <c r="B867" s="175"/>
      <c r="C867" s="147"/>
      <c r="D867" s="147"/>
      <c r="E867" s="148"/>
      <c r="F867" s="149"/>
      <c r="G867" s="148"/>
      <c r="H867" s="148"/>
      <c r="I867" s="148"/>
      <c r="J867" s="157"/>
      <c r="K867" s="138"/>
      <c r="L867" s="157"/>
      <c r="M867" s="150"/>
      <c r="N867" s="138"/>
      <c r="O867" s="151"/>
      <c r="P867" s="150"/>
      <c r="Q867" s="150"/>
      <c r="R867" s="139"/>
      <c r="S867" s="148"/>
      <c r="T867" s="140"/>
      <c r="U867" s="175"/>
      <c r="V867" s="21"/>
    </row>
    <row r="868" spans="1:22" ht="16.5" hidden="1" customHeight="1" x14ac:dyDescent="0.25">
      <c r="A868" s="175"/>
      <c r="B868" s="175"/>
      <c r="C868" s="147"/>
      <c r="D868" s="147"/>
      <c r="E868" s="148"/>
      <c r="F868" s="149"/>
      <c r="G868" s="156"/>
      <c r="H868" s="148"/>
      <c r="I868" s="32"/>
      <c r="J868" s="157"/>
      <c r="K868" s="138"/>
      <c r="L868" s="150"/>
      <c r="M868" s="150"/>
      <c r="N868" s="138"/>
      <c r="O868" s="151"/>
      <c r="P868" s="150"/>
      <c r="Q868" s="150"/>
      <c r="R868" s="139"/>
      <c r="S868" s="148"/>
      <c r="T868" s="140"/>
      <c r="U868" s="175"/>
      <c r="V868" s="21"/>
    </row>
    <row r="869" spans="1:22" ht="16.5" hidden="1" customHeight="1" x14ac:dyDescent="0.25">
      <c r="A869" s="175"/>
      <c r="B869" s="175"/>
      <c r="C869" s="147"/>
      <c r="D869" s="147"/>
      <c r="E869" s="148"/>
      <c r="F869" s="149"/>
      <c r="G869" s="156"/>
      <c r="H869" s="148"/>
      <c r="I869" s="32"/>
      <c r="J869" s="157"/>
      <c r="K869" s="138"/>
      <c r="L869" s="138"/>
      <c r="M869" s="150"/>
      <c r="N869" s="138"/>
      <c r="O869" s="151"/>
      <c r="P869" s="150"/>
      <c r="Q869" s="150"/>
      <c r="R869" s="139"/>
      <c r="S869" s="148"/>
      <c r="T869" s="140"/>
      <c r="U869" s="175"/>
      <c r="V869" s="21"/>
    </row>
    <row r="870" spans="1:22" ht="16.5" hidden="1" customHeight="1" x14ac:dyDescent="0.25">
      <c r="A870" s="175"/>
      <c r="B870" s="175"/>
      <c r="C870" s="147"/>
      <c r="D870" s="147"/>
      <c r="E870" s="148"/>
      <c r="F870" s="149"/>
      <c r="G870" s="156"/>
      <c r="H870" s="148"/>
      <c r="I870" s="148"/>
      <c r="J870" s="157"/>
      <c r="K870" s="138"/>
      <c r="L870" s="118"/>
      <c r="M870" s="150"/>
      <c r="N870" s="150"/>
      <c r="O870" s="151"/>
      <c r="P870" s="150"/>
      <c r="Q870" s="150"/>
      <c r="R870" s="139"/>
      <c r="S870" s="148"/>
      <c r="T870" s="140"/>
      <c r="U870" s="175"/>
      <c r="V870" s="21"/>
    </row>
    <row r="871" spans="1:22" ht="16.5" hidden="1" customHeight="1" x14ac:dyDescent="0.25">
      <c r="A871" s="175"/>
      <c r="B871" s="175"/>
      <c r="C871" s="147"/>
      <c r="D871" s="147"/>
      <c r="E871" s="148"/>
      <c r="F871" s="149"/>
      <c r="G871" s="156"/>
      <c r="H871" s="148"/>
      <c r="I871" s="148"/>
      <c r="J871" s="157"/>
      <c r="K871" s="138"/>
      <c r="L871" s="118"/>
      <c r="M871" s="150"/>
      <c r="N871" s="138"/>
      <c r="O871" s="151"/>
      <c r="P871" s="150"/>
      <c r="Q871" s="150"/>
      <c r="R871" s="139"/>
      <c r="S871" s="148"/>
      <c r="T871" s="140"/>
      <c r="U871" s="175"/>
      <c r="V871" s="21"/>
    </row>
    <row r="872" spans="1:22" ht="16.5" hidden="1" customHeight="1" x14ac:dyDescent="0.25">
      <c r="A872" s="175"/>
      <c r="B872" s="175"/>
      <c r="C872" s="147"/>
      <c r="D872" s="147"/>
      <c r="E872" s="148"/>
      <c r="F872" s="149"/>
      <c r="G872" s="156"/>
      <c r="H872" s="148"/>
      <c r="I872" s="148"/>
      <c r="J872" s="157"/>
      <c r="K872" s="138"/>
      <c r="L872" s="150"/>
      <c r="M872" s="150"/>
      <c r="N872" s="138"/>
      <c r="O872" s="151"/>
      <c r="P872" s="150"/>
      <c r="Q872" s="150"/>
      <c r="R872" s="139"/>
      <c r="S872" s="148"/>
      <c r="T872" s="140"/>
      <c r="U872" s="175"/>
      <c r="V872" s="21"/>
    </row>
    <row r="873" spans="1:22" ht="16.5" hidden="1" customHeight="1" x14ac:dyDescent="0.25">
      <c r="A873" s="175"/>
      <c r="B873" s="175"/>
      <c r="C873" s="147"/>
      <c r="D873" s="147"/>
      <c r="E873" s="148"/>
      <c r="F873" s="149"/>
      <c r="G873" s="156"/>
      <c r="H873" s="148"/>
      <c r="I873" s="148"/>
      <c r="J873" s="157"/>
      <c r="K873" s="138"/>
      <c r="L873" s="157"/>
      <c r="M873" s="150"/>
      <c r="N873" s="138"/>
      <c r="O873" s="151"/>
      <c r="P873" s="150"/>
      <c r="Q873" s="150"/>
      <c r="R873" s="139"/>
      <c r="S873" s="148"/>
      <c r="T873" s="140"/>
      <c r="U873" s="175"/>
      <c r="V873" s="21"/>
    </row>
    <row r="874" spans="1:22" ht="16.5" hidden="1" customHeight="1" x14ac:dyDescent="0.25">
      <c r="A874" s="175"/>
      <c r="B874" s="175"/>
      <c r="C874" s="147"/>
      <c r="D874" s="147"/>
      <c r="E874" s="148"/>
      <c r="F874" s="149"/>
      <c r="G874" s="148"/>
      <c r="H874" s="148"/>
      <c r="I874" s="148"/>
      <c r="J874" s="157"/>
      <c r="K874" s="138"/>
      <c r="L874" s="118"/>
      <c r="M874" s="150"/>
      <c r="N874" s="150"/>
      <c r="O874" s="151"/>
      <c r="P874" s="150"/>
      <c r="Q874" s="150"/>
      <c r="R874" s="139"/>
      <c r="S874" s="148"/>
      <c r="T874" s="140"/>
      <c r="U874" s="175"/>
      <c r="V874" s="21"/>
    </row>
    <row r="875" spans="1:22" ht="16.5" hidden="1" customHeight="1" x14ac:dyDescent="0.25">
      <c r="A875" s="175"/>
      <c r="B875" s="175"/>
      <c r="C875" s="147"/>
      <c r="D875" s="147"/>
      <c r="E875" s="148"/>
      <c r="F875" s="149"/>
      <c r="G875" s="156"/>
      <c r="H875" s="148"/>
      <c r="I875" s="148"/>
      <c r="J875" s="157"/>
      <c r="K875" s="138"/>
      <c r="L875" s="150"/>
      <c r="M875" s="150"/>
      <c r="N875" s="138"/>
      <c r="O875" s="151"/>
      <c r="P875" s="150"/>
      <c r="Q875" s="150"/>
      <c r="R875" s="139"/>
      <c r="S875" s="148"/>
      <c r="T875" s="140"/>
      <c r="U875" s="175"/>
      <c r="V875" s="21"/>
    </row>
    <row r="876" spans="1:22" ht="16.5" hidden="1" customHeight="1" x14ac:dyDescent="0.25">
      <c r="A876" s="175"/>
      <c r="B876" s="175"/>
      <c r="C876" s="147"/>
      <c r="D876" s="147"/>
      <c r="E876" s="148"/>
      <c r="F876" s="149"/>
      <c r="G876" s="156"/>
      <c r="H876" s="148"/>
      <c r="I876" s="148"/>
      <c r="J876" s="157"/>
      <c r="K876" s="138"/>
      <c r="L876" s="150"/>
      <c r="M876" s="150"/>
      <c r="N876" s="138"/>
      <c r="O876" s="151"/>
      <c r="P876" s="150"/>
      <c r="Q876" s="150"/>
      <c r="R876" s="139"/>
      <c r="S876" s="148"/>
      <c r="T876" s="140"/>
      <c r="U876" s="175"/>
      <c r="V876" s="21"/>
    </row>
    <row r="877" spans="1:22" ht="16.5" hidden="1" customHeight="1" x14ac:dyDescent="0.25">
      <c r="A877" s="175"/>
      <c r="B877" s="175"/>
      <c r="C877" s="147"/>
      <c r="D877" s="147"/>
      <c r="E877" s="148"/>
      <c r="F877" s="149"/>
      <c r="G877" s="148"/>
      <c r="H877" s="148"/>
      <c r="I877" s="148"/>
      <c r="J877" s="138"/>
      <c r="K877" s="138"/>
      <c r="L877" s="150"/>
      <c r="M877" s="150"/>
      <c r="N877" s="138"/>
      <c r="O877" s="151"/>
      <c r="P877" s="150"/>
      <c r="Q877" s="150"/>
      <c r="R877" s="139"/>
      <c r="S877" s="148"/>
      <c r="T877" s="140"/>
      <c r="U877" s="175"/>
      <c r="V877" s="21"/>
    </row>
    <row r="878" spans="1:22" ht="16.5" hidden="1" customHeight="1" x14ac:dyDescent="0.25">
      <c r="A878" s="175"/>
      <c r="B878" s="40"/>
      <c r="C878" s="147"/>
      <c r="D878" s="147"/>
      <c r="E878" s="148"/>
      <c r="F878" s="149"/>
      <c r="G878" s="156"/>
      <c r="H878" s="148"/>
      <c r="I878" s="148"/>
      <c r="J878" s="157"/>
      <c r="K878" s="138"/>
      <c r="L878" s="118"/>
      <c r="M878" s="150"/>
      <c r="N878" s="138"/>
      <c r="O878" s="151"/>
      <c r="P878" s="150"/>
      <c r="Q878" s="150"/>
      <c r="R878" s="139"/>
      <c r="S878" s="148"/>
      <c r="T878" s="140"/>
      <c r="U878" s="175"/>
      <c r="V878" s="21"/>
    </row>
    <row r="879" spans="1:22" ht="16.5" hidden="1" customHeight="1" x14ac:dyDescent="0.25">
      <c r="A879" s="175"/>
      <c r="B879" s="40"/>
      <c r="C879" s="147"/>
      <c r="D879" s="147"/>
      <c r="E879" s="148"/>
      <c r="F879" s="149"/>
      <c r="G879" s="156"/>
      <c r="H879" s="148"/>
      <c r="I879" s="148"/>
      <c r="J879" s="157"/>
      <c r="K879" s="138"/>
      <c r="L879" s="150"/>
      <c r="M879" s="150"/>
      <c r="N879" s="138"/>
      <c r="O879" s="151"/>
      <c r="P879" s="150"/>
      <c r="Q879" s="150"/>
      <c r="R879" s="139"/>
      <c r="S879" s="148"/>
      <c r="T879" s="140"/>
      <c r="U879" s="175"/>
      <c r="V879" s="21"/>
    </row>
    <row r="880" spans="1:22" ht="16.5" hidden="1" customHeight="1" x14ac:dyDescent="0.25">
      <c r="A880" s="175"/>
      <c r="B880" s="40"/>
      <c r="C880" s="147"/>
      <c r="D880" s="147"/>
      <c r="E880" s="148"/>
      <c r="F880" s="149"/>
      <c r="G880" s="156"/>
      <c r="H880" s="148"/>
      <c r="I880" s="148"/>
      <c r="J880" s="157"/>
      <c r="K880" s="138"/>
      <c r="L880" s="157"/>
      <c r="M880" s="150"/>
      <c r="N880" s="138"/>
      <c r="O880" s="151"/>
      <c r="P880" s="150"/>
      <c r="Q880" s="150"/>
      <c r="R880" s="139"/>
      <c r="S880" s="148"/>
      <c r="T880" s="140"/>
      <c r="U880" s="175"/>
      <c r="V880" s="21"/>
    </row>
    <row r="881" spans="1:26" ht="16.5" hidden="1" customHeight="1" x14ac:dyDescent="0.25">
      <c r="A881" s="175"/>
      <c r="B881" s="40"/>
      <c r="C881" s="147"/>
      <c r="D881" s="147"/>
      <c r="E881" s="148"/>
      <c r="F881" s="149"/>
      <c r="G881" s="156"/>
      <c r="H881" s="148"/>
      <c r="I881" s="32"/>
      <c r="J881" s="157"/>
      <c r="K881" s="138"/>
      <c r="L881" s="150"/>
      <c r="M881" s="150"/>
      <c r="N881" s="138"/>
      <c r="O881" s="151"/>
      <c r="P881" s="150"/>
      <c r="Q881" s="150"/>
      <c r="R881" s="139"/>
      <c r="S881" s="148"/>
      <c r="T881" s="140"/>
      <c r="U881" s="175"/>
      <c r="V881" s="21"/>
    </row>
    <row r="882" spans="1:26" s="2" customFormat="1" ht="16.5" hidden="1" customHeight="1" x14ac:dyDescent="0.25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X882" s="58"/>
      <c r="Y882" s="58"/>
      <c r="Z882" s="58"/>
    </row>
    <row r="883" spans="1:26" s="2" customFormat="1" ht="16.5" hidden="1" customHeight="1" x14ac:dyDescent="0.25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X883" s="58"/>
      <c r="Y883" s="58"/>
      <c r="Z883" s="58"/>
    </row>
    <row r="884" spans="1:26" ht="16.5" hidden="1" customHeight="1" x14ac:dyDescent="0.25">
      <c r="A884" s="175"/>
      <c r="B884" s="175"/>
      <c r="C884" s="147"/>
      <c r="D884" s="147"/>
      <c r="E884" s="148"/>
      <c r="F884" s="149"/>
      <c r="G884" s="148"/>
      <c r="H884" s="148"/>
      <c r="I884" s="148"/>
      <c r="J884" s="157"/>
      <c r="K884" s="138"/>
      <c r="L884" s="118"/>
      <c r="M884" s="150"/>
      <c r="N884" s="150"/>
      <c r="O884" s="151"/>
      <c r="P884" s="150"/>
      <c r="Q884" s="150"/>
      <c r="R884" s="139"/>
      <c r="S884" s="148"/>
      <c r="T884" s="140"/>
      <c r="U884" s="175"/>
      <c r="V884" s="21"/>
      <c r="X884" s="14"/>
      <c r="Y884" s="14"/>
      <c r="Z884" s="14"/>
    </row>
    <row r="885" spans="1:26" ht="16.5" hidden="1" customHeight="1" x14ac:dyDescent="0.25">
      <c r="A885" s="175"/>
      <c r="B885" s="175"/>
      <c r="C885" s="147"/>
      <c r="D885" s="147"/>
      <c r="E885" s="148"/>
      <c r="F885" s="149"/>
      <c r="G885" s="148"/>
      <c r="H885" s="148"/>
      <c r="I885" s="148"/>
      <c r="J885" s="157"/>
      <c r="K885" s="138"/>
      <c r="L885" s="118"/>
      <c r="M885" s="150"/>
      <c r="N885" s="150"/>
      <c r="O885" s="151"/>
      <c r="P885" s="138"/>
      <c r="Q885" s="150"/>
      <c r="R885" s="139"/>
      <c r="S885" s="148"/>
      <c r="T885" s="140"/>
      <c r="U885" s="175"/>
      <c r="V885" s="21"/>
      <c r="X885" s="14"/>
      <c r="Y885" s="14"/>
      <c r="Z885" s="14"/>
    </row>
    <row r="886" spans="1:26" ht="16.5" hidden="1" customHeight="1" x14ac:dyDescent="0.25">
      <c r="A886" s="175"/>
      <c r="B886" s="175"/>
      <c r="C886" s="147"/>
      <c r="D886" s="147"/>
      <c r="E886" s="148"/>
      <c r="F886" s="149"/>
      <c r="G886" s="148"/>
      <c r="H886" s="148"/>
      <c r="I886" s="148"/>
      <c r="J886" s="157"/>
      <c r="K886" s="138"/>
      <c r="L886" s="118"/>
      <c r="M886" s="150"/>
      <c r="N886" s="150"/>
      <c r="O886" s="151"/>
      <c r="P886" s="150"/>
      <c r="Q886" s="150"/>
      <c r="R886" s="139"/>
      <c r="S886" s="148"/>
      <c r="T886" s="140"/>
      <c r="U886" s="175"/>
      <c r="V886" s="21"/>
      <c r="X886" s="14"/>
      <c r="Y886" s="14"/>
      <c r="Z886" s="14"/>
    </row>
    <row r="887" spans="1:26" ht="16.5" hidden="1" customHeight="1" x14ac:dyDescent="0.25">
      <c r="A887" s="175"/>
      <c r="B887" s="175"/>
      <c r="C887" s="147"/>
      <c r="D887" s="147"/>
      <c r="E887" s="148"/>
      <c r="F887" s="149"/>
      <c r="G887" s="148"/>
      <c r="H887" s="148"/>
      <c r="I887" s="148"/>
      <c r="J887" s="157"/>
      <c r="K887" s="150"/>
      <c r="L887" s="118"/>
      <c r="M887" s="118"/>
      <c r="N887" s="150"/>
      <c r="O887" s="151"/>
      <c r="P887" s="150"/>
      <c r="Q887" s="150"/>
      <c r="R887" s="139"/>
      <c r="S887" s="148"/>
      <c r="T887" s="140"/>
      <c r="U887" s="175"/>
      <c r="V887" s="21"/>
      <c r="X887" s="14"/>
      <c r="Y887" s="14"/>
      <c r="Z887" s="14"/>
    </row>
    <row r="888" spans="1:26" ht="16.5" hidden="1" customHeight="1" x14ac:dyDescent="0.25">
      <c r="A888" s="175"/>
      <c r="B888" s="175"/>
      <c r="C888" s="147"/>
      <c r="D888" s="147"/>
      <c r="E888" s="148"/>
      <c r="F888" s="149"/>
      <c r="G888" s="148"/>
      <c r="H888" s="148"/>
      <c r="I888" s="156"/>
      <c r="J888" s="157"/>
      <c r="K888" s="150"/>
      <c r="L888" s="118"/>
      <c r="M888" s="150"/>
      <c r="N888" s="150"/>
      <c r="O888" s="151"/>
      <c r="P888" s="150"/>
      <c r="Q888" s="150"/>
      <c r="R888" s="139"/>
      <c r="S888" s="148"/>
      <c r="T888" s="140"/>
      <c r="U888" s="175"/>
      <c r="V888" s="21"/>
      <c r="X888" s="14"/>
      <c r="Y888" s="14"/>
      <c r="Z888" s="14"/>
    </row>
    <row r="889" spans="1:26" ht="16.5" hidden="1" customHeight="1" x14ac:dyDescent="0.25">
      <c r="A889" s="175"/>
      <c r="B889" s="175"/>
      <c r="C889" s="147"/>
      <c r="D889" s="147"/>
      <c r="E889" s="148"/>
      <c r="F889" s="149"/>
      <c r="G889" s="148"/>
      <c r="H889" s="148"/>
      <c r="I889" s="148"/>
      <c r="J889" s="157"/>
      <c r="K889" s="138"/>
      <c r="L889" s="118"/>
      <c r="M889" s="150"/>
      <c r="N889" s="150"/>
      <c r="O889" s="151"/>
      <c r="P889" s="150"/>
      <c r="Q889" s="150"/>
      <c r="R889" s="139"/>
      <c r="S889" s="148"/>
      <c r="T889" s="140"/>
      <c r="U889" s="175"/>
      <c r="V889" s="21"/>
      <c r="X889" s="14"/>
      <c r="Y889" s="14"/>
      <c r="Z889" s="14"/>
    </row>
    <row r="890" spans="1:26" ht="16.5" hidden="1" customHeight="1" x14ac:dyDescent="0.25">
      <c r="A890" s="175"/>
      <c r="B890" s="175"/>
      <c r="C890" s="147"/>
      <c r="D890" s="147"/>
      <c r="E890" s="148"/>
      <c r="F890" s="149"/>
      <c r="G890" s="148"/>
      <c r="H890" s="148"/>
      <c r="I890" s="148"/>
      <c r="J890" s="157"/>
      <c r="K890" s="138"/>
      <c r="L890" s="118"/>
      <c r="M890" s="150"/>
      <c r="N890" s="150"/>
      <c r="O890" s="151"/>
      <c r="P890" s="150"/>
      <c r="Q890" s="150"/>
      <c r="R890" s="139"/>
      <c r="S890" s="148"/>
      <c r="T890" s="140"/>
      <c r="U890" s="175"/>
      <c r="V890" s="21"/>
      <c r="X890" s="14"/>
      <c r="Y890" s="14"/>
      <c r="Z890" s="14"/>
    </row>
    <row r="891" spans="1:26" ht="16.5" hidden="1" customHeight="1" x14ac:dyDescent="0.25">
      <c r="A891" s="175"/>
      <c r="B891" s="175"/>
      <c r="C891" s="147"/>
      <c r="D891" s="147"/>
      <c r="E891" s="148"/>
      <c r="F891" s="149"/>
      <c r="G891" s="148"/>
      <c r="H891" s="148"/>
      <c r="I891" s="148"/>
      <c r="J891" s="157"/>
      <c r="K891" s="138"/>
      <c r="L891" s="118"/>
      <c r="M891" s="150"/>
      <c r="N891" s="150"/>
      <c r="O891" s="151"/>
      <c r="P891" s="150"/>
      <c r="Q891" s="150"/>
      <c r="R891" s="139"/>
      <c r="S891" s="148"/>
      <c r="T891" s="140"/>
      <c r="U891" s="175"/>
      <c r="V891" s="21"/>
      <c r="X891" s="14"/>
      <c r="Y891" s="14"/>
      <c r="Z891" s="14"/>
    </row>
    <row r="892" spans="1:26" ht="16.5" hidden="1" customHeight="1" x14ac:dyDescent="0.25">
      <c r="A892" s="175"/>
      <c r="B892" s="175"/>
      <c r="C892" s="147"/>
      <c r="D892" s="147"/>
      <c r="E892" s="148"/>
      <c r="F892" s="149"/>
      <c r="G892" s="148"/>
      <c r="H892" s="148"/>
      <c r="I892" s="148"/>
      <c r="J892" s="157"/>
      <c r="K892" s="150"/>
      <c r="L892" s="118"/>
      <c r="M892" s="150"/>
      <c r="N892" s="150"/>
      <c r="O892" s="151"/>
      <c r="P892" s="150"/>
      <c r="Q892" s="150"/>
      <c r="R892" s="139"/>
      <c r="S892" s="148"/>
      <c r="T892" s="140"/>
      <c r="U892" s="175"/>
      <c r="V892" s="21"/>
      <c r="X892" s="14"/>
      <c r="Y892" s="14"/>
      <c r="Z892" s="14"/>
    </row>
    <row r="893" spans="1:26" ht="16.5" hidden="1" customHeight="1" x14ac:dyDescent="0.25">
      <c r="A893" s="175"/>
      <c r="B893" s="175"/>
      <c r="C893" s="147"/>
      <c r="D893" s="147"/>
      <c r="E893" s="148"/>
      <c r="F893" s="149"/>
      <c r="G893" s="148"/>
      <c r="H893" s="148"/>
      <c r="I893" s="156"/>
      <c r="J893" s="157"/>
      <c r="K893" s="150"/>
      <c r="L893" s="118"/>
      <c r="M893" s="150"/>
      <c r="N893" s="150"/>
      <c r="O893" s="151"/>
      <c r="P893" s="150"/>
      <c r="Q893" s="150"/>
      <c r="R893" s="139"/>
      <c r="S893" s="148"/>
      <c r="T893" s="140"/>
      <c r="U893" s="175"/>
      <c r="V893" s="21"/>
      <c r="X893" s="14"/>
      <c r="Y893" s="14"/>
      <c r="Z893" s="14"/>
    </row>
    <row r="894" spans="1:26" ht="16.5" hidden="1" customHeight="1" x14ac:dyDescent="0.25">
      <c r="A894" s="175"/>
      <c r="B894" s="175"/>
      <c r="C894" s="147"/>
      <c r="D894" s="147"/>
      <c r="E894" s="148"/>
      <c r="F894" s="149"/>
      <c r="G894" s="148"/>
      <c r="H894" s="148"/>
      <c r="I894" s="32"/>
      <c r="J894" s="157"/>
      <c r="K894" s="150"/>
      <c r="L894" s="150"/>
      <c r="M894" s="150"/>
      <c r="N894" s="150"/>
      <c r="O894" s="138"/>
      <c r="P894" s="150"/>
      <c r="Q894" s="150"/>
      <c r="R894" s="139"/>
      <c r="S894" s="148"/>
      <c r="T894" s="140"/>
      <c r="U894" s="175"/>
      <c r="V894" s="21"/>
      <c r="X894" s="14"/>
      <c r="Y894" s="14"/>
      <c r="Z894" s="14"/>
    </row>
    <row r="895" spans="1:26" ht="16.5" hidden="1" customHeight="1" x14ac:dyDescent="0.25">
      <c r="A895" s="175"/>
      <c r="B895" s="175"/>
      <c r="C895" s="147"/>
      <c r="D895" s="147"/>
      <c r="E895" s="148"/>
      <c r="F895" s="149"/>
      <c r="G895" s="148"/>
      <c r="H895" s="148"/>
      <c r="I895" s="32"/>
      <c r="J895" s="157"/>
      <c r="K895" s="150"/>
      <c r="L895" s="138"/>
      <c r="M895" s="150"/>
      <c r="N895" s="150"/>
      <c r="O895" s="138"/>
      <c r="P895" s="150"/>
      <c r="Q895" s="138"/>
      <c r="R895" s="139"/>
      <c r="S895" s="148"/>
      <c r="T895" s="140"/>
      <c r="U895" s="175"/>
      <c r="V895" s="21"/>
      <c r="X895" s="14"/>
      <c r="Y895" s="14"/>
      <c r="Z895" s="14"/>
    </row>
    <row r="896" spans="1:26" ht="16.5" hidden="1" customHeight="1" x14ac:dyDescent="0.25">
      <c r="A896" s="175"/>
      <c r="B896" s="175"/>
      <c r="C896" s="147"/>
      <c r="D896" s="147"/>
      <c r="E896" s="148"/>
      <c r="F896" s="149"/>
      <c r="G896" s="148"/>
      <c r="H896" s="148"/>
      <c r="I896" s="32"/>
      <c r="J896" s="157"/>
      <c r="K896" s="150"/>
      <c r="L896" s="138"/>
      <c r="M896" s="138"/>
      <c r="N896" s="150"/>
      <c r="O896" s="138"/>
      <c r="P896" s="150"/>
      <c r="Q896" s="138"/>
      <c r="R896" s="139"/>
      <c r="S896" s="148"/>
      <c r="T896" s="140"/>
      <c r="U896" s="175"/>
      <c r="V896" s="21"/>
    </row>
    <row r="897" spans="1:22" ht="16.5" hidden="1" customHeight="1" x14ac:dyDescent="0.25">
      <c r="A897" s="175"/>
      <c r="B897" s="175"/>
      <c r="C897" s="147"/>
      <c r="D897" s="147"/>
      <c r="E897" s="148"/>
      <c r="F897" s="149"/>
      <c r="G897" s="148"/>
      <c r="H897" s="148"/>
      <c r="I897" s="138"/>
      <c r="J897" s="103"/>
      <c r="K897" s="150"/>
      <c r="L897" s="138"/>
      <c r="M897" s="138"/>
      <c r="N897" s="150"/>
      <c r="O897" s="138"/>
      <c r="P897" s="150"/>
      <c r="Q897" s="138"/>
      <c r="R897" s="139"/>
      <c r="S897" s="148"/>
      <c r="T897" s="140"/>
      <c r="U897" s="175"/>
      <c r="V897" s="21"/>
    </row>
    <row r="898" spans="1:22" ht="16.5" hidden="1" customHeight="1" x14ac:dyDescent="0.25">
      <c r="A898" s="175"/>
      <c r="B898" s="175"/>
      <c r="C898" s="147"/>
      <c r="D898" s="147"/>
      <c r="E898" s="148"/>
      <c r="F898" s="149"/>
      <c r="G898" s="148"/>
      <c r="H898" s="148"/>
      <c r="I898" s="40"/>
      <c r="J898" s="157"/>
      <c r="K898" s="150"/>
      <c r="L898" s="138"/>
      <c r="M898" s="138"/>
      <c r="N898" s="150"/>
      <c r="O898" s="138"/>
      <c r="P898" s="150"/>
      <c r="Q898" s="138"/>
      <c r="R898" s="139"/>
      <c r="S898" s="148"/>
      <c r="T898" s="140"/>
      <c r="U898" s="175"/>
      <c r="V898" s="21"/>
    </row>
    <row r="899" spans="1:22" ht="16.5" hidden="1" customHeight="1" x14ac:dyDescent="0.25">
      <c r="A899" s="175"/>
      <c r="B899" s="175"/>
      <c r="C899" s="147"/>
      <c r="D899" s="147"/>
      <c r="E899" s="148"/>
      <c r="F899" s="149"/>
      <c r="G899" s="148"/>
      <c r="H899" s="148"/>
      <c r="I899" s="138"/>
      <c r="J899" s="157"/>
      <c r="K899" s="150"/>
      <c r="L899" s="138"/>
      <c r="M899" s="138"/>
      <c r="N899" s="150"/>
      <c r="O899" s="138"/>
      <c r="P899" s="150"/>
      <c r="Q899" s="138"/>
      <c r="R899" s="140"/>
      <c r="S899" s="148"/>
      <c r="T899" s="140"/>
      <c r="U899" s="175"/>
      <c r="V899" s="21"/>
    </row>
    <row r="900" spans="1:22" ht="16.5" hidden="1" customHeight="1" x14ac:dyDescent="0.25">
      <c r="A900" s="175"/>
      <c r="B900" s="175"/>
      <c r="C900" s="147"/>
      <c r="D900" s="147"/>
      <c r="E900" s="150"/>
      <c r="F900" s="155"/>
      <c r="G900" s="150"/>
      <c r="H900" s="150"/>
      <c r="I900" s="150"/>
      <c r="J900" s="157"/>
      <c r="K900" s="138"/>
      <c r="L900" s="154"/>
      <c r="M900" s="150"/>
      <c r="N900" s="150"/>
      <c r="O900" s="151"/>
      <c r="P900" s="150"/>
      <c r="Q900" s="150"/>
      <c r="R900" s="144"/>
      <c r="S900" s="150"/>
      <c r="T900" s="138"/>
      <c r="U900" s="175"/>
      <c r="V900" s="21"/>
    </row>
    <row r="901" spans="1:22" ht="16.5" hidden="1" customHeight="1" x14ac:dyDescent="0.25">
      <c r="A901" s="175"/>
      <c r="B901" s="175"/>
      <c r="C901" s="147"/>
      <c r="D901" s="147"/>
      <c r="E901" s="150"/>
      <c r="F901" s="155"/>
      <c r="G901" s="150"/>
      <c r="H901" s="150"/>
      <c r="I901" s="150"/>
      <c r="J901" s="157"/>
      <c r="K901" s="150"/>
      <c r="L901" s="154"/>
      <c r="M901" s="150"/>
      <c r="N901" s="150"/>
      <c r="O901" s="151"/>
      <c r="P901" s="150"/>
      <c r="Q901" s="150"/>
      <c r="R901" s="144"/>
      <c r="S901" s="150"/>
      <c r="T901" s="138"/>
      <c r="U901" s="175"/>
      <c r="V901" s="21"/>
    </row>
    <row r="902" spans="1:22" ht="16.5" hidden="1" customHeight="1" x14ac:dyDescent="0.25">
      <c r="A902" s="175"/>
      <c r="B902" s="175"/>
      <c r="C902" s="147"/>
      <c r="D902" s="147"/>
      <c r="E902" s="150"/>
      <c r="F902" s="155"/>
      <c r="G902" s="150"/>
      <c r="H902" s="150"/>
      <c r="I902" s="150"/>
      <c r="J902" s="157"/>
      <c r="K902" s="150"/>
      <c r="L902" s="154"/>
      <c r="M902" s="150"/>
      <c r="N902" s="150"/>
      <c r="O902" s="151"/>
      <c r="P902" s="150"/>
      <c r="Q902" s="150"/>
      <c r="R902" s="144"/>
      <c r="S902" s="150"/>
      <c r="T902" s="138"/>
      <c r="U902" s="175"/>
      <c r="V902" s="21"/>
    </row>
    <row r="903" spans="1:22" ht="16.5" hidden="1" customHeight="1" x14ac:dyDescent="0.25">
      <c r="A903" s="175"/>
      <c r="B903" s="175"/>
      <c r="C903" s="147"/>
      <c r="D903" s="147"/>
      <c r="E903" s="150"/>
      <c r="F903" s="155"/>
      <c r="G903" s="150"/>
      <c r="H903" s="150"/>
      <c r="I903" s="150"/>
      <c r="J903" s="157"/>
      <c r="K903" s="138"/>
      <c r="L903" s="150"/>
      <c r="M903" s="150"/>
      <c r="N903" s="150"/>
      <c r="O903" s="151"/>
      <c r="P903" s="150"/>
      <c r="Q903" s="150"/>
      <c r="R903" s="144"/>
      <c r="S903" s="150"/>
      <c r="T903" s="138"/>
      <c r="U903" s="175"/>
      <c r="V903" s="21"/>
    </row>
    <row r="904" spans="1:22" ht="16.5" hidden="1" customHeight="1" x14ac:dyDescent="0.25">
      <c r="A904" s="175"/>
      <c r="B904" s="175"/>
      <c r="C904" s="147"/>
      <c r="D904" s="147"/>
      <c r="E904" s="148"/>
      <c r="F904" s="149"/>
      <c r="G904" s="148"/>
      <c r="H904" s="148"/>
      <c r="I904" s="148"/>
      <c r="J904" s="157"/>
      <c r="K904" s="138"/>
      <c r="L904" s="118"/>
      <c r="M904" s="150"/>
      <c r="N904" s="150"/>
      <c r="O904" s="151"/>
      <c r="P904" s="150"/>
      <c r="Q904" s="150"/>
      <c r="R904" s="139"/>
      <c r="S904" s="148"/>
      <c r="T904" s="140"/>
      <c r="U904" s="175"/>
      <c r="V904" s="21"/>
    </row>
    <row r="905" spans="1:22" ht="16.5" hidden="1" customHeight="1" x14ac:dyDescent="0.25">
      <c r="A905" s="175"/>
      <c r="B905" s="175"/>
      <c r="C905" s="147"/>
      <c r="D905" s="147"/>
      <c r="E905" s="148"/>
      <c r="F905" s="149"/>
      <c r="G905" s="148"/>
      <c r="H905" s="148"/>
      <c r="I905" s="148"/>
      <c r="J905" s="157"/>
      <c r="K905" s="138"/>
      <c r="L905" s="118"/>
      <c r="M905" s="150"/>
      <c r="N905" s="150"/>
      <c r="O905" s="151"/>
      <c r="P905" s="150"/>
      <c r="Q905" s="150"/>
      <c r="R905" s="139"/>
      <c r="S905" s="148"/>
      <c r="T905" s="140"/>
      <c r="U905" s="175"/>
      <c r="V905" s="21"/>
    </row>
    <row r="906" spans="1:22" ht="16.5" hidden="1" customHeight="1" x14ac:dyDescent="0.25">
      <c r="A906" s="175"/>
      <c r="B906" s="175"/>
      <c r="C906" s="147"/>
      <c r="D906" s="147"/>
      <c r="E906" s="148"/>
      <c r="F906" s="149"/>
      <c r="G906" s="148"/>
      <c r="H906" s="148"/>
      <c r="I906" s="148"/>
      <c r="J906" s="157"/>
      <c r="K906" s="138"/>
      <c r="L906" s="118"/>
      <c r="M906" s="150"/>
      <c r="N906" s="150"/>
      <c r="O906" s="151"/>
      <c r="P906" s="150"/>
      <c r="Q906" s="150"/>
      <c r="R906" s="139"/>
      <c r="S906" s="148"/>
      <c r="T906" s="140"/>
      <c r="U906" s="175"/>
      <c r="V906" s="21"/>
    </row>
    <row r="907" spans="1:22" ht="16.5" hidden="1" customHeight="1" x14ac:dyDescent="0.25">
      <c r="A907" s="175"/>
      <c r="B907" s="175"/>
      <c r="C907" s="147"/>
      <c r="D907" s="147"/>
      <c r="E907" s="148"/>
      <c r="F907" s="149"/>
      <c r="G907" s="148"/>
      <c r="H907" s="148"/>
      <c r="I907" s="148"/>
      <c r="J907" s="157"/>
      <c r="K907" s="150"/>
      <c r="L907" s="150"/>
      <c r="M907" s="150"/>
      <c r="N907" s="150"/>
      <c r="O907" s="138"/>
      <c r="P907" s="150"/>
      <c r="Q907" s="138"/>
      <c r="R907" s="139"/>
      <c r="S907" s="148"/>
      <c r="T907" s="140"/>
      <c r="U907" s="175"/>
      <c r="V907" s="21"/>
    </row>
    <row r="908" spans="1:22" ht="16.5" hidden="1" customHeight="1" x14ac:dyDescent="0.25">
      <c r="A908" s="175"/>
      <c r="B908" s="175"/>
      <c r="C908" s="147"/>
      <c r="D908" s="147"/>
      <c r="E908" s="148"/>
      <c r="F908" s="149"/>
      <c r="G908" s="148"/>
      <c r="H908" s="148"/>
      <c r="I908" s="32"/>
      <c r="J908" s="157"/>
      <c r="K908" s="150"/>
      <c r="L908" s="138"/>
      <c r="M908" s="150"/>
      <c r="N908" s="150"/>
      <c r="O908" s="138"/>
      <c r="P908" s="150"/>
      <c r="Q908" s="138"/>
      <c r="R908" s="139"/>
      <c r="S908" s="148"/>
      <c r="T908" s="140"/>
      <c r="U908" s="175"/>
      <c r="V908" s="21"/>
    </row>
    <row r="909" spans="1:22" ht="16.5" hidden="1" customHeight="1" x14ac:dyDescent="0.25">
      <c r="A909" s="175"/>
      <c r="B909" s="175"/>
      <c r="C909" s="147"/>
      <c r="D909" s="147"/>
      <c r="E909" s="148"/>
      <c r="F909" s="149"/>
      <c r="G909" s="148"/>
      <c r="H909" s="148"/>
      <c r="I909" s="32"/>
      <c r="J909" s="157"/>
      <c r="K909" s="150"/>
      <c r="L909" s="138"/>
      <c r="M909" s="150"/>
      <c r="N909" s="150"/>
      <c r="O909" s="138"/>
      <c r="P909" s="150"/>
      <c r="Q909" s="138"/>
      <c r="R909" s="139"/>
      <c r="S909" s="148"/>
      <c r="T909" s="140"/>
      <c r="U909" s="175"/>
      <c r="V909" s="21"/>
    </row>
    <row r="910" spans="1:22" ht="16.5" hidden="1" customHeight="1" x14ac:dyDescent="0.25">
      <c r="A910" s="175"/>
      <c r="B910" s="175"/>
      <c r="C910" s="147"/>
      <c r="D910" s="147"/>
      <c r="E910" s="148"/>
      <c r="F910" s="149"/>
      <c r="G910" s="148"/>
      <c r="H910" s="148"/>
      <c r="I910" s="138"/>
      <c r="J910" s="103"/>
      <c r="K910" s="150"/>
      <c r="L910" s="138"/>
      <c r="M910" s="150"/>
      <c r="N910" s="150"/>
      <c r="O910" s="138"/>
      <c r="P910" s="150"/>
      <c r="Q910" s="138"/>
      <c r="R910" s="140"/>
      <c r="S910" s="148"/>
      <c r="T910" s="140"/>
      <c r="U910" s="175"/>
      <c r="V910" s="21"/>
    </row>
    <row r="911" spans="1:22" ht="16.5" hidden="1" customHeight="1" x14ac:dyDescent="0.25">
      <c r="A911" s="175"/>
      <c r="B911" s="175"/>
      <c r="C911" s="147"/>
      <c r="D911" s="147"/>
      <c r="E911" s="148"/>
      <c r="F911" s="149"/>
      <c r="G911" s="148"/>
      <c r="H911" s="148"/>
      <c r="I911" s="148"/>
      <c r="J911" s="157"/>
      <c r="K911" s="138"/>
      <c r="L911" s="118"/>
      <c r="M911" s="150"/>
      <c r="N911" s="150"/>
      <c r="O911" s="151"/>
      <c r="P911" s="150"/>
      <c r="Q911" s="150"/>
      <c r="R911" s="139"/>
      <c r="S911" s="148"/>
      <c r="T911" s="140"/>
      <c r="U911" s="200"/>
      <c r="V911" s="21"/>
    </row>
    <row r="912" spans="1:22" ht="16.5" hidden="1" customHeight="1" x14ac:dyDescent="0.25">
      <c r="A912" s="175"/>
      <c r="B912" s="175"/>
      <c r="C912" s="147"/>
      <c r="D912" s="147"/>
      <c r="E912" s="148"/>
      <c r="F912" s="149"/>
      <c r="G912" s="148"/>
      <c r="H912" s="148"/>
      <c r="I912" s="148"/>
      <c r="J912" s="157"/>
      <c r="K912" s="138"/>
      <c r="L912" s="118"/>
      <c r="M912" s="150"/>
      <c r="N912" s="150"/>
      <c r="O912" s="138"/>
      <c r="P912" s="150"/>
      <c r="Q912" s="138"/>
      <c r="R912" s="139"/>
      <c r="S912" s="148"/>
      <c r="T912" s="140"/>
      <c r="U912" s="200"/>
      <c r="V912" s="138"/>
    </row>
    <row r="913" spans="1:22" ht="16.5" hidden="1" customHeight="1" x14ac:dyDescent="0.25">
      <c r="A913" s="175"/>
      <c r="B913" s="175"/>
      <c r="C913" s="147"/>
      <c r="D913" s="147"/>
      <c r="E913" s="148"/>
      <c r="F913" s="149"/>
      <c r="G913" s="148"/>
      <c r="H913" s="148"/>
      <c r="I913" s="148"/>
      <c r="J913" s="157"/>
      <c r="K913" s="150"/>
      <c r="L913" s="150"/>
      <c r="M913" s="150"/>
      <c r="N913" s="150"/>
      <c r="O913" s="151"/>
      <c r="P913" s="150"/>
      <c r="Q913" s="138"/>
      <c r="R913" s="139"/>
      <c r="S913" s="148"/>
      <c r="T913" s="140"/>
      <c r="U913" s="175"/>
      <c r="V913" s="138"/>
    </row>
    <row r="914" spans="1:22" ht="16.5" hidden="1" customHeight="1" x14ac:dyDescent="0.25">
      <c r="A914" s="175"/>
      <c r="B914" s="175"/>
      <c r="C914" s="147"/>
      <c r="D914" s="147"/>
      <c r="E914" s="148"/>
      <c r="F914" s="149"/>
      <c r="G914" s="148"/>
      <c r="H914" s="148"/>
      <c r="I914" s="148"/>
      <c r="J914" s="157"/>
      <c r="K914" s="150"/>
      <c r="L914" s="118"/>
      <c r="M914" s="150"/>
      <c r="N914" s="150"/>
      <c r="O914" s="138"/>
      <c r="P914" s="150"/>
      <c r="Q914" s="138"/>
      <c r="R914" s="139"/>
      <c r="S914" s="148"/>
      <c r="T914" s="140"/>
      <c r="U914" s="175"/>
      <c r="V914" s="138"/>
    </row>
    <row r="915" spans="1:22" ht="16.5" hidden="1" customHeight="1" x14ac:dyDescent="0.25">
      <c r="A915" s="175"/>
      <c r="B915" s="175"/>
      <c r="C915" s="147"/>
      <c r="D915" s="147"/>
      <c r="E915" s="148"/>
      <c r="F915" s="149"/>
      <c r="G915" s="148"/>
      <c r="H915" s="148"/>
      <c r="I915" s="148"/>
      <c r="J915" s="157"/>
      <c r="K915" s="150"/>
      <c r="L915" s="150"/>
      <c r="M915" s="150"/>
      <c r="N915" s="150"/>
      <c r="O915" s="138"/>
      <c r="P915" s="150"/>
      <c r="Q915" s="138"/>
      <c r="R915" s="139"/>
      <c r="S915" s="148"/>
      <c r="T915" s="140"/>
      <c r="U915" s="175"/>
      <c r="V915" s="138"/>
    </row>
    <row r="916" spans="1:22" ht="16.5" hidden="1" customHeight="1" x14ac:dyDescent="0.25">
      <c r="A916" s="175"/>
      <c r="B916" s="175"/>
      <c r="C916" s="147"/>
      <c r="D916" s="147"/>
      <c r="E916" s="148"/>
      <c r="F916" s="149"/>
      <c r="G916" s="148"/>
      <c r="H916" s="148"/>
      <c r="I916" s="148"/>
      <c r="J916" s="157"/>
      <c r="K916" s="150"/>
      <c r="L916" s="138"/>
      <c r="M916" s="150"/>
      <c r="N916" s="150"/>
      <c r="O916" s="138"/>
      <c r="P916" s="150"/>
      <c r="Q916" s="138"/>
      <c r="R916" s="139"/>
      <c r="S916" s="148"/>
      <c r="T916" s="140"/>
      <c r="U916" s="175"/>
      <c r="V916" s="138"/>
    </row>
    <row r="917" spans="1:22" ht="16.5" hidden="1" customHeight="1" x14ac:dyDescent="0.25">
      <c r="A917" s="175"/>
      <c r="B917" s="175"/>
      <c r="C917" s="147"/>
      <c r="D917" s="147"/>
      <c r="E917" s="148"/>
      <c r="F917" s="149"/>
      <c r="G917" s="148"/>
      <c r="H917" s="148"/>
      <c r="I917" s="148"/>
      <c r="J917" s="157"/>
      <c r="K917" s="150"/>
      <c r="L917" s="138"/>
      <c r="M917" s="150"/>
      <c r="N917" s="150"/>
      <c r="O917" s="138"/>
      <c r="P917" s="150"/>
      <c r="Q917" s="138"/>
      <c r="R917" s="139"/>
      <c r="S917" s="148"/>
      <c r="T917" s="140"/>
      <c r="U917" s="175"/>
      <c r="V917" s="138"/>
    </row>
    <row r="918" spans="1:22" ht="16.5" hidden="1" customHeight="1" x14ac:dyDescent="0.25">
      <c r="A918" s="175"/>
      <c r="B918" s="175"/>
      <c r="C918" s="147"/>
      <c r="D918" s="147"/>
      <c r="E918" s="148"/>
      <c r="F918" s="149"/>
      <c r="G918" s="148"/>
      <c r="H918" s="148"/>
      <c r="I918" s="148"/>
      <c r="J918" s="157"/>
      <c r="K918" s="150"/>
      <c r="L918" s="138"/>
      <c r="M918" s="150"/>
      <c r="N918" s="150"/>
      <c r="O918" s="138"/>
      <c r="P918" s="150"/>
      <c r="Q918" s="138"/>
      <c r="R918" s="139"/>
      <c r="S918" s="148"/>
      <c r="T918" s="140"/>
      <c r="U918" s="175"/>
      <c r="V918" s="138"/>
    </row>
    <row r="919" spans="1:22" ht="16.5" hidden="1" customHeight="1" x14ac:dyDescent="0.25">
      <c r="A919" s="175"/>
      <c r="B919" s="175"/>
      <c r="C919" s="147"/>
      <c r="D919" s="147"/>
      <c r="E919" s="148"/>
      <c r="F919" s="149"/>
      <c r="G919" s="148"/>
      <c r="H919" s="148"/>
      <c r="I919" s="148"/>
      <c r="J919" s="157"/>
      <c r="K919" s="150"/>
      <c r="L919" s="138"/>
      <c r="M919" s="150"/>
      <c r="N919" s="150"/>
      <c r="O919" s="138"/>
      <c r="P919" s="150"/>
      <c r="Q919" s="138"/>
      <c r="R919" s="139"/>
      <c r="S919" s="148"/>
      <c r="T919" s="140"/>
      <c r="U919" s="175"/>
      <c r="V919" s="138"/>
    </row>
    <row r="920" spans="1:22" ht="16.5" hidden="1" customHeight="1" x14ac:dyDescent="0.25">
      <c r="A920" s="175"/>
      <c r="B920" s="175"/>
      <c r="C920" s="147"/>
      <c r="D920" s="147"/>
      <c r="E920" s="148"/>
      <c r="F920" s="149"/>
      <c r="G920" s="148"/>
      <c r="H920" s="148"/>
      <c r="I920" s="148"/>
      <c r="J920" s="157"/>
      <c r="K920" s="150"/>
      <c r="L920" s="138"/>
      <c r="M920" s="150"/>
      <c r="N920" s="150"/>
      <c r="O920" s="138"/>
      <c r="P920" s="150"/>
      <c r="Q920" s="138"/>
      <c r="R920" s="139"/>
      <c r="S920" s="148"/>
      <c r="T920" s="140"/>
      <c r="U920" s="175"/>
      <c r="V920" s="138"/>
    </row>
    <row r="921" spans="1:22" ht="16.5" hidden="1" customHeight="1" x14ac:dyDescent="0.25">
      <c r="A921" s="175"/>
      <c r="B921" s="175"/>
      <c r="C921" s="147"/>
      <c r="D921" s="187"/>
      <c r="E921" s="148"/>
      <c r="F921" s="149"/>
      <c r="G921" s="148"/>
      <c r="H921" s="148"/>
      <c r="I921" s="148"/>
      <c r="J921" s="157"/>
      <c r="K921" s="150"/>
      <c r="L921" s="138"/>
      <c r="M921" s="150"/>
      <c r="N921" s="150"/>
      <c r="O921" s="138"/>
      <c r="P921" s="150"/>
      <c r="Q921" s="138"/>
      <c r="R921" s="140"/>
      <c r="S921" s="148"/>
      <c r="T921" s="140"/>
      <c r="U921" s="175"/>
      <c r="V921" s="138"/>
    </row>
    <row r="922" spans="1:22" ht="16.5" hidden="1" customHeight="1" x14ac:dyDescent="0.25">
      <c r="A922" s="175"/>
      <c r="B922" s="175"/>
      <c r="C922" s="147"/>
      <c r="D922" s="187"/>
      <c r="E922" s="148"/>
      <c r="F922" s="149"/>
      <c r="G922" s="148"/>
      <c r="H922" s="148"/>
      <c r="I922" s="148"/>
      <c r="J922" s="157"/>
      <c r="K922" s="138"/>
      <c r="L922" s="138"/>
      <c r="M922" s="150"/>
      <c r="N922" s="150"/>
      <c r="O922" s="138"/>
      <c r="P922" s="150"/>
      <c r="Q922" s="138"/>
      <c r="R922" s="140"/>
      <c r="S922" s="148"/>
      <c r="T922" s="140"/>
      <c r="U922" s="175"/>
      <c r="V922" s="138"/>
    </row>
    <row r="923" spans="1:22" ht="16.5" hidden="1" customHeight="1" x14ac:dyDescent="0.25">
      <c r="A923" s="175"/>
      <c r="B923" s="175"/>
      <c r="C923" s="147"/>
      <c r="D923" s="187"/>
      <c r="E923" s="148"/>
      <c r="F923" s="149"/>
      <c r="G923" s="148"/>
      <c r="H923" s="148"/>
      <c r="I923" s="148"/>
      <c r="J923" s="157"/>
      <c r="K923" s="150"/>
      <c r="L923" s="138"/>
      <c r="M923" s="150"/>
      <c r="N923" s="150"/>
      <c r="O923" s="138"/>
      <c r="P923" s="150"/>
      <c r="Q923" s="138"/>
      <c r="R923" s="140"/>
      <c r="S923" s="148"/>
      <c r="T923" s="140"/>
      <c r="U923" s="175"/>
      <c r="V923" s="138"/>
    </row>
    <row r="924" spans="1:22" ht="16.5" hidden="1" customHeight="1" x14ac:dyDescent="0.25">
      <c r="A924" s="175"/>
      <c r="B924" s="175"/>
      <c r="C924" s="147"/>
      <c r="D924" s="188"/>
      <c r="E924" s="148"/>
      <c r="F924" s="149"/>
      <c r="G924" s="148"/>
      <c r="H924" s="148"/>
      <c r="I924" s="148"/>
      <c r="J924" s="157"/>
      <c r="K924" s="150"/>
      <c r="L924" s="138"/>
      <c r="M924" s="150"/>
      <c r="N924" s="150"/>
      <c r="O924" s="138"/>
      <c r="P924" s="150"/>
      <c r="Q924" s="138"/>
      <c r="R924" s="139"/>
      <c r="S924" s="148"/>
      <c r="T924" s="140"/>
      <c r="U924" s="175"/>
      <c r="V924" s="138"/>
    </row>
    <row r="925" spans="1:22" ht="16.5" hidden="1" customHeight="1" x14ac:dyDescent="0.25">
      <c r="A925" s="175"/>
      <c r="B925" s="175"/>
      <c r="C925" s="147"/>
      <c r="D925" s="188"/>
      <c r="E925" s="148"/>
      <c r="F925" s="149"/>
      <c r="G925" s="148"/>
      <c r="H925" s="148"/>
      <c r="I925" s="148"/>
      <c r="J925" s="157"/>
      <c r="K925" s="138"/>
      <c r="L925" s="138"/>
      <c r="M925" s="138"/>
      <c r="N925" s="150"/>
      <c r="O925" s="138"/>
      <c r="P925" s="150"/>
      <c r="Q925" s="138"/>
      <c r="R925" s="139"/>
      <c r="S925" s="175"/>
      <c r="T925" s="140"/>
      <c r="U925" s="175"/>
      <c r="V925" s="138"/>
    </row>
    <row r="926" spans="1:22" ht="16.5" hidden="1" customHeight="1" x14ac:dyDescent="0.25">
      <c r="A926" s="175"/>
      <c r="B926" s="175"/>
      <c r="C926" s="147"/>
      <c r="D926" s="188"/>
      <c r="E926" s="148"/>
      <c r="F926" s="149"/>
      <c r="G926" s="148"/>
      <c r="H926" s="148"/>
      <c r="I926" s="148"/>
      <c r="J926" s="103"/>
      <c r="K926" s="138"/>
      <c r="L926" s="138"/>
      <c r="M926" s="150"/>
      <c r="N926" s="138"/>
      <c r="O926" s="138"/>
      <c r="P926" s="150"/>
      <c r="Q926" s="138"/>
      <c r="R926" s="140"/>
      <c r="S926" s="175"/>
      <c r="T926" s="140"/>
      <c r="U926" s="175"/>
      <c r="V926" s="21"/>
    </row>
    <row r="927" spans="1:22" ht="16.5" hidden="1" customHeight="1" x14ac:dyDescent="0.25">
      <c r="A927" s="175"/>
      <c r="B927" s="175"/>
      <c r="C927" s="147"/>
      <c r="D927" s="188"/>
      <c r="E927" s="148"/>
      <c r="F927" s="149"/>
      <c r="G927" s="148"/>
      <c r="H927" s="148"/>
      <c r="I927" s="148"/>
      <c r="J927" s="103"/>
      <c r="K927" s="138"/>
      <c r="L927" s="138"/>
      <c r="M927" s="138"/>
      <c r="N927" s="138"/>
      <c r="O927" s="138"/>
      <c r="P927" s="150"/>
      <c r="Q927" s="138"/>
      <c r="R927" s="140"/>
      <c r="S927" s="175"/>
      <c r="T927" s="140"/>
      <c r="U927" s="175"/>
      <c r="V927" s="21"/>
    </row>
    <row r="928" spans="1:22" ht="16.5" hidden="1" customHeight="1" x14ac:dyDescent="0.25">
      <c r="A928" s="175"/>
      <c r="B928" s="175"/>
      <c r="C928" s="147"/>
      <c r="D928" s="188"/>
      <c r="E928" s="148"/>
      <c r="F928" s="149"/>
      <c r="G928" s="148"/>
      <c r="H928" s="148"/>
      <c r="I928" s="148"/>
      <c r="J928" s="157"/>
      <c r="K928" s="175"/>
      <c r="L928" s="175"/>
      <c r="M928" s="138"/>
      <c r="N928" s="150"/>
      <c r="O928" s="175"/>
      <c r="P928" s="150"/>
      <c r="Q928" s="138"/>
      <c r="R928" s="140"/>
      <c r="S928" s="175"/>
      <c r="T928" s="140"/>
      <c r="U928" s="175"/>
      <c r="V928" s="21"/>
    </row>
    <row r="929" spans="1:22" ht="16.5" hidden="1" customHeight="1" x14ac:dyDescent="0.25">
      <c r="A929" s="175"/>
      <c r="B929" s="175"/>
      <c r="C929" s="147"/>
      <c r="D929" s="188"/>
      <c r="E929" s="148"/>
      <c r="F929" s="149"/>
      <c r="G929" s="148"/>
      <c r="H929" s="148"/>
      <c r="I929" s="148"/>
      <c r="J929" s="103"/>
      <c r="K929" s="138"/>
      <c r="L929" s="175"/>
      <c r="M929" s="175"/>
      <c r="N929" s="150"/>
      <c r="O929" s="175"/>
      <c r="P929" s="150"/>
      <c r="Q929" s="138"/>
      <c r="R929" s="140"/>
      <c r="S929" s="175"/>
      <c r="T929" s="140"/>
      <c r="U929" s="175"/>
      <c r="V929" s="21"/>
    </row>
    <row r="930" spans="1:22" ht="16.5" hidden="1" customHeight="1" x14ac:dyDescent="0.25">
      <c r="A930" s="175"/>
      <c r="B930" s="175"/>
      <c r="C930" s="147"/>
      <c r="D930" s="188"/>
      <c r="E930" s="148"/>
      <c r="F930" s="149"/>
      <c r="G930" s="148"/>
      <c r="H930" s="148"/>
      <c r="I930" s="148"/>
      <c r="J930" s="157"/>
      <c r="K930" s="138"/>
      <c r="L930" s="175"/>
      <c r="M930" s="175"/>
      <c r="N930" s="175"/>
      <c r="O930" s="175"/>
      <c r="P930" s="150"/>
      <c r="Q930" s="175"/>
      <c r="R930" s="140"/>
      <c r="S930" s="175"/>
      <c r="T930" s="140"/>
      <c r="U930" s="175"/>
      <c r="V930" s="21"/>
    </row>
    <row r="931" spans="1:22" ht="16.5" hidden="1" customHeight="1" x14ac:dyDescent="0.25">
      <c r="A931" s="175"/>
      <c r="B931" s="175"/>
      <c r="C931" s="147"/>
      <c r="D931" s="188"/>
      <c r="E931" s="148"/>
      <c r="F931" s="149"/>
      <c r="G931" s="148"/>
      <c r="H931" s="148"/>
      <c r="I931" s="148"/>
      <c r="J931" s="157"/>
      <c r="K931" s="138"/>
      <c r="L931" s="175"/>
      <c r="M931" s="175"/>
      <c r="N931" s="175"/>
      <c r="O931" s="175"/>
      <c r="P931" s="150"/>
      <c r="Q931" s="175"/>
      <c r="R931" s="140"/>
      <c r="S931" s="175"/>
      <c r="T931" s="140"/>
      <c r="U931" s="175"/>
      <c r="V931" s="21"/>
    </row>
    <row r="932" spans="1:22" ht="16.5" hidden="1" customHeight="1" x14ac:dyDescent="0.25">
      <c r="A932" s="175"/>
      <c r="B932" s="175"/>
      <c r="C932" s="147"/>
      <c r="D932" s="188"/>
      <c r="E932" s="148"/>
      <c r="F932" s="149"/>
      <c r="G932" s="148"/>
      <c r="H932" s="148"/>
      <c r="I932" s="148"/>
      <c r="J932" s="157"/>
      <c r="K932" s="138"/>
      <c r="L932" s="175"/>
      <c r="M932" s="175"/>
      <c r="N932" s="175"/>
      <c r="O932" s="175"/>
      <c r="P932" s="150"/>
      <c r="Q932" s="175"/>
      <c r="R932" s="140"/>
      <c r="S932" s="175"/>
      <c r="T932" s="140"/>
      <c r="U932" s="175"/>
      <c r="V932" s="21"/>
    </row>
    <row r="933" spans="1:22" ht="16.5" hidden="1" customHeight="1" x14ac:dyDescent="0.25">
      <c r="A933" s="175"/>
      <c r="B933" s="175"/>
      <c r="C933" s="147"/>
      <c r="D933" s="188"/>
      <c r="E933" s="148"/>
      <c r="F933" s="149"/>
      <c r="G933" s="148"/>
      <c r="H933" s="148"/>
      <c r="I933" s="148"/>
      <c r="J933" s="157"/>
      <c r="K933" s="138"/>
      <c r="L933" s="175"/>
      <c r="M933" s="175"/>
      <c r="N933" s="175"/>
      <c r="O933" s="175"/>
      <c r="P933" s="150"/>
      <c r="Q933" s="175"/>
      <c r="R933" s="140"/>
      <c r="S933" s="175"/>
      <c r="T933" s="140"/>
      <c r="U933" s="175"/>
      <c r="V933" s="21"/>
    </row>
    <row r="934" spans="1:22" ht="16.5" hidden="1" customHeight="1" x14ac:dyDescent="0.25">
      <c r="A934" s="175"/>
      <c r="B934" s="175"/>
      <c r="C934" s="147"/>
      <c r="D934" s="188"/>
      <c r="E934" s="148"/>
      <c r="F934" s="149"/>
      <c r="G934" s="148"/>
      <c r="H934" s="148"/>
      <c r="I934" s="148"/>
      <c r="J934" s="157"/>
      <c r="K934" s="138"/>
      <c r="L934" s="138"/>
      <c r="M934" s="175"/>
      <c r="N934" s="175"/>
      <c r="O934" s="138"/>
      <c r="P934" s="150"/>
      <c r="Q934" s="175"/>
      <c r="R934" s="140"/>
      <c r="S934" s="175"/>
      <c r="T934" s="140"/>
      <c r="U934" s="175"/>
      <c r="V934" s="21"/>
    </row>
    <row r="935" spans="1:22" ht="16.5" hidden="1" customHeight="1" x14ac:dyDescent="0.25">
      <c r="A935" s="175"/>
      <c r="B935" s="175"/>
      <c r="C935" s="147"/>
      <c r="D935" s="188"/>
      <c r="E935" s="148"/>
      <c r="F935" s="149"/>
      <c r="G935" s="148"/>
      <c r="H935" s="148"/>
      <c r="I935" s="148"/>
      <c r="J935" s="157"/>
      <c r="K935" s="138"/>
      <c r="L935" s="138"/>
      <c r="M935" s="175"/>
      <c r="N935" s="175"/>
      <c r="O935" s="138"/>
      <c r="P935" s="150"/>
      <c r="Q935" s="175"/>
      <c r="R935" s="140"/>
      <c r="S935" s="175"/>
      <c r="T935" s="140"/>
      <c r="U935" s="175"/>
      <c r="V935" s="21"/>
    </row>
    <row r="936" spans="1:22" ht="16.5" hidden="1" customHeight="1" x14ac:dyDescent="0.25">
      <c r="A936" s="175"/>
      <c r="B936" s="175"/>
      <c r="C936" s="147"/>
      <c r="D936" s="188"/>
      <c r="E936" s="148"/>
      <c r="F936" s="149"/>
      <c r="G936" s="148"/>
      <c r="H936" s="148"/>
      <c r="I936" s="148"/>
      <c r="J936" s="103"/>
      <c r="K936" s="138"/>
      <c r="L936" s="138"/>
      <c r="M936" s="138"/>
      <c r="N936" s="138"/>
      <c r="O936" s="138"/>
      <c r="P936" s="138"/>
      <c r="Q936" s="138"/>
      <c r="R936" s="140"/>
      <c r="S936" s="175"/>
      <c r="T936" s="140"/>
      <c r="U936" s="175"/>
      <c r="V936" s="21"/>
    </row>
    <row r="937" spans="1:22" ht="16.5" hidden="1" customHeight="1" x14ac:dyDescent="0.25">
      <c r="A937" s="175"/>
      <c r="B937" s="175"/>
      <c r="C937" s="147"/>
      <c r="D937" s="147"/>
      <c r="E937" s="148"/>
      <c r="F937" s="149"/>
      <c r="G937" s="148"/>
      <c r="H937" s="148"/>
      <c r="I937" s="148"/>
      <c r="J937" s="157"/>
      <c r="K937" s="138"/>
      <c r="L937" s="118"/>
      <c r="M937" s="150"/>
      <c r="N937" s="150"/>
      <c r="O937" s="138"/>
      <c r="P937" s="150"/>
      <c r="Q937" s="138"/>
      <c r="R937" s="139"/>
      <c r="S937" s="148"/>
      <c r="T937" s="140"/>
      <c r="U937" s="175"/>
      <c r="V937" s="21"/>
    </row>
    <row r="938" spans="1:22" ht="16.5" hidden="1" customHeight="1" x14ac:dyDescent="0.25">
      <c r="A938" s="175"/>
      <c r="B938" s="175"/>
      <c r="C938" s="147"/>
      <c r="D938" s="147"/>
      <c r="E938" s="148"/>
      <c r="F938" s="149"/>
      <c r="G938" s="148"/>
      <c r="H938" s="148"/>
      <c r="I938" s="148"/>
      <c r="J938" s="157"/>
      <c r="K938" s="138"/>
      <c r="L938" s="118"/>
      <c r="M938" s="150"/>
      <c r="N938" s="150"/>
      <c r="O938" s="151"/>
      <c r="P938" s="150"/>
      <c r="Q938" s="150"/>
      <c r="R938" s="139"/>
      <c r="S938" s="148"/>
      <c r="T938" s="140"/>
      <c r="U938" s="175"/>
      <c r="V938" s="21"/>
    </row>
    <row r="939" spans="1:22" ht="16.5" hidden="1" customHeight="1" x14ac:dyDescent="0.25">
      <c r="A939" s="175"/>
      <c r="B939" s="175"/>
      <c r="C939" s="147"/>
      <c r="D939" s="147"/>
      <c r="E939" s="148"/>
      <c r="F939" s="149"/>
      <c r="G939" s="148"/>
      <c r="H939" s="148"/>
      <c r="I939" s="148"/>
      <c r="J939" s="157"/>
      <c r="K939" s="138"/>
      <c r="L939" s="118"/>
      <c r="M939" s="150"/>
      <c r="N939" s="150"/>
      <c r="O939" s="151"/>
      <c r="P939" s="150"/>
      <c r="Q939" s="150"/>
      <c r="R939" s="139"/>
      <c r="S939" s="148"/>
      <c r="T939" s="140"/>
      <c r="U939" s="175"/>
      <c r="V939" s="21"/>
    </row>
    <row r="940" spans="1:22" ht="16.5" hidden="1" customHeight="1" x14ac:dyDescent="0.25">
      <c r="A940" s="175"/>
      <c r="B940" s="175"/>
      <c r="C940" s="147"/>
      <c r="D940" s="147"/>
      <c r="E940" s="148"/>
      <c r="F940" s="149"/>
      <c r="G940" s="148"/>
      <c r="H940" s="148"/>
      <c r="I940" s="148"/>
      <c r="J940" s="157"/>
      <c r="K940" s="150"/>
      <c r="L940" s="118"/>
      <c r="M940" s="150"/>
      <c r="N940" s="150"/>
      <c r="O940" s="151"/>
      <c r="P940" s="150"/>
      <c r="Q940" s="150"/>
      <c r="R940" s="139"/>
      <c r="S940" s="148"/>
      <c r="T940" s="140"/>
      <c r="U940" s="175"/>
      <c r="V940" s="21"/>
    </row>
    <row r="941" spans="1:22" ht="16.5" hidden="1" customHeight="1" x14ac:dyDescent="0.25">
      <c r="A941" s="175"/>
      <c r="B941" s="175"/>
      <c r="C941" s="147"/>
      <c r="D941" s="147"/>
      <c r="E941" s="148"/>
      <c r="F941" s="149"/>
      <c r="G941" s="148"/>
      <c r="H941" s="148"/>
      <c r="I941" s="148"/>
      <c r="J941" s="157"/>
      <c r="K941" s="138"/>
      <c r="L941" s="118"/>
      <c r="M941" s="150"/>
      <c r="N941" s="150"/>
      <c r="O941" s="151"/>
      <c r="P941" s="150"/>
      <c r="Q941" s="150"/>
      <c r="R941" s="139"/>
      <c r="S941" s="148"/>
      <c r="T941" s="140"/>
      <c r="U941" s="175"/>
      <c r="V941" s="21"/>
    </row>
    <row r="942" spans="1:22" ht="16.5" hidden="1" customHeight="1" x14ac:dyDescent="0.25">
      <c r="A942" s="175"/>
      <c r="B942" s="175"/>
      <c r="C942" s="147"/>
      <c r="D942" s="147"/>
      <c r="E942" s="148"/>
      <c r="F942" s="149"/>
      <c r="G942" s="148"/>
      <c r="H942" s="148"/>
      <c r="I942" s="148"/>
      <c r="J942" s="157"/>
      <c r="K942" s="138"/>
      <c r="L942" s="118"/>
      <c r="M942" s="150"/>
      <c r="N942" s="150"/>
      <c r="O942" s="151"/>
      <c r="P942" s="150"/>
      <c r="Q942" s="150"/>
      <c r="R942" s="139"/>
      <c r="S942" s="148"/>
      <c r="T942" s="140"/>
      <c r="U942" s="175"/>
      <c r="V942" s="21"/>
    </row>
    <row r="943" spans="1:22" ht="16.5" hidden="1" customHeight="1" x14ac:dyDescent="0.25">
      <c r="A943" s="175"/>
      <c r="B943" s="175"/>
      <c r="C943" s="147"/>
      <c r="D943" s="147"/>
      <c r="E943" s="148"/>
      <c r="F943" s="149"/>
      <c r="G943" s="148"/>
      <c r="H943" s="148"/>
      <c r="I943" s="148"/>
      <c r="J943" s="157"/>
      <c r="K943" s="150"/>
      <c r="L943" s="118"/>
      <c r="M943" s="150"/>
      <c r="N943" s="150"/>
      <c r="O943" s="151"/>
      <c r="P943" s="150"/>
      <c r="Q943" s="150"/>
      <c r="R943" s="139"/>
      <c r="S943" s="148"/>
      <c r="T943" s="140"/>
      <c r="U943" s="175"/>
      <c r="V943" s="21"/>
    </row>
    <row r="944" spans="1:22" ht="16.5" hidden="1" customHeight="1" x14ac:dyDescent="0.25">
      <c r="A944" s="175"/>
      <c r="B944" s="175"/>
      <c r="C944" s="147"/>
      <c r="D944" s="147"/>
      <c r="E944" s="148"/>
      <c r="F944" s="149"/>
      <c r="G944" s="148"/>
      <c r="H944" s="148"/>
      <c r="I944" s="156"/>
      <c r="J944" s="157"/>
      <c r="K944" s="150"/>
      <c r="L944" s="118"/>
      <c r="M944" s="150"/>
      <c r="N944" s="150"/>
      <c r="O944" s="151"/>
      <c r="P944" s="150"/>
      <c r="Q944" s="150"/>
      <c r="R944" s="139"/>
      <c r="S944" s="148"/>
      <c r="T944" s="140"/>
      <c r="U944" s="175"/>
      <c r="V944" s="21"/>
    </row>
    <row r="945" spans="1:22" ht="16.5" hidden="1" customHeight="1" x14ac:dyDescent="0.25">
      <c r="A945" s="175"/>
      <c r="B945" s="175"/>
      <c r="C945" s="147"/>
      <c r="D945" s="147"/>
      <c r="E945" s="148"/>
      <c r="F945" s="149"/>
      <c r="G945" s="148"/>
      <c r="H945" s="148"/>
      <c r="I945" s="32"/>
      <c r="J945" s="157"/>
      <c r="K945" s="150"/>
      <c r="L945" s="150"/>
      <c r="M945" s="150"/>
      <c r="N945" s="150"/>
      <c r="O945" s="138"/>
      <c r="P945" s="150"/>
      <c r="Q945" s="138"/>
      <c r="R945" s="139"/>
      <c r="S945" s="148"/>
      <c r="T945" s="140"/>
      <c r="U945" s="175"/>
      <c r="V945" s="21"/>
    </row>
    <row r="946" spans="1:22" ht="16.5" hidden="1" customHeight="1" x14ac:dyDescent="0.25">
      <c r="A946" s="175"/>
      <c r="B946" s="175"/>
      <c r="C946" s="147"/>
      <c r="D946" s="147"/>
      <c r="E946" s="148"/>
      <c r="F946" s="149"/>
      <c r="G946" s="148"/>
      <c r="H946" s="148"/>
      <c r="I946" s="148"/>
      <c r="J946" s="157"/>
      <c r="K946" s="138"/>
      <c r="L946" s="118"/>
      <c r="M946" s="150"/>
      <c r="N946" s="150"/>
      <c r="O946" s="151"/>
      <c r="P946" s="150"/>
      <c r="Q946" s="150"/>
      <c r="R946" s="139"/>
      <c r="S946" s="148"/>
      <c r="T946" s="140"/>
      <c r="U946" s="175"/>
      <c r="V946" s="21"/>
    </row>
    <row r="947" spans="1:22" ht="16.5" hidden="1" customHeight="1" x14ac:dyDescent="0.25">
      <c r="A947" s="175"/>
      <c r="B947" s="175"/>
      <c r="C947" s="147"/>
      <c r="D947" s="147"/>
      <c r="E947" s="148"/>
      <c r="F947" s="149"/>
      <c r="G947" s="148"/>
      <c r="H947" s="148"/>
      <c r="I947" s="148"/>
      <c r="J947" s="157"/>
      <c r="K947" s="150"/>
      <c r="L947" s="118"/>
      <c r="M947" s="150"/>
      <c r="N947" s="150"/>
      <c r="O947" s="151"/>
      <c r="P947" s="150"/>
      <c r="Q947" s="150"/>
      <c r="R947" s="139"/>
      <c r="S947" s="148"/>
      <c r="T947" s="140"/>
      <c r="U947" s="175"/>
      <c r="V947" s="21"/>
    </row>
    <row r="948" spans="1:22" ht="16.5" hidden="1" customHeight="1" x14ac:dyDescent="0.25">
      <c r="A948" s="175"/>
      <c r="B948" s="175"/>
      <c r="C948" s="147"/>
      <c r="D948" s="147"/>
      <c r="E948" s="148"/>
      <c r="F948" s="149"/>
      <c r="G948" s="148"/>
      <c r="H948" s="148"/>
      <c r="I948" s="156"/>
      <c r="J948" s="157"/>
      <c r="K948" s="150"/>
      <c r="L948" s="118"/>
      <c r="M948" s="150"/>
      <c r="N948" s="150"/>
      <c r="O948" s="151"/>
      <c r="P948" s="150"/>
      <c r="Q948" s="150"/>
      <c r="R948" s="139"/>
      <c r="S948" s="148"/>
      <c r="T948" s="140"/>
      <c r="U948" s="175"/>
      <c r="V948" s="21"/>
    </row>
    <row r="949" spans="1:22" ht="16.5" hidden="1" customHeight="1" x14ac:dyDescent="0.25">
      <c r="A949" s="175"/>
      <c r="B949" s="175"/>
      <c r="C949" s="147"/>
      <c r="D949" s="147"/>
      <c r="E949" s="148"/>
      <c r="F949" s="149"/>
      <c r="G949" s="148"/>
      <c r="H949" s="148"/>
      <c r="I949" s="32"/>
      <c r="J949" s="157"/>
      <c r="K949" s="150"/>
      <c r="L949" s="150"/>
      <c r="M949" s="150"/>
      <c r="N949" s="150"/>
      <c r="O949" s="138"/>
      <c r="P949" s="150"/>
      <c r="Q949" s="150"/>
      <c r="R949" s="139"/>
      <c r="S949" s="148"/>
      <c r="T949" s="140"/>
      <c r="U949" s="175"/>
      <c r="V949" s="21"/>
    </row>
    <row r="950" spans="1:22" ht="16.5" hidden="1" customHeight="1" x14ac:dyDescent="0.25">
      <c r="A950" s="175"/>
      <c r="B950" s="175"/>
      <c r="C950" s="147"/>
      <c r="D950" s="147"/>
      <c r="E950" s="148"/>
      <c r="F950" s="149"/>
      <c r="G950" s="148"/>
      <c r="H950" s="148"/>
      <c r="I950" s="32"/>
      <c r="J950" s="157"/>
      <c r="K950" s="150"/>
      <c r="L950" s="138"/>
      <c r="M950" s="150"/>
      <c r="N950" s="150"/>
      <c r="O950" s="138"/>
      <c r="P950" s="150"/>
      <c r="Q950" s="138"/>
      <c r="R950" s="139"/>
      <c r="S950" s="148"/>
      <c r="T950" s="140"/>
      <c r="U950" s="175"/>
      <c r="V950" s="21"/>
    </row>
    <row r="951" spans="1:22" ht="16.5" hidden="1" customHeight="1" x14ac:dyDescent="0.25">
      <c r="A951" s="175"/>
      <c r="B951" s="175"/>
      <c r="C951" s="147"/>
      <c r="D951" s="147"/>
      <c r="E951" s="148"/>
      <c r="F951" s="149"/>
      <c r="G951" s="148"/>
      <c r="H951" s="148"/>
      <c r="I951" s="148"/>
      <c r="J951" s="157"/>
      <c r="K951" s="138"/>
      <c r="L951" s="118"/>
      <c r="M951" s="150"/>
      <c r="N951" s="150"/>
      <c r="O951" s="151"/>
      <c r="P951" s="150"/>
      <c r="Q951" s="150"/>
      <c r="R951" s="139"/>
      <c r="S951" s="148"/>
      <c r="T951" s="140"/>
      <c r="U951" s="175"/>
      <c r="V951" s="21"/>
    </row>
    <row r="952" spans="1:22" ht="16.5" hidden="1" customHeight="1" x14ac:dyDescent="0.25">
      <c r="A952" s="175"/>
      <c r="B952" s="175"/>
      <c r="C952" s="147"/>
      <c r="D952" s="147"/>
      <c r="E952" s="148"/>
      <c r="F952" s="153"/>
      <c r="G952" s="148"/>
      <c r="H952" s="148"/>
      <c r="I952" s="148"/>
      <c r="J952" s="157"/>
      <c r="K952" s="150"/>
      <c r="L952" s="118"/>
      <c r="M952" s="150"/>
      <c r="N952" s="150"/>
      <c r="O952" s="151"/>
      <c r="P952" s="150"/>
      <c r="Q952" s="150"/>
      <c r="R952" s="139"/>
      <c r="S952" s="148"/>
      <c r="T952" s="140"/>
      <c r="U952" s="175"/>
      <c r="V952" s="21"/>
    </row>
    <row r="953" spans="1:22" ht="16.5" hidden="1" customHeight="1" x14ac:dyDescent="0.25">
      <c r="A953" s="175"/>
      <c r="B953" s="175"/>
      <c r="C953" s="147"/>
      <c r="D953" s="147"/>
      <c r="E953" s="148"/>
      <c r="F953" s="153"/>
      <c r="G953" s="148"/>
      <c r="H953" s="148"/>
      <c r="I953" s="156"/>
      <c r="J953" s="157"/>
      <c r="K953" s="138"/>
      <c r="L953" s="118"/>
      <c r="M953" s="150"/>
      <c r="N953" s="150"/>
      <c r="O953" s="151"/>
      <c r="P953" s="150"/>
      <c r="Q953" s="150"/>
      <c r="R953" s="139"/>
      <c r="S953" s="148"/>
      <c r="T953" s="140"/>
      <c r="U953" s="175"/>
      <c r="V953" s="21"/>
    </row>
    <row r="954" spans="1:22" ht="16.5" hidden="1" customHeight="1" x14ac:dyDescent="0.25">
      <c r="A954" s="175"/>
      <c r="B954" s="175"/>
      <c r="C954" s="147"/>
      <c r="D954" s="147"/>
      <c r="E954" s="148"/>
      <c r="F954" s="149"/>
      <c r="G954" s="156"/>
      <c r="H954" s="148"/>
      <c r="I954" s="49"/>
      <c r="J954" s="157"/>
      <c r="K954" s="138"/>
      <c r="L954" s="118"/>
      <c r="M954" s="150"/>
      <c r="N954" s="150"/>
      <c r="O954" s="151"/>
      <c r="P954" s="150"/>
      <c r="Q954" s="150"/>
      <c r="R954" s="139"/>
      <c r="S954" s="148"/>
      <c r="T954" s="140"/>
      <c r="U954" s="175"/>
      <c r="V954" s="21"/>
    </row>
    <row r="955" spans="1:22" ht="16.5" hidden="1" customHeight="1" x14ac:dyDescent="0.25">
      <c r="A955" s="175"/>
      <c r="B955" s="175"/>
      <c r="C955" s="147"/>
      <c r="D955" s="147"/>
      <c r="E955" s="148"/>
      <c r="F955" s="149"/>
      <c r="G955" s="148"/>
      <c r="H955" s="148"/>
      <c r="I955" s="148"/>
      <c r="J955" s="157"/>
      <c r="K955" s="150"/>
      <c r="L955" s="118"/>
      <c r="M955" s="150"/>
      <c r="N955" s="150"/>
      <c r="O955" s="151"/>
      <c r="P955" s="150"/>
      <c r="Q955" s="150"/>
      <c r="R955" s="139"/>
      <c r="S955" s="148"/>
      <c r="T955" s="140"/>
      <c r="U955" s="175"/>
      <c r="V955" s="21"/>
    </row>
    <row r="956" spans="1:22" ht="16.5" hidden="1" customHeight="1" x14ac:dyDescent="0.25">
      <c r="A956" s="175"/>
      <c r="B956" s="175"/>
      <c r="C956" s="147"/>
      <c r="D956" s="147"/>
      <c r="E956" s="148"/>
      <c r="F956" s="149"/>
      <c r="G956" s="156"/>
      <c r="H956" s="148"/>
      <c r="I956" s="148"/>
      <c r="J956" s="157"/>
      <c r="K956" s="138"/>
      <c r="L956" s="118"/>
      <c r="M956" s="150"/>
      <c r="N956" s="150"/>
      <c r="O956" s="151"/>
      <c r="P956" s="150"/>
      <c r="Q956" s="150"/>
      <c r="R956" s="139"/>
      <c r="S956" s="148"/>
      <c r="T956" s="140"/>
      <c r="U956" s="175"/>
      <c r="V956" s="21"/>
    </row>
    <row r="957" spans="1:22" ht="16.5" hidden="1" customHeight="1" x14ac:dyDescent="0.25">
      <c r="A957" s="175"/>
      <c r="B957" s="175"/>
      <c r="C957" s="147"/>
      <c r="D957" s="147"/>
      <c r="E957" s="148"/>
      <c r="F957" s="149"/>
      <c r="G957" s="156"/>
      <c r="H957" s="148"/>
      <c r="I957" s="148"/>
      <c r="J957" s="157"/>
      <c r="K957" s="150"/>
      <c r="L957" s="118"/>
      <c r="M957" s="150"/>
      <c r="N957" s="150"/>
      <c r="O957" s="151"/>
      <c r="P957" s="150"/>
      <c r="Q957" s="150"/>
      <c r="R957" s="139"/>
      <c r="S957" s="148"/>
      <c r="T957" s="140"/>
      <c r="U957" s="175"/>
      <c r="V957" s="21"/>
    </row>
    <row r="958" spans="1:22" ht="16.5" hidden="1" customHeight="1" x14ac:dyDescent="0.25">
      <c r="A958" s="175"/>
      <c r="B958" s="175"/>
      <c r="C958" s="147"/>
      <c r="D958" s="147"/>
      <c r="E958" s="148"/>
      <c r="F958" s="149"/>
      <c r="G958" s="148"/>
      <c r="H958" s="148"/>
      <c r="I958" s="156"/>
      <c r="J958" s="157"/>
      <c r="K958" s="150"/>
      <c r="L958" s="118"/>
      <c r="M958" s="150"/>
      <c r="N958" s="150"/>
      <c r="O958" s="151"/>
      <c r="P958" s="150"/>
      <c r="Q958" s="150"/>
      <c r="R958" s="139"/>
      <c r="S958" s="148"/>
      <c r="T958" s="140"/>
      <c r="U958" s="175"/>
      <c r="V958" s="21"/>
    </row>
    <row r="959" spans="1:22" ht="16.5" hidden="1" customHeight="1" x14ac:dyDescent="0.25">
      <c r="A959" s="175"/>
      <c r="B959" s="175"/>
      <c r="C959" s="147"/>
      <c r="D959" s="147"/>
      <c r="E959" s="148"/>
      <c r="F959" s="149"/>
      <c r="G959" s="148"/>
      <c r="H959" s="148"/>
      <c r="I959" s="32"/>
      <c r="J959" s="157"/>
      <c r="K959" s="150"/>
      <c r="L959" s="150"/>
      <c r="M959" s="150"/>
      <c r="N959" s="150"/>
      <c r="O959" s="138"/>
      <c r="P959" s="150"/>
      <c r="Q959" s="138"/>
      <c r="R959" s="139"/>
      <c r="S959" s="148"/>
      <c r="T959" s="140"/>
      <c r="U959" s="175"/>
      <c r="V959" s="21"/>
    </row>
    <row r="960" spans="1:22" ht="15.75" hidden="1" customHeight="1" x14ac:dyDescent="0.25">
      <c r="A960" s="175"/>
      <c r="B960" s="175"/>
      <c r="C960" s="147"/>
      <c r="D960" s="147"/>
      <c r="E960" s="148"/>
      <c r="F960" s="149"/>
      <c r="G960" s="148"/>
      <c r="H960" s="148"/>
      <c r="I960" s="32"/>
      <c r="J960" s="157"/>
      <c r="K960" s="150"/>
      <c r="L960" s="138"/>
      <c r="M960" s="150"/>
      <c r="N960" s="150"/>
      <c r="O960" s="151"/>
      <c r="P960" s="150"/>
      <c r="Q960" s="150"/>
      <c r="R960" s="139"/>
      <c r="S960" s="148"/>
      <c r="T960" s="140"/>
      <c r="U960" s="175"/>
      <c r="V960" s="21"/>
    </row>
    <row r="961" spans="1:22" ht="16.5" hidden="1" customHeight="1" x14ac:dyDescent="0.25">
      <c r="A961" s="175"/>
      <c r="B961" s="175"/>
      <c r="C961" s="147"/>
      <c r="D961" s="147"/>
      <c r="E961" s="148"/>
      <c r="F961" s="149"/>
      <c r="G961" s="148"/>
      <c r="H961" s="148"/>
      <c r="I961" s="32"/>
      <c r="J961" s="157"/>
      <c r="K961" s="150"/>
      <c r="L961" s="138"/>
      <c r="M961" s="150"/>
      <c r="N961" s="150"/>
      <c r="O961" s="138"/>
      <c r="P961" s="150"/>
      <c r="Q961" s="138"/>
      <c r="R961" s="139"/>
      <c r="S961" s="148"/>
      <c r="T961" s="140"/>
      <c r="U961" s="175"/>
      <c r="V961" s="21"/>
    </row>
    <row r="962" spans="1:22" ht="18" hidden="1" customHeight="1" x14ac:dyDescent="0.25">
      <c r="A962" s="175"/>
      <c r="B962" s="175"/>
      <c r="C962" s="147"/>
      <c r="D962" s="147"/>
      <c r="E962" s="148"/>
      <c r="F962" s="149"/>
      <c r="G962" s="148"/>
      <c r="H962" s="148"/>
      <c r="I962" s="138"/>
      <c r="J962" s="103"/>
      <c r="K962" s="150"/>
      <c r="L962" s="150"/>
      <c r="M962" s="150"/>
      <c r="N962" s="150"/>
      <c r="O962" s="151"/>
      <c r="P962" s="150"/>
      <c r="Q962" s="150"/>
      <c r="R962" s="139"/>
      <c r="S962" s="148"/>
      <c r="T962" s="140"/>
      <c r="U962" s="175"/>
      <c r="V962" s="21"/>
    </row>
    <row r="963" spans="1:22" ht="16.5" hidden="1" customHeight="1" x14ac:dyDescent="0.25">
      <c r="A963" s="175"/>
      <c r="B963" s="175"/>
      <c r="C963" s="147"/>
      <c r="D963" s="147"/>
      <c r="E963" s="148"/>
      <c r="F963" s="149"/>
      <c r="G963" s="148"/>
      <c r="H963" s="148"/>
      <c r="I963" s="148"/>
      <c r="J963" s="157"/>
      <c r="K963" s="138"/>
      <c r="L963" s="118"/>
      <c r="M963" s="150"/>
      <c r="N963" s="150"/>
      <c r="O963" s="151"/>
      <c r="P963" s="150"/>
      <c r="Q963" s="150"/>
      <c r="R963" s="139"/>
      <c r="S963" s="148"/>
      <c r="T963" s="140"/>
      <c r="U963" s="175"/>
      <c r="V963" s="21"/>
    </row>
    <row r="964" spans="1:22" ht="18" hidden="1" customHeight="1" x14ac:dyDescent="0.25">
      <c r="A964" s="175"/>
      <c r="B964" s="175"/>
      <c r="C964" s="147"/>
      <c r="D964" s="147"/>
      <c r="E964" s="148"/>
      <c r="F964" s="149"/>
      <c r="G964" s="148"/>
      <c r="H964" s="148"/>
      <c r="I964" s="148"/>
      <c r="J964" s="157"/>
      <c r="K964" s="150"/>
      <c r="L964" s="118"/>
      <c r="M964" s="150"/>
      <c r="N964" s="150"/>
      <c r="O964" s="151"/>
      <c r="P964" s="150"/>
      <c r="Q964" s="150"/>
      <c r="R964" s="139"/>
      <c r="S964" s="148"/>
      <c r="T964" s="140"/>
      <c r="U964" s="175"/>
      <c r="V964" s="21"/>
    </row>
    <row r="965" spans="1:22" ht="16.5" hidden="1" customHeight="1" x14ac:dyDescent="0.25">
      <c r="A965" s="175"/>
      <c r="B965" s="175"/>
      <c r="C965" s="147"/>
      <c r="D965" s="147"/>
      <c r="E965" s="148"/>
      <c r="F965" s="153"/>
      <c r="G965" s="148"/>
      <c r="H965" s="148"/>
      <c r="I965" s="148"/>
      <c r="J965" s="157"/>
      <c r="K965" s="150"/>
      <c r="L965" s="118"/>
      <c r="M965" s="150"/>
      <c r="N965" s="150"/>
      <c r="O965" s="151"/>
      <c r="P965" s="150"/>
      <c r="Q965" s="150"/>
      <c r="R965" s="139"/>
      <c r="S965" s="148"/>
      <c r="T965" s="140"/>
      <c r="U965" s="175"/>
      <c r="V965" s="21"/>
    </row>
    <row r="966" spans="1:22" ht="16.5" hidden="1" customHeight="1" x14ac:dyDescent="0.25">
      <c r="A966" s="175"/>
      <c r="B966" s="175"/>
      <c r="C966" s="147"/>
      <c r="D966" s="147"/>
      <c r="E966" s="148"/>
      <c r="F966" s="153"/>
      <c r="G966" s="148"/>
      <c r="H966" s="148"/>
      <c r="I966" s="148"/>
      <c r="J966" s="157"/>
      <c r="K966" s="138"/>
      <c r="L966" s="118"/>
      <c r="M966" s="150"/>
      <c r="N966" s="150"/>
      <c r="O966" s="151"/>
      <c r="P966" s="150"/>
      <c r="Q966" s="150"/>
      <c r="R966" s="139"/>
      <c r="S966" s="148"/>
      <c r="T966" s="140"/>
      <c r="U966" s="140"/>
      <c r="V966" s="21"/>
    </row>
    <row r="967" spans="1:22" ht="16.5" hidden="1" customHeight="1" x14ac:dyDescent="0.25">
      <c r="A967" s="175"/>
      <c r="B967" s="175"/>
      <c r="C967" s="147"/>
      <c r="D967" s="147"/>
      <c r="E967" s="148"/>
      <c r="F967" s="149"/>
      <c r="G967" s="148"/>
      <c r="H967" s="148"/>
      <c r="I967" s="148"/>
      <c r="J967" s="157"/>
      <c r="K967" s="150"/>
      <c r="L967" s="118"/>
      <c r="M967" s="150"/>
      <c r="N967" s="150"/>
      <c r="O967" s="151"/>
      <c r="P967" s="150"/>
      <c r="Q967" s="150"/>
      <c r="R967" s="139"/>
      <c r="S967" s="148"/>
      <c r="T967" s="140"/>
      <c r="U967" s="140"/>
      <c r="V967" s="21"/>
    </row>
    <row r="968" spans="1:22" ht="16.5" hidden="1" customHeight="1" x14ac:dyDescent="0.25">
      <c r="A968" s="175"/>
      <c r="B968" s="175"/>
      <c r="C968" s="147"/>
      <c r="D968" s="147"/>
      <c r="E968" s="148"/>
      <c r="F968" s="153"/>
      <c r="G968" s="148"/>
      <c r="H968" s="148"/>
      <c r="I968" s="148"/>
      <c r="J968" s="157"/>
      <c r="K968" s="138"/>
      <c r="L968" s="118"/>
      <c r="M968" s="150"/>
      <c r="N968" s="150"/>
      <c r="O968" s="151"/>
      <c r="P968" s="150"/>
      <c r="Q968" s="150"/>
      <c r="R968" s="139"/>
      <c r="S968" s="148"/>
      <c r="T968" s="140"/>
      <c r="U968" s="140"/>
      <c r="V968" s="21"/>
    </row>
    <row r="969" spans="1:22" ht="16.5" hidden="1" customHeight="1" x14ac:dyDescent="0.25">
      <c r="A969" s="175"/>
      <c r="B969" s="175"/>
      <c r="C969" s="147"/>
      <c r="D969" s="147"/>
      <c r="E969" s="148"/>
      <c r="F969" s="149"/>
      <c r="G969" s="148"/>
      <c r="H969" s="148"/>
      <c r="I969" s="32"/>
      <c r="J969" s="157"/>
      <c r="K969" s="138"/>
      <c r="L969" s="150"/>
      <c r="M969" s="150"/>
      <c r="N969" s="150"/>
      <c r="O969" s="151"/>
      <c r="P969" s="150"/>
      <c r="Q969" s="150"/>
      <c r="R969" s="139"/>
      <c r="S969" s="148"/>
      <c r="T969" s="140"/>
      <c r="U969" s="140"/>
      <c r="V969" s="21"/>
    </row>
    <row r="970" spans="1:22" ht="16.5" hidden="1" customHeight="1" x14ac:dyDescent="0.25">
      <c r="A970" s="175"/>
      <c r="B970" s="175"/>
      <c r="C970" s="147"/>
      <c r="D970" s="147"/>
      <c r="E970" s="148"/>
      <c r="F970" s="149"/>
      <c r="G970" s="148"/>
      <c r="H970" s="148"/>
      <c r="I970" s="148"/>
      <c r="J970" s="157"/>
      <c r="K970" s="138"/>
      <c r="L970" s="118"/>
      <c r="M970" s="118"/>
      <c r="N970" s="150"/>
      <c r="O970" s="151"/>
      <c r="P970" s="150"/>
      <c r="Q970" s="150"/>
      <c r="R970" s="139"/>
      <c r="S970" s="148"/>
      <c r="T970" s="140"/>
      <c r="U970" s="175"/>
      <c r="V970" s="21"/>
    </row>
    <row r="971" spans="1:22" ht="16.5" hidden="1" customHeight="1" x14ac:dyDescent="0.25">
      <c r="A971" s="175"/>
      <c r="B971" s="175"/>
      <c r="C971" s="147"/>
      <c r="D971" s="147"/>
      <c r="E971" s="148"/>
      <c r="F971" s="149"/>
      <c r="G971" s="148"/>
      <c r="H971" s="148"/>
      <c r="I971" s="148"/>
      <c r="J971" s="157"/>
      <c r="K971" s="150"/>
      <c r="L971" s="118"/>
      <c r="M971" s="150"/>
      <c r="N971" s="150"/>
      <c r="O971" s="151"/>
      <c r="P971" s="150"/>
      <c r="Q971" s="150"/>
      <c r="R971" s="139"/>
      <c r="S971" s="148"/>
      <c r="T971" s="140"/>
      <c r="U971" s="175"/>
      <c r="V971" s="21"/>
    </row>
    <row r="972" spans="1:22" ht="16.5" hidden="1" customHeight="1" x14ac:dyDescent="0.25">
      <c r="A972" s="175"/>
      <c r="B972" s="175"/>
      <c r="C972" s="147"/>
      <c r="D972" s="147"/>
      <c r="E972" s="148"/>
      <c r="F972" s="149"/>
      <c r="G972" s="148"/>
      <c r="H972" s="148"/>
      <c r="I972" s="156"/>
      <c r="J972" s="157"/>
      <c r="K972" s="150"/>
      <c r="L972" s="118"/>
      <c r="M972" s="150"/>
      <c r="N972" s="150"/>
      <c r="O972" s="151"/>
      <c r="P972" s="150"/>
      <c r="Q972" s="150"/>
      <c r="R972" s="139"/>
      <c r="S972" s="148"/>
      <c r="T972" s="140"/>
      <c r="U972" s="175"/>
      <c r="V972" s="21"/>
    </row>
    <row r="973" spans="1:22" ht="16.5" hidden="1" customHeight="1" x14ac:dyDescent="0.25">
      <c r="A973" s="175"/>
      <c r="B973" s="175"/>
      <c r="C973" s="147"/>
      <c r="D973" s="147"/>
      <c r="E973" s="148"/>
      <c r="F973" s="149"/>
      <c r="G973" s="148"/>
      <c r="H973" s="148"/>
      <c r="I973" s="148"/>
      <c r="J973" s="157"/>
      <c r="K973" s="138"/>
      <c r="L973" s="118"/>
      <c r="M973" s="118"/>
      <c r="N973" s="150"/>
      <c r="O973" s="151"/>
      <c r="P973" s="150"/>
      <c r="Q973" s="150"/>
      <c r="R973" s="139"/>
      <c r="S973" s="148"/>
      <c r="T973" s="140"/>
      <c r="U973" s="175"/>
      <c r="V973" s="21"/>
    </row>
    <row r="974" spans="1:22" ht="16.5" hidden="1" customHeight="1" x14ac:dyDescent="0.25">
      <c r="A974" s="175"/>
      <c r="B974" s="175"/>
      <c r="C974" s="147"/>
      <c r="D974" s="147"/>
      <c r="E974" s="148"/>
      <c r="F974" s="149"/>
      <c r="G974" s="148"/>
      <c r="H974" s="148"/>
      <c r="I974" s="148"/>
      <c r="J974" s="157"/>
      <c r="K974" s="150"/>
      <c r="L974" s="118"/>
      <c r="M974" s="150"/>
      <c r="N974" s="150"/>
      <c r="O974" s="151"/>
      <c r="P974" s="150"/>
      <c r="Q974" s="150"/>
      <c r="R974" s="139"/>
      <c r="S974" s="148"/>
      <c r="T974" s="140"/>
      <c r="U974" s="175"/>
      <c r="V974" s="21"/>
    </row>
    <row r="975" spans="1:22" ht="16.5" hidden="1" customHeight="1" x14ac:dyDescent="0.25">
      <c r="A975" s="175"/>
      <c r="B975" s="175"/>
      <c r="C975" s="147"/>
      <c r="D975" s="147"/>
      <c r="E975" s="150"/>
      <c r="F975" s="155"/>
      <c r="G975" s="150"/>
      <c r="H975" s="150"/>
      <c r="I975" s="150"/>
      <c r="J975" s="157"/>
      <c r="K975" s="150"/>
      <c r="L975" s="154"/>
      <c r="M975" s="150"/>
      <c r="N975" s="150"/>
      <c r="O975" s="151"/>
      <c r="P975" s="150"/>
      <c r="Q975" s="150"/>
      <c r="R975" s="139"/>
      <c r="S975" s="150"/>
      <c r="T975" s="138"/>
      <c r="U975" s="175"/>
      <c r="V975" s="21"/>
    </row>
    <row r="976" spans="1:22" ht="16.5" hidden="1" customHeight="1" x14ac:dyDescent="0.25">
      <c r="A976" s="175"/>
      <c r="B976" s="175"/>
      <c r="C976" s="147"/>
      <c r="D976" s="147"/>
      <c r="E976" s="150"/>
      <c r="F976" s="155"/>
      <c r="G976" s="150"/>
      <c r="H976" s="150"/>
      <c r="I976" s="150"/>
      <c r="J976" s="157"/>
      <c r="K976" s="150"/>
      <c r="L976" s="150"/>
      <c r="M976" s="150"/>
      <c r="N976" s="150"/>
      <c r="O976" s="138"/>
      <c r="P976" s="150"/>
      <c r="Q976" s="138"/>
      <c r="R976" s="139"/>
      <c r="S976" s="150"/>
      <c r="T976" s="138"/>
      <c r="U976" s="175"/>
      <c r="V976" s="21"/>
    </row>
    <row r="977" spans="1:24" ht="16.5" hidden="1" customHeight="1" x14ac:dyDescent="0.25">
      <c r="A977" s="175"/>
      <c r="B977" s="175"/>
      <c r="C977" s="147"/>
      <c r="D977" s="147"/>
      <c r="E977" s="150"/>
      <c r="F977" s="155"/>
      <c r="G977" s="150"/>
      <c r="H977" s="150"/>
      <c r="I977" s="150"/>
      <c r="J977" s="157"/>
      <c r="K977" s="150"/>
      <c r="L977" s="138"/>
      <c r="M977" s="150"/>
      <c r="N977" s="150"/>
      <c r="O977" s="138"/>
      <c r="P977" s="150"/>
      <c r="Q977" s="138"/>
      <c r="R977" s="139"/>
      <c r="S977" s="150"/>
      <c r="T977" s="138"/>
      <c r="U977" s="175"/>
      <c r="V977" s="21"/>
    </row>
    <row r="978" spans="1:24" ht="16.5" hidden="1" customHeight="1" x14ac:dyDescent="0.25">
      <c r="A978" s="175"/>
      <c r="B978" s="175"/>
      <c r="C978" s="147"/>
      <c r="D978" s="147"/>
      <c r="E978" s="148"/>
      <c r="F978" s="149"/>
      <c r="G978" s="148"/>
      <c r="H978" s="148"/>
      <c r="I978" s="32"/>
      <c r="J978" s="157"/>
      <c r="K978" s="150"/>
      <c r="L978" s="138"/>
      <c r="M978" s="118"/>
      <c r="N978" s="150"/>
      <c r="O978" s="151"/>
      <c r="P978" s="150"/>
      <c r="Q978" s="150"/>
      <c r="R978" s="139"/>
      <c r="S978" s="148"/>
      <c r="T978" s="140"/>
      <c r="U978" s="175"/>
      <c r="V978" s="21"/>
    </row>
    <row r="979" spans="1:24" ht="16.5" hidden="1" customHeight="1" x14ac:dyDescent="0.25">
      <c r="A979" s="175"/>
      <c r="B979" s="175"/>
      <c r="C979" s="147"/>
      <c r="D979" s="147"/>
      <c r="E979" s="148"/>
      <c r="F979" s="149"/>
      <c r="G979" s="148"/>
      <c r="H979" s="148"/>
      <c r="I979" s="138"/>
      <c r="J979" s="103"/>
      <c r="K979" s="150"/>
      <c r="L979" s="138"/>
      <c r="M979" s="118"/>
      <c r="N979" s="150"/>
      <c r="O979" s="138"/>
      <c r="P979" s="150"/>
      <c r="Q979" s="138"/>
      <c r="R979" s="140"/>
      <c r="S979" s="148"/>
      <c r="T979" s="140"/>
      <c r="U979" s="175"/>
      <c r="V979" s="21"/>
    </row>
    <row r="980" spans="1:24" ht="16.5" hidden="1" customHeight="1" x14ac:dyDescent="0.25">
      <c r="A980" s="175"/>
      <c r="B980" s="175"/>
      <c r="C980" s="147"/>
      <c r="D980" s="147"/>
      <c r="E980" s="148"/>
      <c r="F980" s="149"/>
      <c r="G980" s="148"/>
      <c r="H980" s="148"/>
      <c r="I980" s="40"/>
      <c r="J980" s="103"/>
      <c r="K980" s="138"/>
      <c r="L980" s="138"/>
      <c r="M980" s="118"/>
      <c r="N980" s="138"/>
      <c r="O980" s="138"/>
      <c r="P980" s="150"/>
      <c r="Q980" s="138"/>
      <c r="R980" s="139"/>
      <c r="S980" s="175"/>
      <c r="T980" s="140"/>
      <c r="U980" s="175"/>
      <c r="V980" s="21"/>
    </row>
    <row r="981" spans="1:24" ht="16.5" hidden="1" customHeight="1" x14ac:dyDescent="0.25">
      <c r="A981" s="175"/>
      <c r="B981" s="175"/>
      <c r="C981" s="147"/>
      <c r="D981" s="147"/>
      <c r="E981" s="150"/>
      <c r="F981" s="155"/>
      <c r="G981" s="150"/>
      <c r="H981" s="150"/>
      <c r="I981" s="150"/>
      <c r="J981" s="103"/>
      <c r="K981" s="150"/>
      <c r="L981" s="138"/>
      <c r="M981" s="150"/>
      <c r="N981" s="150"/>
      <c r="O981" s="138"/>
      <c r="P981" s="150"/>
      <c r="Q981" s="138"/>
      <c r="R981" s="138"/>
      <c r="S981" s="150"/>
      <c r="T981" s="140"/>
      <c r="U981" s="175"/>
      <c r="V981" s="21"/>
    </row>
    <row r="982" spans="1:24" ht="16.5" hidden="1" customHeight="1" x14ac:dyDescent="0.25">
      <c r="A982" s="175"/>
      <c r="B982" s="175"/>
      <c r="C982" s="147"/>
      <c r="D982" s="147"/>
      <c r="E982" s="148"/>
      <c r="F982" s="149"/>
      <c r="G982" s="148"/>
      <c r="H982" s="148"/>
      <c r="I982" s="138"/>
      <c r="J982" s="103"/>
      <c r="K982" s="150"/>
      <c r="L982" s="138"/>
      <c r="M982" s="118"/>
      <c r="N982" s="150"/>
      <c r="O982" s="138"/>
      <c r="P982" s="150"/>
      <c r="Q982" s="138"/>
      <c r="R982" s="140"/>
      <c r="S982" s="148"/>
      <c r="T982" s="140"/>
      <c r="U982" s="175"/>
      <c r="V982" s="21"/>
    </row>
    <row r="983" spans="1:24" ht="16.5" hidden="1" customHeight="1" x14ac:dyDescent="0.25">
      <c r="A983" s="175"/>
      <c r="B983" s="175"/>
      <c r="C983" s="147"/>
      <c r="D983" s="141"/>
      <c r="E983" s="148"/>
      <c r="F983" s="149"/>
      <c r="G983" s="148"/>
      <c r="H983" s="148"/>
      <c r="I983" s="138"/>
      <c r="J983" s="103"/>
      <c r="K983" s="150"/>
      <c r="L983" s="138"/>
      <c r="M983" s="150"/>
      <c r="N983" s="150"/>
      <c r="O983" s="138"/>
      <c r="P983" s="150"/>
      <c r="Q983" s="138"/>
      <c r="R983" s="140"/>
      <c r="S983" s="148"/>
      <c r="T983" s="140"/>
      <c r="U983" s="175"/>
      <c r="V983" s="21"/>
    </row>
    <row r="984" spans="1:24" ht="16.5" hidden="1" customHeight="1" x14ac:dyDescent="0.25">
      <c r="A984" s="175"/>
      <c r="B984" s="175"/>
      <c r="C984" s="147"/>
      <c r="D984" s="141"/>
      <c r="E984" s="148"/>
      <c r="F984" s="149"/>
      <c r="G984" s="148"/>
      <c r="H984" s="148"/>
      <c r="I984" s="138"/>
      <c r="J984" s="157"/>
      <c r="K984" s="138"/>
      <c r="L984" s="138"/>
      <c r="M984" s="138"/>
      <c r="N984" s="138"/>
      <c r="O984" s="138"/>
      <c r="P984" s="150"/>
      <c r="Q984" s="138"/>
      <c r="R984" s="140"/>
      <c r="S984" s="175"/>
      <c r="T984" s="140"/>
      <c r="U984" s="175"/>
      <c r="V984" s="21"/>
    </row>
    <row r="985" spans="1:24" ht="16.5" hidden="1" customHeight="1" x14ac:dyDescent="0.25">
      <c r="A985" s="175"/>
      <c r="B985" s="175"/>
      <c r="C985" s="147"/>
      <c r="D985" s="141"/>
      <c r="E985" s="148"/>
      <c r="F985" s="149"/>
      <c r="G985" s="148"/>
      <c r="H985" s="148"/>
      <c r="I985" s="138"/>
      <c r="J985" s="157"/>
      <c r="K985" s="138"/>
      <c r="L985" s="138"/>
      <c r="M985" s="138"/>
      <c r="N985" s="138"/>
      <c r="O985" s="138"/>
      <c r="P985" s="150"/>
      <c r="Q985" s="138"/>
      <c r="R985" s="140"/>
      <c r="S985" s="175"/>
      <c r="T985" s="140"/>
      <c r="U985" s="175"/>
      <c r="V985" s="21"/>
    </row>
    <row r="986" spans="1:24" ht="16.5" hidden="1" customHeight="1" x14ac:dyDescent="0.25">
      <c r="A986" s="175"/>
      <c r="B986" s="175"/>
      <c r="C986" s="147"/>
      <c r="D986" s="141"/>
      <c r="E986" s="148"/>
      <c r="F986" s="149"/>
      <c r="G986" s="148"/>
      <c r="H986" s="148"/>
      <c r="I986" s="138"/>
      <c r="J986" s="103"/>
      <c r="K986" s="138"/>
      <c r="L986" s="138"/>
      <c r="M986" s="138"/>
      <c r="N986" s="138"/>
      <c r="O986" s="138"/>
      <c r="P986" s="150"/>
      <c r="Q986" s="138"/>
      <c r="R986" s="140"/>
      <c r="S986" s="175"/>
      <c r="T986" s="140"/>
      <c r="U986" s="175"/>
      <c r="V986" s="21"/>
    </row>
    <row r="987" spans="1:24" ht="16.5" hidden="1" customHeight="1" x14ac:dyDescent="0.25">
      <c r="A987" s="175"/>
      <c r="B987" s="175"/>
      <c r="C987" s="147"/>
      <c r="D987" s="141"/>
      <c r="E987" s="148"/>
      <c r="F987" s="149"/>
      <c r="G987" s="148"/>
      <c r="H987" s="148"/>
      <c r="I987" s="138"/>
      <c r="J987" s="103"/>
      <c r="K987" s="138"/>
      <c r="L987" s="138"/>
      <c r="M987" s="138"/>
      <c r="N987" s="138"/>
      <c r="O987" s="138"/>
      <c r="P987" s="150"/>
      <c r="Q987" s="138"/>
      <c r="R987" s="140"/>
      <c r="S987" s="175"/>
      <c r="T987" s="140"/>
      <c r="U987" s="175"/>
      <c r="V987" s="21"/>
    </row>
    <row r="988" spans="1:24" s="2" customFormat="1" ht="16.5" hidden="1" customHeight="1" x14ac:dyDescent="0.25">
      <c r="A988" s="175"/>
      <c r="B988" s="175"/>
      <c r="C988" s="147"/>
      <c r="D988" s="141"/>
      <c r="E988" s="148"/>
      <c r="F988" s="149"/>
      <c r="G988" s="148"/>
      <c r="H988" s="148"/>
      <c r="I988" s="138"/>
      <c r="J988" s="103"/>
      <c r="K988" s="138"/>
      <c r="L988" s="138"/>
      <c r="M988" s="138"/>
      <c r="N988" s="138"/>
      <c r="O988" s="138"/>
      <c r="P988" s="150"/>
      <c r="Q988" s="138"/>
      <c r="R988" s="140"/>
      <c r="S988" s="175"/>
      <c r="T988" s="140"/>
      <c r="U988" s="175"/>
      <c r="V988" s="21"/>
      <c r="W988" s="8"/>
      <c r="X988" s="1"/>
    </row>
    <row r="989" spans="1:24" ht="16.5" hidden="1" customHeight="1" x14ac:dyDescent="0.25">
      <c r="A989" s="175"/>
      <c r="B989" s="175"/>
      <c r="C989" s="147"/>
      <c r="D989" s="141"/>
      <c r="E989" s="148"/>
      <c r="F989" s="149"/>
      <c r="G989" s="148"/>
      <c r="H989" s="148"/>
      <c r="I989" s="175"/>
      <c r="J989" s="103"/>
      <c r="K989" s="175"/>
      <c r="L989" s="175"/>
      <c r="M989" s="138"/>
      <c r="N989" s="175"/>
      <c r="O989" s="175"/>
      <c r="P989" s="150"/>
      <c r="Q989" s="175"/>
      <c r="R989" s="140"/>
      <c r="S989" s="175"/>
      <c r="T989" s="140"/>
      <c r="U989" s="175"/>
      <c r="V989" s="21"/>
      <c r="W989" s="8"/>
    </row>
    <row r="990" spans="1:24" ht="16.5" hidden="1" customHeight="1" x14ac:dyDescent="0.25">
      <c r="A990" s="175"/>
      <c r="B990" s="175"/>
      <c r="C990" s="147"/>
      <c r="D990" s="141"/>
      <c r="E990" s="148"/>
      <c r="F990" s="149"/>
      <c r="G990" s="148"/>
      <c r="H990" s="148"/>
      <c r="I990" s="175"/>
      <c r="J990" s="103"/>
      <c r="K990" s="138"/>
      <c r="L990" s="138"/>
      <c r="M990" s="138"/>
      <c r="N990" s="138"/>
      <c r="O990" s="138"/>
      <c r="P990" s="150"/>
      <c r="Q990" s="138"/>
      <c r="R990" s="140"/>
      <c r="S990" s="175"/>
      <c r="T990" s="140"/>
      <c r="U990" s="175"/>
      <c r="V990" s="21"/>
      <c r="W990" s="8"/>
    </row>
    <row r="991" spans="1:24" ht="16.5" hidden="1" customHeight="1" x14ac:dyDescent="0.25">
      <c r="A991" s="175"/>
      <c r="B991" s="175"/>
      <c r="C991" s="147"/>
      <c r="D991" s="141"/>
      <c r="E991" s="148"/>
      <c r="F991" s="149"/>
      <c r="G991" s="148"/>
      <c r="H991" s="148"/>
      <c r="I991" s="175"/>
      <c r="J991" s="103"/>
      <c r="K991" s="138"/>
      <c r="L991" s="175"/>
      <c r="M991" s="138"/>
      <c r="N991" s="175"/>
      <c r="O991" s="175"/>
      <c r="P991" s="150"/>
      <c r="Q991" s="175"/>
      <c r="R991" s="140"/>
      <c r="S991" s="175"/>
      <c r="T991" s="140"/>
      <c r="U991" s="175"/>
      <c r="V991" s="21"/>
      <c r="W991" s="8"/>
    </row>
    <row r="992" spans="1:24" ht="16.5" hidden="1" customHeight="1" x14ac:dyDescent="0.25">
      <c r="A992" s="175"/>
      <c r="B992" s="175"/>
      <c r="C992" s="147"/>
      <c r="D992" s="147"/>
      <c r="E992" s="148"/>
      <c r="F992" s="149"/>
      <c r="G992" s="148"/>
      <c r="H992" s="148"/>
      <c r="I992" s="150"/>
      <c r="J992" s="157"/>
      <c r="K992" s="138"/>
      <c r="L992" s="154"/>
      <c r="M992" s="150"/>
      <c r="N992" s="150"/>
      <c r="O992" s="151"/>
      <c r="P992" s="150"/>
      <c r="Q992" s="150"/>
      <c r="R992" s="144"/>
      <c r="S992" s="150"/>
      <c r="T992" s="138"/>
      <c r="U992" s="175"/>
      <c r="V992" s="21"/>
    </row>
    <row r="993" spans="1:22" ht="16.5" hidden="1" customHeight="1" x14ac:dyDescent="0.25">
      <c r="A993" s="175"/>
      <c r="B993" s="175"/>
      <c r="C993" s="147"/>
      <c r="D993" s="147"/>
      <c r="E993" s="148"/>
      <c r="F993" s="149"/>
      <c r="G993" s="148"/>
      <c r="H993" s="148"/>
      <c r="I993" s="150"/>
      <c r="J993" s="157"/>
      <c r="K993" s="150"/>
      <c r="L993" s="154"/>
      <c r="M993" s="150"/>
      <c r="N993" s="150"/>
      <c r="O993" s="151"/>
      <c r="P993" s="150"/>
      <c r="Q993" s="150"/>
      <c r="R993" s="144"/>
      <c r="S993" s="150"/>
      <c r="T993" s="138"/>
      <c r="U993" s="175"/>
      <c r="V993" s="21"/>
    </row>
    <row r="994" spans="1:22" ht="16.5" hidden="1" customHeight="1" x14ac:dyDescent="0.25">
      <c r="A994" s="175"/>
      <c r="B994" s="175"/>
      <c r="C994" s="147"/>
      <c r="D994" s="147"/>
      <c r="E994" s="148"/>
      <c r="F994" s="149"/>
      <c r="G994" s="148"/>
      <c r="H994" s="148"/>
      <c r="I994" s="150"/>
      <c r="J994" s="157"/>
      <c r="K994" s="138"/>
      <c r="L994" s="154"/>
      <c r="M994" s="150"/>
      <c r="N994" s="138"/>
      <c r="O994" s="151"/>
      <c r="P994" s="150"/>
      <c r="Q994" s="138"/>
      <c r="R994" s="144"/>
      <c r="S994" s="150"/>
      <c r="T994" s="138"/>
      <c r="U994" s="175"/>
      <c r="V994" s="21"/>
    </row>
    <row r="995" spans="1:22" ht="16.5" hidden="1" customHeight="1" x14ac:dyDescent="0.25">
      <c r="A995" s="175"/>
      <c r="B995" s="175"/>
      <c r="C995" s="147"/>
      <c r="D995" s="147"/>
      <c r="E995" s="148"/>
      <c r="F995" s="149"/>
      <c r="G995" s="148"/>
      <c r="H995" s="148"/>
      <c r="I995" s="150"/>
      <c r="J995" s="157"/>
      <c r="K995" s="150"/>
      <c r="L995" s="150"/>
      <c r="M995" s="150"/>
      <c r="N995" s="150"/>
      <c r="O995" s="138"/>
      <c r="P995" s="150"/>
      <c r="Q995" s="138"/>
      <c r="R995" s="144"/>
      <c r="S995" s="150"/>
      <c r="T995" s="138"/>
      <c r="U995" s="175"/>
      <c r="V995" s="21"/>
    </row>
    <row r="996" spans="1:22" ht="16.5" hidden="1" customHeight="1" x14ac:dyDescent="0.25">
      <c r="A996" s="175"/>
      <c r="B996" s="175"/>
      <c r="C996" s="147"/>
      <c r="D996" s="147"/>
      <c r="E996" s="148"/>
      <c r="F996" s="149"/>
      <c r="G996" s="148"/>
      <c r="H996" s="148"/>
      <c r="I996" s="150"/>
      <c r="J996" s="157"/>
      <c r="K996" s="150"/>
      <c r="L996" s="138"/>
      <c r="M996" s="150"/>
      <c r="N996" s="150"/>
      <c r="O996" s="138"/>
      <c r="P996" s="150"/>
      <c r="Q996" s="138"/>
      <c r="R996" s="144"/>
      <c r="S996" s="150"/>
      <c r="T996" s="138"/>
      <c r="U996" s="175"/>
      <c r="V996" s="21"/>
    </row>
    <row r="997" spans="1:22" ht="16.5" hidden="1" customHeight="1" x14ac:dyDescent="0.25">
      <c r="A997" s="175"/>
      <c r="B997" s="175"/>
      <c r="C997" s="147"/>
      <c r="D997" s="147"/>
      <c r="E997" s="148"/>
      <c r="F997" s="149"/>
      <c r="G997" s="148"/>
      <c r="H997" s="148"/>
      <c r="I997" s="32"/>
      <c r="J997" s="157"/>
      <c r="K997" s="150"/>
      <c r="L997" s="138"/>
      <c r="M997" s="150"/>
      <c r="N997" s="150"/>
      <c r="O997" s="138"/>
      <c r="P997" s="150"/>
      <c r="Q997" s="138"/>
      <c r="R997" s="144"/>
      <c r="S997" s="150"/>
      <c r="T997" s="138"/>
      <c r="U997" s="175"/>
      <c r="V997" s="21"/>
    </row>
    <row r="998" spans="1:22" ht="16.5" hidden="1" customHeight="1" x14ac:dyDescent="0.25">
      <c r="A998" s="175"/>
      <c r="B998" s="175"/>
      <c r="C998" s="147"/>
      <c r="D998" s="147"/>
      <c r="E998" s="148"/>
      <c r="F998" s="149"/>
      <c r="G998" s="148"/>
      <c r="H998" s="148"/>
      <c r="I998" s="138"/>
      <c r="J998" s="103"/>
      <c r="K998" s="138"/>
      <c r="L998" s="138"/>
      <c r="M998" s="150"/>
      <c r="N998" s="138"/>
      <c r="O998" s="138"/>
      <c r="P998" s="150"/>
      <c r="Q998" s="138"/>
      <c r="R998" s="140"/>
      <c r="S998" s="148"/>
      <c r="T998" s="140"/>
      <c r="U998" s="175"/>
      <c r="V998" s="21"/>
    </row>
    <row r="999" spans="1:22" ht="16.5" hidden="1" customHeight="1" x14ac:dyDescent="0.25">
      <c r="A999" s="175"/>
      <c r="B999" s="175"/>
      <c r="C999" s="147"/>
      <c r="D999" s="147"/>
      <c r="E999" s="148"/>
      <c r="F999" s="149"/>
      <c r="G999" s="148"/>
      <c r="H999" s="148"/>
      <c r="I999" s="40"/>
      <c r="J999" s="157"/>
      <c r="K999" s="138"/>
      <c r="L999" s="138"/>
      <c r="M999" s="150"/>
      <c r="N999" s="138"/>
      <c r="O999" s="138"/>
      <c r="P999" s="150"/>
      <c r="Q999" s="138"/>
      <c r="R999" s="139"/>
      <c r="S999" s="175"/>
      <c r="T999" s="140"/>
      <c r="U999" s="175"/>
      <c r="V999" s="21"/>
    </row>
    <row r="1000" spans="1:22" ht="16.5" hidden="1" customHeight="1" x14ac:dyDescent="0.25">
      <c r="A1000" s="175"/>
      <c r="B1000" s="175"/>
      <c r="C1000" s="147"/>
      <c r="D1000" s="147"/>
      <c r="E1000" s="148"/>
      <c r="F1000" s="149"/>
      <c r="G1000" s="148"/>
      <c r="H1000" s="148"/>
      <c r="I1000" s="138"/>
      <c r="J1000" s="157"/>
      <c r="K1000" s="150"/>
      <c r="L1000" s="138"/>
      <c r="M1000" s="150"/>
      <c r="N1000" s="150"/>
      <c r="O1000" s="138"/>
      <c r="P1000" s="150"/>
      <c r="Q1000" s="138"/>
      <c r="R1000" s="140"/>
      <c r="S1000" s="148"/>
      <c r="T1000" s="140"/>
      <c r="U1000" s="175"/>
      <c r="V1000" s="21"/>
    </row>
    <row r="1001" spans="1:22" ht="16.5" hidden="1" customHeight="1" x14ac:dyDescent="0.25">
      <c r="A1001" s="175"/>
      <c r="B1001" s="175"/>
      <c r="C1001" s="147"/>
      <c r="D1001" s="147"/>
      <c r="E1001" s="148"/>
      <c r="F1001" s="149"/>
      <c r="G1001" s="148"/>
      <c r="H1001" s="148"/>
      <c r="I1001" s="138"/>
      <c r="J1001" s="103"/>
      <c r="K1001" s="138"/>
      <c r="L1001" s="138"/>
      <c r="M1001" s="150"/>
      <c r="N1001" s="138"/>
      <c r="O1001" s="138"/>
      <c r="P1001" s="150"/>
      <c r="Q1001" s="138"/>
      <c r="R1001" s="144"/>
      <c r="S1001" s="150"/>
      <c r="T1001" s="140"/>
      <c r="U1001" s="175"/>
      <c r="V1001" s="21"/>
    </row>
    <row r="1002" spans="1:22" ht="16.5" hidden="1" customHeight="1" x14ac:dyDescent="0.25">
      <c r="A1002" s="175"/>
      <c r="B1002" s="175"/>
      <c r="C1002" s="147"/>
      <c r="D1002" s="147"/>
      <c r="E1002" s="148"/>
      <c r="F1002" s="149"/>
      <c r="G1002" s="189"/>
      <c r="H1002" s="148"/>
      <c r="I1002" s="138"/>
      <c r="J1002" s="103"/>
      <c r="K1002" s="138"/>
      <c r="L1002" s="138"/>
      <c r="M1002" s="150"/>
      <c r="N1002" s="138"/>
      <c r="O1002" s="138"/>
      <c r="P1002" s="150"/>
      <c r="Q1002" s="138"/>
      <c r="R1002" s="144"/>
      <c r="S1002" s="150"/>
      <c r="T1002" s="140"/>
      <c r="U1002" s="175"/>
      <c r="V1002" s="21"/>
    </row>
    <row r="1003" spans="1:22" ht="16.5" hidden="1" customHeight="1" x14ac:dyDescent="0.25">
      <c r="A1003" s="175"/>
      <c r="B1003" s="175"/>
      <c r="C1003" s="147"/>
      <c r="D1003" s="147"/>
      <c r="E1003" s="148"/>
      <c r="F1003" s="149"/>
      <c r="G1003" s="148"/>
      <c r="H1003" s="148"/>
      <c r="I1003" s="138"/>
      <c r="J1003" s="157"/>
      <c r="K1003" s="138"/>
      <c r="L1003" s="138"/>
      <c r="M1003" s="138"/>
      <c r="N1003" s="138"/>
      <c r="O1003" s="138"/>
      <c r="P1003" s="150"/>
      <c r="Q1003" s="138"/>
      <c r="R1003" s="144"/>
      <c r="S1003" s="150"/>
      <c r="T1003" s="140"/>
      <c r="U1003" s="175"/>
      <c r="V1003" s="21"/>
    </row>
    <row r="1004" spans="1:22" ht="16.5" hidden="1" customHeight="1" x14ac:dyDescent="0.25">
      <c r="A1004" s="175"/>
      <c r="B1004" s="175"/>
      <c r="C1004" s="147"/>
      <c r="D1004" s="147"/>
      <c r="E1004" s="148"/>
      <c r="F1004" s="149"/>
      <c r="G1004" s="156"/>
      <c r="H1004" s="148"/>
      <c r="I1004" s="148"/>
      <c r="J1004" s="157"/>
      <c r="K1004" s="138"/>
      <c r="L1004" s="118"/>
      <c r="M1004" s="150"/>
      <c r="N1004" s="150"/>
      <c r="O1004" s="151"/>
      <c r="P1004" s="150"/>
      <c r="Q1004" s="150"/>
      <c r="R1004" s="139"/>
      <c r="S1004" s="148"/>
      <c r="T1004" s="140"/>
      <c r="U1004" s="175"/>
      <c r="V1004" s="21"/>
    </row>
    <row r="1005" spans="1:22" ht="16.5" hidden="1" customHeight="1" x14ac:dyDescent="0.25">
      <c r="A1005" s="175"/>
      <c r="B1005" s="175"/>
      <c r="C1005" s="147"/>
      <c r="D1005" s="147"/>
      <c r="E1005" s="148"/>
      <c r="F1005" s="153"/>
      <c r="G1005" s="148"/>
      <c r="H1005" s="148"/>
      <c r="I1005" s="148"/>
      <c r="J1005" s="157"/>
      <c r="K1005" s="150"/>
      <c r="L1005" s="118"/>
      <c r="M1005" s="150"/>
      <c r="N1005" s="150"/>
      <c r="O1005" s="151"/>
      <c r="P1005" s="150"/>
      <c r="Q1005" s="150"/>
      <c r="R1005" s="139"/>
      <c r="S1005" s="148"/>
      <c r="T1005" s="140"/>
      <c r="U1005" s="175"/>
      <c r="V1005" s="21"/>
    </row>
    <row r="1006" spans="1:22" ht="16.5" hidden="1" customHeight="1" x14ac:dyDescent="0.25">
      <c r="A1006" s="175"/>
      <c r="B1006" s="175"/>
      <c r="C1006" s="147"/>
      <c r="D1006" s="147"/>
      <c r="E1006" s="148"/>
      <c r="F1006" s="149"/>
      <c r="G1006" s="148"/>
      <c r="H1006" s="148"/>
      <c r="I1006" s="148"/>
      <c r="J1006" s="157"/>
      <c r="K1006" s="138"/>
      <c r="L1006" s="118"/>
      <c r="M1006" s="150"/>
      <c r="N1006" s="150"/>
      <c r="O1006" s="151"/>
      <c r="P1006" s="150"/>
      <c r="Q1006" s="150"/>
      <c r="R1006" s="139"/>
      <c r="S1006" s="148"/>
      <c r="T1006" s="140"/>
      <c r="U1006" s="140"/>
      <c r="V1006" s="21"/>
    </row>
    <row r="1007" spans="1:22" ht="16.5" hidden="1" customHeight="1" x14ac:dyDescent="0.25">
      <c r="A1007" s="175"/>
      <c r="B1007" s="175"/>
      <c r="C1007" s="147"/>
      <c r="D1007" s="147"/>
      <c r="E1007" s="148"/>
      <c r="F1007" s="149"/>
      <c r="G1007" s="148"/>
      <c r="H1007" s="148"/>
      <c r="I1007" s="148"/>
      <c r="J1007" s="157"/>
      <c r="K1007" s="138"/>
      <c r="L1007" s="118"/>
      <c r="M1007" s="150"/>
      <c r="N1007" s="150"/>
      <c r="O1007" s="151"/>
      <c r="P1007" s="150"/>
      <c r="Q1007" s="150"/>
      <c r="R1007" s="139"/>
      <c r="S1007" s="148"/>
      <c r="T1007" s="140"/>
      <c r="U1007" s="140"/>
      <c r="V1007" s="21"/>
    </row>
    <row r="1008" spans="1:22" ht="16.5" hidden="1" customHeight="1" x14ac:dyDescent="0.25">
      <c r="A1008" s="175"/>
      <c r="B1008" s="175"/>
      <c r="C1008" s="147"/>
      <c r="D1008" s="147"/>
      <c r="E1008" s="148"/>
      <c r="F1008" s="149"/>
      <c r="G1008" s="148"/>
      <c r="H1008" s="148"/>
      <c r="I1008" s="148"/>
      <c r="J1008" s="157"/>
      <c r="K1008" s="138"/>
      <c r="L1008" s="118"/>
      <c r="M1008" s="150"/>
      <c r="N1008" s="150"/>
      <c r="O1008" s="138"/>
      <c r="P1008" s="150"/>
      <c r="Q1008" s="138"/>
      <c r="R1008" s="139"/>
      <c r="S1008" s="148"/>
      <c r="T1008" s="140"/>
      <c r="U1008" s="175"/>
      <c r="V1008" s="21"/>
    </row>
    <row r="1009" spans="1:22" ht="16.5" hidden="1" customHeight="1" x14ac:dyDescent="0.25">
      <c r="A1009" s="175"/>
      <c r="B1009" s="175"/>
      <c r="C1009" s="147"/>
      <c r="D1009" s="147"/>
      <c r="E1009" s="148"/>
      <c r="F1009" s="149"/>
      <c r="G1009" s="148"/>
      <c r="H1009" s="148"/>
      <c r="I1009" s="148"/>
      <c r="J1009" s="157"/>
      <c r="K1009" s="150"/>
      <c r="L1009" s="118"/>
      <c r="M1009" s="150"/>
      <c r="N1009" s="150"/>
      <c r="O1009" s="151"/>
      <c r="P1009" s="150"/>
      <c r="Q1009" s="138"/>
      <c r="R1009" s="139"/>
      <c r="S1009" s="148"/>
      <c r="T1009" s="140"/>
      <c r="U1009" s="175"/>
      <c r="V1009" s="21"/>
    </row>
    <row r="1010" spans="1:22" ht="16.5" hidden="1" customHeight="1" x14ac:dyDescent="0.25">
      <c r="A1010" s="175"/>
      <c r="B1010" s="175"/>
      <c r="C1010" s="147"/>
      <c r="D1010" s="147"/>
      <c r="E1010" s="148"/>
      <c r="F1010" s="149"/>
      <c r="G1010" s="148"/>
      <c r="H1010" s="148"/>
      <c r="I1010" s="156"/>
      <c r="J1010" s="157"/>
      <c r="K1010" s="150"/>
      <c r="L1010" s="118"/>
      <c r="M1010" s="150"/>
      <c r="N1010" s="150"/>
      <c r="O1010" s="138"/>
      <c r="P1010" s="150"/>
      <c r="Q1010" s="138"/>
      <c r="R1010" s="139"/>
      <c r="S1010" s="148"/>
      <c r="T1010" s="140"/>
      <c r="U1010" s="175"/>
      <c r="V1010" s="21"/>
    </row>
    <row r="1011" spans="1:22" ht="16.5" hidden="1" customHeight="1" x14ac:dyDescent="0.25">
      <c r="A1011" s="175"/>
      <c r="B1011" s="175"/>
      <c r="C1011" s="147"/>
      <c r="D1011" s="147"/>
      <c r="E1011" s="148"/>
      <c r="F1011" s="149"/>
      <c r="G1011" s="148"/>
      <c r="H1011" s="148"/>
      <c r="I1011" s="138"/>
      <c r="J1011" s="157"/>
      <c r="K1011" s="150"/>
      <c r="L1011" s="150"/>
      <c r="M1011" s="150"/>
      <c r="N1011" s="150"/>
      <c r="O1011" s="138"/>
      <c r="P1011" s="150"/>
      <c r="Q1011" s="138"/>
      <c r="R1011" s="139"/>
      <c r="S1011" s="148"/>
      <c r="T1011" s="140"/>
      <c r="U1011" s="175"/>
      <c r="V1011" s="21"/>
    </row>
    <row r="1012" spans="1:22" ht="16.5" hidden="1" customHeight="1" x14ac:dyDescent="0.25">
      <c r="A1012" s="175"/>
      <c r="B1012" s="175"/>
      <c r="C1012" s="147"/>
      <c r="D1012" s="147"/>
      <c r="E1012" s="148"/>
      <c r="F1012" s="149"/>
      <c r="G1012" s="148"/>
      <c r="H1012" s="148"/>
      <c r="I1012" s="138"/>
      <c r="J1012" s="157"/>
      <c r="K1012" s="150"/>
      <c r="L1012" s="138"/>
      <c r="M1012" s="150"/>
      <c r="N1012" s="150"/>
      <c r="O1012" s="138"/>
      <c r="P1012" s="150"/>
      <c r="Q1012" s="138"/>
      <c r="R1012" s="139"/>
      <c r="S1012" s="148"/>
      <c r="T1012" s="140"/>
      <c r="U1012" s="175"/>
      <c r="V1012" s="21"/>
    </row>
    <row r="1013" spans="1:22" ht="16.5" hidden="1" customHeight="1" x14ac:dyDescent="0.25">
      <c r="A1013" s="175"/>
      <c r="B1013" s="175"/>
      <c r="C1013" s="147"/>
      <c r="D1013" s="147"/>
      <c r="E1013" s="148"/>
      <c r="F1013" s="149"/>
      <c r="G1013" s="148"/>
      <c r="H1013" s="148"/>
      <c r="I1013" s="138"/>
      <c r="J1013" s="157"/>
      <c r="K1013" s="150"/>
      <c r="L1013" s="138"/>
      <c r="M1013" s="150"/>
      <c r="N1013" s="150"/>
      <c r="O1013" s="138"/>
      <c r="P1013" s="150"/>
      <c r="Q1013" s="138"/>
      <c r="R1013" s="139"/>
      <c r="S1013" s="148"/>
      <c r="T1013" s="140"/>
      <c r="U1013" s="175"/>
      <c r="V1013" s="21"/>
    </row>
    <row r="1014" spans="1:22" ht="16.5" hidden="1" customHeight="1" x14ac:dyDescent="0.25">
      <c r="A1014" s="175"/>
      <c r="B1014" s="175"/>
      <c r="C1014" s="147"/>
      <c r="D1014" s="147"/>
      <c r="E1014" s="148"/>
      <c r="F1014" s="149"/>
      <c r="G1014" s="148"/>
      <c r="H1014" s="148"/>
      <c r="I1014" s="138"/>
      <c r="J1014" s="103"/>
      <c r="K1014" s="150"/>
      <c r="L1014" s="138"/>
      <c r="M1014" s="150"/>
      <c r="N1014" s="150"/>
      <c r="O1014" s="138"/>
      <c r="P1014" s="150"/>
      <c r="Q1014" s="138"/>
      <c r="R1014" s="139"/>
      <c r="S1014" s="148"/>
      <c r="T1014" s="140"/>
      <c r="U1014" s="175"/>
      <c r="V1014" s="21"/>
    </row>
    <row r="1015" spans="1:22" ht="16.5" hidden="1" customHeight="1" x14ac:dyDescent="0.25">
      <c r="A1015" s="175"/>
      <c r="B1015" s="175"/>
      <c r="C1015" s="147"/>
      <c r="D1015" s="147"/>
      <c r="E1015" s="148"/>
      <c r="F1015" s="149"/>
      <c r="G1015" s="148"/>
      <c r="H1015" s="148"/>
      <c r="I1015" s="40"/>
      <c r="J1015" s="157"/>
      <c r="K1015" s="150"/>
      <c r="L1015" s="138"/>
      <c r="M1015" s="150"/>
      <c r="N1015" s="138"/>
      <c r="O1015" s="138"/>
      <c r="P1015" s="150"/>
      <c r="Q1015" s="138"/>
      <c r="R1015" s="139"/>
      <c r="S1015" s="175"/>
      <c r="T1015" s="140"/>
      <c r="U1015" s="175"/>
      <c r="V1015" s="21"/>
    </row>
    <row r="1016" spans="1:22" ht="16.5" hidden="1" customHeight="1" x14ac:dyDescent="0.25">
      <c r="A1016" s="175"/>
      <c r="B1016" s="175"/>
      <c r="C1016" s="147"/>
      <c r="D1016" s="147"/>
      <c r="E1016" s="148"/>
      <c r="F1016" s="149"/>
      <c r="G1016" s="148"/>
      <c r="H1016" s="148"/>
      <c r="I1016" s="138"/>
      <c r="J1016" s="157"/>
      <c r="K1016" s="150"/>
      <c r="L1016" s="138"/>
      <c r="M1016" s="150"/>
      <c r="N1016" s="150"/>
      <c r="O1016" s="138"/>
      <c r="P1016" s="150"/>
      <c r="Q1016" s="138"/>
      <c r="R1016" s="139"/>
      <c r="S1016" s="148"/>
      <c r="T1016" s="140"/>
      <c r="U1016" s="175"/>
      <c r="V1016" s="21"/>
    </row>
    <row r="1017" spans="1:22" ht="16.5" hidden="1" customHeight="1" x14ac:dyDescent="0.25">
      <c r="A1017" s="175"/>
      <c r="B1017" s="175"/>
      <c r="C1017" s="147"/>
      <c r="D1017" s="147"/>
      <c r="E1017" s="148"/>
      <c r="F1017" s="149"/>
      <c r="G1017" s="148"/>
      <c r="H1017" s="148"/>
      <c r="I1017" s="148"/>
      <c r="J1017" s="157"/>
      <c r="K1017" s="138"/>
      <c r="L1017" s="118"/>
      <c r="M1017" s="118"/>
      <c r="N1017" s="150"/>
      <c r="O1017" s="151"/>
      <c r="P1017" s="150"/>
      <c r="Q1017" s="150"/>
      <c r="R1017" s="139"/>
      <c r="S1017" s="148"/>
      <c r="T1017" s="140"/>
      <c r="U1017" s="175"/>
      <c r="V1017" s="21"/>
    </row>
    <row r="1018" spans="1:22" ht="16.5" hidden="1" customHeight="1" x14ac:dyDescent="0.25">
      <c r="A1018" s="175"/>
      <c r="B1018" s="175"/>
      <c r="C1018" s="147"/>
      <c r="D1018" s="147"/>
      <c r="E1018" s="148"/>
      <c r="F1018" s="149"/>
      <c r="G1018" s="148"/>
      <c r="H1018" s="148"/>
      <c r="I1018" s="148"/>
      <c r="J1018" s="157"/>
      <c r="K1018" s="150"/>
      <c r="L1018" s="118"/>
      <c r="M1018" s="150"/>
      <c r="N1018" s="150"/>
      <c r="O1018" s="151"/>
      <c r="P1018" s="150"/>
      <c r="Q1018" s="150"/>
      <c r="R1018" s="139"/>
      <c r="S1018" s="148"/>
      <c r="T1018" s="140"/>
      <c r="U1018" s="175"/>
      <c r="V1018" s="21"/>
    </row>
    <row r="1019" spans="1:22" ht="16.5" hidden="1" customHeight="1" x14ac:dyDescent="0.25">
      <c r="A1019" s="175"/>
      <c r="B1019" s="175"/>
      <c r="C1019" s="147"/>
      <c r="D1019" s="147"/>
      <c r="E1019" s="148"/>
      <c r="F1019" s="149"/>
      <c r="G1019" s="148"/>
      <c r="H1019" s="148"/>
      <c r="I1019" s="156"/>
      <c r="J1019" s="157"/>
      <c r="K1019" s="150"/>
      <c r="L1019" s="118"/>
      <c r="M1019" s="150"/>
      <c r="N1019" s="150"/>
      <c r="O1019" s="151"/>
      <c r="P1019" s="150"/>
      <c r="Q1019" s="150"/>
      <c r="R1019" s="139"/>
      <c r="S1019" s="148"/>
      <c r="T1019" s="140"/>
      <c r="U1019" s="175"/>
      <c r="V1019" s="21"/>
    </row>
    <row r="1020" spans="1:22" ht="16.5" hidden="1" customHeight="1" x14ac:dyDescent="0.25">
      <c r="A1020" s="175"/>
      <c r="B1020" s="175"/>
      <c r="C1020" s="147"/>
      <c r="D1020" s="147"/>
      <c r="E1020" s="148"/>
      <c r="F1020" s="149"/>
      <c r="G1020" s="148"/>
      <c r="H1020" s="148"/>
      <c r="I1020" s="148"/>
      <c r="J1020" s="157"/>
      <c r="K1020" s="138"/>
      <c r="L1020" s="118"/>
      <c r="M1020" s="150"/>
      <c r="N1020" s="150"/>
      <c r="O1020" s="151"/>
      <c r="P1020" s="150"/>
      <c r="Q1020" s="150"/>
      <c r="R1020" s="139"/>
      <c r="S1020" s="148"/>
      <c r="T1020" s="140"/>
      <c r="U1020" s="175"/>
      <c r="V1020" s="21"/>
    </row>
    <row r="1021" spans="1:22" ht="16.5" hidden="1" customHeight="1" x14ac:dyDescent="0.25">
      <c r="A1021" s="175"/>
      <c r="B1021" s="175"/>
      <c r="C1021" s="147"/>
      <c r="D1021" s="147"/>
      <c r="E1021" s="148"/>
      <c r="F1021" s="149"/>
      <c r="G1021" s="148"/>
      <c r="H1021" s="148"/>
      <c r="I1021" s="148"/>
      <c r="J1021" s="157"/>
      <c r="K1021" s="150"/>
      <c r="L1021" s="118"/>
      <c r="M1021" s="118"/>
      <c r="N1021" s="150"/>
      <c r="O1021" s="151"/>
      <c r="P1021" s="150"/>
      <c r="Q1021" s="150"/>
      <c r="R1021" s="139"/>
      <c r="S1021" s="148"/>
      <c r="T1021" s="140"/>
      <c r="U1021" s="175"/>
      <c r="V1021" s="21"/>
    </row>
    <row r="1022" spans="1:22" ht="16.5" hidden="1" customHeight="1" x14ac:dyDescent="0.25">
      <c r="A1022" s="175"/>
      <c r="B1022" s="175"/>
      <c r="C1022" s="147"/>
      <c r="D1022" s="147"/>
      <c r="E1022" s="148"/>
      <c r="F1022" s="149"/>
      <c r="G1022" s="148"/>
      <c r="H1022" s="148"/>
      <c r="I1022" s="148"/>
      <c r="J1022" s="157"/>
      <c r="K1022" s="150"/>
      <c r="L1022" s="118"/>
      <c r="M1022" s="150"/>
      <c r="N1022" s="150"/>
      <c r="O1022" s="151"/>
      <c r="P1022" s="150"/>
      <c r="Q1022" s="150"/>
      <c r="R1022" s="139"/>
      <c r="S1022" s="148"/>
      <c r="T1022" s="140"/>
      <c r="U1022" s="175"/>
      <c r="V1022" s="21"/>
    </row>
    <row r="1023" spans="1:22" ht="16.5" hidden="1" customHeight="1" x14ac:dyDescent="0.25">
      <c r="A1023" s="175"/>
      <c r="B1023" s="175"/>
      <c r="C1023" s="147"/>
      <c r="D1023" s="147"/>
      <c r="E1023" s="148"/>
      <c r="F1023" s="149"/>
      <c r="G1023" s="148"/>
      <c r="H1023" s="148"/>
      <c r="I1023" s="32"/>
      <c r="J1023" s="157"/>
      <c r="K1023" s="150"/>
      <c r="L1023" s="150"/>
      <c r="M1023" s="150"/>
      <c r="N1023" s="150"/>
      <c r="O1023" s="138"/>
      <c r="P1023" s="150"/>
      <c r="Q1023" s="138"/>
      <c r="R1023" s="139"/>
      <c r="S1023" s="148"/>
      <c r="T1023" s="140"/>
      <c r="U1023" s="175"/>
      <c r="V1023" s="21"/>
    </row>
    <row r="1024" spans="1:22" ht="16.5" hidden="1" customHeight="1" x14ac:dyDescent="0.25">
      <c r="A1024" s="175"/>
      <c r="B1024" s="175"/>
      <c r="C1024" s="147"/>
      <c r="D1024" s="147"/>
      <c r="E1024" s="148"/>
      <c r="F1024" s="149"/>
      <c r="G1024" s="148"/>
      <c r="H1024" s="148"/>
      <c r="I1024" s="32"/>
      <c r="J1024" s="157"/>
      <c r="K1024" s="150"/>
      <c r="L1024" s="138"/>
      <c r="M1024" s="150"/>
      <c r="N1024" s="150"/>
      <c r="O1024" s="144"/>
      <c r="P1024" s="150"/>
      <c r="Q1024" s="138"/>
      <c r="R1024" s="139"/>
      <c r="S1024" s="148"/>
      <c r="T1024" s="140"/>
      <c r="U1024" s="175"/>
      <c r="V1024" s="21"/>
    </row>
    <row r="1025" spans="1:22" ht="16.5" hidden="1" customHeight="1" x14ac:dyDescent="0.25">
      <c r="A1025" s="175"/>
      <c r="B1025" s="175"/>
      <c r="C1025" s="147"/>
      <c r="D1025" s="147"/>
      <c r="E1025" s="148"/>
      <c r="F1025" s="149"/>
      <c r="G1025" s="148"/>
      <c r="H1025" s="148"/>
      <c r="I1025" s="32"/>
      <c r="J1025" s="157"/>
      <c r="K1025" s="150"/>
      <c r="L1025" s="138"/>
      <c r="M1025" s="150"/>
      <c r="N1025" s="150"/>
      <c r="O1025" s="138"/>
      <c r="P1025" s="150"/>
      <c r="Q1025" s="138"/>
      <c r="R1025" s="139"/>
      <c r="S1025" s="148"/>
      <c r="T1025" s="140"/>
      <c r="U1025" s="175"/>
      <c r="V1025" s="21"/>
    </row>
    <row r="1026" spans="1:22" ht="16.5" hidden="1" customHeight="1" x14ac:dyDescent="0.25">
      <c r="A1026" s="175"/>
      <c r="B1026" s="175"/>
      <c r="C1026" s="147"/>
      <c r="D1026" s="147"/>
      <c r="E1026" s="148"/>
      <c r="F1026" s="149"/>
      <c r="G1026" s="148"/>
      <c r="H1026" s="148"/>
      <c r="I1026" s="138"/>
      <c r="J1026" s="103"/>
      <c r="K1026" s="150"/>
      <c r="L1026" s="138"/>
      <c r="M1026" s="150"/>
      <c r="N1026" s="150"/>
      <c r="O1026" s="138"/>
      <c r="P1026" s="150"/>
      <c r="Q1026" s="138"/>
      <c r="R1026" s="140"/>
      <c r="S1026" s="148"/>
      <c r="T1026" s="140"/>
      <c r="U1026" s="175"/>
      <c r="V1026" s="21"/>
    </row>
    <row r="1027" spans="1:22" ht="16.5" hidden="1" customHeight="1" x14ac:dyDescent="0.25">
      <c r="A1027" s="175"/>
      <c r="B1027" s="175"/>
      <c r="C1027" s="147"/>
      <c r="D1027" s="147"/>
      <c r="E1027" s="148"/>
      <c r="F1027" s="149"/>
      <c r="G1027" s="148"/>
      <c r="H1027" s="148"/>
      <c r="I1027" s="40"/>
      <c r="J1027" s="157"/>
      <c r="K1027" s="138"/>
      <c r="L1027" s="138"/>
      <c r="M1027" s="138"/>
      <c r="N1027" s="138"/>
      <c r="O1027" s="138"/>
      <c r="P1027" s="150"/>
      <c r="Q1027" s="138"/>
      <c r="R1027" s="139"/>
      <c r="S1027" s="175"/>
      <c r="T1027" s="140"/>
      <c r="U1027" s="175"/>
      <c r="V1027" s="21"/>
    </row>
    <row r="1028" spans="1:22" ht="16.5" hidden="1" customHeight="1" x14ac:dyDescent="0.25">
      <c r="A1028" s="175"/>
      <c r="B1028" s="175"/>
      <c r="C1028" s="147"/>
      <c r="D1028" s="147"/>
      <c r="E1028" s="148"/>
      <c r="F1028" s="149"/>
      <c r="G1028" s="148"/>
      <c r="H1028" s="148"/>
      <c r="I1028" s="138"/>
      <c r="J1028" s="157"/>
      <c r="K1028" s="150"/>
      <c r="L1028" s="138"/>
      <c r="M1028" s="150"/>
      <c r="N1028" s="150"/>
      <c r="O1028" s="144"/>
      <c r="P1028" s="150"/>
      <c r="Q1028" s="138"/>
      <c r="R1028" s="140"/>
      <c r="S1028" s="148"/>
      <c r="T1028" s="140"/>
      <c r="U1028" s="175"/>
      <c r="V1028" s="21"/>
    </row>
    <row r="1029" spans="1:22" ht="16.5" hidden="1" customHeight="1" x14ac:dyDescent="0.25">
      <c r="A1029" s="175"/>
      <c r="B1029" s="175"/>
      <c r="C1029" s="147"/>
      <c r="D1029" s="147"/>
      <c r="E1029" s="148"/>
      <c r="F1029" s="149"/>
      <c r="G1029" s="148"/>
      <c r="H1029" s="148"/>
      <c r="I1029" s="148"/>
      <c r="J1029" s="157"/>
      <c r="K1029" s="138"/>
      <c r="L1029" s="118"/>
      <c r="M1029" s="150"/>
      <c r="N1029" s="150"/>
      <c r="O1029" s="151"/>
      <c r="P1029" s="150"/>
      <c r="Q1029" s="150"/>
      <c r="R1029" s="139"/>
      <c r="S1029" s="148"/>
      <c r="T1029" s="140"/>
      <c r="U1029" s="175"/>
      <c r="V1029" s="21"/>
    </row>
    <row r="1030" spans="1:22" ht="16.5" hidden="1" customHeight="1" x14ac:dyDescent="0.25">
      <c r="A1030" s="175"/>
      <c r="B1030" s="175"/>
      <c r="C1030" s="147"/>
      <c r="D1030" s="147"/>
      <c r="E1030" s="148"/>
      <c r="F1030" s="149"/>
      <c r="G1030" s="148"/>
      <c r="H1030" s="148"/>
      <c r="I1030" s="148"/>
      <c r="J1030" s="157"/>
      <c r="K1030" s="150"/>
      <c r="L1030" s="118"/>
      <c r="M1030" s="118"/>
      <c r="N1030" s="150"/>
      <c r="O1030" s="151"/>
      <c r="P1030" s="150"/>
      <c r="Q1030" s="150"/>
      <c r="R1030" s="139"/>
      <c r="S1030" s="148"/>
      <c r="T1030" s="140"/>
      <c r="U1030" s="175"/>
      <c r="V1030" s="21"/>
    </row>
    <row r="1031" spans="1:22" ht="16.5" hidden="1" customHeight="1" x14ac:dyDescent="0.25">
      <c r="A1031" s="175"/>
      <c r="B1031" s="175"/>
      <c r="C1031" s="147"/>
      <c r="D1031" s="147"/>
      <c r="E1031" s="150"/>
      <c r="F1031" s="155"/>
      <c r="G1031" s="150"/>
      <c r="H1031" s="150"/>
      <c r="I1031" s="190"/>
      <c r="J1031" s="157"/>
      <c r="K1031" s="150"/>
      <c r="L1031" s="154"/>
      <c r="M1031" s="150"/>
      <c r="N1031" s="150"/>
      <c r="O1031" s="151"/>
      <c r="P1031" s="150"/>
      <c r="Q1031" s="150"/>
      <c r="R1031" s="144"/>
      <c r="S1031" s="150"/>
      <c r="T1031" s="138"/>
      <c r="U1031" s="175"/>
      <c r="V1031" s="21"/>
    </row>
    <row r="1032" spans="1:22" ht="16.5" hidden="1" customHeight="1" x14ac:dyDescent="0.25">
      <c r="A1032" s="175"/>
      <c r="B1032" s="175"/>
      <c r="C1032" s="147"/>
      <c r="D1032" s="147"/>
      <c r="E1032" s="148"/>
      <c r="F1032" s="149"/>
      <c r="G1032" s="148"/>
      <c r="H1032" s="148"/>
      <c r="I1032" s="32"/>
      <c r="J1032" s="157"/>
      <c r="K1032" s="150"/>
      <c r="L1032" s="150"/>
      <c r="M1032" s="150"/>
      <c r="N1032" s="150"/>
      <c r="O1032" s="138"/>
      <c r="P1032" s="150"/>
      <c r="Q1032" s="138"/>
      <c r="R1032" s="139"/>
      <c r="S1032" s="148"/>
      <c r="T1032" s="140"/>
      <c r="U1032" s="175"/>
      <c r="V1032" s="21"/>
    </row>
    <row r="1033" spans="1:22" ht="16.5" hidden="1" customHeight="1" x14ac:dyDescent="0.25">
      <c r="A1033" s="175"/>
      <c r="B1033" s="175"/>
      <c r="C1033" s="147"/>
      <c r="D1033" s="147"/>
      <c r="E1033" s="148"/>
      <c r="F1033" s="149"/>
      <c r="G1033" s="148"/>
      <c r="H1033" s="148"/>
      <c r="I1033" s="148"/>
      <c r="J1033" s="157"/>
      <c r="K1033" s="138"/>
      <c r="L1033" s="118"/>
      <c r="M1033" s="150"/>
      <c r="N1033" s="150"/>
      <c r="O1033" s="151"/>
      <c r="P1033" s="150"/>
      <c r="Q1033" s="150"/>
      <c r="R1033" s="139"/>
      <c r="S1033" s="148"/>
      <c r="T1033" s="140"/>
      <c r="U1033" s="175"/>
      <c r="V1033" s="21"/>
    </row>
    <row r="1034" spans="1:22" ht="16.5" hidden="1" customHeight="1" x14ac:dyDescent="0.25">
      <c r="A1034" s="175"/>
      <c r="B1034" s="175"/>
      <c r="C1034" s="147"/>
      <c r="D1034" s="147"/>
      <c r="E1034" s="148"/>
      <c r="F1034" s="149"/>
      <c r="G1034" s="148"/>
      <c r="H1034" s="148"/>
      <c r="I1034" s="148"/>
      <c r="J1034" s="157"/>
      <c r="K1034" s="138"/>
      <c r="L1034" s="118"/>
      <c r="M1034" s="150"/>
      <c r="N1034" s="150"/>
      <c r="O1034" s="151"/>
      <c r="P1034" s="150"/>
      <c r="Q1034" s="150"/>
      <c r="R1034" s="139"/>
      <c r="S1034" s="148"/>
      <c r="T1034" s="140"/>
      <c r="U1034" s="175"/>
      <c r="V1034" s="21"/>
    </row>
    <row r="1035" spans="1:22" ht="16.5" hidden="1" customHeight="1" x14ac:dyDescent="0.25">
      <c r="A1035" s="175"/>
      <c r="B1035" s="175"/>
      <c r="C1035" s="147"/>
      <c r="D1035" s="147"/>
      <c r="E1035" s="148"/>
      <c r="F1035" s="149"/>
      <c r="G1035" s="148"/>
      <c r="H1035" s="148"/>
      <c r="I1035" s="148"/>
      <c r="J1035" s="157"/>
      <c r="K1035" s="150"/>
      <c r="L1035" s="118"/>
      <c r="M1035" s="118"/>
      <c r="N1035" s="150"/>
      <c r="O1035" s="151"/>
      <c r="P1035" s="150"/>
      <c r="Q1035" s="150"/>
      <c r="R1035" s="139"/>
      <c r="S1035" s="148"/>
      <c r="T1035" s="140"/>
      <c r="U1035" s="175"/>
      <c r="V1035" s="21"/>
    </row>
    <row r="1036" spans="1:22" ht="16.5" hidden="1" customHeight="1" x14ac:dyDescent="0.25">
      <c r="A1036" s="175"/>
      <c r="B1036" s="175"/>
      <c r="C1036" s="147"/>
      <c r="D1036" s="147"/>
      <c r="E1036" s="148"/>
      <c r="F1036" s="149"/>
      <c r="G1036" s="148"/>
      <c r="H1036" s="148"/>
      <c r="I1036" s="156"/>
      <c r="J1036" s="157"/>
      <c r="K1036" s="150"/>
      <c r="L1036" s="118"/>
      <c r="M1036" s="150"/>
      <c r="N1036" s="150"/>
      <c r="O1036" s="151"/>
      <c r="P1036" s="150"/>
      <c r="Q1036" s="150"/>
      <c r="R1036" s="139"/>
      <c r="S1036" s="148"/>
      <c r="T1036" s="140"/>
      <c r="U1036" s="175"/>
      <c r="V1036" s="21"/>
    </row>
    <row r="1037" spans="1:22" ht="16.5" hidden="1" customHeight="1" x14ac:dyDescent="0.25">
      <c r="A1037" s="175"/>
      <c r="B1037" s="175"/>
      <c r="C1037" s="147"/>
      <c r="D1037" s="147"/>
      <c r="E1037" s="148"/>
      <c r="F1037" s="149"/>
      <c r="G1037" s="148"/>
      <c r="H1037" s="148"/>
      <c r="I1037" s="148"/>
      <c r="J1037" s="157"/>
      <c r="K1037" s="138"/>
      <c r="L1037" s="118"/>
      <c r="M1037" s="150"/>
      <c r="N1037" s="150"/>
      <c r="O1037" s="151"/>
      <c r="P1037" s="150"/>
      <c r="Q1037" s="150"/>
      <c r="R1037" s="139"/>
      <c r="S1037" s="148"/>
      <c r="T1037" s="140"/>
      <c r="U1037" s="175"/>
      <c r="V1037" s="21"/>
    </row>
    <row r="1038" spans="1:22" ht="16.5" hidden="1" customHeight="1" x14ac:dyDescent="0.25">
      <c r="A1038" s="175"/>
      <c r="B1038" s="175"/>
      <c r="C1038" s="147"/>
      <c r="D1038" s="147"/>
      <c r="E1038" s="150"/>
      <c r="F1038" s="155"/>
      <c r="G1038" s="150"/>
      <c r="H1038" s="150"/>
      <c r="I1038" s="32"/>
      <c r="J1038" s="157"/>
      <c r="K1038" s="138"/>
      <c r="L1038" s="154"/>
      <c r="M1038" s="150"/>
      <c r="N1038" s="150"/>
      <c r="O1038" s="151"/>
      <c r="P1038" s="150"/>
      <c r="Q1038" s="150"/>
      <c r="R1038" s="144"/>
      <c r="S1038" s="150"/>
      <c r="T1038" s="138"/>
      <c r="U1038" s="175"/>
      <c r="V1038" s="21"/>
    </row>
    <row r="1039" spans="1:22" ht="16.5" hidden="1" customHeight="1" x14ac:dyDescent="0.25">
      <c r="A1039" s="175"/>
      <c r="B1039" s="175"/>
      <c r="C1039" s="147"/>
      <c r="D1039" s="147"/>
      <c r="E1039" s="150"/>
      <c r="F1039" s="155"/>
      <c r="G1039" s="150"/>
      <c r="H1039" s="150"/>
      <c r="I1039" s="150"/>
      <c r="J1039" s="157"/>
      <c r="K1039" s="150"/>
      <c r="L1039" s="154"/>
      <c r="M1039" s="150"/>
      <c r="N1039" s="150"/>
      <c r="O1039" s="151"/>
      <c r="P1039" s="150"/>
      <c r="Q1039" s="150"/>
      <c r="R1039" s="144"/>
      <c r="S1039" s="150"/>
      <c r="T1039" s="138"/>
      <c r="U1039" s="175"/>
      <c r="V1039" s="21"/>
    </row>
    <row r="1040" spans="1:22" ht="16.5" hidden="1" customHeight="1" x14ac:dyDescent="0.25">
      <c r="A1040" s="175"/>
      <c r="B1040" s="175"/>
      <c r="C1040" s="147"/>
      <c r="D1040" s="147"/>
      <c r="E1040" s="150"/>
      <c r="F1040" s="155"/>
      <c r="G1040" s="150"/>
      <c r="H1040" s="150"/>
      <c r="I1040" s="190"/>
      <c r="J1040" s="157"/>
      <c r="K1040" s="150"/>
      <c r="L1040" s="154"/>
      <c r="M1040" s="150"/>
      <c r="N1040" s="150"/>
      <c r="O1040" s="151"/>
      <c r="P1040" s="150"/>
      <c r="Q1040" s="150"/>
      <c r="R1040" s="144"/>
      <c r="S1040" s="150"/>
      <c r="T1040" s="138"/>
      <c r="U1040" s="175"/>
      <c r="V1040" s="21"/>
    </row>
    <row r="1041" spans="1:22" ht="16.5" hidden="1" customHeight="1" x14ac:dyDescent="0.25">
      <c r="A1041" s="175"/>
      <c r="B1041" s="175"/>
      <c r="C1041" s="147"/>
      <c r="D1041" s="147"/>
      <c r="E1041" s="150"/>
      <c r="F1041" s="155"/>
      <c r="G1041" s="150"/>
      <c r="H1041" s="150"/>
      <c r="I1041" s="32"/>
      <c r="J1041" s="157"/>
      <c r="K1041" s="150"/>
      <c r="L1041" s="150"/>
      <c r="M1041" s="150"/>
      <c r="N1041" s="150"/>
      <c r="O1041" s="138"/>
      <c r="P1041" s="150"/>
      <c r="Q1041" s="138"/>
      <c r="R1041" s="144"/>
      <c r="S1041" s="150"/>
      <c r="T1041" s="138"/>
      <c r="U1041" s="175"/>
      <c r="V1041" s="21"/>
    </row>
    <row r="1042" spans="1:22" ht="16.5" hidden="1" customHeight="1" x14ac:dyDescent="0.25">
      <c r="A1042" s="175"/>
      <c r="B1042" s="175"/>
      <c r="C1042" s="147"/>
      <c r="D1042" s="147"/>
      <c r="E1042" s="150"/>
      <c r="F1042" s="155"/>
      <c r="G1042" s="150"/>
      <c r="H1042" s="150"/>
      <c r="I1042" s="32"/>
      <c r="J1042" s="157"/>
      <c r="K1042" s="150"/>
      <c r="L1042" s="138"/>
      <c r="M1042" s="150"/>
      <c r="N1042" s="150"/>
      <c r="O1042" s="138"/>
      <c r="P1042" s="150"/>
      <c r="Q1042" s="138"/>
      <c r="R1042" s="144"/>
      <c r="S1042" s="150"/>
      <c r="T1042" s="138"/>
      <c r="U1042" s="175"/>
      <c r="V1042" s="21"/>
    </row>
    <row r="1043" spans="1:22" ht="16.5" hidden="1" customHeight="1" x14ac:dyDescent="0.25">
      <c r="A1043" s="175"/>
      <c r="B1043" s="175"/>
      <c r="C1043" s="147"/>
      <c r="D1043" s="147"/>
      <c r="E1043" s="150"/>
      <c r="F1043" s="155"/>
      <c r="G1043" s="150"/>
      <c r="H1043" s="150"/>
      <c r="I1043" s="32"/>
      <c r="J1043" s="157"/>
      <c r="K1043" s="150"/>
      <c r="L1043" s="138"/>
      <c r="M1043" s="150"/>
      <c r="N1043" s="150"/>
      <c r="O1043" s="138"/>
      <c r="P1043" s="150"/>
      <c r="Q1043" s="138"/>
      <c r="R1043" s="144"/>
      <c r="S1043" s="150"/>
      <c r="T1043" s="138"/>
      <c r="U1043" s="175"/>
      <c r="V1043" s="21"/>
    </row>
    <row r="1044" spans="1:22" ht="16.5" hidden="1" customHeight="1" x14ac:dyDescent="0.25">
      <c r="A1044" s="175"/>
      <c r="B1044" s="175"/>
      <c r="C1044" s="147"/>
      <c r="D1044" s="147"/>
      <c r="E1044" s="150"/>
      <c r="F1044" s="155"/>
      <c r="G1044" s="150"/>
      <c r="H1044" s="150"/>
      <c r="I1044" s="138"/>
      <c r="J1044" s="103"/>
      <c r="K1044" s="150"/>
      <c r="L1044" s="138"/>
      <c r="M1044" s="150"/>
      <c r="N1044" s="150"/>
      <c r="O1044" s="138"/>
      <c r="P1044" s="150"/>
      <c r="Q1044" s="138"/>
      <c r="R1044" s="138"/>
      <c r="S1044" s="150"/>
      <c r="T1044" s="138"/>
      <c r="U1044" s="175"/>
      <c r="V1044" s="21"/>
    </row>
    <row r="1045" spans="1:22" ht="16.5" hidden="1" customHeight="1" x14ac:dyDescent="0.25">
      <c r="A1045" s="175"/>
      <c r="B1045" s="175"/>
      <c r="C1045" s="147"/>
      <c r="D1045" s="147"/>
      <c r="E1045" s="150"/>
      <c r="F1045" s="155"/>
      <c r="G1045" s="150"/>
      <c r="H1045" s="150"/>
      <c r="I1045" s="40"/>
      <c r="J1045" s="157"/>
      <c r="K1045" s="138"/>
      <c r="L1045" s="138"/>
      <c r="M1045" s="150"/>
      <c r="N1045" s="138"/>
      <c r="O1045" s="138"/>
      <c r="P1045" s="150"/>
      <c r="Q1045" s="138"/>
      <c r="R1045" s="144"/>
      <c r="S1045" s="138"/>
      <c r="T1045" s="138"/>
      <c r="U1045" s="175"/>
      <c r="V1045" s="21"/>
    </row>
    <row r="1046" spans="1:22" ht="16.5" hidden="1" customHeight="1" x14ac:dyDescent="0.25">
      <c r="A1046" s="175"/>
      <c r="B1046" s="175"/>
      <c r="C1046" s="147"/>
      <c r="D1046" s="147"/>
      <c r="E1046" s="150"/>
      <c r="F1046" s="155"/>
      <c r="G1046" s="150"/>
      <c r="H1046" s="150"/>
      <c r="I1046" s="138"/>
      <c r="J1046" s="157"/>
      <c r="K1046" s="150"/>
      <c r="L1046" s="138"/>
      <c r="M1046" s="150"/>
      <c r="N1046" s="150"/>
      <c r="O1046" s="138"/>
      <c r="P1046" s="150"/>
      <c r="Q1046" s="138"/>
      <c r="R1046" s="138"/>
      <c r="S1046" s="150"/>
      <c r="T1046" s="138"/>
      <c r="U1046" s="175"/>
      <c r="V1046" s="21"/>
    </row>
    <row r="1047" spans="1:22" ht="16.5" hidden="1" customHeight="1" x14ac:dyDescent="0.25">
      <c r="A1047" s="175"/>
      <c r="B1047" s="175"/>
      <c r="C1047" s="147"/>
      <c r="D1047" s="147"/>
      <c r="E1047" s="148"/>
      <c r="F1047" s="149"/>
      <c r="G1047" s="148"/>
      <c r="H1047" s="148"/>
      <c r="I1047" s="148"/>
      <c r="J1047" s="157"/>
      <c r="K1047" s="138"/>
      <c r="L1047" s="118"/>
      <c r="M1047" s="150"/>
      <c r="N1047" s="150"/>
      <c r="O1047" s="151"/>
      <c r="P1047" s="150"/>
      <c r="Q1047" s="150"/>
      <c r="R1047" s="139"/>
      <c r="S1047" s="148"/>
      <c r="T1047" s="140"/>
      <c r="U1047" s="175"/>
      <c r="V1047" s="21"/>
    </row>
    <row r="1048" spans="1:22" ht="16.5" hidden="1" customHeight="1" x14ac:dyDescent="0.25">
      <c r="A1048" s="175"/>
      <c r="B1048" s="175"/>
      <c r="C1048" s="147"/>
      <c r="D1048" s="147"/>
      <c r="E1048" s="148"/>
      <c r="F1048" s="149"/>
      <c r="G1048" s="148"/>
      <c r="H1048" s="148"/>
      <c r="I1048" s="148"/>
      <c r="J1048" s="157"/>
      <c r="K1048" s="138"/>
      <c r="L1048" s="118"/>
      <c r="M1048" s="150"/>
      <c r="N1048" s="150"/>
      <c r="O1048" s="151"/>
      <c r="P1048" s="150"/>
      <c r="Q1048" s="150"/>
      <c r="R1048" s="139"/>
      <c r="S1048" s="148"/>
      <c r="T1048" s="175"/>
      <c r="U1048" s="175"/>
      <c r="V1048" s="21"/>
    </row>
    <row r="1049" spans="1:22" ht="16.5" hidden="1" customHeight="1" x14ac:dyDescent="0.25">
      <c r="A1049" s="175"/>
      <c r="B1049" s="175"/>
      <c r="C1049" s="147"/>
      <c r="D1049" s="147"/>
      <c r="E1049" s="148"/>
      <c r="F1049" s="149"/>
      <c r="G1049" s="148"/>
      <c r="H1049" s="148"/>
      <c r="I1049" s="148"/>
      <c r="J1049" s="157"/>
      <c r="K1049" s="138"/>
      <c r="L1049" s="118"/>
      <c r="M1049" s="150"/>
      <c r="N1049" s="150"/>
      <c r="O1049" s="151"/>
      <c r="P1049" s="150"/>
      <c r="Q1049" s="150"/>
      <c r="R1049" s="139"/>
      <c r="S1049" s="148"/>
      <c r="T1049" s="140"/>
      <c r="U1049" s="175"/>
      <c r="V1049" s="21"/>
    </row>
    <row r="1050" spans="1:22" ht="16.5" hidden="1" customHeight="1" x14ac:dyDescent="0.25">
      <c r="A1050" s="175"/>
      <c r="B1050" s="175"/>
      <c r="C1050" s="147"/>
      <c r="D1050" s="147"/>
      <c r="E1050" s="148"/>
      <c r="F1050" s="149"/>
      <c r="G1050" s="148"/>
      <c r="H1050" s="148"/>
      <c r="I1050" s="148"/>
      <c r="J1050" s="157"/>
      <c r="K1050" s="138"/>
      <c r="L1050" s="118"/>
      <c r="M1050" s="150"/>
      <c r="N1050" s="150"/>
      <c r="O1050" s="151"/>
      <c r="P1050" s="150"/>
      <c r="Q1050" s="150"/>
      <c r="R1050" s="139"/>
      <c r="S1050" s="148"/>
      <c r="T1050" s="140"/>
      <c r="U1050" s="175"/>
      <c r="V1050" s="21"/>
    </row>
    <row r="1051" spans="1:22" ht="16.5" hidden="1" customHeight="1" x14ac:dyDescent="0.25">
      <c r="A1051" s="175"/>
      <c r="B1051" s="175"/>
      <c r="C1051" s="147"/>
      <c r="D1051" s="147"/>
      <c r="E1051" s="148"/>
      <c r="F1051" s="149"/>
      <c r="G1051" s="148"/>
      <c r="H1051" s="148"/>
      <c r="I1051" s="148"/>
      <c r="J1051" s="157"/>
      <c r="K1051" s="150"/>
      <c r="L1051" s="118"/>
      <c r="M1051" s="118"/>
      <c r="N1051" s="150"/>
      <c r="O1051" s="151"/>
      <c r="P1051" s="150"/>
      <c r="Q1051" s="150"/>
      <c r="R1051" s="139"/>
      <c r="S1051" s="148"/>
      <c r="T1051" s="140"/>
      <c r="U1051" s="175"/>
      <c r="V1051" s="21"/>
    </row>
    <row r="1052" spans="1:22" ht="16.5" hidden="1" customHeight="1" x14ac:dyDescent="0.25">
      <c r="A1052" s="175"/>
      <c r="B1052" s="175"/>
      <c r="C1052" s="147"/>
      <c r="D1052" s="147"/>
      <c r="E1052" s="148"/>
      <c r="F1052" s="149"/>
      <c r="G1052" s="148"/>
      <c r="H1052" s="148"/>
      <c r="I1052" s="156"/>
      <c r="J1052" s="157"/>
      <c r="K1052" s="150"/>
      <c r="L1052" s="118"/>
      <c r="M1052" s="118"/>
      <c r="N1052" s="150"/>
      <c r="O1052" s="151"/>
      <c r="P1052" s="150"/>
      <c r="Q1052" s="150"/>
      <c r="R1052" s="139"/>
      <c r="S1052" s="148"/>
      <c r="T1052" s="140"/>
      <c r="U1052" s="175"/>
      <c r="V1052" s="21"/>
    </row>
    <row r="1053" spans="1:22" ht="16.5" hidden="1" customHeight="1" x14ac:dyDescent="0.25">
      <c r="A1053" s="175"/>
      <c r="B1053" s="175"/>
      <c r="C1053" s="147"/>
      <c r="D1053" s="147"/>
      <c r="E1053" s="148"/>
      <c r="F1053" s="22"/>
      <c r="G1053" s="148"/>
      <c r="H1053" s="148"/>
      <c r="I1053" s="148"/>
      <c r="J1053" s="157"/>
      <c r="K1053" s="138"/>
      <c r="L1053" s="118"/>
      <c r="M1053" s="150"/>
      <c r="N1053" s="150"/>
      <c r="O1053" s="138"/>
      <c r="P1053" s="150"/>
      <c r="Q1053" s="138"/>
      <c r="R1053" s="139"/>
      <c r="S1053" s="148"/>
      <c r="T1053" s="140"/>
      <c r="U1053" s="175"/>
      <c r="V1053" s="21"/>
    </row>
    <row r="1054" spans="1:22" ht="16.5" hidden="1" customHeight="1" x14ac:dyDescent="0.25">
      <c r="A1054" s="175"/>
      <c r="B1054" s="175"/>
      <c r="C1054" s="147"/>
      <c r="D1054" s="147"/>
      <c r="E1054" s="148"/>
      <c r="F1054" s="22"/>
      <c r="G1054" s="156"/>
      <c r="H1054" s="148"/>
      <c r="I1054" s="148"/>
      <c r="J1054" s="157"/>
      <c r="K1054" s="150"/>
      <c r="L1054" s="150"/>
      <c r="M1054" s="150"/>
      <c r="N1054" s="150"/>
      <c r="O1054" s="151"/>
      <c r="P1054" s="150"/>
      <c r="Q1054" s="138"/>
      <c r="R1054" s="139"/>
      <c r="S1054" s="148"/>
      <c r="T1054" s="140"/>
      <c r="U1054" s="175"/>
      <c r="V1054" s="21"/>
    </row>
    <row r="1055" spans="1:22" ht="16.5" hidden="1" customHeight="1" x14ac:dyDescent="0.25">
      <c r="A1055" s="175"/>
      <c r="B1055" s="175"/>
      <c r="C1055" s="147"/>
      <c r="D1055" s="147"/>
      <c r="E1055" s="148"/>
      <c r="F1055" s="22"/>
      <c r="G1055" s="156"/>
      <c r="H1055" s="148"/>
      <c r="I1055" s="148"/>
      <c r="J1055" s="157"/>
      <c r="K1055" s="138"/>
      <c r="L1055" s="118"/>
      <c r="M1055" s="118"/>
      <c r="N1055" s="150"/>
      <c r="O1055" s="151"/>
      <c r="P1055" s="150"/>
      <c r="Q1055" s="150"/>
      <c r="R1055" s="139"/>
      <c r="S1055" s="148"/>
      <c r="T1055" s="140"/>
      <c r="U1055" s="175"/>
      <c r="V1055" s="21"/>
    </row>
    <row r="1056" spans="1:22" s="2" customFormat="1" ht="16.5" hidden="1" customHeight="1" x14ac:dyDescent="0.25">
      <c r="A1056" s="138"/>
      <c r="B1056" s="138"/>
      <c r="C1056" s="138"/>
      <c r="D1056" s="138"/>
      <c r="E1056" s="138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</row>
    <row r="1057" spans="1:22" s="2" customFormat="1" ht="16.5" hidden="1" customHeight="1" x14ac:dyDescent="0.25">
      <c r="A1057" s="138"/>
      <c r="B1057" s="138"/>
      <c r="C1057" s="138"/>
      <c r="D1057" s="138"/>
      <c r="E1057" s="138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</row>
    <row r="1058" spans="1:22" ht="16.5" hidden="1" customHeight="1" x14ac:dyDescent="0.25">
      <c r="A1058" s="175"/>
      <c r="B1058" s="175"/>
      <c r="C1058" s="147"/>
      <c r="D1058" s="147"/>
      <c r="E1058" s="148"/>
      <c r="F1058" s="149"/>
      <c r="G1058" s="148"/>
      <c r="H1058" s="148"/>
      <c r="I1058" s="148"/>
      <c r="J1058" s="157"/>
      <c r="K1058" s="138"/>
      <c r="L1058" s="118"/>
      <c r="M1058" s="150"/>
      <c r="N1058" s="138"/>
      <c r="O1058" s="151"/>
      <c r="P1058" s="150"/>
      <c r="Q1058" s="150"/>
      <c r="R1058" s="139"/>
      <c r="S1058" s="148"/>
      <c r="T1058" s="140"/>
      <c r="U1058" s="175"/>
      <c r="V1058" s="21"/>
    </row>
    <row r="1059" spans="1:22" ht="16.5" hidden="1" customHeight="1" x14ac:dyDescent="0.25">
      <c r="A1059" s="175"/>
      <c r="B1059" s="175"/>
      <c r="C1059" s="147"/>
      <c r="D1059" s="147"/>
      <c r="E1059" s="148"/>
      <c r="F1059" s="149"/>
      <c r="G1059" s="156"/>
      <c r="H1059" s="148"/>
      <c r="I1059" s="148"/>
      <c r="J1059" s="157"/>
      <c r="K1059" s="138"/>
      <c r="L1059" s="118"/>
      <c r="M1059" s="150"/>
      <c r="N1059" s="138"/>
      <c r="O1059" s="151"/>
      <c r="P1059" s="150"/>
      <c r="Q1059" s="150"/>
      <c r="R1059" s="139"/>
      <c r="S1059" s="148"/>
      <c r="T1059" s="140"/>
      <c r="U1059" s="175"/>
      <c r="V1059" s="21"/>
    </row>
    <row r="1060" spans="1:22" ht="16.5" hidden="1" customHeight="1" x14ac:dyDescent="0.25">
      <c r="A1060" s="175"/>
      <c r="B1060" s="175"/>
      <c r="C1060" s="147"/>
      <c r="D1060" s="147"/>
      <c r="E1060" s="148"/>
      <c r="F1060" s="149"/>
      <c r="G1060" s="148"/>
      <c r="H1060" s="148"/>
      <c r="I1060" s="148"/>
      <c r="J1060" s="103"/>
      <c r="K1060" s="138"/>
      <c r="L1060" s="118"/>
      <c r="M1060" s="150"/>
      <c r="N1060" s="150"/>
      <c r="O1060" s="151"/>
      <c r="P1060" s="150"/>
      <c r="Q1060" s="150"/>
      <c r="R1060" s="139"/>
      <c r="S1060" s="148"/>
      <c r="T1060" s="140"/>
      <c r="U1060" s="175"/>
      <c r="V1060" s="21"/>
    </row>
    <row r="1061" spans="1:22" ht="16.5" hidden="1" customHeight="1" x14ac:dyDescent="0.25">
      <c r="A1061" s="175"/>
      <c r="B1061" s="175"/>
      <c r="C1061" s="147"/>
      <c r="D1061" s="147"/>
      <c r="E1061" s="148"/>
      <c r="F1061" s="149"/>
      <c r="G1061" s="148"/>
      <c r="H1061" s="148"/>
      <c r="I1061" s="148"/>
      <c r="J1061" s="157"/>
      <c r="K1061" s="150"/>
      <c r="L1061" s="118"/>
      <c r="M1061" s="150"/>
      <c r="N1061" s="138"/>
      <c r="O1061" s="151"/>
      <c r="P1061" s="150"/>
      <c r="Q1061" s="150"/>
      <c r="R1061" s="139"/>
      <c r="S1061" s="148"/>
      <c r="T1061" s="140"/>
      <c r="U1061" s="175"/>
      <c r="V1061" s="21"/>
    </row>
    <row r="1062" spans="1:22" ht="16.5" hidden="1" customHeight="1" x14ac:dyDescent="0.25">
      <c r="A1062" s="175"/>
      <c r="B1062" s="175"/>
      <c r="C1062" s="147"/>
      <c r="D1062" s="147"/>
      <c r="E1062" s="148"/>
      <c r="F1062" s="149"/>
      <c r="G1062" s="156"/>
      <c r="H1062" s="148"/>
      <c r="I1062" s="148"/>
      <c r="J1062" s="157"/>
      <c r="K1062" s="150"/>
      <c r="L1062" s="150"/>
      <c r="M1062" s="150"/>
      <c r="N1062" s="150"/>
      <c r="O1062" s="144"/>
      <c r="P1062" s="150"/>
      <c r="Q1062" s="138"/>
      <c r="R1062" s="139"/>
      <c r="S1062" s="148"/>
      <c r="T1062" s="140"/>
      <c r="U1062" s="175"/>
      <c r="V1062" s="21"/>
    </row>
    <row r="1063" spans="1:22" ht="16.5" hidden="1" customHeight="1" x14ac:dyDescent="0.25">
      <c r="A1063" s="175"/>
      <c r="B1063" s="175"/>
      <c r="C1063" s="147"/>
      <c r="D1063" s="147"/>
      <c r="E1063" s="148"/>
      <c r="F1063" s="149"/>
      <c r="G1063" s="148"/>
      <c r="H1063" s="148"/>
      <c r="I1063" s="186"/>
      <c r="J1063" s="157"/>
      <c r="K1063" s="150"/>
      <c r="L1063" s="150"/>
      <c r="M1063" s="150"/>
      <c r="N1063" s="150"/>
      <c r="O1063" s="138"/>
      <c r="P1063" s="150"/>
      <c r="Q1063" s="138"/>
      <c r="R1063" s="139"/>
      <c r="S1063" s="148"/>
      <c r="T1063" s="140"/>
      <c r="U1063" s="175"/>
      <c r="V1063" s="21"/>
    </row>
    <row r="1064" spans="1:22" ht="16.5" hidden="1" customHeight="1" x14ac:dyDescent="0.25">
      <c r="A1064" s="175"/>
      <c r="B1064" s="175"/>
      <c r="C1064" s="147"/>
      <c r="D1064" s="147"/>
      <c r="E1064" s="148"/>
      <c r="F1064" s="149"/>
      <c r="G1064" s="148"/>
      <c r="H1064" s="148"/>
      <c r="I1064" s="148"/>
      <c r="J1064" s="103"/>
      <c r="K1064" s="138"/>
      <c r="L1064" s="118"/>
      <c r="M1064" s="150"/>
      <c r="N1064" s="150"/>
      <c r="O1064" s="151"/>
      <c r="P1064" s="150"/>
      <c r="Q1064" s="150"/>
      <c r="R1064" s="139"/>
      <c r="S1064" s="148"/>
      <c r="T1064" s="140"/>
      <c r="U1064" s="175"/>
      <c r="V1064" s="21"/>
    </row>
    <row r="1065" spans="1:22" ht="16.5" hidden="1" customHeight="1" x14ac:dyDescent="0.25">
      <c r="A1065" s="175"/>
      <c r="B1065" s="175"/>
      <c r="C1065" s="147"/>
      <c r="D1065" s="147"/>
      <c r="E1065" s="148"/>
      <c r="F1065" s="149"/>
      <c r="G1065" s="148"/>
      <c r="H1065" s="148"/>
      <c r="I1065" s="148"/>
      <c r="J1065" s="157"/>
      <c r="K1065" s="138"/>
      <c r="L1065" s="118"/>
      <c r="M1065" s="150"/>
      <c r="N1065" s="138"/>
      <c r="O1065" s="151"/>
      <c r="P1065" s="150"/>
      <c r="Q1065" s="150"/>
      <c r="R1065" s="139"/>
      <c r="S1065" s="148"/>
      <c r="T1065" s="140"/>
      <c r="U1065" s="175"/>
      <c r="V1065" s="21"/>
    </row>
    <row r="1066" spans="1:22" ht="16.5" hidden="1" customHeight="1" x14ac:dyDescent="0.25">
      <c r="A1066" s="175"/>
      <c r="B1066" s="175"/>
      <c r="C1066" s="147"/>
      <c r="D1066" s="147"/>
      <c r="E1066" s="148"/>
      <c r="F1066" s="155"/>
      <c r="G1066" s="148"/>
      <c r="H1066" s="148"/>
      <c r="I1066" s="148"/>
      <c r="J1066" s="103"/>
      <c r="K1066" s="138"/>
      <c r="L1066" s="118"/>
      <c r="M1066" s="138"/>
      <c r="N1066" s="138"/>
      <c r="O1066" s="151"/>
      <c r="P1066" s="150"/>
      <c r="Q1066" s="150"/>
      <c r="R1066" s="139"/>
      <c r="S1066" s="148"/>
      <c r="T1066" s="140"/>
      <c r="U1066" s="175"/>
      <c r="V1066" s="21"/>
    </row>
    <row r="1067" spans="1:22" ht="16.5" hidden="1" customHeight="1" x14ac:dyDescent="0.25">
      <c r="A1067" s="175"/>
      <c r="B1067" s="175"/>
      <c r="C1067" s="147"/>
      <c r="D1067" s="147"/>
      <c r="E1067" s="148"/>
      <c r="F1067" s="155"/>
      <c r="G1067" s="148"/>
      <c r="H1067" s="148"/>
      <c r="I1067" s="148"/>
      <c r="J1067" s="103"/>
      <c r="K1067" s="138"/>
      <c r="L1067" s="138"/>
      <c r="M1067" s="118"/>
      <c r="N1067" s="138"/>
      <c r="O1067" s="151"/>
      <c r="P1067" s="150"/>
      <c r="Q1067" s="150"/>
      <c r="R1067" s="139"/>
      <c r="S1067" s="148"/>
      <c r="T1067" s="140"/>
      <c r="U1067" s="175"/>
      <c r="V1067" s="21"/>
    </row>
    <row r="1068" spans="1:22" ht="16.5" hidden="1" customHeight="1" x14ac:dyDescent="0.25">
      <c r="A1068" s="175"/>
      <c r="B1068" s="175"/>
      <c r="C1068" s="147"/>
      <c r="D1068" s="147"/>
      <c r="E1068" s="148"/>
      <c r="F1068" s="155"/>
      <c r="G1068" s="148"/>
      <c r="H1068" s="148"/>
      <c r="I1068" s="148"/>
      <c r="J1068" s="157"/>
      <c r="K1068" s="150"/>
      <c r="L1068" s="150"/>
      <c r="M1068" s="150"/>
      <c r="N1068" s="150"/>
      <c r="O1068" s="138"/>
      <c r="P1068" s="150"/>
      <c r="Q1068" s="138"/>
      <c r="R1068" s="140"/>
      <c r="S1068" s="148"/>
      <c r="T1068" s="140"/>
      <c r="U1068" s="175"/>
      <c r="V1068" s="21"/>
    </row>
    <row r="1069" spans="1:22" ht="16.5" hidden="1" customHeight="1" x14ac:dyDescent="0.25">
      <c r="A1069" s="175"/>
      <c r="B1069" s="175"/>
      <c r="C1069" s="147"/>
      <c r="D1069" s="147"/>
      <c r="E1069" s="148"/>
      <c r="F1069" s="155"/>
      <c r="G1069" s="148"/>
      <c r="H1069" s="148"/>
      <c r="I1069" s="32"/>
      <c r="J1069" s="157"/>
      <c r="K1069" s="150"/>
      <c r="L1069" s="150"/>
      <c r="M1069" s="138"/>
      <c r="N1069" s="150"/>
      <c r="O1069" s="144"/>
      <c r="P1069" s="150"/>
      <c r="Q1069" s="138"/>
      <c r="R1069" s="139"/>
      <c r="S1069" s="148"/>
      <c r="T1069" s="140"/>
      <c r="U1069" s="175"/>
      <c r="V1069" s="21"/>
    </row>
    <row r="1070" spans="1:22" ht="16.5" hidden="1" customHeight="1" x14ac:dyDescent="0.25">
      <c r="A1070" s="175"/>
      <c r="B1070" s="175"/>
      <c r="C1070" s="147"/>
      <c r="D1070" s="147"/>
      <c r="E1070" s="148"/>
      <c r="F1070" s="149"/>
      <c r="G1070" s="148"/>
      <c r="H1070" s="148"/>
      <c r="I1070" s="148"/>
      <c r="J1070" s="103"/>
      <c r="K1070" s="138"/>
      <c r="L1070" s="138"/>
      <c r="M1070" s="150"/>
      <c r="N1070" s="138"/>
      <c r="O1070" s="138"/>
      <c r="P1070" s="150"/>
      <c r="Q1070" s="150"/>
      <c r="R1070" s="139"/>
      <c r="S1070" s="148"/>
      <c r="T1070" s="140"/>
      <c r="U1070" s="175"/>
      <c r="V1070" s="21"/>
    </row>
    <row r="1071" spans="1:22" ht="16.5" hidden="1" customHeight="1" x14ac:dyDescent="0.25">
      <c r="A1071" s="175"/>
      <c r="B1071" s="175"/>
      <c r="C1071" s="147"/>
      <c r="D1071" s="187"/>
      <c r="E1071" s="148"/>
      <c r="F1071" s="149"/>
      <c r="G1071" s="156"/>
      <c r="H1071" s="148"/>
      <c r="I1071" s="148"/>
      <c r="J1071" s="157"/>
      <c r="K1071" s="138"/>
      <c r="L1071" s="118"/>
      <c r="M1071" s="154"/>
      <c r="N1071" s="150"/>
      <c r="O1071" s="151"/>
      <c r="P1071" s="150"/>
      <c r="Q1071" s="150"/>
      <c r="R1071" s="139"/>
      <c r="S1071" s="148"/>
      <c r="T1071" s="140"/>
      <c r="U1071" s="175"/>
      <c r="V1071" s="21"/>
    </row>
    <row r="1072" spans="1:22" ht="16.5" hidden="1" customHeight="1" x14ac:dyDescent="0.25">
      <c r="A1072" s="175"/>
      <c r="B1072" s="175"/>
      <c r="C1072" s="147"/>
      <c r="D1072" s="187"/>
      <c r="E1072" s="148"/>
      <c r="F1072" s="149"/>
      <c r="G1072" s="156"/>
      <c r="H1072" s="148"/>
      <c r="I1072" s="148"/>
      <c r="J1072" s="157"/>
      <c r="K1072" s="138"/>
      <c r="L1072" s="118"/>
      <c r="M1072" s="154"/>
      <c r="N1072" s="150"/>
      <c r="O1072" s="151"/>
      <c r="P1072" s="150"/>
      <c r="Q1072" s="150"/>
      <c r="R1072" s="139"/>
      <c r="S1072" s="148"/>
      <c r="T1072" s="140"/>
      <c r="U1072" s="175"/>
      <c r="V1072" s="21"/>
    </row>
    <row r="1073" spans="1:22" ht="16.5" hidden="1" customHeight="1" x14ac:dyDescent="0.25">
      <c r="A1073" s="175"/>
      <c r="B1073" s="175"/>
      <c r="C1073" s="147"/>
      <c r="D1073" s="187"/>
      <c r="E1073" s="148"/>
      <c r="F1073" s="149"/>
      <c r="G1073" s="156"/>
      <c r="H1073" s="148"/>
      <c r="I1073" s="148"/>
      <c r="J1073" s="157"/>
      <c r="K1073" s="138"/>
      <c r="L1073" s="118"/>
      <c r="M1073" s="150"/>
      <c r="N1073" s="150"/>
      <c r="O1073" s="151"/>
      <c r="P1073" s="150"/>
      <c r="Q1073" s="150"/>
      <c r="R1073" s="139"/>
      <c r="S1073" s="148"/>
      <c r="T1073" s="140"/>
      <c r="U1073" s="175"/>
      <c r="V1073" s="21"/>
    </row>
    <row r="1074" spans="1:22" ht="16.5" hidden="1" customHeight="1" x14ac:dyDescent="0.25">
      <c r="A1074" s="175"/>
      <c r="B1074" s="175"/>
      <c r="C1074" s="147"/>
      <c r="D1074" s="187"/>
      <c r="E1074" s="148"/>
      <c r="F1074" s="149"/>
      <c r="G1074" s="156"/>
      <c r="H1074" s="148"/>
      <c r="I1074" s="148"/>
      <c r="J1074" s="157"/>
      <c r="K1074" s="150"/>
      <c r="L1074" s="150"/>
      <c r="M1074" s="150"/>
      <c r="N1074" s="150"/>
      <c r="O1074" s="151"/>
      <c r="P1074" s="150"/>
      <c r="Q1074" s="150"/>
      <c r="R1074" s="139"/>
      <c r="S1074" s="148"/>
      <c r="T1074" s="140"/>
      <c r="U1074" s="175"/>
      <c r="V1074" s="21"/>
    </row>
    <row r="1075" spans="1:22" ht="16.5" hidden="1" customHeight="1" x14ac:dyDescent="0.25">
      <c r="A1075" s="175"/>
      <c r="B1075" s="175"/>
      <c r="C1075" s="147"/>
      <c r="D1075" s="187"/>
      <c r="E1075" s="148"/>
      <c r="F1075" s="149"/>
      <c r="G1075" s="156"/>
      <c r="H1075" s="148"/>
      <c r="I1075" s="148"/>
      <c r="J1075" s="157"/>
      <c r="K1075" s="138"/>
      <c r="L1075" s="150"/>
      <c r="M1075" s="150"/>
      <c r="N1075" s="150"/>
      <c r="O1075" s="151"/>
      <c r="P1075" s="150"/>
      <c r="Q1075" s="150"/>
      <c r="R1075" s="139"/>
      <c r="S1075" s="148"/>
      <c r="T1075" s="140"/>
      <c r="U1075" s="175"/>
      <c r="V1075" s="21"/>
    </row>
    <row r="1076" spans="1:22" ht="16.5" hidden="1" customHeight="1" x14ac:dyDescent="0.25">
      <c r="A1076" s="175"/>
      <c r="B1076" s="175"/>
      <c r="C1076" s="147"/>
      <c r="D1076" s="187"/>
      <c r="E1076" s="148"/>
      <c r="F1076" s="149"/>
      <c r="G1076" s="156"/>
      <c r="H1076" s="148"/>
      <c r="I1076" s="32"/>
      <c r="J1076" s="157"/>
      <c r="K1076" s="138"/>
      <c r="L1076" s="150"/>
      <c r="M1076" s="150"/>
      <c r="N1076" s="150"/>
      <c r="O1076" s="151"/>
      <c r="P1076" s="150"/>
      <c r="Q1076" s="150"/>
      <c r="R1076" s="139"/>
      <c r="S1076" s="148"/>
      <c r="T1076" s="140"/>
      <c r="U1076" s="175"/>
      <c r="V1076" s="21"/>
    </row>
    <row r="1077" spans="1:22" ht="16.5" hidden="1" customHeight="1" x14ac:dyDescent="0.25">
      <c r="A1077" s="175"/>
      <c r="B1077" s="175"/>
      <c r="C1077" s="147"/>
      <c r="D1077" s="187"/>
      <c r="E1077" s="148"/>
      <c r="F1077" s="149"/>
      <c r="G1077" s="148"/>
      <c r="H1077" s="148"/>
      <c r="I1077" s="32"/>
      <c r="J1077" s="157"/>
      <c r="K1077" s="150"/>
      <c r="L1077" s="150"/>
      <c r="M1077" s="150"/>
      <c r="N1077" s="150"/>
      <c r="O1077" s="151"/>
      <c r="P1077" s="150"/>
      <c r="Q1077" s="150"/>
      <c r="R1077" s="139"/>
      <c r="S1077" s="148"/>
      <c r="T1077" s="140"/>
      <c r="U1077" s="175"/>
      <c r="V1077" s="21"/>
    </row>
    <row r="1078" spans="1:22" ht="16.5" hidden="1" customHeight="1" x14ac:dyDescent="0.25">
      <c r="A1078" s="175"/>
      <c r="B1078" s="175"/>
      <c r="C1078" s="147"/>
      <c r="D1078" s="187"/>
      <c r="E1078" s="148"/>
      <c r="F1078" s="149"/>
      <c r="G1078" s="156"/>
      <c r="H1078" s="148"/>
      <c r="I1078" s="32"/>
      <c r="J1078" s="157"/>
      <c r="K1078" s="150"/>
      <c r="L1078" s="150"/>
      <c r="M1078" s="150"/>
      <c r="N1078" s="150"/>
      <c r="O1078" s="138"/>
      <c r="P1078" s="150"/>
      <c r="Q1078" s="138"/>
      <c r="R1078" s="139"/>
      <c r="S1078" s="148"/>
      <c r="T1078" s="140"/>
      <c r="U1078" s="175"/>
      <c r="V1078" s="21"/>
    </row>
    <row r="1079" spans="1:22" ht="16.5" hidden="1" customHeight="1" x14ac:dyDescent="0.25">
      <c r="A1079" s="175"/>
      <c r="B1079" s="175"/>
      <c r="C1079" s="147"/>
      <c r="D1079" s="187"/>
      <c r="E1079" s="148"/>
      <c r="F1079" s="149"/>
      <c r="G1079" s="156"/>
      <c r="H1079" s="148"/>
      <c r="I1079" s="138"/>
      <c r="J1079" s="157"/>
      <c r="K1079" s="138"/>
      <c r="L1079" s="138"/>
      <c r="M1079" s="150"/>
      <c r="N1079" s="138"/>
      <c r="O1079" s="138"/>
      <c r="P1079" s="150"/>
      <c r="Q1079" s="138"/>
      <c r="R1079" s="139"/>
      <c r="S1079" s="175"/>
      <c r="T1079" s="140"/>
      <c r="U1079" s="175"/>
      <c r="V1079" s="21"/>
    </row>
    <row r="1080" spans="1:22" ht="16.5" hidden="1" customHeight="1" x14ac:dyDescent="0.25">
      <c r="A1080" s="175"/>
      <c r="B1080" s="175"/>
      <c r="C1080" s="147"/>
      <c r="D1080" s="187"/>
      <c r="E1080" s="148"/>
      <c r="F1080" s="149"/>
      <c r="G1080" s="156"/>
      <c r="H1080" s="148"/>
      <c r="I1080" s="40"/>
      <c r="J1080" s="157"/>
      <c r="K1080" s="150"/>
      <c r="L1080" s="138"/>
      <c r="M1080" s="150"/>
      <c r="N1080" s="150"/>
      <c r="O1080" s="151"/>
      <c r="P1080" s="150"/>
      <c r="Q1080" s="150"/>
      <c r="R1080" s="139"/>
      <c r="S1080" s="148"/>
      <c r="T1080" s="140"/>
      <c r="U1080" s="175"/>
      <c r="V1080" s="21"/>
    </row>
    <row r="1081" spans="1:22" ht="16.5" hidden="1" customHeight="1" x14ac:dyDescent="0.25">
      <c r="A1081" s="175"/>
      <c r="B1081" s="140"/>
      <c r="C1081" s="147"/>
      <c r="D1081" s="149"/>
      <c r="E1081" s="148"/>
      <c r="F1081" s="149"/>
      <c r="G1081" s="148"/>
      <c r="H1081" s="148"/>
      <c r="I1081" s="148"/>
      <c r="J1081" s="103"/>
      <c r="K1081" s="138"/>
      <c r="L1081" s="118"/>
      <c r="M1081" s="150"/>
      <c r="N1081" s="150"/>
      <c r="O1081" s="151"/>
      <c r="P1081" s="150"/>
      <c r="Q1081" s="150"/>
      <c r="R1081" s="139"/>
      <c r="S1081" s="148"/>
      <c r="T1081" s="140"/>
      <c r="U1081" s="175"/>
      <c r="V1081" s="21"/>
    </row>
    <row r="1082" spans="1:22" ht="16.5" hidden="1" customHeight="1" x14ac:dyDescent="0.25">
      <c r="A1082" s="175"/>
      <c r="B1082" s="175"/>
      <c r="C1082" s="147"/>
      <c r="D1082" s="147"/>
      <c r="E1082" s="148"/>
      <c r="F1082" s="149"/>
      <c r="G1082" s="148"/>
      <c r="H1082" s="148"/>
      <c r="I1082" s="148"/>
      <c r="J1082" s="103"/>
      <c r="K1082" s="138"/>
      <c r="L1082" s="138"/>
      <c r="M1082" s="138"/>
      <c r="N1082" s="138"/>
      <c r="O1082" s="151"/>
      <c r="P1082" s="150"/>
      <c r="Q1082" s="150"/>
      <c r="R1082" s="139"/>
      <c r="S1082" s="148"/>
      <c r="T1082" s="140"/>
      <c r="U1082" s="175"/>
      <c r="V1082" s="21"/>
    </row>
    <row r="1083" spans="1:22" ht="16.5" hidden="1" customHeight="1" x14ac:dyDescent="0.25">
      <c r="A1083" s="175"/>
      <c r="B1083" s="175"/>
      <c r="C1083" s="147"/>
      <c r="D1083" s="147"/>
      <c r="E1083" s="148"/>
      <c r="F1083" s="149"/>
      <c r="G1083" s="148"/>
      <c r="H1083" s="148"/>
      <c r="I1083" s="148"/>
      <c r="J1083" s="103"/>
      <c r="K1083" s="138"/>
      <c r="L1083" s="138"/>
      <c r="M1083" s="118"/>
      <c r="N1083" s="138"/>
      <c r="O1083" s="151"/>
      <c r="P1083" s="150"/>
      <c r="Q1083" s="150"/>
      <c r="R1083" s="139"/>
      <c r="S1083" s="148"/>
      <c r="T1083" s="140"/>
      <c r="U1083" s="175"/>
      <c r="V1083" s="21"/>
    </row>
    <row r="1084" spans="1:22" ht="16.5" hidden="1" customHeight="1" x14ac:dyDescent="0.25">
      <c r="A1084" s="175"/>
      <c r="B1084" s="175"/>
      <c r="C1084" s="147"/>
      <c r="D1084" s="147"/>
      <c r="E1084" s="148"/>
      <c r="F1084" s="149"/>
      <c r="G1084" s="156"/>
      <c r="H1084" s="148"/>
      <c r="I1084" s="148"/>
      <c r="J1084" s="103"/>
      <c r="K1084" s="150"/>
      <c r="L1084" s="138"/>
      <c r="M1084" s="150"/>
      <c r="N1084" s="150"/>
      <c r="O1084" s="138"/>
      <c r="P1084" s="150"/>
      <c r="Q1084" s="138"/>
      <c r="R1084" s="140"/>
      <c r="S1084" s="148"/>
      <c r="T1084" s="140"/>
      <c r="U1084" s="175"/>
      <c r="V1084" s="21"/>
    </row>
    <row r="1085" spans="1:22" ht="16.5" hidden="1" customHeight="1" x14ac:dyDescent="0.25">
      <c r="A1085" s="175"/>
      <c r="B1085" s="175"/>
      <c r="C1085" s="147"/>
      <c r="D1085" s="147"/>
      <c r="E1085" s="148"/>
      <c r="F1085" s="149"/>
      <c r="G1085" s="156"/>
      <c r="H1085" s="148"/>
      <c r="I1085" s="32"/>
      <c r="J1085" s="157"/>
      <c r="K1085" s="150"/>
      <c r="L1085" s="138"/>
      <c r="M1085" s="138"/>
      <c r="N1085" s="138"/>
      <c r="O1085" s="151"/>
      <c r="P1085" s="150"/>
      <c r="Q1085" s="150"/>
      <c r="R1085" s="139"/>
      <c r="S1085" s="148"/>
      <c r="T1085" s="140"/>
      <c r="U1085" s="175"/>
      <c r="V1085" s="21"/>
    </row>
    <row r="1086" spans="1:22" ht="16.5" hidden="1" customHeight="1" x14ac:dyDescent="0.25">
      <c r="A1086" s="175"/>
      <c r="B1086" s="175"/>
      <c r="C1086" s="147"/>
      <c r="D1086" s="147"/>
      <c r="E1086" s="148"/>
      <c r="F1086" s="22"/>
      <c r="G1086" s="156"/>
      <c r="H1086" s="148"/>
      <c r="I1086" s="148"/>
      <c r="J1086" s="157"/>
      <c r="K1086" s="138"/>
      <c r="L1086" s="118"/>
      <c r="M1086" s="150"/>
      <c r="N1086" s="150"/>
      <c r="O1086" s="151"/>
      <c r="P1086" s="150"/>
      <c r="Q1086" s="150"/>
      <c r="R1086" s="139"/>
      <c r="S1086" s="148"/>
      <c r="T1086" s="140"/>
      <c r="U1086" s="175"/>
      <c r="V1086" s="21"/>
    </row>
    <row r="1087" spans="1:22" ht="16.5" hidden="1" customHeight="1" x14ac:dyDescent="0.25">
      <c r="A1087" s="175"/>
      <c r="B1087" s="175"/>
      <c r="C1087" s="147"/>
      <c r="D1087" s="147"/>
      <c r="E1087" s="148"/>
      <c r="F1087" s="22"/>
      <c r="G1087" s="156"/>
      <c r="H1087" s="148"/>
      <c r="I1087" s="148"/>
      <c r="J1087" s="157"/>
      <c r="K1087" s="138"/>
      <c r="L1087" s="118"/>
      <c r="M1087" s="150"/>
      <c r="N1087" s="150"/>
      <c r="O1087" s="151"/>
      <c r="P1087" s="150"/>
      <c r="Q1087" s="150"/>
      <c r="R1087" s="139"/>
      <c r="S1087" s="148"/>
      <c r="T1087" s="140"/>
      <c r="U1087" s="175"/>
      <c r="V1087" s="21"/>
    </row>
    <row r="1088" spans="1:22" ht="16.5" hidden="1" customHeight="1" x14ac:dyDescent="0.25">
      <c r="A1088" s="175"/>
      <c r="B1088" s="175"/>
      <c r="C1088" s="147"/>
      <c r="D1088" s="147"/>
      <c r="E1088" s="148"/>
      <c r="F1088" s="22"/>
      <c r="G1088" s="148"/>
      <c r="H1088" s="148"/>
      <c r="I1088" s="148"/>
      <c r="J1088" s="157"/>
      <c r="K1088" s="138"/>
      <c r="L1088" s="118"/>
      <c r="M1088" s="150"/>
      <c r="N1088" s="150"/>
      <c r="O1088" s="151"/>
      <c r="P1088" s="150"/>
      <c r="Q1088" s="150"/>
      <c r="R1088" s="139"/>
      <c r="S1088" s="148"/>
      <c r="T1088" s="140"/>
      <c r="U1088" s="175"/>
      <c r="V1088" s="21"/>
    </row>
    <row r="1089" spans="1:22" ht="16.5" hidden="1" customHeight="1" x14ac:dyDescent="0.25">
      <c r="A1089" s="175"/>
      <c r="B1089" s="57"/>
      <c r="C1089" s="147"/>
      <c r="D1089" s="147"/>
      <c r="E1089" s="148"/>
      <c r="F1089" s="149"/>
      <c r="G1089" s="148"/>
      <c r="H1089" s="148"/>
      <c r="I1089" s="156"/>
      <c r="J1089" s="103"/>
      <c r="K1089" s="138"/>
      <c r="L1089" s="118"/>
      <c r="M1089" s="138"/>
      <c r="N1089" s="138"/>
      <c r="O1089" s="151"/>
      <c r="P1089" s="150"/>
      <c r="Q1089" s="150"/>
      <c r="R1089" s="139"/>
      <c r="S1089" s="148"/>
      <c r="T1089" s="140"/>
      <c r="U1089" s="175"/>
      <c r="V1089" s="21"/>
    </row>
    <row r="1090" spans="1:22" ht="16.5" hidden="1" customHeight="1" x14ac:dyDescent="0.25">
      <c r="A1090" s="175"/>
      <c r="B1090" s="57"/>
      <c r="C1090" s="147"/>
      <c r="D1090" s="147"/>
      <c r="E1090" s="148"/>
      <c r="F1090" s="149"/>
      <c r="G1090" s="156"/>
      <c r="H1090" s="148"/>
      <c r="I1090" s="156"/>
      <c r="J1090" s="103"/>
      <c r="K1090" s="138"/>
      <c r="L1090" s="118"/>
      <c r="M1090" s="150"/>
      <c r="N1090" s="150"/>
      <c r="O1090" s="151"/>
      <c r="P1090" s="150"/>
      <c r="Q1090" s="150"/>
      <c r="R1090" s="139"/>
      <c r="S1090" s="148"/>
      <c r="T1090" s="140"/>
      <c r="U1090" s="175"/>
      <c r="V1090" s="21"/>
    </row>
    <row r="1091" spans="1:22" ht="16.5" hidden="1" customHeight="1" x14ac:dyDescent="0.25">
      <c r="A1091" s="175"/>
      <c r="B1091" s="175"/>
      <c r="C1091" s="147"/>
      <c r="D1091" s="147"/>
      <c r="E1091" s="148"/>
      <c r="F1091" s="22"/>
      <c r="G1091" s="156"/>
      <c r="H1091" s="148"/>
      <c r="I1091" s="148"/>
      <c r="J1091" s="157"/>
      <c r="K1091" s="138"/>
      <c r="L1091" s="118"/>
      <c r="M1091" s="150"/>
      <c r="N1091" s="150"/>
      <c r="O1091" s="151"/>
      <c r="P1091" s="150"/>
      <c r="Q1091" s="150"/>
      <c r="R1091" s="139"/>
      <c r="S1091" s="148"/>
      <c r="T1091" s="140"/>
      <c r="U1091" s="175"/>
      <c r="V1091" s="21"/>
    </row>
    <row r="1092" spans="1:22" ht="16.5" hidden="1" customHeight="1" x14ac:dyDescent="0.25">
      <c r="A1092" s="175"/>
      <c r="B1092" s="175"/>
      <c r="C1092" s="147"/>
      <c r="D1092" s="147"/>
      <c r="E1092" s="148"/>
      <c r="F1092" s="149"/>
      <c r="G1092" s="148"/>
      <c r="H1092" s="148"/>
      <c r="I1092" s="148"/>
      <c r="J1092" s="157"/>
      <c r="K1092" s="150"/>
      <c r="L1092" s="118"/>
      <c r="M1092" s="150"/>
      <c r="N1092" s="150"/>
      <c r="O1092" s="151"/>
      <c r="P1092" s="150"/>
      <c r="Q1092" s="150"/>
      <c r="R1092" s="139"/>
      <c r="S1092" s="148"/>
      <c r="T1092" s="140"/>
      <c r="U1092" s="175"/>
      <c r="V1092" s="21"/>
    </row>
    <row r="1093" spans="1:22" ht="16.5" hidden="1" customHeight="1" x14ac:dyDescent="0.25">
      <c r="A1093" s="175"/>
      <c r="B1093" s="175"/>
      <c r="C1093" s="147"/>
      <c r="D1093" s="147"/>
      <c r="E1093" s="148"/>
      <c r="F1093" s="153"/>
      <c r="G1093" s="148"/>
      <c r="H1093" s="148"/>
      <c r="I1093" s="148"/>
      <c r="J1093" s="157"/>
      <c r="K1093" s="138"/>
      <c r="L1093" s="118"/>
      <c r="M1093" s="150"/>
      <c r="N1093" s="150"/>
      <c r="O1093" s="151"/>
      <c r="P1093" s="150"/>
      <c r="Q1093" s="150"/>
      <c r="R1093" s="139"/>
      <c r="S1093" s="148"/>
      <c r="T1093" s="140"/>
      <c r="U1093" s="175"/>
      <c r="V1093" s="21"/>
    </row>
    <row r="1094" spans="1:22" ht="16.5" hidden="1" customHeight="1" x14ac:dyDescent="0.25">
      <c r="A1094" s="175"/>
      <c r="B1094" s="175"/>
      <c r="C1094" s="147"/>
      <c r="D1094" s="147"/>
      <c r="E1094" s="148"/>
      <c r="F1094" s="149"/>
      <c r="G1094" s="148"/>
      <c r="H1094" s="148"/>
      <c r="I1094" s="32"/>
      <c r="J1094" s="157"/>
      <c r="K1094" s="138"/>
      <c r="L1094" s="150"/>
      <c r="M1094" s="150"/>
      <c r="N1094" s="150"/>
      <c r="O1094" s="151"/>
      <c r="P1094" s="150"/>
      <c r="Q1094" s="150"/>
      <c r="R1094" s="139"/>
      <c r="S1094" s="148"/>
      <c r="T1094" s="140"/>
      <c r="U1094" s="175"/>
      <c r="V1094" s="21"/>
    </row>
    <row r="1095" spans="1:22" ht="16.5" hidden="1" customHeight="1" x14ac:dyDescent="0.25">
      <c r="A1095" s="175"/>
      <c r="B1095" s="175"/>
      <c r="C1095" s="147"/>
      <c r="D1095" s="147"/>
      <c r="E1095" s="148"/>
      <c r="F1095" s="149"/>
      <c r="G1095" s="148"/>
      <c r="H1095" s="148"/>
      <c r="I1095" s="32"/>
      <c r="J1095" s="157"/>
      <c r="K1095" s="150"/>
      <c r="L1095" s="138"/>
      <c r="M1095" s="150"/>
      <c r="N1095" s="150"/>
      <c r="O1095" s="138"/>
      <c r="P1095" s="150"/>
      <c r="Q1095" s="138"/>
      <c r="R1095" s="139"/>
      <c r="S1095" s="148"/>
      <c r="T1095" s="140"/>
      <c r="U1095" s="175"/>
      <c r="V1095" s="21"/>
    </row>
    <row r="1096" spans="1:22" ht="16.5" hidden="1" customHeight="1" x14ac:dyDescent="0.25">
      <c r="A1096" s="175"/>
      <c r="B1096" s="175"/>
      <c r="C1096" s="147"/>
      <c r="D1096" s="147"/>
      <c r="E1096" s="148"/>
      <c r="F1096" s="149"/>
      <c r="G1096" s="148"/>
      <c r="H1096" s="148"/>
      <c r="I1096" s="148"/>
      <c r="J1096" s="157"/>
      <c r="K1096" s="138"/>
      <c r="L1096" s="118"/>
      <c r="M1096" s="150"/>
      <c r="N1096" s="138"/>
      <c r="O1096" s="151"/>
      <c r="P1096" s="150"/>
      <c r="Q1096" s="150"/>
      <c r="R1096" s="139"/>
      <c r="S1096" s="148"/>
      <c r="T1096" s="140"/>
      <c r="U1096" s="175"/>
      <c r="V1096" s="21"/>
    </row>
    <row r="1097" spans="1:22" ht="16.5" hidden="1" customHeight="1" x14ac:dyDescent="0.25">
      <c r="A1097" s="175"/>
      <c r="B1097" s="175"/>
      <c r="C1097" s="147"/>
      <c r="D1097" s="147"/>
      <c r="E1097" s="148"/>
      <c r="F1097" s="149"/>
      <c r="G1097" s="148"/>
      <c r="H1097" s="148"/>
      <c r="I1097" s="148"/>
      <c r="J1097" s="103"/>
      <c r="K1097" s="138"/>
      <c r="L1097" s="118"/>
      <c r="M1097" s="150"/>
      <c r="N1097" s="150"/>
      <c r="O1097" s="151"/>
      <c r="P1097" s="150"/>
      <c r="Q1097" s="150"/>
      <c r="R1097" s="139"/>
      <c r="S1097" s="148"/>
      <c r="T1097" s="140"/>
      <c r="U1097" s="175"/>
      <c r="V1097" s="21"/>
    </row>
    <row r="1098" spans="1:22" ht="16.5" hidden="1" customHeight="1" x14ac:dyDescent="0.25">
      <c r="A1098" s="175"/>
      <c r="B1098" s="175"/>
      <c r="C1098" s="147"/>
      <c r="D1098" s="147"/>
      <c r="E1098" s="148"/>
      <c r="F1098" s="149"/>
      <c r="G1098" s="148"/>
      <c r="H1098" s="148"/>
      <c r="I1098" s="148"/>
      <c r="J1098" s="103"/>
      <c r="K1098" s="138"/>
      <c r="L1098" s="118"/>
      <c r="M1098" s="138"/>
      <c r="N1098" s="138"/>
      <c r="O1098" s="151"/>
      <c r="P1098" s="150"/>
      <c r="Q1098" s="150"/>
      <c r="R1098" s="139"/>
      <c r="S1098" s="148"/>
      <c r="T1098" s="140"/>
      <c r="U1098" s="175"/>
      <c r="V1098" s="21"/>
    </row>
    <row r="1099" spans="1:22" ht="16.5" hidden="1" customHeight="1" x14ac:dyDescent="0.25">
      <c r="A1099" s="175"/>
      <c r="B1099" s="175"/>
      <c r="C1099" s="147"/>
      <c r="D1099" s="147"/>
      <c r="E1099" s="148"/>
      <c r="F1099" s="149"/>
      <c r="G1099" s="148"/>
      <c r="H1099" s="148"/>
      <c r="I1099" s="148"/>
      <c r="J1099" s="103"/>
      <c r="K1099" s="138"/>
      <c r="L1099" s="138"/>
      <c r="M1099" s="118"/>
      <c r="N1099" s="138"/>
      <c r="O1099" s="151"/>
      <c r="P1099" s="150"/>
      <c r="Q1099" s="150"/>
      <c r="R1099" s="139"/>
      <c r="S1099" s="148"/>
      <c r="T1099" s="140"/>
      <c r="U1099" s="175"/>
      <c r="V1099" s="21"/>
    </row>
    <row r="1100" spans="1:22" ht="16.5" hidden="1" customHeight="1" x14ac:dyDescent="0.25">
      <c r="A1100" s="175"/>
      <c r="B1100" s="175"/>
      <c r="C1100" s="147"/>
      <c r="D1100" s="147"/>
      <c r="E1100" s="148"/>
      <c r="F1100" s="149"/>
      <c r="G1100" s="148"/>
      <c r="H1100" s="148"/>
      <c r="I1100" s="148"/>
      <c r="J1100" s="103"/>
      <c r="K1100" s="138"/>
      <c r="L1100" s="118"/>
      <c r="M1100" s="150"/>
      <c r="N1100" s="150"/>
      <c r="O1100" s="151"/>
      <c r="P1100" s="150"/>
      <c r="Q1100" s="150"/>
      <c r="R1100" s="139"/>
      <c r="S1100" s="148"/>
      <c r="T1100" s="140"/>
      <c r="U1100" s="175"/>
      <c r="V1100" s="21"/>
    </row>
    <row r="1101" spans="1:22" ht="16.5" hidden="1" customHeight="1" x14ac:dyDescent="0.25">
      <c r="A1101" s="175"/>
      <c r="B1101" s="175"/>
      <c r="C1101" s="147"/>
      <c r="D1101" s="147"/>
      <c r="E1101" s="148"/>
      <c r="F1101" s="22"/>
      <c r="G1101" s="156"/>
      <c r="H1101" s="148"/>
      <c r="I1101" s="148"/>
      <c r="J1101" s="157"/>
      <c r="K1101" s="138"/>
      <c r="L1101" s="118"/>
      <c r="M1101" s="150"/>
      <c r="N1101" s="150"/>
      <c r="O1101" s="151"/>
      <c r="P1101" s="150"/>
      <c r="Q1101" s="150"/>
      <c r="R1101" s="139"/>
      <c r="S1101" s="148"/>
      <c r="T1101" s="140"/>
      <c r="U1101" s="175"/>
      <c r="V1101" s="21"/>
    </row>
    <row r="1102" spans="1:22" ht="16.5" hidden="1" customHeight="1" x14ac:dyDescent="0.25">
      <c r="A1102" s="175"/>
      <c r="B1102" s="175"/>
      <c r="C1102" s="147"/>
      <c r="D1102" s="147"/>
      <c r="E1102" s="148"/>
      <c r="F1102" s="153"/>
      <c r="G1102" s="148"/>
      <c r="H1102" s="148"/>
      <c r="I1102" s="148"/>
      <c r="J1102" s="157"/>
      <c r="K1102" s="138"/>
      <c r="L1102" s="118"/>
      <c r="M1102" s="150"/>
      <c r="N1102" s="150"/>
      <c r="O1102" s="151"/>
      <c r="P1102" s="150"/>
      <c r="Q1102" s="150"/>
      <c r="R1102" s="139"/>
      <c r="S1102" s="148"/>
      <c r="T1102" s="140"/>
      <c r="U1102" s="175"/>
      <c r="V1102" s="21"/>
    </row>
    <row r="1103" spans="1:22" ht="16.5" hidden="1" customHeight="1" x14ac:dyDescent="0.25">
      <c r="A1103" s="175"/>
      <c r="B1103" s="175"/>
      <c r="C1103" s="147"/>
      <c r="D1103" s="147"/>
      <c r="E1103" s="148"/>
      <c r="F1103" s="153"/>
      <c r="G1103" s="156"/>
      <c r="H1103" s="148"/>
      <c r="I1103" s="148"/>
      <c r="J1103" s="157"/>
      <c r="K1103" s="150"/>
      <c r="L1103" s="118"/>
      <c r="M1103" s="150"/>
      <c r="N1103" s="150"/>
      <c r="O1103" s="151"/>
      <c r="P1103" s="150"/>
      <c r="Q1103" s="150"/>
      <c r="R1103" s="139"/>
      <c r="S1103" s="148"/>
      <c r="T1103" s="140"/>
      <c r="U1103" s="175"/>
      <c r="V1103" s="21"/>
    </row>
    <row r="1104" spans="1:22" ht="16.5" hidden="1" customHeight="1" x14ac:dyDescent="0.25">
      <c r="A1104" s="175"/>
      <c r="B1104" s="175"/>
      <c r="C1104" s="147"/>
      <c r="D1104" s="147"/>
      <c r="E1104" s="148"/>
      <c r="F1104" s="22"/>
      <c r="G1104" s="156"/>
      <c r="H1104" s="148"/>
      <c r="I1104" s="148"/>
      <c r="J1104" s="157"/>
      <c r="K1104" s="138"/>
      <c r="L1104" s="118"/>
      <c r="M1104" s="150"/>
      <c r="N1104" s="150"/>
      <c r="O1104" s="151"/>
      <c r="P1104" s="150"/>
      <c r="Q1104" s="150"/>
      <c r="R1104" s="139"/>
      <c r="S1104" s="148"/>
      <c r="T1104" s="140"/>
      <c r="U1104" s="175"/>
      <c r="V1104" s="21"/>
    </row>
    <row r="1105" spans="1:22" ht="16.5" hidden="1" customHeight="1" x14ac:dyDescent="0.25">
      <c r="A1105" s="175"/>
      <c r="B1105" s="175"/>
      <c r="C1105" s="147"/>
      <c r="D1105" s="147"/>
      <c r="E1105" s="148"/>
      <c r="F1105" s="153"/>
      <c r="G1105" s="148"/>
      <c r="H1105" s="148"/>
      <c r="I1105" s="148"/>
      <c r="J1105" s="157"/>
      <c r="K1105" s="138"/>
      <c r="L1105" s="118"/>
      <c r="M1105" s="150"/>
      <c r="N1105" s="150"/>
      <c r="O1105" s="151"/>
      <c r="P1105" s="150"/>
      <c r="Q1105" s="150"/>
      <c r="R1105" s="139"/>
      <c r="S1105" s="148"/>
      <c r="T1105" s="140"/>
      <c r="U1105" s="175"/>
      <c r="V1105" s="21"/>
    </row>
    <row r="1106" spans="1:22" ht="16.5" hidden="1" customHeight="1" x14ac:dyDescent="0.25">
      <c r="A1106" s="175"/>
      <c r="B1106" s="175"/>
      <c r="C1106" s="147"/>
      <c r="D1106" s="147"/>
      <c r="E1106" s="148"/>
      <c r="F1106" s="149"/>
      <c r="G1106" s="148"/>
      <c r="H1106" s="148"/>
      <c r="I1106" s="148"/>
      <c r="J1106" s="157"/>
      <c r="K1106" s="150"/>
      <c r="L1106" s="150"/>
      <c r="M1106" s="150"/>
      <c r="N1106" s="150"/>
      <c r="O1106" s="151"/>
      <c r="P1106" s="150"/>
      <c r="Q1106" s="150"/>
      <c r="R1106" s="139"/>
      <c r="S1106" s="148"/>
      <c r="T1106" s="140"/>
      <c r="U1106" s="175"/>
      <c r="V1106" s="21"/>
    </row>
    <row r="1107" spans="1:22" ht="16.5" hidden="1" customHeight="1" x14ac:dyDescent="0.25">
      <c r="A1107" s="175"/>
      <c r="B1107" s="175"/>
      <c r="C1107" s="147"/>
      <c r="D1107" s="147"/>
      <c r="E1107" s="148"/>
      <c r="F1107" s="149"/>
      <c r="G1107" s="148"/>
      <c r="H1107" s="148"/>
      <c r="I1107" s="148"/>
      <c r="J1107" s="157"/>
      <c r="K1107" s="150"/>
      <c r="L1107" s="118"/>
      <c r="M1107" s="150"/>
      <c r="N1107" s="150"/>
      <c r="O1107" s="151"/>
      <c r="P1107" s="150"/>
      <c r="Q1107" s="150"/>
      <c r="R1107" s="139"/>
      <c r="S1107" s="148"/>
      <c r="T1107" s="140"/>
      <c r="U1107" s="175"/>
      <c r="V1107" s="21"/>
    </row>
    <row r="1108" spans="1:22" ht="16.5" hidden="1" customHeight="1" x14ac:dyDescent="0.25">
      <c r="A1108" s="175"/>
      <c r="B1108" s="175"/>
      <c r="C1108" s="147"/>
      <c r="D1108" s="147"/>
      <c r="E1108" s="148"/>
      <c r="F1108" s="149"/>
      <c r="G1108" s="148"/>
      <c r="H1108" s="148"/>
      <c r="I1108" s="148"/>
      <c r="J1108" s="157"/>
      <c r="K1108" s="150"/>
      <c r="L1108" s="118"/>
      <c r="M1108" s="150"/>
      <c r="N1108" s="150"/>
      <c r="O1108" s="151"/>
      <c r="P1108" s="150"/>
      <c r="Q1108" s="150"/>
      <c r="R1108" s="139"/>
      <c r="S1108" s="148"/>
      <c r="T1108" s="140"/>
      <c r="U1108" s="183"/>
      <c r="V1108" s="183"/>
    </row>
    <row r="1109" spans="1:22" ht="16.5" hidden="1" customHeight="1" x14ac:dyDescent="0.25">
      <c r="A1109" s="175"/>
      <c r="B1109" s="175"/>
      <c r="C1109" s="147"/>
      <c r="D1109" s="147"/>
      <c r="E1109" s="148"/>
      <c r="F1109" s="149"/>
      <c r="G1109" s="148"/>
      <c r="H1109" s="148"/>
      <c r="I1109" s="148"/>
      <c r="J1109" s="157"/>
      <c r="K1109" s="150"/>
      <c r="L1109" s="150"/>
      <c r="M1109" s="150"/>
      <c r="N1109" s="150"/>
      <c r="O1109" s="151"/>
      <c r="P1109" s="150"/>
      <c r="Q1109" s="150"/>
      <c r="R1109" s="139"/>
      <c r="S1109" s="148"/>
      <c r="T1109" s="140"/>
      <c r="U1109" s="183"/>
      <c r="V1109" s="183"/>
    </row>
    <row r="1110" spans="1:22" ht="16.5" hidden="1" customHeight="1" x14ac:dyDescent="0.25">
      <c r="A1110" s="175"/>
      <c r="B1110" s="175"/>
      <c r="C1110" s="147"/>
      <c r="D1110" s="147"/>
      <c r="E1110" s="148"/>
      <c r="F1110" s="149"/>
      <c r="G1110" s="148"/>
      <c r="H1110" s="148"/>
      <c r="I1110" s="32"/>
      <c r="J1110" s="157"/>
      <c r="K1110" s="150"/>
      <c r="L1110" s="138"/>
      <c r="M1110" s="150"/>
      <c r="N1110" s="150"/>
      <c r="O1110" s="138"/>
      <c r="P1110" s="150"/>
      <c r="Q1110" s="150"/>
      <c r="R1110" s="139"/>
      <c r="S1110" s="148"/>
      <c r="T1110" s="140"/>
      <c r="U1110" s="175"/>
      <c r="V1110" s="21"/>
    </row>
    <row r="1111" spans="1:22" ht="16.5" hidden="1" customHeight="1" x14ac:dyDescent="0.25">
      <c r="A1111" s="175"/>
      <c r="B1111" s="175"/>
      <c r="C1111" s="147"/>
      <c r="D1111" s="147"/>
      <c r="E1111" s="148"/>
      <c r="F1111" s="149"/>
      <c r="G1111" s="148"/>
      <c r="H1111" s="148"/>
      <c r="I1111" s="32"/>
      <c r="J1111" s="157"/>
      <c r="K1111" s="150"/>
      <c r="L1111" s="138"/>
      <c r="M1111" s="150"/>
      <c r="N1111" s="150"/>
      <c r="O1111" s="138"/>
      <c r="P1111" s="150"/>
      <c r="Q1111" s="138"/>
      <c r="R1111" s="139"/>
      <c r="S1111" s="148"/>
      <c r="T1111" s="140"/>
      <c r="U1111" s="175"/>
      <c r="V1111" s="21"/>
    </row>
    <row r="1112" spans="1:22" ht="16.5" hidden="1" customHeight="1" x14ac:dyDescent="0.25">
      <c r="A1112" s="175"/>
      <c r="B1112" s="175"/>
      <c r="C1112" s="147"/>
      <c r="D1112" s="147"/>
      <c r="E1112" s="148"/>
      <c r="F1112" s="149"/>
      <c r="G1112" s="148"/>
      <c r="H1112" s="148"/>
      <c r="I1112" s="148"/>
      <c r="J1112" s="157"/>
      <c r="K1112" s="150"/>
      <c r="L1112" s="150"/>
      <c r="M1112" s="150"/>
      <c r="N1112" s="150"/>
      <c r="O1112" s="151"/>
      <c r="P1112" s="150"/>
      <c r="Q1112" s="150"/>
      <c r="R1112" s="139"/>
      <c r="S1112" s="148"/>
      <c r="T1112" s="140"/>
      <c r="U1112" s="175"/>
      <c r="V1112" s="21"/>
    </row>
    <row r="1113" spans="1:22" ht="16.5" hidden="1" customHeight="1" x14ac:dyDescent="0.25">
      <c r="A1113" s="175"/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hidden="1" customHeight="1" x14ac:dyDescent="0.25">
      <c r="A1114" s="175"/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hidden="1" customHeight="1" x14ac:dyDescent="0.25">
      <c r="A1115" s="175"/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hidden="1" customHeight="1" x14ac:dyDescent="0.25">
      <c r="A1116" s="175"/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hidden="1" customHeight="1" x14ac:dyDescent="0.25">
      <c r="A1117" s="175"/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hidden="1" customHeight="1" x14ac:dyDescent="0.25">
      <c r="A1118" s="175"/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hidden="1" customHeight="1" x14ac:dyDescent="0.25">
      <c r="A1119" s="175"/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hidden="1" customHeight="1" x14ac:dyDescent="0.25">
      <c r="A1120" s="175"/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hidden="1" customHeight="1" x14ac:dyDescent="0.25">
      <c r="A1121" s="175"/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hidden="1" customHeight="1" x14ac:dyDescent="0.25">
      <c r="A1122" s="175"/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hidden="1" customHeight="1" x14ac:dyDescent="0.25">
      <c r="A1123" s="175"/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hidden="1" customHeight="1" x14ac:dyDescent="0.25">
      <c r="A1124" s="175"/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hidden="1" customHeight="1" x14ac:dyDescent="0.25">
      <c r="A1125" s="175"/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hidden="1" customHeight="1" x14ac:dyDescent="0.25">
      <c r="A1126" s="175"/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hidden="1" customHeight="1" x14ac:dyDescent="0.25">
      <c r="A1127" s="175"/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hidden="1" customHeight="1" x14ac:dyDescent="0.25">
      <c r="A1128" s="175"/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hidden="1" customHeight="1" x14ac:dyDescent="0.25">
      <c r="A1129" s="175"/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hidden="1" customHeight="1" x14ac:dyDescent="0.25">
      <c r="A1130" s="175"/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hidden="1" customHeight="1" x14ac:dyDescent="0.25">
      <c r="A1131" s="175"/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hidden="1" customHeight="1" x14ac:dyDescent="0.25">
      <c r="A1132" s="175"/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hidden="1" customHeight="1" x14ac:dyDescent="0.25">
      <c r="A1133" s="175"/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hidden="1" customHeight="1" x14ac:dyDescent="0.25">
      <c r="A1134" s="175"/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hidden="1" customHeight="1" x14ac:dyDescent="0.25">
      <c r="A1135" s="175"/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hidden="1" customHeight="1" x14ac:dyDescent="0.25">
      <c r="A1136" s="175"/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hidden="1" customHeight="1" x14ac:dyDescent="0.25">
      <c r="A1137" s="175"/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hidden="1" customHeight="1" x14ac:dyDescent="0.25">
      <c r="A1138" s="175"/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hidden="1" customHeight="1" x14ac:dyDescent="0.25">
      <c r="A1139" s="175"/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hidden="1" customHeight="1" x14ac:dyDescent="0.25">
      <c r="A1140" s="175"/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hidden="1" customHeight="1" x14ac:dyDescent="0.25">
      <c r="A1141" s="175"/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hidden="1" customHeight="1" x14ac:dyDescent="0.25">
      <c r="A1142" s="175"/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hidden="1" customHeight="1" x14ac:dyDescent="0.25">
      <c r="A1143" s="175"/>
      <c r="B1143" s="175"/>
      <c r="C1143" s="147"/>
      <c r="D1143" s="189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hidden="1" customHeight="1" x14ac:dyDescent="0.25">
      <c r="A1144" s="175"/>
      <c r="B1144" s="175"/>
      <c r="C1144" s="147"/>
      <c r="D1144" s="189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hidden="1" customHeight="1" x14ac:dyDescent="0.25">
      <c r="A1145" s="175"/>
      <c r="B1145" s="175"/>
      <c r="C1145" s="147"/>
      <c r="D1145" s="189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hidden="1" customHeight="1" x14ac:dyDescent="0.25">
      <c r="A1146" s="175"/>
      <c r="B1146" s="175"/>
      <c r="C1146" s="147"/>
      <c r="D1146" s="189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hidden="1" customHeight="1" x14ac:dyDescent="0.25">
      <c r="A1147" s="175"/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hidden="1" customHeight="1" x14ac:dyDescent="0.25">
      <c r="A1148" s="175"/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hidden="1" customHeight="1" x14ac:dyDescent="0.25">
      <c r="A1149" s="175"/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hidden="1" customHeight="1" x14ac:dyDescent="0.25">
      <c r="A1150" s="175"/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hidden="1" customHeight="1" x14ac:dyDescent="0.25">
      <c r="A1151" s="175"/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hidden="1" customHeight="1" x14ac:dyDescent="0.25">
      <c r="A1152" s="175"/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hidden="1" customHeight="1" x14ac:dyDescent="0.25">
      <c r="A1153" s="175"/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hidden="1" customHeight="1" x14ac:dyDescent="0.25">
      <c r="A1154" s="175"/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hidden="1" customHeight="1" x14ac:dyDescent="0.25">
      <c r="A1155" s="175"/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hidden="1" customHeight="1" x14ac:dyDescent="0.25">
      <c r="A1156" s="175"/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hidden="1" customHeight="1" x14ac:dyDescent="0.25">
      <c r="A1157" s="175"/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hidden="1" customHeight="1" x14ac:dyDescent="0.25">
      <c r="A1158" s="175"/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hidden="1" customHeight="1" x14ac:dyDescent="0.25">
      <c r="A1159" s="175"/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hidden="1" customHeight="1" x14ac:dyDescent="0.25">
      <c r="A1160" s="175"/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hidden="1" customHeight="1" x14ac:dyDescent="0.25">
      <c r="A1161" s="175"/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hidden="1" customHeight="1" x14ac:dyDescent="0.25">
      <c r="A1162" s="175"/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hidden="1" customHeight="1" x14ac:dyDescent="0.25">
      <c r="A1163" s="175"/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hidden="1" customHeight="1" x14ac:dyDescent="0.25">
      <c r="A1164" s="175"/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hidden="1" customHeight="1" x14ac:dyDescent="0.25">
      <c r="A1165" s="175"/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hidden="1" customHeight="1" x14ac:dyDescent="0.25">
      <c r="A1166" s="175"/>
      <c r="B1166" s="175"/>
      <c r="C1166" s="147"/>
      <c r="D1166" s="147"/>
      <c r="E1166" s="148"/>
      <c r="F1166" s="149"/>
      <c r="G1166" s="189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hidden="1" customHeight="1" x14ac:dyDescent="0.25">
      <c r="A1167" s="175"/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hidden="1" customHeight="1" x14ac:dyDescent="0.25">
      <c r="A1168" s="175"/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hidden="1" customHeight="1" x14ac:dyDescent="0.25">
      <c r="A1169" s="175"/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hidden="1" customHeight="1" x14ac:dyDescent="0.25">
      <c r="A1170" s="175"/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hidden="1" customHeight="1" x14ac:dyDescent="0.25">
      <c r="A1171" s="175"/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hidden="1" customHeight="1" x14ac:dyDescent="0.25">
      <c r="A1172" s="175"/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hidden="1" customHeight="1" x14ac:dyDescent="0.25">
      <c r="A1173" s="175"/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hidden="1" customHeight="1" x14ac:dyDescent="0.25">
      <c r="A1174" s="175"/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hidden="1" customHeight="1" x14ac:dyDescent="0.25">
      <c r="A1175" s="175"/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hidden="1" customHeight="1" x14ac:dyDescent="0.25">
      <c r="A1176" s="175"/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hidden="1" customHeight="1" x14ac:dyDescent="0.25">
      <c r="A1177" s="175"/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hidden="1" customHeight="1" x14ac:dyDescent="0.25">
      <c r="A1178" s="175"/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hidden="1" customHeight="1" x14ac:dyDescent="0.25">
      <c r="A1179" s="175"/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hidden="1" customHeight="1" x14ac:dyDescent="0.25">
      <c r="A1180" s="175"/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hidden="1" customHeight="1" x14ac:dyDescent="0.25">
      <c r="A1181" s="175"/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hidden="1" customHeight="1" x14ac:dyDescent="0.25">
      <c r="A1182" s="175"/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hidden="1" customHeight="1" x14ac:dyDescent="0.25">
      <c r="A1183" s="175"/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hidden="1" customHeight="1" x14ac:dyDescent="0.25">
      <c r="A1184" s="175"/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hidden="1" customHeight="1" x14ac:dyDescent="0.25">
      <c r="A1185" s="175"/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hidden="1" customHeight="1" x14ac:dyDescent="0.25">
      <c r="A1186" s="175"/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hidden="1" customHeight="1" x14ac:dyDescent="0.25">
      <c r="A1187" s="175"/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hidden="1" customHeight="1" x14ac:dyDescent="0.25">
      <c r="A1188" s="175"/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hidden="1" customHeight="1" x14ac:dyDescent="0.25">
      <c r="A1189" s="175"/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hidden="1" customHeight="1" x14ac:dyDescent="0.25">
      <c r="A1190" s="175"/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hidden="1" customHeight="1" x14ac:dyDescent="0.25">
      <c r="A1191" s="175"/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hidden="1" customHeight="1" x14ac:dyDescent="0.25">
      <c r="A1192" s="175"/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hidden="1" customHeight="1" x14ac:dyDescent="0.25">
      <c r="A1193" s="175"/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hidden="1" customHeight="1" x14ac:dyDescent="0.25">
      <c r="A1194" s="175"/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hidden="1" customHeight="1" x14ac:dyDescent="0.25">
      <c r="A1195" s="175"/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hidden="1" customHeight="1" x14ac:dyDescent="0.25">
      <c r="A1196" s="175"/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hidden="1" customHeight="1" x14ac:dyDescent="0.25">
      <c r="A1197" s="175"/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hidden="1" customHeight="1" x14ac:dyDescent="0.25">
      <c r="A1198" s="175"/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hidden="1" customHeight="1" x14ac:dyDescent="0.25">
      <c r="A1199" s="175"/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hidden="1" customHeight="1" x14ac:dyDescent="0.25">
      <c r="A1200" s="175"/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hidden="1" customHeight="1" x14ac:dyDescent="0.25">
      <c r="A1201" s="175"/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hidden="1" customHeight="1" x14ac:dyDescent="0.25">
      <c r="A1202" s="175"/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hidden="1" customHeight="1" x14ac:dyDescent="0.25">
      <c r="A1203" s="175"/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hidden="1" customHeight="1" x14ac:dyDescent="0.25">
      <c r="A1204" s="175"/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hidden="1" customHeight="1" x14ac:dyDescent="0.25">
      <c r="A1205" s="175"/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hidden="1" customHeight="1" x14ac:dyDescent="0.25">
      <c r="A1206" s="175"/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hidden="1" customHeight="1" x14ac:dyDescent="0.25">
      <c r="A1207" s="175"/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hidden="1" customHeight="1" x14ac:dyDescent="0.25">
      <c r="A1208" s="175"/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hidden="1" customHeight="1" x14ac:dyDescent="0.25">
      <c r="A1209" s="175"/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hidden="1" customHeight="1" x14ac:dyDescent="0.25">
      <c r="A1210" s="175"/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hidden="1" customHeight="1" x14ac:dyDescent="0.25">
      <c r="A1211" s="175"/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hidden="1" customHeight="1" x14ac:dyDescent="0.25">
      <c r="A1212" s="175"/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hidden="1" customHeight="1" x14ac:dyDescent="0.25">
      <c r="A1213" s="175"/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hidden="1" customHeight="1" x14ac:dyDescent="0.25">
      <c r="A1214" s="175"/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hidden="1" customHeight="1" x14ac:dyDescent="0.25">
      <c r="A1215" s="175"/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hidden="1" customHeight="1" x14ac:dyDescent="0.25">
      <c r="A1216" s="175"/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hidden="1" customHeight="1" x14ac:dyDescent="0.25">
      <c r="A1217" s="175"/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hidden="1" customHeight="1" x14ac:dyDescent="0.25">
      <c r="A1218" s="175"/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hidden="1" customHeight="1" x14ac:dyDescent="0.25">
      <c r="A1219" s="175"/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hidden="1" customHeight="1" x14ac:dyDescent="0.25">
      <c r="A1220" s="175"/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hidden="1" customHeight="1" x14ac:dyDescent="0.25">
      <c r="A1221" s="175"/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hidden="1" customHeight="1" x14ac:dyDescent="0.25">
      <c r="A1222" s="175"/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hidden="1" customHeight="1" x14ac:dyDescent="0.25">
      <c r="A1223" s="175"/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hidden="1" customHeight="1" x14ac:dyDescent="0.25">
      <c r="A1224" s="175"/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hidden="1" customHeight="1" x14ac:dyDescent="0.25">
      <c r="A1225" s="175"/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hidden="1" customHeight="1" x14ac:dyDescent="0.25">
      <c r="A1226" s="175"/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hidden="1" customHeight="1" x14ac:dyDescent="0.25">
      <c r="A1227" s="175"/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hidden="1" customHeight="1" x14ac:dyDescent="0.25">
      <c r="A1228" s="175"/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hidden="1" customHeight="1" x14ac:dyDescent="0.25">
      <c r="A1229" s="175"/>
      <c r="B1229" s="175"/>
      <c r="C1229" s="147"/>
      <c r="D1229" s="147"/>
      <c r="E1229" s="148"/>
      <c r="F1229" s="155"/>
      <c r="G1229" s="190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hidden="1" customHeight="1" x14ac:dyDescent="0.25">
      <c r="A1230" s="175"/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hidden="1" customHeight="1" x14ac:dyDescent="0.25">
      <c r="A1231" s="175"/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hidden="1" customHeight="1" x14ac:dyDescent="0.25">
      <c r="A1232" s="175"/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hidden="1" customHeight="1" x14ac:dyDescent="0.25">
      <c r="A1233" s="175"/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hidden="1" customHeight="1" x14ac:dyDescent="0.25">
      <c r="A1234" s="175"/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hidden="1" customHeight="1" x14ac:dyDescent="0.25">
      <c r="A1235" s="175"/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hidden="1" customHeight="1" x14ac:dyDescent="0.25">
      <c r="A1236" s="175"/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hidden="1" customHeight="1" x14ac:dyDescent="0.25">
      <c r="A1237" s="175"/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hidden="1" customHeight="1" x14ac:dyDescent="0.25">
      <c r="A1238" s="175"/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hidden="1" customHeight="1" x14ac:dyDescent="0.25">
      <c r="A1239" s="175"/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hidden="1" customHeight="1" x14ac:dyDescent="0.25">
      <c r="A1240" s="175"/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hidden="1" customHeight="1" x14ac:dyDescent="0.25">
      <c r="A1241" s="175"/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hidden="1" customHeight="1" x14ac:dyDescent="0.25">
      <c r="A1242" s="175"/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hidden="1" customHeight="1" x14ac:dyDescent="0.25">
      <c r="A1243" s="175"/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hidden="1" customHeight="1" x14ac:dyDescent="0.25">
      <c r="A1244" s="175"/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hidden="1" customHeight="1" x14ac:dyDescent="0.25">
      <c r="A1245" s="175"/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hidden="1" customHeight="1" x14ac:dyDescent="0.25">
      <c r="A1246" s="175"/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hidden="1" customHeight="1" x14ac:dyDescent="0.25">
      <c r="A1247" s="175"/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hidden="1" customHeight="1" x14ac:dyDescent="0.25">
      <c r="A1248" s="175"/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hidden="1" customHeight="1" x14ac:dyDescent="0.25">
      <c r="A1249" s="175"/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hidden="1" customHeight="1" x14ac:dyDescent="0.25">
      <c r="A1250" s="175"/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hidden="1" customHeight="1" x14ac:dyDescent="0.25">
      <c r="A1251" s="175"/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hidden="1" customHeight="1" x14ac:dyDescent="0.25">
      <c r="A1252" s="175"/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hidden="1" customHeight="1" x14ac:dyDescent="0.25">
      <c r="A1253" s="175"/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hidden="1" customHeight="1" x14ac:dyDescent="0.25">
      <c r="A1254" s="175"/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hidden="1" customHeight="1" x14ac:dyDescent="0.25">
      <c r="A1255" s="175"/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hidden="1" customHeight="1" x14ac:dyDescent="0.25">
      <c r="A1256" s="138"/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hidden="1" customHeight="1" x14ac:dyDescent="0.25">
      <c r="A1257" s="138"/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hidden="1" customHeight="1" x14ac:dyDescent="0.25">
      <c r="A1258" s="175"/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hidden="1" customHeight="1" x14ac:dyDescent="0.25">
      <c r="A1259" s="175"/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hidden="1" customHeight="1" x14ac:dyDescent="0.25">
      <c r="A1260" s="175"/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hidden="1" customHeight="1" x14ac:dyDescent="0.25">
      <c r="A1261" s="175"/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hidden="1" customHeight="1" x14ac:dyDescent="0.25">
      <c r="A1262" s="175"/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hidden="1" customHeight="1" x14ac:dyDescent="0.25">
      <c r="A1263" s="175"/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hidden="1" customHeight="1" x14ac:dyDescent="0.25">
      <c r="A1264" s="175"/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hidden="1" customHeight="1" x14ac:dyDescent="0.25">
      <c r="A1265" s="175"/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hidden="1" customHeight="1" x14ac:dyDescent="0.25">
      <c r="A1266" s="175"/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hidden="1" customHeight="1" x14ac:dyDescent="0.25">
      <c r="A1267" s="175"/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hidden="1" customHeight="1" x14ac:dyDescent="0.25">
      <c r="A1268" s="175"/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hidden="1" customHeight="1" x14ac:dyDescent="0.25">
      <c r="A1269" s="175"/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hidden="1" customHeight="1" x14ac:dyDescent="0.25">
      <c r="A1270" s="175"/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hidden="1" customHeight="1" x14ac:dyDescent="0.25">
      <c r="A1271" s="150"/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hidden="1" customHeight="1" x14ac:dyDescent="0.25">
      <c r="A1272" s="150"/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hidden="1" customHeight="1" x14ac:dyDescent="0.25">
      <c r="A1273" s="150"/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hidden="1" customHeight="1" x14ac:dyDescent="0.25">
      <c r="A1274" s="150"/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hidden="1" customHeight="1" x14ac:dyDescent="0.25">
      <c r="A1275" s="150"/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hidden="1" customHeight="1" x14ac:dyDescent="0.25">
      <c r="A1276" s="150"/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hidden="1" customHeight="1" x14ac:dyDescent="0.25">
      <c r="A1277" s="150"/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hidden="1" customHeight="1" x14ac:dyDescent="0.25">
      <c r="A1278" s="150"/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hidden="1" customHeight="1" x14ac:dyDescent="0.25">
      <c r="A1279" s="150"/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hidden="1" customHeight="1" x14ac:dyDescent="0.25">
      <c r="A1280" s="150"/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hidden="1" customHeight="1" x14ac:dyDescent="0.25">
      <c r="A1281" s="150"/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hidden="1" customHeight="1" x14ac:dyDescent="0.25">
      <c r="A1282" s="150"/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hidden="1" customHeight="1" x14ac:dyDescent="0.25">
      <c r="A1283" s="150"/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hidden="1" customHeight="1" x14ac:dyDescent="0.25">
      <c r="A1284" s="150"/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hidden="1" customHeight="1" x14ac:dyDescent="0.25">
      <c r="A1285" s="150"/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hidden="1" customHeight="1" x14ac:dyDescent="0.25">
      <c r="A1286" s="150"/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hidden="1" customHeight="1" x14ac:dyDescent="0.25">
      <c r="A1287" s="150"/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hidden="1" customHeight="1" x14ac:dyDescent="0.25">
      <c r="A1288" s="150"/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hidden="1" customHeight="1" x14ac:dyDescent="0.25">
      <c r="A1289" s="150"/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hidden="1" customHeight="1" x14ac:dyDescent="0.25">
      <c r="A1290" s="150"/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hidden="1" customHeight="1" x14ac:dyDescent="0.25">
      <c r="A1291" s="150"/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hidden="1" customHeight="1" x14ac:dyDescent="0.25">
      <c r="A1292" s="150"/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hidden="1" customHeight="1" x14ac:dyDescent="0.25">
      <c r="A1293" s="150"/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hidden="1" customHeight="1" x14ac:dyDescent="0.25">
      <c r="A1294" s="150"/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hidden="1" customHeight="1" x14ac:dyDescent="0.25">
      <c r="A1295" s="150"/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hidden="1" customHeight="1" x14ac:dyDescent="0.25">
      <c r="A1296" s="150"/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hidden="1" customHeight="1" x14ac:dyDescent="0.25">
      <c r="A1297" s="150"/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hidden="1" customHeight="1" x14ac:dyDescent="0.25">
      <c r="A1298" s="150"/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hidden="1" customHeight="1" x14ac:dyDescent="0.25">
      <c r="A1299" s="150"/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hidden="1" customHeight="1" x14ac:dyDescent="0.25">
      <c r="A1300" s="150"/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hidden="1" customHeight="1" x14ac:dyDescent="0.25">
      <c r="A1301" s="150"/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hidden="1" customHeight="1" x14ac:dyDescent="0.25">
      <c r="A1302" s="150"/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hidden="1" customHeight="1" x14ac:dyDescent="0.25">
      <c r="A1303" s="150"/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hidden="1" customHeight="1" x14ac:dyDescent="0.25">
      <c r="A1304" s="150"/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hidden="1" customHeight="1" x14ac:dyDescent="0.25">
      <c r="A1305" s="150"/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hidden="1" customHeight="1" x14ac:dyDescent="0.25">
      <c r="A1306" s="150"/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hidden="1" customHeight="1" x14ac:dyDescent="0.25">
      <c r="A1307" s="150"/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hidden="1" customHeight="1" x14ac:dyDescent="0.25">
      <c r="A1308" s="150"/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hidden="1" customHeight="1" x14ac:dyDescent="0.25">
      <c r="A1309" s="150"/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hidden="1" customHeight="1" x14ac:dyDescent="0.25">
      <c r="A1310" s="150"/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hidden="1" customHeight="1" x14ac:dyDescent="0.25">
      <c r="A1311" s="150"/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hidden="1" customHeight="1" x14ac:dyDescent="0.25">
      <c r="A1312" s="150"/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hidden="1" customHeight="1" x14ac:dyDescent="0.25">
      <c r="A1313" s="150"/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hidden="1" customHeight="1" x14ac:dyDescent="0.25">
      <c r="A1314" s="150"/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hidden="1" customHeight="1" x14ac:dyDescent="0.25">
      <c r="A1315" s="150"/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hidden="1" customHeight="1" x14ac:dyDescent="0.25">
      <c r="A1316" s="150"/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hidden="1" customHeight="1" x14ac:dyDescent="0.25">
      <c r="A1317" s="150"/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hidden="1" customHeight="1" x14ac:dyDescent="0.25">
      <c r="A1318" s="150"/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hidden="1" customHeight="1" x14ac:dyDescent="0.25">
      <c r="A1319" s="150"/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hidden="1" customHeight="1" x14ac:dyDescent="0.25">
      <c r="A1320" s="150"/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hidden="1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hidden="1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hidden="1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hidden="1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hidden="1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hidden="1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hidden="1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hidden="1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hidden="1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hidden="1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hidden="1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hidden="1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hidden="1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hidden="1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hidden="1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hidden="1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hidden="1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hidden="1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hidden="1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hidden="1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hidden="1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hidden="1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hidden="1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hidden="1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hidden="1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hidden="1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hidden="1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hidden="1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hidden="1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hidden="1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hidden="1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hidden="1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hidden="1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hidden="1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hidden="1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hidden="1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hidden="1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hidden="1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hidden="1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hidden="1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hidden="1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hidden="1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hidden="1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hidden="1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hidden="1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hidden="1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hidden="1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hidden="1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hidden="1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hidden="1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hidden="1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hidden="1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hidden="1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hidden="1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hidden="1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hidden="1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hidden="1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hidden="1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hidden="1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hidden="1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hidden="1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hidden="1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hidden="1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hidden="1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hidden="1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hidden="1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hidden="1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hidden="1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hidden="1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hidden="1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hidden="1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hidden="1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hidden="1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hidden="1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hidden="1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hidden="1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hidden="1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hidden="1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hidden="1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hidden="1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hidden="1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hidden="1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hidden="1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hidden="1" customHeight="1" x14ac:dyDescent="0.25">
      <c r="A1404" s="175"/>
      <c r="B1404" s="175"/>
      <c r="C1404" s="147"/>
      <c r="D1404" s="147"/>
      <c r="E1404" s="148"/>
      <c r="F1404" s="191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hidden="1" customHeight="1" x14ac:dyDescent="0.25">
      <c r="A1405" s="175"/>
      <c r="B1405" s="175"/>
      <c r="C1405" s="147"/>
      <c r="D1405" s="147"/>
      <c r="E1405" s="148"/>
      <c r="F1405" s="191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hidden="1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hidden="1" customHeight="1" x14ac:dyDescent="0.25">
      <c r="A1407" s="175"/>
      <c r="B1407" s="175"/>
      <c r="C1407" s="147"/>
      <c r="D1407" s="147"/>
      <c r="E1407" s="148"/>
      <c r="F1407" s="191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hidden="1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hidden="1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hidden="1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hidden="1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hidden="1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hidden="1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hidden="1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hidden="1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hidden="1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hidden="1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hidden="1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hidden="1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hidden="1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hidden="1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hidden="1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hidden="1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hidden="1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hidden="1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hidden="1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hidden="1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hidden="1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hidden="1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hidden="1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hidden="1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hidden="1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hidden="1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hidden="1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hidden="1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hidden="1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hidden="1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hidden="1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2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hidden="1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2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hidden="1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2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hidden="1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2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hidden="1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hidden="1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hidden="1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hidden="1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hidden="1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hidden="1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hidden="1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hidden="1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hidden="1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hidden="1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hidden="1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hidden="1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hidden="1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hidden="1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hidden="1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hidden="1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hidden="1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hidden="1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hidden="1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hidden="1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hidden="1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hidden="1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hidden="1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hidden="1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hidden="1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hidden="1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hidden="1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hidden="1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hidden="1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hidden="1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hidden="1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hidden="1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hidden="1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hidden="1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hidden="1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hidden="1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hidden="1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hidden="1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hidden="1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hidden="1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hidden="1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hidden="1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hidden="1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hidden="1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hidden="1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hidden="1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hidden="1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hidden="1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hidden="1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hidden="1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hidden="1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hidden="1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hidden="1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hidden="1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hidden="1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hidden="1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hidden="1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hidden="1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hidden="1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hidden="1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hidden="1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hidden="1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hidden="1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hidden="1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hidden="1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hidden="1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hidden="1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hidden="1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hidden="1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hidden="1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hidden="1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hidden="1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hidden="1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hidden="1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hidden="1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hidden="1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hidden="1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hidden="1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hidden="1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hidden="1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hidden="1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hidden="1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hidden="1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hidden="1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hidden="1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hidden="1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hidden="1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hidden="1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hidden="1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hidden="1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hidden="1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hidden="1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hidden="1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hidden="1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hidden="1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hidden="1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hidden="1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hidden="1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hidden="1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hidden="1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hidden="1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hidden="1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hidden="1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hidden="1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hidden="1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hidden="1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hidden="1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hidden="1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hidden="1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hidden="1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hidden="1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hidden="1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hidden="1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hidden="1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hidden="1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hidden="1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hidden="1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hidden="1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hidden="1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hidden="1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hidden="1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hidden="1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hidden="1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hidden="1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hidden="1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hidden="1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hidden="1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hidden="1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hidden="1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hidden="1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hidden="1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hidden="1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hidden="1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hidden="1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hidden="1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hidden="1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hidden="1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hidden="1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hidden="1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hidden="1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hidden="1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hidden="1" customHeight="1" x14ac:dyDescent="0.25">
      <c r="A1583" s="205"/>
      <c r="B1583" s="205"/>
      <c r="C1583" s="205"/>
      <c r="D1583" s="205"/>
      <c r="E1583" s="205"/>
      <c r="F1583" s="205"/>
      <c r="G1583" s="205"/>
      <c r="H1583" s="205"/>
      <c r="I1583" s="205"/>
      <c r="J1583" s="205"/>
      <c r="K1583" s="205"/>
      <c r="L1583" s="205"/>
      <c r="M1583" s="205"/>
      <c r="N1583" s="205"/>
      <c r="O1583" s="205"/>
      <c r="P1583" s="205"/>
      <c r="Q1583" s="205"/>
      <c r="R1583" s="205"/>
      <c r="S1583" s="205"/>
      <c r="T1583" s="205"/>
      <c r="U1583" s="205"/>
      <c r="V1583" s="205"/>
    </row>
    <row r="1584" spans="1:22" s="2" customFormat="1" ht="16.5" hidden="1" customHeight="1" x14ac:dyDescent="0.25">
      <c r="A1584" s="205"/>
      <c r="B1584" s="205"/>
      <c r="C1584" s="205"/>
      <c r="D1584" s="205"/>
      <c r="E1584" s="205"/>
      <c r="F1584" s="205"/>
      <c r="G1584" s="205"/>
      <c r="H1584" s="205"/>
      <c r="I1584" s="205"/>
      <c r="J1584" s="205"/>
      <c r="K1584" s="205"/>
      <c r="L1584" s="205"/>
      <c r="M1584" s="205"/>
      <c r="N1584" s="205"/>
      <c r="O1584" s="205"/>
      <c r="P1584" s="205"/>
      <c r="Q1584" s="205"/>
      <c r="R1584" s="205"/>
      <c r="S1584" s="205"/>
      <c r="T1584" s="205"/>
      <c r="U1584" s="205"/>
      <c r="V1584" s="205"/>
    </row>
    <row r="1585" spans="1:22" ht="16.5" hidden="1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3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hidden="1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3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hidden="1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3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hidden="1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3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hidden="1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3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hidden="1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3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hidden="1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3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hidden="1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hidden="1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3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hidden="1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3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hidden="1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hidden="1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hidden="1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hidden="1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hidden="1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hidden="1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hidden="1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hidden="1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3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hidden="1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3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hidden="1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hidden="1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hidden="1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3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hidden="1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3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hidden="1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hidden="1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hidden="1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hidden="1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3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hidden="1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3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hidden="1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hidden="1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3"/>
      <c r="M1614" s="193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hidden="1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hidden="1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hidden="1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hidden="1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hidden="1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3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hidden="1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3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hidden="1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3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hidden="1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hidden="1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hidden="1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hidden="1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hidden="1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hidden="1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hidden="1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hidden="1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hidden="1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hidden="1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hidden="1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hidden="1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3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hidden="1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3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hidden="1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3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hidden="1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3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hidden="1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3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hidden="1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hidden="1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hidden="1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hidden="1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hidden="1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hidden="1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hidden="1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hidden="1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hidden="1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hidden="1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hidden="1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hidden="1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hidden="1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hidden="1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hidden="1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3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hidden="1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4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hidden="1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4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hidden="1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hidden="1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hidden="1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hidden="1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hidden="1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hidden="1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3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hidden="1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hidden="1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hidden="1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hidden="1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hidden="1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3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hidden="1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3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hidden="1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hidden="1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hidden="1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hidden="1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hidden="1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hidden="1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hidden="1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hidden="1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hidden="1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hidden="1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hidden="1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3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hidden="1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3"/>
      <c r="M1678" s="193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hidden="1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3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hidden="1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3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hidden="1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3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hidden="1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3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hidden="1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3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hidden="1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3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hidden="1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hidden="1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3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hidden="1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3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hidden="1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hidden="1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hidden="1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hidden="1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hidden="1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hidden="1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hidden="1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hidden="1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hidden="1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hidden="1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hidden="1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hidden="1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hidden="1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3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hidden="1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3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hidden="1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hidden="1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hidden="1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hidden="1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hidden="1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hidden="1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hidden="1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hidden="1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hidden="1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hidden="1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hidden="1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hidden="1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hidden="1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hidden="1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hidden="1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hidden="1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hidden="1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hidden="1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hidden="1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hidden="1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hidden="1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hidden="1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hidden="1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hidden="1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hidden="1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hidden="1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hidden="1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hidden="1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hidden="1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hidden="1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hidden="1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hidden="1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hidden="1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hidden="1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hidden="1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hidden="1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hidden="1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hidden="1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hidden="1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hidden="1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hidden="1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hidden="1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hidden="1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3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hidden="1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5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hidden="1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6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hidden="1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hidden="1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hidden="1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hidden="1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hidden="1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hidden="1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hidden="1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hidden="1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hidden="1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hidden="1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hidden="1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hidden="1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hidden="1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hidden="1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hidden="1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hidden="1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hidden="1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hidden="1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hidden="1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hidden="1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hidden="1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7"/>
      <c r="R1767" s="198"/>
      <c r="S1767" s="148"/>
      <c r="T1767" s="140"/>
      <c r="U1767" s="175"/>
      <c r="V1767" s="21"/>
    </row>
    <row r="1768" spans="1:22" ht="16.5" hidden="1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hidden="1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hidden="1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hidden="1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hidden="1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hidden="1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hidden="1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hidden="1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hidden="1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hidden="1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hidden="1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hidden="1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hidden="1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hidden="1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hidden="1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hidden="1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hidden="1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hidden="1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hidden="1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hidden="1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hidden="1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hidden="1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hidden="1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hidden="1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hidden="1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hidden="1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hidden="1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hidden="1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hidden="1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hidden="1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hidden="1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hidden="1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hidden="1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hidden="1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hidden="1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hidden="1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3"/>
      <c r="M1803" s="150"/>
      <c r="N1803" s="196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hidden="1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hidden="1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hidden="1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hidden="1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hidden="1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hidden="1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hidden="1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3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hidden="1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3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hidden="1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hidden="1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hidden="1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hidden="1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hidden="1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hidden="1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hidden="1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hidden="1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hidden="1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hidden="1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hidden="1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hidden="1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3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hidden="1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3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hidden="1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hidden="1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hidden="1" customHeight="1" x14ac:dyDescent="0.25">
      <c r="A1827" s="201"/>
      <c r="B1827" s="201"/>
      <c r="C1827" s="201"/>
      <c r="D1827" s="201"/>
      <c r="E1827" s="201"/>
      <c r="F1827" s="201"/>
      <c r="G1827" s="201"/>
      <c r="H1827" s="201"/>
      <c r="I1827" s="201"/>
      <c r="J1827" s="201"/>
      <c r="K1827" s="201"/>
      <c r="L1827" s="201"/>
      <c r="M1827" s="201"/>
      <c r="N1827" s="201"/>
      <c r="O1827" s="201"/>
      <c r="P1827" s="201"/>
      <c r="Q1827" s="201"/>
      <c r="R1827" s="201"/>
      <c r="S1827" s="201"/>
      <c r="T1827" s="201"/>
      <c r="U1827" s="201"/>
      <c r="V1827" s="201"/>
    </row>
    <row r="1828" spans="1:22" ht="16.5" hidden="1" customHeight="1" x14ac:dyDescent="0.25">
      <c r="A1828" s="201"/>
      <c r="B1828" s="201"/>
      <c r="C1828" s="201"/>
      <c r="D1828" s="201"/>
      <c r="E1828" s="201"/>
      <c r="F1828" s="201"/>
      <c r="G1828" s="201"/>
      <c r="H1828" s="201"/>
      <c r="I1828" s="201"/>
      <c r="J1828" s="201"/>
      <c r="K1828" s="201"/>
      <c r="L1828" s="201"/>
      <c r="M1828" s="201"/>
      <c r="N1828" s="201"/>
      <c r="O1828" s="201"/>
      <c r="P1828" s="201"/>
      <c r="Q1828" s="201"/>
      <c r="R1828" s="201"/>
      <c r="S1828" s="201"/>
      <c r="T1828" s="201"/>
      <c r="U1828" s="201"/>
      <c r="V1828" s="201"/>
    </row>
    <row r="1829" spans="1:22" ht="16.5" hidden="1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hidden="1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hidden="1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hidden="1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hidden="1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hidden="1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hidden="1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hidden="1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hidden="1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hidden="1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hidden="1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hidden="1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hidden="1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hidden="1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hidden="1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hidden="1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hidden="1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hidden="1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hidden="1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hidden="1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hidden="1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hidden="1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hidden="1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hidden="1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hidden="1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hidden="1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hidden="1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hidden="1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hidden="1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hidden="1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hidden="1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hidden="1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hidden="1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hidden="1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hidden="1" customHeight="1" x14ac:dyDescent="0.25">
      <c r="A1863" s="175"/>
      <c r="B1863" s="175"/>
      <c r="C1863" s="189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hidden="1" customHeight="1" x14ac:dyDescent="0.25">
      <c r="A1864" s="175"/>
      <c r="B1864" s="175"/>
      <c r="C1864" s="189"/>
      <c r="D1864" s="189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hidden="1" customHeight="1" x14ac:dyDescent="0.25">
      <c r="A1865" s="175"/>
      <c r="B1865" s="175"/>
      <c r="C1865" s="189"/>
      <c r="D1865" s="189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hidden="1" customHeight="1" x14ac:dyDescent="0.25">
      <c r="A1866" s="175"/>
      <c r="B1866" s="175"/>
      <c r="C1866" s="189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hidden="1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hidden="1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hidden="1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hidden="1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hidden="1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hidden="1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hidden="1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hidden="1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hidden="1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hidden="1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hidden="1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hidden="1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hidden="1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hidden="1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hidden="1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hidden="1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hidden="1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hidden="1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hidden="1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hidden="1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hidden="1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hidden="1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hidden="1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hidden="1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hidden="1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hidden="1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hidden="1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hidden="1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hidden="1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hidden="1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hidden="1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hidden="1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hidden="1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hidden="1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hidden="1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hidden="1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hidden="1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hidden="1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hidden="1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hidden="1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hidden="1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hidden="1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hidden="1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hidden="1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hidden="1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hidden="1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hidden="1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hidden="1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hidden="1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hidden="1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hidden="1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hidden="1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hidden="1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hidden="1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hidden="1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hidden="1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hidden="1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hidden="1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hidden="1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hidden="1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hidden="1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hidden="1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hidden="1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hidden="1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hidden="1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hidden="1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hidden="1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hidden="1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hidden="1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hidden="1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hidden="1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hidden="1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hidden="1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hidden="1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hidden="1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hidden="1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202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hidden="1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hidden="1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hidden="1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hidden="1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hidden="1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hidden="1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hidden="1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hidden="1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hidden="1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hidden="1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hidden="1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hidden="1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hidden="1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hidden="1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hidden="1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hidden="1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hidden="1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hidden="1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hidden="1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hidden="1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hidden="1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hidden="1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hidden="1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hidden="1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hidden="1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hidden="1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hidden="1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hidden="1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hidden="1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hidden="1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hidden="1" customHeight="1" x14ac:dyDescent="0.25">
      <c r="A1973" s="175"/>
      <c r="B1973" s="175"/>
      <c r="C1973" s="158"/>
      <c r="D1973" s="158"/>
      <c r="E1973" s="148"/>
      <c r="F1973" s="149"/>
      <c r="G1973" s="202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hidden="1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hidden="1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hidden="1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hidden="1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hidden="1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hidden="1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hidden="1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hidden="1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hidden="1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hidden="1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hidden="1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hidden="1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hidden="1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hidden="1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hidden="1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hidden="1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hidden="1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hidden="1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hidden="1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hidden="1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hidden="1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hidden="1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hidden="1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hidden="1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hidden="1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hidden="1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hidden="1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hidden="1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hidden="1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hidden="1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hidden="1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hidden="1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hidden="1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hidden="1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hidden="1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hidden="1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hidden="1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hidden="1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hidden="1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hidden="1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hidden="1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hidden="1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hidden="1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hidden="1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hidden="1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hidden="1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hidden="1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hidden="1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hidden="1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hidden="1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hidden="1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hidden="1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hidden="1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hidden="1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hidden="1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hidden="1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hidden="1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hidden="1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hidden="1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hidden="1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hidden="1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hidden="1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hidden="1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hidden="1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hidden="1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hidden="1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hidden="1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hidden="1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hidden="1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hidden="1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hidden="1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hidden="1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hidden="1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hidden="1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hidden="1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hidden="1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hidden="1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hidden="1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hidden="1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hidden="1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hidden="1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hidden="1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hidden="1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hidden="1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hidden="1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hidden="1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hidden="1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hidden="1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hidden="1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hidden="1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hidden="1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hidden="1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hidden="1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hidden="1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hidden="1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hidden="1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hidden="1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hidden="1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hidden="1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hidden="1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hidden="1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hidden="1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hidden="1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hidden="1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hidden="1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hidden="1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hidden="1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hidden="1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hidden="1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hidden="1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hidden="1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hidden="1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hidden="1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hidden="1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hidden="1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hidden="1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hidden="1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hidden="1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hidden="1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hidden="1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hidden="1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hidden="1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hidden="1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hidden="1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hidden="1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hidden="1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hidden="1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hidden="1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hidden="1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hidden="1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hidden="1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hidden="1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hidden="1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hidden="1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hidden="1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hidden="1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hidden="1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hidden="1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hidden="1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hidden="1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hidden="1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hidden="1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hidden="1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hidden="1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hidden="1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hidden="1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hidden="1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hidden="1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hidden="1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hidden="1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hidden="1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hidden="1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hidden="1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hidden="1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hidden="1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hidden="1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hidden="1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hidden="1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hidden="1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hidden="1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hidden="1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hidden="1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hidden="1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hidden="1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hidden="1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hidden="1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hidden="1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hidden="1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hidden="1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hidden="1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hidden="1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hidden="1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hidden="1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hidden="1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hidden="1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hidden="1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hidden="1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hidden="1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hidden="1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hidden="1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hidden="1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hidden="1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hidden="1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hidden="1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hidden="1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hidden="1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hidden="1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hidden="1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hidden="1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hidden="1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hidden="1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hidden="1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hidden="1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hidden="1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hidden="1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hidden="1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hidden="1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hidden="1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hidden="1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hidden="1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hidden="1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hidden="1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hidden="1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hidden="1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hidden="1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hidden="1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hidden="1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hidden="1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hidden="1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hidden="1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hidden="1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hidden="1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hidden="1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hidden="1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hidden="1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hidden="1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hidden="1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hidden="1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hidden="1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hidden="1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hidden="1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hidden="1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hidden="1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hidden="1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hidden="1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hidden="1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hidden="1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hidden="1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hidden="1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hidden="1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hidden="1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hidden="1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hidden="1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hidden="1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hidden="1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hidden="1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hidden="1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hidden="1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hidden="1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hidden="1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hidden="1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hidden="1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hidden="1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hidden="1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hidden="1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hidden="1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hidden="1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hidden="1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hidden="1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hidden="1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hidden="1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hidden="1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hidden="1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hidden="1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hidden="1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hidden="1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hidden="1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hidden="1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hidden="1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hidden="1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hidden="1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hidden="1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hidden="1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hidden="1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hidden="1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hidden="1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hidden="1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hidden="1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hidden="1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hidden="1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hidden="1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hidden="1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hidden="1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hidden="1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hidden="1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hidden="1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hidden="1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hidden="1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hidden="1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hidden="1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hidden="1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hidden="1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hidden="1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hidden="1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hidden="1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hidden="1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hidden="1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hidden="1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hidden="1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hidden="1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hidden="1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hidden="1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hidden="1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hidden="1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hidden="1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hidden="1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hidden="1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hidden="1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hidden="1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hidden="1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hidden="1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hidden="1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hidden="1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hidden="1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hidden="1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hidden="1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hidden="1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hidden="1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hidden="1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hidden="1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hidden="1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hidden="1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hidden="1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hidden="1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hidden="1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hidden="1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hidden="1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hidden="1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hidden="1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hidden="1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hidden="1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hidden="1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hidden="1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hidden="1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hidden="1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hidden="1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hidden="1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hidden="1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hidden="1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hidden="1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hidden="1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hidden="1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hidden="1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hidden="1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hidden="1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hidden="1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hidden="1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hidden="1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hidden="1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hidden="1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hidden="1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hidden="1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hidden="1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hidden="1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hidden="1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hidden="1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hidden="1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hidden="1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hidden="1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hidden="1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hidden="1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hidden="1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hidden="1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hidden="1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hidden="1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hidden="1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hidden="1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hidden="1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hidden="1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hidden="1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hidden="1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hidden="1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hidden="1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hidden="1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hidden="1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hidden="1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hidden="1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hidden="1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hidden="1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hidden="1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hidden="1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hidden="1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hidden="1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hidden="1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hidden="1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hidden="1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hidden="1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hidden="1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hidden="1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hidden="1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hidden="1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hidden="1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hidden="1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hidden="1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hidden="1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hidden="1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hidden="1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hidden="1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hidden="1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hidden="1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hidden="1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hidden="1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hidden="1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hidden="1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hidden="1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hidden="1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hidden="1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hidden="1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hidden="1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hidden="1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hidden="1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hidden="1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hidden="1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hidden="1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hidden="1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hidden="1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hidden="1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hidden="1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hidden="1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hidden="1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hidden="1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hidden="1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hidden="1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hidden="1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hidden="1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hidden="1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hidden="1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hidden="1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hidden="1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hidden="1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hidden="1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hidden="1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hidden="1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hidden="1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hidden="1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hidden="1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hidden="1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hidden="1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hidden="1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hidden="1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hidden="1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hidden="1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hidden="1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hidden="1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hidden="1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hidden="1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hidden="1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hidden="1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hidden="1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hidden="1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hidden="1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hidden="1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hidden="1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hidden="1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hidden="1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hidden="1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hidden="1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hidden="1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hidden="1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hidden="1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hidden="1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hidden="1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hidden="1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hidden="1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hidden="1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hidden="1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hidden="1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hidden="1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hidden="1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hidden="1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hidden="1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hidden="1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hidden="1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hidden="1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hidden="1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hidden="1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hidden="1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hidden="1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hidden="1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hidden="1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hidden="1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hidden="1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hidden="1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hidden="1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hidden="1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hidden="1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hidden="1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hidden="1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hidden="1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hidden="1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hidden="1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hidden="1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hidden="1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hidden="1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hidden="1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hidden="1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hidden="1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hidden="1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hidden="1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hidden="1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hidden="1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hidden="1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hidden="1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hidden="1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hidden="1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hidden="1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hidden="1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hidden="1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hidden="1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hidden="1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hidden="1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hidden="1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hidden="1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hidden="1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hidden="1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hidden="1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hidden="1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hidden="1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hidden="1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hidden="1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hidden="1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hidden="1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hidden="1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hidden="1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hidden="1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hidden="1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hidden="1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hidden="1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hidden="1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hidden="1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hidden="1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hidden="1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hidden="1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hidden="1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hidden="1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hidden="1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hidden="1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hidden="1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hidden="1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hidden="1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hidden="1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hidden="1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hidden="1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hidden="1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hidden="1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hidden="1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hidden="1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hidden="1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hidden="1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hidden="1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hidden="1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hidden="1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hidden="1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hidden="1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hidden="1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hidden="1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hidden="1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hidden="1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hidden="1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hidden="1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hidden="1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hidden="1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hidden="1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hidden="1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hidden="1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hidden="1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hidden="1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hidden="1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hidden="1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hidden="1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hidden="1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hidden="1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hidden="1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hidden="1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hidden="1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hidden="1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hidden="1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hidden="1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hidden="1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hidden="1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hidden="1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hidden="1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hidden="1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hidden="1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hidden="1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hidden="1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hidden="1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hidden="1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hidden="1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hidden="1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hidden="1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hidden="1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hidden="1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hidden="1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hidden="1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hidden="1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hidden="1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hidden="1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hidden="1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hidden="1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hidden="1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hidden="1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hidden="1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hidden="1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hidden="1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hidden="1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hidden="1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hidden="1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hidden="1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hidden="1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hidden="1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hidden="1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hidden="1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hidden="1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hidden="1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hidden="1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hidden="1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hidden="1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hidden="1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hidden="1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hidden="1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hidden="1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hidden="1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hidden="1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hidden="1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hidden="1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hidden="1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hidden="1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hidden="1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hidden="1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hidden="1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hidden="1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hidden="1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hidden="1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hidden="1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hidden="1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hidden="1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hidden="1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hidden="1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hidden="1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hidden="1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hidden="1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hidden="1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hidden="1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hidden="1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hidden="1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hidden="1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hidden="1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hidden="1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hidden="1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hidden="1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hidden="1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hidden="1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hidden="1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hidden="1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hidden="1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hidden="1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hidden="1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hidden="1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hidden="1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hidden="1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hidden="1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hidden="1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hidden="1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hidden="1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hidden="1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hidden="1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hidden="1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hidden="1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hidden="1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hidden="1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hidden="1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hidden="1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hidden="1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hidden="1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hidden="1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hidden="1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hidden="1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hidden="1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hidden="1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hidden="1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hidden="1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hidden="1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hidden="1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hidden="1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hidden="1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hidden="1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hidden="1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hidden="1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hidden="1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hidden="1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hidden="1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hidden="1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hidden="1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hidden="1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hidden="1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hidden="1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hidden="1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hidden="1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hidden="1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hidden="1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hidden="1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hidden="1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hidden="1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hidden="1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hidden="1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hidden="1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hidden="1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hidden="1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hidden="1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hidden="1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hidden="1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hidden="1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hidden="1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hidden="1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hidden="1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hidden="1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hidden="1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hidden="1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hidden="1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hidden="1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hidden="1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hidden="1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hidden="1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hidden="1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hidden="1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hidden="1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hidden="1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hidden="1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hidden="1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hidden="1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hidden="1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hidden="1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hidden="1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hidden="1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hidden="1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hidden="1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hidden="1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hidden="1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hidden="1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hidden="1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hidden="1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hidden="1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hidden="1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hidden="1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hidden="1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hidden="1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hidden="1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hidden="1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hidden="1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hidden="1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hidden="1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hidden="1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hidden="1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hidden="1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hidden="1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hidden="1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hidden="1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hidden="1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hidden="1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hidden="1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hidden="1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hidden="1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hidden="1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hidden="1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hidden="1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hidden="1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hidden="1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hidden="1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hidden="1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hidden="1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hidden="1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hidden="1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hidden="1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hidden="1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hidden="1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hidden="1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hidden="1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hidden="1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hidden="1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hidden="1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hidden="1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hidden="1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hidden="1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hidden="1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hidden="1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hidden="1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hidden="1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hidden="1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hidden="1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hidden="1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hidden="1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hidden="1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hidden="1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hidden="1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hidden="1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hidden="1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hidden="1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hidden="1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hidden="1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hidden="1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hidden="1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hidden="1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hidden="1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hidden="1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hidden="1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hidden="1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hidden="1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hidden="1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hidden="1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hidden="1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hidden="1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hidden="1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hidden="1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hidden="1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hidden="1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hidden="1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hidden="1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hidden="1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hidden="1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hidden="1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hidden="1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hidden="1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hidden="1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hidden="1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hidden="1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hidden="1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hidden="1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hidden="1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hidden="1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hidden="1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hidden="1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hidden="1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hidden="1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hidden="1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hidden="1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hidden="1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hidden="1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hidden="1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hidden="1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hidden="1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hidden="1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hidden="1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hidden="1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hidden="1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hidden="1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hidden="1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hidden="1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hidden="1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hidden="1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hidden="1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hidden="1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hidden="1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hidden="1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hidden="1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hidden="1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hidden="1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hidden="1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hidden="1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hidden="1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hidden="1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hidden="1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hidden="1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hidden="1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hidden="1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hidden="1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hidden="1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hidden="1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hidden="1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hidden="1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hidden="1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hidden="1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hidden="1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hidden="1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hidden="1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hidden="1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hidden="1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hidden="1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hidden="1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hidden="1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hidden="1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hidden="1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hidden="1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hidden="1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hidden="1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hidden="1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hidden="1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hidden="1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hidden="1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hidden="1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hidden="1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hidden="1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hidden="1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hidden="1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hidden="1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hidden="1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hidden="1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hidden="1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hidden="1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hidden="1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hidden="1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hidden="1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hidden="1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hidden="1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hidden="1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hidden="1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hidden="1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hidden="1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hidden="1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hidden="1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hidden="1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hidden="1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hidden="1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hidden="1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hidden="1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hidden="1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hidden="1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hidden="1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hidden="1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hidden="1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hidden="1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hidden="1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hidden="1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hidden="1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hidden="1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hidden="1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hidden="1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hidden="1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hidden="1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hidden="1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hidden="1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hidden="1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hidden="1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hidden="1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hidden="1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hidden="1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hidden="1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hidden="1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hidden="1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hidden="1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hidden="1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hidden="1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hidden="1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hidden="1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hidden="1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hidden="1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hidden="1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hidden="1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hidden="1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hidden="1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hidden="1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hidden="1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hidden="1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hidden="1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hidden="1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hidden="1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hidden="1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hidden="1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hidden="1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hidden="1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hidden="1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hidden="1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hidden="1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hidden="1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hidden="1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hidden="1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hidden="1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hidden="1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hidden="1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hidden="1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hidden="1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hidden="1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hidden="1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hidden="1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hidden="1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hidden="1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hidden="1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hidden="1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hidden="1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hidden="1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hidden="1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hidden="1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hidden="1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hidden="1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hidden="1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hidden="1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hidden="1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hidden="1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hidden="1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hidden="1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hidden="1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hidden="1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hidden="1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hidden="1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hidden="1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hidden="1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hidden="1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hidden="1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hidden="1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hidden="1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hidden="1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hidden="1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hidden="1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hidden="1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hidden="1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hidden="1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hidden="1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hidden="1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hidden="1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hidden="1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hidden="1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hidden="1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hidden="1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hidden="1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hidden="1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hidden="1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hidden="1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hidden="1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hidden="1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hidden="1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hidden="1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hidden="1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hidden="1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hidden="1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hidden="1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hidden="1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hidden="1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hidden="1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hidden="1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hidden="1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hidden="1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hidden="1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hidden="1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hidden="1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hidden="1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hidden="1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hidden="1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hidden="1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hidden="1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hidden="1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hidden="1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hidden="1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hidden="1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hidden="1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hidden="1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hidden="1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hidden="1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hidden="1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hidden="1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hidden="1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hidden="1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hidden="1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hidden="1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hidden="1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hidden="1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hidden="1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hidden="1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hidden="1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hidden="1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hidden="1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hidden="1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hidden="1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hidden="1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hidden="1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hidden="1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hidden="1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hidden="1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hidden="1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hidden="1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hidden="1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hidden="1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hidden="1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hidden="1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hidden="1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hidden="1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hidden="1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hidden="1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hidden="1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hidden="1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hidden="1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hidden="1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hidden="1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hidden="1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hidden="1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hidden="1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hidden="1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hidden="1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hidden="1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hidden="1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hidden="1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hidden="1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hidden="1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hidden="1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hidden="1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hidden="1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hidden="1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hidden="1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hidden="1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hidden="1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hidden="1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hidden="1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hidden="1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hidden="1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hidden="1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hidden="1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hidden="1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hidden="1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hidden="1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hidden="1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hidden="1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hidden="1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hidden="1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hidden="1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hidden="1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hidden="1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hidden="1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hidden="1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hidden="1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hidden="1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hidden="1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hidden="1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hidden="1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hidden="1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hidden="1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hidden="1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hidden="1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hidden="1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hidden="1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hidden="1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hidden="1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hidden="1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hidden="1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hidden="1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hidden="1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hidden="1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hidden="1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hidden="1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hidden="1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hidden="1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hidden="1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hidden="1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hidden="1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hidden="1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hidden="1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hidden="1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hidden="1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hidden="1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hidden="1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hidden="1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hidden="1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hidden="1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hidden="1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hidden="1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hidden="1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hidden="1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hidden="1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hidden="1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hidden="1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hidden="1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hidden="1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hidden="1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hidden="1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hidden="1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hidden="1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hidden="1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hidden="1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hidden="1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hidden="1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hidden="1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hidden="1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hidden="1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hidden="1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hidden="1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hidden="1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hidden="1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hidden="1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hidden="1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hidden="1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hidden="1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hidden="1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hidden="1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hidden="1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hidden="1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hidden="1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hidden="1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hidden="1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hidden="1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hidden="1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hidden="1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hidden="1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hidden="1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hidden="1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hidden="1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hidden="1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hidden="1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hidden="1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hidden="1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hidden="1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hidden="1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hidden="1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hidden="1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hidden="1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hidden="1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hidden="1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hidden="1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hidden="1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hidden="1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hidden="1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hidden="1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hidden="1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hidden="1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hidden="1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hidden="1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hidden="1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hidden="1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hidden="1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hidden="1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hidden="1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hidden="1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hidden="1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hidden="1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hidden="1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hidden="1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hidden="1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hidden="1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hidden="1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hidden="1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hidden="1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hidden="1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hidden="1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hidden="1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hidden="1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hidden="1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hidden="1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hidden="1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hidden="1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hidden="1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hidden="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hidden="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hidden="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hidden="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hidden="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hidden="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hidden="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hidden="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hidden="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hidden="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hidden="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hidden="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hidden="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hidden="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hidden="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hidden="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hidden="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hidden="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hidden="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hidden="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hidden="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hidden="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hidden="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hidden="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hidden="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hidden="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hidden="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hidden="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hidden="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hidden="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hidden="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hidden="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hidden="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hidden="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hidden="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hidden="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hidden="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hidden="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hidden="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hidden="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hidden="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hidden="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hidden="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hidden="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hidden="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hidden="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hidden="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hidden="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hidden="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hidden="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hidden="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hidden="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hidden="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hidden="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hidden="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hidden="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hidden="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hidden="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hidden="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hidden="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hidden="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hidden="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hidden="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hidden="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hidden="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hidden="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hidden="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hidden="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hidden="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hidden="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hidden="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hidden="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hidden="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hidden="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hidden="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hidden="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hidden="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hidden="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hidden="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hidden="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hidden="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hidden="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hidden="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hidden="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hidden="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hidden="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hidden="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hidden="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hidden="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hidden="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hidden="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hidden="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hidden="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hidden="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hidden="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hidden="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hidden="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>
    <filterColumn colId="4">
      <filters>
        <filter val="TG102LE-4G"/>
      </filters>
    </filterColumn>
    <filterColumn colId="18">
      <filters>
        <filter val="KL"/>
        <filter val="LK"/>
        <filter val="LK, NCFW"/>
      </filters>
    </filterColumn>
  </autoFilter>
  <mergeCells count="194"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281" t="s">
        <v>105</v>
      </c>
      <c r="U1" s="282" t="s">
        <v>129</v>
      </c>
      <c r="V1" s="282" t="s">
        <v>106</v>
      </c>
      <c r="W1" s="282" t="s">
        <v>109</v>
      </c>
      <c r="X1" s="282" t="s">
        <v>107</v>
      </c>
      <c r="Y1" s="281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281"/>
      <c r="U2" s="283"/>
      <c r="V2" s="283"/>
      <c r="W2" s="283"/>
      <c r="X2" s="283"/>
      <c r="Y2" s="28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2022-06-02T04:32:12Z</dcterms:modified>
</cp:coreProperties>
</file>