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705"/>
  </bookViews>
  <sheets>
    <sheet name="1" sheetId="1" r:id="rId1"/>
    <sheet name="2" sheetId="2" r:id="rId2"/>
  </sheets>
  <definedNames>
    <definedName name="_xlnm.Print_Area" localSheetId="0">'1'!$A$1:$E$100</definedName>
  </definedNames>
  <calcPr calcId="152511"/>
</workbook>
</file>

<file path=xl/calcChain.xml><?xml version="1.0" encoding="utf-8"?>
<calcChain xmlns="http://schemas.openxmlformats.org/spreadsheetml/2006/main">
  <c r="E20" i="1" l="1"/>
  <c r="M61" i="1" l="1"/>
  <c r="M62" i="1"/>
  <c r="M63" i="1"/>
  <c r="M64" i="1"/>
  <c r="M65" i="1"/>
  <c r="M66" i="1"/>
  <c r="M67" i="1"/>
  <c r="M68" i="1"/>
  <c r="M69" i="1"/>
  <c r="M70" i="1"/>
  <c r="M71" i="1"/>
  <c r="M72" i="1"/>
  <c r="M60" i="1"/>
  <c r="L46" i="1" l="1"/>
  <c r="L48" i="1"/>
  <c r="L49" i="1"/>
  <c r="L50" i="1"/>
  <c r="L51" i="1"/>
  <c r="L52" i="1"/>
  <c r="L53" i="1"/>
  <c r="L54" i="1"/>
  <c r="L55" i="1"/>
  <c r="M45" i="1" l="1"/>
  <c r="M46" i="1"/>
  <c r="M47" i="1"/>
  <c r="M48" i="1"/>
  <c r="M49" i="1"/>
  <c r="M50" i="1"/>
  <c r="M51" i="1"/>
  <c r="M52" i="1"/>
  <c r="M53" i="1"/>
  <c r="M54" i="1"/>
  <c r="M55" i="1"/>
  <c r="M56" i="1"/>
  <c r="M44" i="1"/>
  <c r="C19" i="1"/>
  <c r="E12" i="1"/>
  <c r="E13" i="1"/>
  <c r="E14" i="1"/>
  <c r="E15" i="1"/>
  <c r="E16" i="1"/>
  <c r="F92" i="1"/>
  <c r="E92" i="1"/>
  <c r="M92" i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M95" i="1"/>
  <c r="M94" i="1"/>
  <c r="L94" i="1"/>
  <c r="M93" i="1"/>
  <c r="L93" i="1"/>
  <c r="L92" i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F95" i="1"/>
  <c r="F94" i="1"/>
  <c r="E94" i="1"/>
  <c r="F93" i="1"/>
  <c r="E93" i="1"/>
  <c r="M77" i="1"/>
  <c r="M78" i="1"/>
  <c r="M79" i="1"/>
  <c r="M80" i="1"/>
  <c r="M81" i="1"/>
  <c r="M82" i="1"/>
  <c r="M83" i="1"/>
  <c r="M84" i="1"/>
  <c r="M85" i="1"/>
  <c r="M86" i="1"/>
  <c r="M87" i="1"/>
  <c r="M88" i="1"/>
  <c r="M76" i="1"/>
  <c r="F76" i="1"/>
  <c r="L88" i="1"/>
  <c r="L87" i="1"/>
  <c r="L86" i="1"/>
  <c r="L85" i="1"/>
  <c r="L84" i="1"/>
  <c r="L83" i="1"/>
  <c r="L82" i="1"/>
  <c r="L81" i="1"/>
  <c r="L80" i="1"/>
  <c r="L78" i="1"/>
  <c r="L77" i="1"/>
  <c r="L76" i="1"/>
  <c r="L71" i="1"/>
  <c r="L70" i="1"/>
  <c r="L69" i="1"/>
  <c r="L67" i="1"/>
  <c r="L66" i="1"/>
  <c r="L65" i="1"/>
  <c r="L64" i="1"/>
  <c r="L62" i="1"/>
  <c r="L61" i="1"/>
  <c r="L45" i="1"/>
  <c r="F60" i="1"/>
  <c r="K28" i="1" l="1"/>
  <c r="K29" i="1"/>
  <c r="K30" i="1"/>
  <c r="K31" i="1"/>
  <c r="K32" i="1"/>
  <c r="K33" i="1"/>
  <c r="K34" i="1"/>
  <c r="K35" i="1"/>
  <c r="K36" i="1"/>
  <c r="K37" i="1"/>
  <c r="K38" i="1"/>
  <c r="K39" i="1"/>
  <c r="K27" i="1"/>
  <c r="E87" i="1" l="1"/>
  <c r="E86" i="1"/>
  <c r="E85" i="1"/>
  <c r="E84" i="1"/>
  <c r="E83" i="1"/>
  <c r="E82" i="1"/>
  <c r="E81" i="1"/>
  <c r="E80" i="1"/>
  <c r="E78" i="1"/>
  <c r="E77" i="1"/>
  <c r="E71" i="1"/>
  <c r="E67" i="1"/>
  <c r="E70" i="1"/>
  <c r="E69" i="1"/>
  <c r="E68" i="1"/>
  <c r="E66" i="1"/>
  <c r="E65" i="1"/>
  <c r="E64" i="1"/>
  <c r="E62" i="1"/>
  <c r="E61" i="1"/>
  <c r="E56" i="1"/>
  <c r="E54" i="1"/>
  <c r="E53" i="1"/>
  <c r="E52" i="1"/>
  <c r="E50" i="1"/>
  <c r="E49" i="1"/>
  <c r="E48" i="1"/>
  <c r="E46" i="1"/>
  <c r="E45" i="1"/>
  <c r="D53" i="1"/>
  <c r="F63" i="1" l="1"/>
  <c r="F62" i="1"/>
  <c r="F70" i="1"/>
  <c r="F69" i="1"/>
  <c r="F83" i="1"/>
  <c r="F84" i="1"/>
  <c r="F85" i="1"/>
  <c r="F77" i="1"/>
  <c r="F87" i="1"/>
  <c r="F66" i="1"/>
  <c r="F67" i="1"/>
  <c r="F80" i="1"/>
  <c r="F88" i="1"/>
  <c r="F86" i="1"/>
  <c r="F78" i="1"/>
  <c r="F81" i="1"/>
  <c r="F79" i="1"/>
  <c r="F61" i="1"/>
  <c r="F82" i="1"/>
  <c r="F68" i="1"/>
  <c r="F65" i="1"/>
  <c r="F72" i="1"/>
  <c r="F64" i="1"/>
  <c r="F71" i="1"/>
  <c r="F48" i="1"/>
  <c r="F53" i="1"/>
  <c r="F44" i="1"/>
  <c r="M27" i="1" s="1"/>
  <c r="F56" i="1"/>
  <c r="F49" i="1"/>
  <c r="F52" i="1"/>
  <c r="F47" i="1"/>
  <c r="F45" i="1"/>
  <c r="F54" i="1"/>
  <c r="F55" i="1"/>
  <c r="F46" i="1"/>
  <c r="F51" i="1"/>
  <c r="F50" i="1"/>
  <c r="G27" i="2"/>
  <c r="M38" i="1" l="1"/>
  <c r="M39" i="1"/>
  <c r="M35" i="1"/>
  <c r="M28" i="1"/>
  <c r="M33" i="1"/>
  <c r="M36" i="1"/>
  <c r="M29" i="1"/>
  <c r="M31" i="1"/>
  <c r="M32" i="1"/>
  <c r="M34" i="1"/>
  <c r="M37" i="1"/>
  <c r="M30" i="1"/>
  <c r="C10" i="2"/>
  <c r="M40" i="1" l="1"/>
  <c r="C22" i="1" s="1"/>
  <c r="C14" i="2"/>
  <c r="C13" i="2"/>
  <c r="C9" i="2" l="1"/>
  <c r="C11" i="2" s="1"/>
  <c r="D25" i="2" s="1"/>
  <c r="H25" i="2" s="1"/>
  <c r="C12" i="2" l="1"/>
  <c r="D22" i="2" s="1"/>
  <c r="D26" i="2"/>
  <c r="H26" i="2" s="1"/>
  <c r="D24" i="2"/>
  <c r="H24" i="2" s="1"/>
  <c r="D20" i="2" l="1"/>
  <c r="H20" i="2" s="1"/>
  <c r="D18" i="2"/>
  <c r="F18" i="2" s="1"/>
  <c r="H18" i="2" s="1"/>
  <c r="D17" i="2"/>
  <c r="F17" i="2" s="1"/>
  <c r="H17" i="2" s="1"/>
  <c r="D23" i="2"/>
  <c r="F23" i="2" s="1"/>
  <c r="H23" i="2" s="1"/>
  <c r="D21" i="2"/>
  <c r="F21" i="2" s="1"/>
  <c r="H21" i="2" s="1"/>
  <c r="D19" i="2"/>
  <c r="H19" i="2" s="1"/>
  <c r="F22" i="2"/>
  <c r="H22" i="2" s="1"/>
  <c r="H28" i="2" l="1"/>
  <c r="L34" i="1" l="1"/>
  <c r="O34" i="1" s="1"/>
  <c r="L39" i="1"/>
  <c r="O39" i="1" s="1"/>
  <c r="L31" i="1"/>
  <c r="O31" i="1" s="1"/>
  <c r="L33" i="1"/>
  <c r="O33" i="1" s="1"/>
  <c r="L36" i="1"/>
  <c r="O36" i="1" s="1"/>
  <c r="L30" i="1"/>
  <c r="O30" i="1" s="1"/>
  <c r="L28" i="1"/>
  <c r="O28" i="1" s="1"/>
  <c r="L29" i="1"/>
  <c r="O29" i="1" s="1"/>
  <c r="L38" i="1"/>
  <c r="O38" i="1" s="1"/>
  <c r="L35" i="1"/>
  <c r="O35" i="1" s="1"/>
  <c r="L37" i="1"/>
  <c r="O37" i="1" s="1"/>
  <c r="L32" i="1"/>
  <c r="O32" i="1" s="1"/>
  <c r="L27" i="1"/>
  <c r="O27" i="1" l="1"/>
  <c r="N40" i="1"/>
</calcChain>
</file>

<file path=xl/sharedStrings.xml><?xml version="1.0" encoding="utf-8"?>
<sst xmlns="http://schemas.openxmlformats.org/spreadsheetml/2006/main" count="289" uniqueCount="85">
  <si>
    <t>Mã Sản Phẩm</t>
  </si>
  <si>
    <t>Số Lượng</t>
  </si>
  <si>
    <t>Thành Tiền</t>
  </si>
  <si>
    <t>Công ty CP Công NGhệ Điện Tử &amp;Viễn Thông Việt Nam</t>
  </si>
  <si>
    <t>Đ/c: Số 233-234, khu C (lô C6), KĐT Đại Kim, Hoàng Mai, Hà Nội</t>
  </si>
  <si>
    <t xml:space="preserve">Tel: </t>
  </si>
  <si>
    <t>Bộ phận : Bộ phận kỹ thuật</t>
  </si>
  <si>
    <t>STT</t>
  </si>
  <si>
    <t>Họ và tên người đề nghị: Nguyễn Ngọc Chiến</t>
  </si>
  <si>
    <t>TG102SE</t>
  </si>
  <si>
    <t>TG102E</t>
  </si>
  <si>
    <t>Xác Nhận Quản Lý</t>
  </si>
  <si>
    <t>Trưởng Bộ Phận</t>
  </si>
  <si>
    <t>Nguyễn Ngọc Chiến</t>
  </si>
  <si>
    <t xml:space="preserve">Bảng Tính Chiết Khấu Sản Xuất </t>
  </si>
  <si>
    <t>TG102V</t>
  </si>
  <si>
    <t>IREADER</t>
  </si>
  <si>
    <t>Tên Nhân Viên</t>
  </si>
  <si>
    <t>Dương Ngọc Sơn</t>
  </si>
  <si>
    <t>Nguyễn Minh Tùng</t>
  </si>
  <si>
    <t>Hà Văn Thể</t>
  </si>
  <si>
    <t>Nguyễn Tiến Đạt</t>
  </si>
  <si>
    <t>Bộ phận (hoặc địa chỉ): Bộ phận Sản Xuất</t>
  </si>
  <si>
    <t>Nguyễn Trường Bắc</t>
  </si>
  <si>
    <t>Tiền Chiết Khấu</t>
  </si>
  <si>
    <t xml:space="preserve">Số Ngày Nghỉ </t>
  </si>
  <si>
    <t xml:space="preserve">Người Lập Phiếu </t>
  </si>
  <si>
    <t>Xác Nhận Trường Phòng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</si>
  <si>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</si>
  <si>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</si>
  <si>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</si>
  <si>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</si>
  <si>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</si>
  <si>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Số nhân viên nghỉ từ 7 ngày/tháng</t>
  </si>
  <si>
    <t>Trần Văn Huế</t>
  </si>
  <si>
    <t xml:space="preserve"> Nguyễn Hữu Hùng</t>
  </si>
  <si>
    <t>TG102LE</t>
  </si>
  <si>
    <t xml:space="preserve">Tiền phạt </t>
  </si>
  <si>
    <t>Tỷ lệ phần trăm nhận</t>
  </si>
  <si>
    <t>Vũ</t>
  </si>
  <si>
    <t>Đạt</t>
  </si>
  <si>
    <t>Thưởng</t>
  </si>
  <si>
    <t>Tiền phạt</t>
  </si>
  <si>
    <t>Tiền chiết khấu chích lại cho nhân viên thử việc</t>
  </si>
  <si>
    <t>Tiền chiết khấu cho nhận viên chính thức</t>
  </si>
  <si>
    <t>Tiền cộng thêm</t>
  </si>
  <si>
    <t>Bảng tính tiền chiết khấu Tháng xx năm 2018</t>
  </si>
  <si>
    <t>Tổng số thiết bị</t>
  </si>
  <si>
    <t>Tổng số tiền (VND)</t>
  </si>
  <si>
    <t>Tên nhân viên</t>
  </si>
  <si>
    <t>Tỷ lệ % (Trong giờ hành chính)</t>
  </si>
  <si>
    <t>Tỷ lệ % (Trong giờ làm việc tăng ca)</t>
  </si>
  <si>
    <t xml:space="preserve">Nguyễn Tiến Đạt </t>
  </si>
  <si>
    <t>Nguyễn Hữu Hùng</t>
  </si>
  <si>
    <t>Đức</t>
  </si>
  <si>
    <t>Sơn</t>
  </si>
  <si>
    <t>Thắng</t>
  </si>
  <si>
    <t>Quy định tỷ lệ phần trăm chiết khấu:</t>
  </si>
  <si>
    <t xml:space="preserve">Đơn Giá </t>
  </si>
  <si>
    <t xml:space="preserve">Số ngày nghỉ </t>
  </si>
  <si>
    <t>Bảng chia chiết khấu thời gian tăng ca</t>
  </si>
  <si>
    <t>Ngày tăng ca</t>
  </si>
  <si>
    <t>2/7/2018</t>
  </si>
  <si>
    <t>Số thiết bị thành phẩm (tương đương)</t>
  </si>
  <si>
    <t>Thiết bị: TG102V</t>
  </si>
  <si>
    <t xml:space="preserve">Số lượng: </t>
  </si>
  <si>
    <t xml:space="preserve">Thiết bị: </t>
  </si>
  <si>
    <t xml:space="preserve">Tổng số tiền: </t>
  </si>
  <si>
    <t>Tỷ lệ 0% là không tham gia tăng ca</t>
  </si>
  <si>
    <t>Số tiền chiết khấu</t>
  </si>
  <si>
    <t>Bảng chia chiết khấu thời gian chính thức</t>
  </si>
  <si>
    <t>Tổng số tiền chiết khấu (tăng ca)</t>
  </si>
  <si>
    <t>Số tiền chiết khấu (chính thức)</t>
  </si>
  <si>
    <t>Số tiền chiết khấu (tăng ca)</t>
  </si>
  <si>
    <t>Tổng tiền thực nhận</t>
  </si>
  <si>
    <t>Công thức chung:</t>
  </si>
  <si>
    <t>Trong thời gian tăng ca sẽ tính 50% số thành phẩm nhập kho.</t>
  </si>
  <si>
    <t>Số tiền chiết khấu chính thức (tính % theo chính thức) = (tổng chiết khấu cả tháng - tổng chiết khấu tăng ca)*(số % được nhận/tổng số % của tất cả nhân viên sản xuất)</t>
  </si>
  <si>
    <t>Số tiền được nhận = tổng số tiền*(số % được nhận/tổng số % của tất cả nhân viên tham gia sản xuất)</t>
  </si>
  <si>
    <t>Số tiền chiết khấu tăng ca sẽ tính theo từng buổi.</t>
  </si>
  <si>
    <t>Số tiền chiết khấu tăng ca (tính theo % tăng ca) = tiền chiết khấu tăng ca trong buổi*(số % được nhận/tổng số % của nhân viên tham gia tăng ca)</t>
  </si>
  <si>
    <t>Tháng 07 năm 2018</t>
  </si>
  <si>
    <t>25/7/2018</t>
  </si>
  <si>
    <t>29/7/2018</t>
  </si>
  <si>
    <t>Số tiền phạt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</si>
</sst>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Border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0" xfId="0" applyNumberFormat="1" applyFont="1"/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0" xfId="0" applyFont="1" applyBorder="1"/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/>
    <xf numFmtId="1" fontId="7" fillId="0" borderId="0" xfId="0" applyNumberFormat="1" applyFont="1" applyAlignment="1">
      <alignment vertical="center"/>
    </xf>
    <xf numFmtId="1" fontId="3" fillId="0" borderId="0" xfId="0" applyNumberFormat="1" applyFont="1" applyBorder="1"/>
    <xf numFmtId="3" fontId="7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3" fillId="0" borderId="1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 applyBorder="1" applyAlignment="1"/>
    <xf numFmtId="9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1" fontId="3" fillId="0" borderId="1" xfId="0" applyNumberFormat="1" applyFont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left" vertical="top" wrapText="1"/>
    </xf>
    <xf numFmtId="9" fontId="8" fillId="0" borderId="1" xfId="0" applyNumberFormat="1" applyFont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8" fillId="0" borderId="0" xfId="0" applyNumberFormat="1" applyFont="1"/>
    <xf numFmtId="0" fontId="8" fillId="0" borderId="0" xfId="0" applyFont="1" applyBorder="1" applyAlignment="1">
      <alignment horizontal="center" vertical="center" wrapText="1"/>
    </xf>
    <xf numFmtId="0" fontId="12" fillId="2" borderId="1" xfId="0" applyFont="1" applyFill="1" applyBorder="1"/>
    <xf numFmtId="0" fontId="0" fillId="0" borderId="0" xfId="0" applyBorder="1"/>
    <xf numFmtId="0" fontId="3" fillId="0" borderId="0" xfId="0" applyFont="1" applyFill="1" applyBorder="1"/>
    <xf numFmtId="3" fontId="8" fillId="0" borderId="1" xfId="0" applyNumberFormat="1" applyFont="1" applyBorder="1" applyAlignment="1">
      <alignment horizontal="center"/>
    </xf>
    <xf numFmtId="3" fontId="13" fillId="0" borderId="0" xfId="0" applyNumberFormat="1" applyFont="1"/>
    <xf numFmtId="1" fontId="3" fillId="0" borderId="5" xfId="0" quotePrefix="1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left" vertical="center" wrapText="1"/>
    </xf>
    <xf numFmtId="1" fontId="3" fillId="0" borderId="7" xfId="0" applyNumberFormat="1" applyFont="1" applyBorder="1" applyAlignment="1">
      <alignment horizontal="left" vertical="center" wrapText="1"/>
    </xf>
    <xf numFmtId="1" fontId="11" fillId="0" borderId="5" xfId="0" applyNumberFormat="1" applyFont="1" applyBorder="1" applyAlignment="1">
      <alignment horizontal="left" vertical="center" wrapText="1"/>
    </xf>
    <xf numFmtId="1" fontId="11" fillId="0" borderId="7" xfId="0" applyNumberFormat="1" applyFont="1" applyBorder="1" applyAlignment="1">
      <alignment horizontal="left" vertical="center" wrapText="1"/>
    </xf>
    <xf numFmtId="1" fontId="3" fillId="0" borderId="6" xfId="0" applyNumberFormat="1" applyFont="1" applyBorder="1" applyAlignment="1">
      <alignment horizontal="left" vertical="center" wrapText="1"/>
    </xf>
    <xf numFmtId="3" fontId="8" fillId="0" borderId="5" xfId="0" applyNumberFormat="1" applyFont="1" applyBorder="1" applyAlignment="1">
      <alignment horizontal="left" vertical="top" wrapText="1"/>
    </xf>
    <xf numFmtId="3" fontId="8" fillId="0" borderId="6" xfId="0" applyNumberFormat="1" applyFont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 wrapText="1"/>
    </xf>
    <xf numFmtId="14" fontId="3" fillId="0" borderId="5" xfId="0" quotePrefix="1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1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B25" zoomScale="70" zoomScaleNormal="70" workbookViewId="0">
      <selection activeCell="N43" sqref="N43"/>
    </sheetView>
  </sheetViews>
  <sheetFormatPr defaultRowHeight="15" x14ac:dyDescent="0.25"/>
  <cols>
    <col min="1" max="1" width="7.42578125" customWidth="1"/>
    <col min="2" max="2" width="30.28515625" customWidth="1"/>
    <col min="3" max="3" width="14.140625" customWidth="1"/>
    <col min="4" max="4" width="19.5703125" style="17" customWidth="1"/>
    <col min="5" max="5" width="21.7109375" customWidth="1"/>
    <col min="6" max="7" width="15.7109375" customWidth="1"/>
    <col min="8" max="8" width="11.42578125" customWidth="1"/>
    <col min="9" max="9" width="36.85546875" customWidth="1"/>
    <col min="10" max="10" width="16.28515625" customWidth="1"/>
    <col min="11" max="11" width="19" customWidth="1"/>
    <col min="12" max="12" width="16" customWidth="1"/>
    <col min="13" max="14" width="14.85546875" customWidth="1"/>
    <col min="15" max="15" width="15.140625" customWidth="1"/>
    <col min="16" max="21" width="9.140625" customWidth="1"/>
  </cols>
  <sheetData>
    <row r="1" spans="1:12" x14ac:dyDescent="0.25">
      <c r="A1" s="4" t="s">
        <v>3</v>
      </c>
      <c r="B1" s="4"/>
      <c r="C1" s="4"/>
      <c r="D1" s="11"/>
      <c r="E1" s="4"/>
      <c r="F1" s="4"/>
      <c r="G1" s="4"/>
    </row>
    <row r="2" spans="1:12" x14ac:dyDescent="0.25">
      <c r="A2" s="4" t="s">
        <v>4</v>
      </c>
      <c r="B2" s="4"/>
      <c r="C2" s="4"/>
      <c r="D2" s="11"/>
      <c r="E2" s="4"/>
      <c r="F2" s="4"/>
      <c r="G2" s="4"/>
    </row>
    <row r="3" spans="1:12" ht="15.75" x14ac:dyDescent="0.25">
      <c r="A3" s="1" t="s">
        <v>5</v>
      </c>
      <c r="B3" s="4"/>
      <c r="C3" s="4"/>
      <c r="D3" s="11"/>
      <c r="E3" s="4"/>
      <c r="F3" s="4"/>
      <c r="G3" s="4"/>
    </row>
    <row r="4" spans="1:12" ht="36.75" customHeight="1" x14ac:dyDescent="0.25">
      <c r="A4" s="93" t="s">
        <v>14</v>
      </c>
      <c r="B4" s="93"/>
      <c r="C4" s="93"/>
      <c r="D4" s="93"/>
      <c r="E4" s="93"/>
      <c r="F4" s="4"/>
      <c r="G4" s="4"/>
    </row>
    <row r="5" spans="1:12" ht="18" customHeight="1" x14ac:dyDescent="0.35">
      <c r="A5" s="3"/>
      <c r="B5" s="3"/>
      <c r="C5" s="3"/>
      <c r="D5" s="12"/>
      <c r="E5" s="3"/>
      <c r="F5" s="4"/>
      <c r="G5" s="4"/>
    </row>
    <row r="6" spans="1:12" ht="15.75" customHeight="1" x14ac:dyDescent="0.35">
      <c r="A6" s="3"/>
      <c r="B6" s="9"/>
      <c r="C6" s="10" t="s">
        <v>81</v>
      </c>
      <c r="D6" s="13"/>
      <c r="E6" s="3"/>
      <c r="F6" s="4"/>
      <c r="G6" s="4"/>
    </row>
    <row r="7" spans="1:12" ht="15.75" customHeight="1" x14ac:dyDescent="0.35">
      <c r="A7" s="3"/>
      <c r="B7" s="9"/>
      <c r="C7" s="10"/>
      <c r="D7" s="13"/>
      <c r="E7" s="3"/>
      <c r="F7" s="4"/>
      <c r="G7" s="4"/>
    </row>
    <row r="8" spans="1:12" ht="15.75" x14ac:dyDescent="0.25">
      <c r="A8" s="94" t="s">
        <v>8</v>
      </c>
      <c r="B8" s="94"/>
      <c r="C8" s="94"/>
      <c r="D8" s="94"/>
      <c r="E8" s="94"/>
      <c r="F8" s="4"/>
      <c r="G8" s="4"/>
    </row>
    <row r="9" spans="1:12" ht="15.75" x14ac:dyDescent="0.25">
      <c r="A9" s="5" t="s">
        <v>6</v>
      </c>
      <c r="B9" s="2"/>
      <c r="C9" s="2"/>
      <c r="D9" s="14"/>
      <c r="E9" s="2"/>
      <c r="F9" s="4"/>
      <c r="G9" s="4"/>
    </row>
    <row r="10" spans="1:12" ht="15.75" x14ac:dyDescent="0.25">
      <c r="A10" s="2"/>
      <c r="B10" s="2"/>
      <c r="C10" s="2"/>
      <c r="D10" s="14"/>
      <c r="E10" s="2"/>
      <c r="F10" s="4"/>
      <c r="G10" s="4"/>
    </row>
    <row r="11" spans="1:12" x14ac:dyDescent="0.25">
      <c r="A11" s="52" t="s">
        <v>7</v>
      </c>
      <c r="B11" s="52" t="s">
        <v>0</v>
      </c>
      <c r="C11" s="29" t="s">
        <v>1</v>
      </c>
      <c r="D11" s="63" t="s">
        <v>58</v>
      </c>
      <c r="E11" s="29" t="s">
        <v>2</v>
      </c>
      <c r="F11" s="4"/>
      <c r="G11" s="4"/>
    </row>
    <row r="12" spans="1:12" x14ac:dyDescent="0.25">
      <c r="A12" s="7">
        <v>1</v>
      </c>
      <c r="B12" s="6" t="s">
        <v>9</v>
      </c>
      <c r="C12" s="6">
        <v>200</v>
      </c>
      <c r="D12" s="18">
        <v>4000</v>
      </c>
      <c r="E12" s="18">
        <f>C12*D12</f>
        <v>800000</v>
      </c>
      <c r="F12" s="4"/>
      <c r="G12" s="4" t="s">
        <v>75</v>
      </c>
      <c r="H12" s="98" t="s">
        <v>78</v>
      </c>
      <c r="I12" s="98"/>
      <c r="J12" s="98"/>
      <c r="K12" s="98"/>
      <c r="L12" s="98"/>
    </row>
    <row r="13" spans="1:12" x14ac:dyDescent="0.25">
      <c r="A13" s="7">
        <v>2</v>
      </c>
      <c r="B13" s="6" t="s">
        <v>15</v>
      </c>
      <c r="C13" s="6">
        <v>869</v>
      </c>
      <c r="D13" s="18">
        <v>5000</v>
      </c>
      <c r="E13" s="18">
        <f>C13*D13</f>
        <v>4345000</v>
      </c>
      <c r="F13" s="4"/>
      <c r="G13" s="4"/>
    </row>
    <row r="14" spans="1:12" x14ac:dyDescent="0.25">
      <c r="A14" s="7">
        <v>3</v>
      </c>
      <c r="B14" s="6" t="s">
        <v>36</v>
      </c>
      <c r="C14" s="6">
        <v>8396</v>
      </c>
      <c r="D14" s="18">
        <v>4000</v>
      </c>
      <c r="E14" s="18">
        <f>C14*D14</f>
        <v>33584000</v>
      </c>
      <c r="F14" s="4"/>
      <c r="G14" s="4" t="s">
        <v>76</v>
      </c>
    </row>
    <row r="15" spans="1:12" x14ac:dyDescent="0.25">
      <c r="A15" s="7">
        <v>4</v>
      </c>
      <c r="B15" s="6" t="s">
        <v>10</v>
      </c>
      <c r="C15" s="6">
        <v>106</v>
      </c>
      <c r="D15" s="18">
        <v>2000</v>
      </c>
      <c r="E15" s="18">
        <f>C15*D15</f>
        <v>212000</v>
      </c>
      <c r="F15" s="4"/>
      <c r="G15" s="4" t="s">
        <v>79</v>
      </c>
    </row>
    <row r="16" spans="1:12" x14ac:dyDescent="0.25">
      <c r="A16" s="7">
        <v>5</v>
      </c>
      <c r="B16" s="6" t="s">
        <v>16</v>
      </c>
      <c r="C16" s="6"/>
      <c r="D16" s="18">
        <v>1000</v>
      </c>
      <c r="E16" s="18">
        <f>C16*D16</f>
        <v>0</v>
      </c>
      <c r="F16" s="4"/>
      <c r="G16" s="4"/>
    </row>
    <row r="17" spans="1:15" x14ac:dyDescent="0.25">
      <c r="A17" s="7">
        <v>6</v>
      </c>
      <c r="B17" s="6"/>
      <c r="C17" s="6"/>
      <c r="D17" s="15"/>
      <c r="E17" s="6"/>
      <c r="F17" s="4"/>
      <c r="G17" s="99" t="s">
        <v>77</v>
      </c>
      <c r="H17" s="99"/>
      <c r="I17" s="99"/>
      <c r="J17" s="99"/>
      <c r="K17" s="99"/>
      <c r="L17" s="99"/>
      <c r="M17" s="99"/>
      <c r="N17" s="99"/>
      <c r="O17" s="99"/>
    </row>
    <row r="18" spans="1:15" x14ac:dyDescent="0.25">
      <c r="A18" s="7">
        <v>7</v>
      </c>
      <c r="B18" s="6"/>
      <c r="C18" s="6"/>
      <c r="D18" s="15"/>
      <c r="E18" s="6"/>
      <c r="F18" s="4"/>
      <c r="G18" s="4"/>
    </row>
    <row r="19" spans="1:15" x14ac:dyDescent="0.25">
      <c r="A19" s="95" t="s">
        <v>47</v>
      </c>
      <c r="B19" s="96"/>
      <c r="C19" s="52">
        <f>SUM(C12:C16)</f>
        <v>9571</v>
      </c>
      <c r="D19" s="15"/>
      <c r="E19" s="6"/>
      <c r="F19" s="4"/>
      <c r="G19" s="72" t="s">
        <v>80</v>
      </c>
      <c r="H19" s="72"/>
      <c r="I19" s="72"/>
      <c r="J19" s="72"/>
      <c r="K19" s="72"/>
      <c r="L19" s="72"/>
      <c r="M19" s="72"/>
      <c r="N19" s="111"/>
    </row>
    <row r="20" spans="1:15" x14ac:dyDescent="0.25">
      <c r="A20" s="97" t="s">
        <v>48</v>
      </c>
      <c r="B20" s="97"/>
      <c r="C20" s="97"/>
      <c r="D20" s="97"/>
      <c r="E20" s="60">
        <f>SUM(E12:E16)</f>
        <v>38941000</v>
      </c>
      <c r="F20" s="4"/>
      <c r="G20" s="4"/>
    </row>
    <row r="21" spans="1:15" x14ac:dyDescent="0.25">
      <c r="A21" s="8"/>
      <c r="B21" s="8"/>
      <c r="C21" s="8"/>
      <c r="D21" s="16"/>
      <c r="E21" s="4"/>
      <c r="F21" s="4"/>
      <c r="G21" s="4"/>
    </row>
    <row r="22" spans="1:15" x14ac:dyDescent="0.25">
      <c r="A22" s="92" t="s">
        <v>71</v>
      </c>
      <c r="B22" s="92"/>
      <c r="C22" s="75">
        <f>SUM(M40,0)</f>
        <v>7349999.9999999981</v>
      </c>
      <c r="D22" s="16"/>
      <c r="E22" s="4"/>
      <c r="F22" s="4"/>
      <c r="G22" s="4"/>
    </row>
    <row r="23" spans="1:15" x14ac:dyDescent="0.25">
      <c r="A23" s="8"/>
      <c r="B23" s="8"/>
      <c r="C23" s="8"/>
      <c r="D23" s="16"/>
      <c r="E23" s="4"/>
      <c r="F23" s="4"/>
      <c r="G23" s="4"/>
    </row>
    <row r="24" spans="1:15" x14ac:dyDescent="0.25">
      <c r="A24" s="91" t="s">
        <v>57</v>
      </c>
      <c r="B24" s="91"/>
      <c r="C24" s="8"/>
      <c r="D24" s="16"/>
      <c r="E24" s="4"/>
      <c r="F24" s="4"/>
      <c r="G24" s="4"/>
      <c r="H24" s="91" t="s">
        <v>70</v>
      </c>
      <c r="I24" s="91"/>
    </row>
    <row r="25" spans="1:15" x14ac:dyDescent="0.25">
      <c r="A25" s="65"/>
      <c r="B25" s="65"/>
      <c r="C25" s="8"/>
      <c r="D25" s="16"/>
      <c r="E25" s="4"/>
      <c r="F25" s="4"/>
      <c r="G25" s="4"/>
      <c r="H25" s="65"/>
      <c r="I25" s="65"/>
    </row>
    <row r="26" spans="1:15" ht="43.5" customHeight="1" x14ac:dyDescent="0.25">
      <c r="A26" s="28" t="s">
        <v>7</v>
      </c>
      <c r="B26" s="61" t="s">
        <v>49</v>
      </c>
      <c r="C26" s="28" t="s">
        <v>59</v>
      </c>
      <c r="D26" s="62" t="s">
        <v>50</v>
      </c>
      <c r="E26" s="62" t="s">
        <v>51</v>
      </c>
      <c r="F26" s="4"/>
      <c r="G26" s="4"/>
      <c r="H26" s="28" t="s">
        <v>7</v>
      </c>
      <c r="I26" s="61" t="s">
        <v>49</v>
      </c>
      <c r="J26" s="28" t="s">
        <v>59</v>
      </c>
      <c r="K26" s="62" t="s">
        <v>50</v>
      </c>
      <c r="L26" s="62" t="s">
        <v>72</v>
      </c>
      <c r="M26" s="62" t="s">
        <v>73</v>
      </c>
      <c r="N26" s="62" t="s">
        <v>84</v>
      </c>
      <c r="O26" s="62" t="s">
        <v>74</v>
      </c>
    </row>
    <row r="27" spans="1:15" x14ac:dyDescent="0.25">
      <c r="A27" s="7">
        <v>1</v>
      </c>
      <c r="B27" s="55" t="s">
        <v>13</v>
      </c>
      <c r="C27" s="58">
        <v>0</v>
      </c>
      <c r="D27" s="67">
        <v>1</v>
      </c>
      <c r="E27" s="56">
        <v>1</v>
      </c>
      <c r="F27" s="4"/>
      <c r="G27" s="4"/>
      <c r="H27" s="7">
        <v>1</v>
      </c>
      <c r="I27" s="55" t="s">
        <v>13</v>
      </c>
      <c r="J27" s="58">
        <v>0</v>
      </c>
      <c r="K27" s="56">
        <f>D27</f>
        <v>1</v>
      </c>
      <c r="L27" s="18">
        <f>($E$20-$C$22)*K27/(SUM($K$27:$K$39))</f>
        <v>4449436.6197183095</v>
      </c>
      <c r="M27" s="18">
        <f>SUM(F44,M44,F60,M60,F76,M76,F92,M92)</f>
        <v>0</v>
      </c>
      <c r="N27" s="18">
        <v>100000</v>
      </c>
      <c r="O27" s="18">
        <f>L27+M27-N27</f>
        <v>4349436.6197183095</v>
      </c>
    </row>
    <row r="28" spans="1:15" x14ac:dyDescent="0.25">
      <c r="A28" s="7">
        <v>2</v>
      </c>
      <c r="B28" s="55" t="s">
        <v>52</v>
      </c>
      <c r="C28" s="58">
        <v>0</v>
      </c>
      <c r="D28" s="67">
        <v>0.8</v>
      </c>
      <c r="E28" s="56">
        <v>1</v>
      </c>
      <c r="F28" s="4"/>
      <c r="G28" s="4"/>
      <c r="H28" s="7">
        <v>2</v>
      </c>
      <c r="I28" s="55" t="s">
        <v>52</v>
      </c>
      <c r="J28" s="58">
        <v>0</v>
      </c>
      <c r="K28" s="56">
        <f t="shared" ref="K28:K39" si="0">D28</f>
        <v>0.8</v>
      </c>
      <c r="L28" s="18">
        <f t="shared" ref="L28:L39" si="1">($E$20-$C$22)*K28/(SUM($K$27:$K$39))</f>
        <v>3559549.2957746475</v>
      </c>
      <c r="M28" s="18">
        <f>SUM(F45,M45,F61,M61,F77,M77,F93,M93)</f>
        <v>873161.76470588241</v>
      </c>
      <c r="N28" s="18">
        <v>100000</v>
      </c>
      <c r="O28" s="18">
        <f t="shared" ref="O28:O39" si="2">L28+M28-N28</f>
        <v>4332711.0604805294</v>
      </c>
    </row>
    <row r="29" spans="1:15" x14ac:dyDescent="0.25">
      <c r="A29" s="7">
        <v>3</v>
      </c>
      <c r="B29" s="55" t="s">
        <v>20</v>
      </c>
      <c r="C29" s="58">
        <v>0</v>
      </c>
      <c r="D29" s="67">
        <v>0.8</v>
      </c>
      <c r="E29" s="56">
        <v>1</v>
      </c>
      <c r="F29" s="4"/>
      <c r="G29" s="4"/>
      <c r="H29" s="7">
        <v>3</v>
      </c>
      <c r="I29" s="55" t="s">
        <v>20</v>
      </c>
      <c r="J29" s="58">
        <v>0</v>
      </c>
      <c r="K29" s="56">
        <f t="shared" si="0"/>
        <v>0.8</v>
      </c>
      <c r="L29" s="18">
        <f t="shared" si="1"/>
        <v>3559549.2957746475</v>
      </c>
      <c r="M29" s="18">
        <f t="shared" ref="M29:M39" si="3">SUM(F46,M46,F62,M62,F78,M78,F94,M94)</f>
        <v>873161.76470588241</v>
      </c>
      <c r="N29" s="18">
        <v>100000</v>
      </c>
      <c r="O29" s="18">
        <f t="shared" si="2"/>
        <v>4332711.0604805294</v>
      </c>
    </row>
    <row r="30" spans="1:15" x14ac:dyDescent="0.25">
      <c r="A30" s="7">
        <v>4</v>
      </c>
      <c r="B30" s="55" t="s">
        <v>18</v>
      </c>
      <c r="C30" s="58">
        <v>0</v>
      </c>
      <c r="D30" s="67">
        <v>0.6</v>
      </c>
      <c r="E30" s="56">
        <v>1</v>
      </c>
      <c r="F30" s="4"/>
      <c r="G30" s="4"/>
      <c r="H30" s="7">
        <v>4</v>
      </c>
      <c r="I30" s="55" t="s">
        <v>18</v>
      </c>
      <c r="J30" s="58">
        <v>0</v>
      </c>
      <c r="K30" s="56">
        <f t="shared" si="0"/>
        <v>0.6</v>
      </c>
      <c r="L30" s="18">
        <f t="shared" si="1"/>
        <v>2669661.9718309855</v>
      </c>
      <c r="M30" s="18">
        <f t="shared" si="3"/>
        <v>873161.76470588241</v>
      </c>
      <c r="N30" s="18">
        <v>100000</v>
      </c>
      <c r="O30" s="18">
        <f t="shared" si="2"/>
        <v>3442823.7365368679</v>
      </c>
    </row>
    <row r="31" spans="1:15" x14ac:dyDescent="0.25">
      <c r="A31" s="7">
        <v>5</v>
      </c>
      <c r="B31" s="55" t="s">
        <v>53</v>
      </c>
      <c r="C31" s="58">
        <v>0</v>
      </c>
      <c r="D31" s="67">
        <v>1</v>
      </c>
      <c r="E31" s="56">
        <v>1</v>
      </c>
      <c r="F31" s="4"/>
      <c r="G31" s="4"/>
      <c r="H31" s="7">
        <v>5</v>
      </c>
      <c r="I31" s="55" t="s">
        <v>53</v>
      </c>
      <c r="J31" s="58">
        <v>0</v>
      </c>
      <c r="K31" s="56">
        <f t="shared" si="0"/>
        <v>1</v>
      </c>
      <c r="L31" s="18">
        <f t="shared" si="1"/>
        <v>4449436.6197183095</v>
      </c>
      <c r="M31" s="18">
        <f t="shared" si="3"/>
        <v>873161.76470588241</v>
      </c>
      <c r="N31" s="18">
        <v>100000</v>
      </c>
      <c r="O31" s="18">
        <f t="shared" si="2"/>
        <v>5222598.3844241919</v>
      </c>
    </row>
    <row r="32" spans="1:15" x14ac:dyDescent="0.25">
      <c r="A32" s="51">
        <v>6</v>
      </c>
      <c r="B32" s="57" t="s">
        <v>19</v>
      </c>
      <c r="C32" s="58">
        <v>0</v>
      </c>
      <c r="D32" s="67">
        <v>1</v>
      </c>
      <c r="E32" s="56">
        <v>1</v>
      </c>
      <c r="F32" s="4"/>
      <c r="G32" s="4"/>
      <c r="H32" s="51">
        <v>6</v>
      </c>
      <c r="I32" s="57" t="s">
        <v>19</v>
      </c>
      <c r="J32" s="58">
        <v>0</v>
      </c>
      <c r="K32" s="56">
        <f t="shared" si="0"/>
        <v>1</v>
      </c>
      <c r="L32" s="18">
        <f t="shared" si="1"/>
        <v>4449436.6197183095</v>
      </c>
      <c r="M32" s="18">
        <f t="shared" si="3"/>
        <v>873161.76470588241</v>
      </c>
      <c r="N32" s="18">
        <v>100000</v>
      </c>
      <c r="O32" s="18">
        <f t="shared" si="2"/>
        <v>5222598.3844241919</v>
      </c>
    </row>
    <row r="33" spans="1:15" x14ac:dyDescent="0.25">
      <c r="A33" s="51">
        <v>7</v>
      </c>
      <c r="B33" s="57" t="s">
        <v>34</v>
      </c>
      <c r="C33" s="58">
        <v>0</v>
      </c>
      <c r="D33" s="67">
        <v>1</v>
      </c>
      <c r="E33" s="56">
        <v>1</v>
      </c>
      <c r="F33" s="4"/>
      <c r="G33" s="4"/>
      <c r="H33" s="51">
        <v>7</v>
      </c>
      <c r="I33" s="57" t="s">
        <v>34</v>
      </c>
      <c r="J33" s="58">
        <v>0</v>
      </c>
      <c r="K33" s="56">
        <f t="shared" si="0"/>
        <v>1</v>
      </c>
      <c r="L33" s="18">
        <f t="shared" si="1"/>
        <v>4449436.6197183095</v>
      </c>
      <c r="M33" s="18">
        <f t="shared" si="3"/>
        <v>873161.76470588241</v>
      </c>
      <c r="N33" s="18">
        <v>100000</v>
      </c>
      <c r="O33" s="18">
        <f t="shared" si="2"/>
        <v>5222598.3844241919</v>
      </c>
    </row>
    <row r="34" spans="1:15" x14ac:dyDescent="0.25">
      <c r="A34" s="51">
        <v>8</v>
      </c>
      <c r="B34" s="57" t="s">
        <v>54</v>
      </c>
      <c r="C34" s="58">
        <v>0</v>
      </c>
      <c r="D34" s="68">
        <v>0.2</v>
      </c>
      <c r="E34" s="59">
        <v>0.5</v>
      </c>
      <c r="F34" s="4"/>
      <c r="G34" s="4"/>
      <c r="H34" s="51">
        <v>8</v>
      </c>
      <c r="I34" s="57" t="s">
        <v>54</v>
      </c>
      <c r="J34" s="58">
        <v>0</v>
      </c>
      <c r="K34" s="56">
        <f t="shared" si="0"/>
        <v>0.2</v>
      </c>
      <c r="L34" s="18">
        <f t="shared" si="1"/>
        <v>889887.32394366188</v>
      </c>
      <c r="M34" s="18">
        <f t="shared" si="3"/>
        <v>389705.8823529412</v>
      </c>
      <c r="N34" s="18">
        <v>100000</v>
      </c>
      <c r="O34" s="18">
        <f t="shared" si="2"/>
        <v>1179593.2062966032</v>
      </c>
    </row>
    <row r="35" spans="1:15" x14ac:dyDescent="0.25">
      <c r="A35" s="51">
        <v>9</v>
      </c>
      <c r="B35" s="57" t="s">
        <v>41</v>
      </c>
      <c r="C35" s="58">
        <v>0</v>
      </c>
      <c r="D35" s="68">
        <v>0.1</v>
      </c>
      <c r="E35" s="59">
        <v>0.5</v>
      </c>
      <c r="F35" s="4"/>
      <c r="G35" s="4"/>
      <c r="H35" s="51">
        <v>9</v>
      </c>
      <c r="I35" s="57" t="s">
        <v>41</v>
      </c>
      <c r="J35" s="58">
        <v>0</v>
      </c>
      <c r="K35" s="56">
        <f t="shared" si="0"/>
        <v>0.1</v>
      </c>
      <c r="L35" s="18">
        <f t="shared" si="1"/>
        <v>444943.66197183094</v>
      </c>
      <c r="M35" s="18">
        <f t="shared" si="3"/>
        <v>411580.8823529412</v>
      </c>
      <c r="N35" s="18">
        <v>100000</v>
      </c>
      <c r="O35" s="18">
        <f t="shared" si="2"/>
        <v>756524.5443247722</v>
      </c>
    </row>
    <row r="36" spans="1:15" x14ac:dyDescent="0.25">
      <c r="A36" s="51">
        <v>10</v>
      </c>
      <c r="B36" s="57" t="s">
        <v>40</v>
      </c>
      <c r="C36" s="58">
        <v>0</v>
      </c>
      <c r="D36" s="68">
        <v>0.2</v>
      </c>
      <c r="E36" s="59">
        <v>0.5</v>
      </c>
      <c r="F36" s="4"/>
      <c r="G36" s="4"/>
      <c r="H36" s="51">
        <v>10</v>
      </c>
      <c r="I36" s="57" t="s">
        <v>40</v>
      </c>
      <c r="J36" s="58">
        <v>0</v>
      </c>
      <c r="K36" s="56">
        <f t="shared" si="0"/>
        <v>0.2</v>
      </c>
      <c r="L36" s="18">
        <f t="shared" si="1"/>
        <v>889887.32394366188</v>
      </c>
      <c r="M36" s="18">
        <f t="shared" si="3"/>
        <v>436580.8823529412</v>
      </c>
      <c r="N36" s="18">
        <v>100000</v>
      </c>
      <c r="O36" s="18">
        <f t="shared" si="2"/>
        <v>1226468.2062966032</v>
      </c>
    </row>
    <row r="37" spans="1:15" x14ac:dyDescent="0.25">
      <c r="A37" s="51">
        <v>11</v>
      </c>
      <c r="B37" s="57" t="s">
        <v>55</v>
      </c>
      <c r="C37" s="58">
        <v>0</v>
      </c>
      <c r="D37" s="68">
        <v>0.2</v>
      </c>
      <c r="E37" s="59">
        <v>0.5</v>
      </c>
      <c r="F37" s="4"/>
      <c r="G37" s="4"/>
      <c r="H37" s="51">
        <v>11</v>
      </c>
      <c r="I37" s="57" t="s">
        <v>55</v>
      </c>
      <c r="J37" s="58">
        <v>0</v>
      </c>
      <c r="K37" s="56">
        <f t="shared" si="0"/>
        <v>0.2</v>
      </c>
      <c r="L37" s="18">
        <f t="shared" si="1"/>
        <v>889887.32394366188</v>
      </c>
      <c r="M37" s="18">
        <f t="shared" si="3"/>
        <v>436580.8823529412</v>
      </c>
      <c r="N37" s="18">
        <v>100000</v>
      </c>
      <c r="O37" s="18">
        <f t="shared" si="2"/>
        <v>1226468.2062966032</v>
      </c>
    </row>
    <row r="38" spans="1:15" x14ac:dyDescent="0.25">
      <c r="A38" s="51">
        <v>12</v>
      </c>
      <c r="B38" s="57" t="s">
        <v>56</v>
      </c>
      <c r="C38" s="58">
        <v>0</v>
      </c>
      <c r="D38" s="68">
        <v>0.2</v>
      </c>
      <c r="E38" s="59">
        <v>0.5</v>
      </c>
      <c r="F38" s="4"/>
      <c r="G38" s="4"/>
      <c r="H38" s="51">
        <v>12</v>
      </c>
      <c r="I38" s="57" t="s">
        <v>56</v>
      </c>
      <c r="J38" s="58">
        <v>0</v>
      </c>
      <c r="K38" s="56">
        <f t="shared" si="0"/>
        <v>0.2</v>
      </c>
      <c r="L38" s="18">
        <f t="shared" si="1"/>
        <v>889887.32394366188</v>
      </c>
      <c r="M38" s="18">
        <f t="shared" si="3"/>
        <v>389705.8823529412</v>
      </c>
      <c r="N38" s="18">
        <v>100000</v>
      </c>
      <c r="O38" s="18">
        <f t="shared" si="2"/>
        <v>1179593.2062966032</v>
      </c>
    </row>
    <row r="39" spans="1:15" x14ac:dyDescent="0.25">
      <c r="A39" s="51">
        <v>13</v>
      </c>
      <c r="B39" s="57" t="s">
        <v>39</v>
      </c>
      <c r="C39" s="58">
        <v>0</v>
      </c>
      <c r="D39" s="68">
        <v>0</v>
      </c>
      <c r="E39" s="59">
        <v>0.5</v>
      </c>
      <c r="F39" s="4"/>
      <c r="G39" s="4"/>
      <c r="H39" s="51">
        <v>13</v>
      </c>
      <c r="I39" s="57" t="s">
        <v>39</v>
      </c>
      <c r="J39" s="58">
        <v>0</v>
      </c>
      <c r="K39" s="56">
        <f t="shared" si="0"/>
        <v>0</v>
      </c>
      <c r="L39" s="18">
        <f t="shared" si="1"/>
        <v>0</v>
      </c>
      <c r="M39" s="18">
        <f t="shared" si="3"/>
        <v>46875</v>
      </c>
      <c r="N39" s="18">
        <v>0</v>
      </c>
      <c r="O39" s="18">
        <f t="shared" si="2"/>
        <v>46875</v>
      </c>
    </row>
    <row r="40" spans="1:15" x14ac:dyDescent="0.25">
      <c r="A40" s="8"/>
      <c r="B40" s="8"/>
      <c r="C40" s="8"/>
      <c r="D40" s="8"/>
      <c r="E40" s="8"/>
      <c r="F40" s="4"/>
      <c r="G40" s="4"/>
      <c r="M40" s="76">
        <f>SUM(M27:M39)</f>
        <v>7349999.9999999981</v>
      </c>
      <c r="N40" s="76">
        <f>SUM(L27:L39)+SUM(M27:M39)</f>
        <v>38941000</v>
      </c>
    </row>
    <row r="41" spans="1:15" x14ac:dyDescent="0.25">
      <c r="A41" s="91" t="s">
        <v>60</v>
      </c>
      <c r="B41" s="91"/>
      <c r="C41" s="100" t="s">
        <v>68</v>
      </c>
      <c r="D41" s="100"/>
      <c r="E41" s="100"/>
      <c r="F41" s="4"/>
      <c r="G41" s="4"/>
      <c r="M41" s="69" t="s">
        <v>29</v>
      </c>
      <c r="N41" s="69"/>
      <c r="O41" s="70"/>
    </row>
    <row r="42" spans="1:15" x14ac:dyDescent="0.25">
      <c r="A42" s="65"/>
      <c r="B42" s="65"/>
      <c r="C42" s="8"/>
      <c r="D42" s="8"/>
      <c r="E42" s="8"/>
      <c r="F42" s="4"/>
      <c r="G42" s="4"/>
    </row>
    <row r="43" spans="1:15" ht="57.75" customHeight="1" x14ac:dyDescent="0.25">
      <c r="A43" s="28" t="s">
        <v>7</v>
      </c>
      <c r="B43" s="61" t="s">
        <v>49</v>
      </c>
      <c r="C43" s="28" t="s">
        <v>61</v>
      </c>
      <c r="D43" s="62" t="s">
        <v>63</v>
      </c>
      <c r="E43" s="62" t="s">
        <v>51</v>
      </c>
      <c r="F43" s="62" t="s">
        <v>69</v>
      </c>
      <c r="G43" s="71"/>
      <c r="H43" s="28" t="s">
        <v>7</v>
      </c>
      <c r="I43" s="61" t="s">
        <v>49</v>
      </c>
      <c r="J43" s="28" t="s">
        <v>61</v>
      </c>
      <c r="K43" s="62" t="s">
        <v>63</v>
      </c>
      <c r="L43" s="62" t="s">
        <v>51</v>
      </c>
      <c r="M43" s="62" t="s">
        <v>69</v>
      </c>
      <c r="N43" s="71"/>
    </row>
    <row r="44" spans="1:15" x14ac:dyDescent="0.25">
      <c r="A44" s="7">
        <v>1</v>
      </c>
      <c r="B44" s="55" t="s">
        <v>13</v>
      </c>
      <c r="C44" s="77" t="s">
        <v>62</v>
      </c>
      <c r="D44" s="80" t="s">
        <v>64</v>
      </c>
      <c r="E44" s="56">
        <v>0</v>
      </c>
      <c r="F44" s="6">
        <f>($D$53)*(E44/(SUM($E$44:$E$56)))</f>
        <v>0</v>
      </c>
      <c r="G44" s="31"/>
      <c r="H44" s="7">
        <v>1</v>
      </c>
      <c r="I44" s="55" t="s">
        <v>13</v>
      </c>
      <c r="J44" s="88">
        <v>43288</v>
      </c>
      <c r="K44" s="80" t="s">
        <v>66</v>
      </c>
      <c r="L44" s="56">
        <v>0</v>
      </c>
      <c r="M44" s="6">
        <f>$K$53*(L44/(SUM($L$44:$L$56)))</f>
        <v>0</v>
      </c>
      <c r="N44" s="31"/>
    </row>
    <row r="45" spans="1:15" x14ac:dyDescent="0.25">
      <c r="A45" s="7">
        <v>2</v>
      </c>
      <c r="B45" s="55" t="s">
        <v>52</v>
      </c>
      <c r="C45" s="78"/>
      <c r="D45" s="81"/>
      <c r="E45" s="56">
        <f>$E$28</f>
        <v>1</v>
      </c>
      <c r="F45" s="6">
        <f t="shared" ref="F45:F56" si="4">($D$53)*(E45/(SUM($E$44:$E$56)))</f>
        <v>93750</v>
      </c>
      <c r="G45" s="31"/>
      <c r="H45" s="7">
        <v>2</v>
      </c>
      <c r="I45" s="55" t="s">
        <v>52</v>
      </c>
      <c r="J45" s="89"/>
      <c r="K45" s="81"/>
      <c r="L45" s="56">
        <f>$E$28</f>
        <v>1</v>
      </c>
      <c r="M45" s="6">
        <f t="shared" ref="M45:M56" si="5">$K$53*(L45/(SUM($L$44:$L$56)))</f>
        <v>94117.647058823524</v>
      </c>
      <c r="N45" s="31"/>
    </row>
    <row r="46" spans="1:15" x14ac:dyDescent="0.25">
      <c r="A46" s="7">
        <v>3</v>
      </c>
      <c r="B46" s="55" t="s">
        <v>20</v>
      </c>
      <c r="C46" s="78"/>
      <c r="D46" s="80" t="s">
        <v>65</v>
      </c>
      <c r="E46" s="56">
        <f>$E$29</f>
        <v>1</v>
      </c>
      <c r="F46" s="6">
        <f t="shared" si="4"/>
        <v>93750</v>
      </c>
      <c r="G46" s="31"/>
      <c r="H46" s="7">
        <v>3</v>
      </c>
      <c r="I46" s="55" t="s">
        <v>20</v>
      </c>
      <c r="J46" s="89"/>
      <c r="K46" s="80" t="s">
        <v>65</v>
      </c>
      <c r="L46" s="56">
        <f>$E$29</f>
        <v>1</v>
      </c>
      <c r="M46" s="6">
        <f t="shared" si="5"/>
        <v>94117.647058823524</v>
      </c>
      <c r="N46" s="31"/>
    </row>
    <row r="47" spans="1:15" x14ac:dyDescent="0.25">
      <c r="A47" s="7">
        <v>4</v>
      </c>
      <c r="B47" s="55" t="s">
        <v>18</v>
      </c>
      <c r="C47" s="78"/>
      <c r="D47" s="81"/>
      <c r="E47" s="56">
        <v>1</v>
      </c>
      <c r="F47" s="6">
        <f t="shared" si="4"/>
        <v>93750</v>
      </c>
      <c r="G47" s="31"/>
      <c r="H47" s="7">
        <v>4</v>
      </c>
      <c r="I47" s="55" t="s">
        <v>18</v>
      </c>
      <c r="J47" s="89"/>
      <c r="K47" s="81"/>
      <c r="L47" s="56">
        <v>1</v>
      </c>
      <c r="M47" s="6">
        <f t="shared" si="5"/>
        <v>94117.647058823524</v>
      </c>
      <c r="N47" s="31"/>
    </row>
    <row r="48" spans="1:15" x14ac:dyDescent="0.25">
      <c r="A48" s="7">
        <v>5</v>
      </c>
      <c r="B48" s="55" t="s">
        <v>53</v>
      </c>
      <c r="C48" s="78"/>
      <c r="D48" s="82">
        <v>150</v>
      </c>
      <c r="E48" s="56">
        <f>$E$31</f>
        <v>1</v>
      </c>
      <c r="F48" s="6">
        <f t="shared" si="4"/>
        <v>93750</v>
      </c>
      <c r="G48" s="31"/>
      <c r="H48" s="7">
        <v>5</v>
      </c>
      <c r="I48" s="55" t="s">
        <v>53</v>
      </c>
      <c r="J48" s="89"/>
      <c r="K48" s="82">
        <v>200</v>
      </c>
      <c r="L48" s="56">
        <f>$E$31</f>
        <v>1</v>
      </c>
      <c r="M48" s="6">
        <f t="shared" si="5"/>
        <v>94117.647058823524</v>
      </c>
      <c r="N48" s="31"/>
    </row>
    <row r="49" spans="1:14" x14ac:dyDescent="0.25">
      <c r="A49" s="51">
        <v>6</v>
      </c>
      <c r="B49" s="57" t="s">
        <v>19</v>
      </c>
      <c r="C49" s="78"/>
      <c r="D49" s="83"/>
      <c r="E49" s="56">
        <f>$E$32</f>
        <v>1</v>
      </c>
      <c r="F49" s="6">
        <f t="shared" si="4"/>
        <v>93750</v>
      </c>
      <c r="G49" s="31"/>
      <c r="H49" s="51">
        <v>6</v>
      </c>
      <c r="I49" s="57" t="s">
        <v>19</v>
      </c>
      <c r="J49" s="89"/>
      <c r="K49" s="83"/>
      <c r="L49" s="56">
        <f>$E$32</f>
        <v>1</v>
      </c>
      <c r="M49" s="6">
        <f t="shared" si="5"/>
        <v>94117.647058823524</v>
      </c>
      <c r="N49" s="31"/>
    </row>
    <row r="50" spans="1:14" ht="15" customHeight="1" x14ac:dyDescent="0.25">
      <c r="A50" s="51">
        <v>7</v>
      </c>
      <c r="B50" s="57" t="s">
        <v>34</v>
      </c>
      <c r="C50" s="78"/>
      <c r="D50" s="80" t="s">
        <v>67</v>
      </c>
      <c r="E50" s="56">
        <f>$E$33</f>
        <v>1</v>
      </c>
      <c r="F50" s="6">
        <f t="shared" si="4"/>
        <v>93750</v>
      </c>
      <c r="G50" s="31"/>
      <c r="H50" s="51">
        <v>7</v>
      </c>
      <c r="I50" s="57" t="s">
        <v>34</v>
      </c>
      <c r="J50" s="89"/>
      <c r="K50" s="80" t="s">
        <v>67</v>
      </c>
      <c r="L50" s="56">
        <f>$E$33</f>
        <v>1</v>
      </c>
      <c r="M50" s="6">
        <f t="shared" si="5"/>
        <v>94117.647058823524</v>
      </c>
      <c r="N50" s="31"/>
    </row>
    <row r="51" spans="1:14" x14ac:dyDescent="0.25">
      <c r="A51" s="51">
        <v>8</v>
      </c>
      <c r="B51" s="57" t="s">
        <v>54</v>
      </c>
      <c r="C51" s="78"/>
      <c r="D51" s="84"/>
      <c r="E51" s="56">
        <v>0</v>
      </c>
      <c r="F51" s="6">
        <f t="shared" si="4"/>
        <v>0</v>
      </c>
      <c r="G51" s="31"/>
      <c r="H51" s="51">
        <v>8</v>
      </c>
      <c r="I51" s="57" t="s">
        <v>54</v>
      </c>
      <c r="J51" s="89"/>
      <c r="K51" s="84"/>
      <c r="L51" s="56">
        <f>$E$34</f>
        <v>0.5</v>
      </c>
      <c r="M51" s="6">
        <f t="shared" si="5"/>
        <v>47058.823529411762</v>
      </c>
      <c r="N51" s="31"/>
    </row>
    <row r="52" spans="1:14" x14ac:dyDescent="0.25">
      <c r="A52" s="51">
        <v>9</v>
      </c>
      <c r="B52" s="57" t="s">
        <v>41</v>
      </c>
      <c r="C52" s="78"/>
      <c r="D52" s="81"/>
      <c r="E52" s="56">
        <f>$E$35</f>
        <v>0.5</v>
      </c>
      <c r="F52" s="6">
        <f t="shared" si="4"/>
        <v>46875</v>
      </c>
      <c r="G52" s="31"/>
      <c r="H52" s="51">
        <v>9</v>
      </c>
      <c r="I52" s="57" t="s">
        <v>41</v>
      </c>
      <c r="J52" s="89"/>
      <c r="K52" s="81"/>
      <c r="L52" s="56">
        <f>$E$35</f>
        <v>0.5</v>
      </c>
      <c r="M52" s="6">
        <f t="shared" si="5"/>
        <v>47058.823529411762</v>
      </c>
      <c r="N52" s="31"/>
    </row>
    <row r="53" spans="1:14" x14ac:dyDescent="0.25">
      <c r="A53" s="51">
        <v>10</v>
      </c>
      <c r="B53" s="57" t="s">
        <v>40</v>
      </c>
      <c r="C53" s="78"/>
      <c r="D53" s="85">
        <f>D48*D13</f>
        <v>750000</v>
      </c>
      <c r="E53" s="56">
        <f>$E$36</f>
        <v>0.5</v>
      </c>
      <c r="F53" s="6">
        <f t="shared" si="4"/>
        <v>46875</v>
      </c>
      <c r="G53" s="31"/>
      <c r="H53" s="51">
        <v>10</v>
      </c>
      <c r="I53" s="57" t="s">
        <v>40</v>
      </c>
      <c r="J53" s="89"/>
      <c r="K53" s="85">
        <v>800000</v>
      </c>
      <c r="L53" s="56">
        <f>$E$36</f>
        <v>0.5</v>
      </c>
      <c r="M53" s="6">
        <f t="shared" si="5"/>
        <v>47058.823529411762</v>
      </c>
      <c r="N53" s="31"/>
    </row>
    <row r="54" spans="1:14" x14ac:dyDescent="0.25">
      <c r="A54" s="51">
        <v>11</v>
      </c>
      <c r="B54" s="57" t="s">
        <v>55</v>
      </c>
      <c r="C54" s="78"/>
      <c r="D54" s="86"/>
      <c r="E54" s="56">
        <f>$E$37</f>
        <v>0.5</v>
      </c>
      <c r="F54" s="6">
        <f t="shared" si="4"/>
        <v>46875</v>
      </c>
      <c r="G54" s="31"/>
      <c r="H54" s="51">
        <v>11</v>
      </c>
      <c r="I54" s="57" t="s">
        <v>55</v>
      </c>
      <c r="J54" s="89"/>
      <c r="K54" s="86"/>
      <c r="L54" s="56">
        <f>$E$37</f>
        <v>0.5</v>
      </c>
      <c r="M54" s="6">
        <f t="shared" si="5"/>
        <v>47058.823529411762</v>
      </c>
      <c r="N54" s="31"/>
    </row>
    <row r="55" spans="1:14" x14ac:dyDescent="0.25">
      <c r="A55" s="51">
        <v>12</v>
      </c>
      <c r="B55" s="57" t="s">
        <v>56</v>
      </c>
      <c r="C55" s="78"/>
      <c r="D55" s="86"/>
      <c r="E55" s="56">
        <v>0</v>
      </c>
      <c r="F55" s="6">
        <f t="shared" si="4"/>
        <v>0</v>
      </c>
      <c r="G55" s="31"/>
      <c r="H55" s="51">
        <v>12</v>
      </c>
      <c r="I55" s="57" t="s">
        <v>56</v>
      </c>
      <c r="J55" s="89"/>
      <c r="K55" s="86"/>
      <c r="L55" s="56">
        <f>$E$38</f>
        <v>0.5</v>
      </c>
      <c r="M55" s="6">
        <f t="shared" si="5"/>
        <v>47058.823529411762</v>
      </c>
      <c r="N55" s="31"/>
    </row>
    <row r="56" spans="1:14" x14ac:dyDescent="0.25">
      <c r="A56" s="51">
        <v>13</v>
      </c>
      <c r="B56" s="57" t="s">
        <v>39</v>
      </c>
      <c r="C56" s="79"/>
      <c r="D56" s="87"/>
      <c r="E56" s="56">
        <f>$E$39</f>
        <v>0.5</v>
      </c>
      <c r="F56" s="6">
        <f t="shared" si="4"/>
        <v>46875</v>
      </c>
      <c r="G56" s="31"/>
      <c r="H56" s="51">
        <v>13</v>
      </c>
      <c r="I56" s="57" t="s">
        <v>39</v>
      </c>
      <c r="J56" s="90"/>
      <c r="K56" s="87"/>
      <c r="L56" s="56">
        <v>0</v>
      </c>
      <c r="M56" s="6">
        <f t="shared" si="5"/>
        <v>0</v>
      </c>
      <c r="N56" s="31"/>
    </row>
    <row r="57" spans="1:14" x14ac:dyDescent="0.25">
      <c r="A57" s="8"/>
      <c r="B57" s="53"/>
      <c r="C57" s="64"/>
      <c r="D57" s="66"/>
      <c r="E57" s="54"/>
      <c r="F57" s="31"/>
      <c r="G57" s="31"/>
    </row>
    <row r="58" spans="1:14" x14ac:dyDescent="0.25">
      <c r="A58" s="65"/>
      <c r="B58" s="65"/>
      <c r="C58" s="8"/>
      <c r="D58" s="8"/>
      <c r="E58" s="8"/>
      <c r="F58" s="4"/>
      <c r="G58" s="4"/>
    </row>
    <row r="59" spans="1:14" ht="56.25" customHeight="1" x14ac:dyDescent="0.25">
      <c r="A59" s="28" t="s">
        <v>7</v>
      </c>
      <c r="B59" s="61" t="s">
        <v>49</v>
      </c>
      <c r="C59" s="28" t="s">
        <v>61</v>
      </c>
      <c r="D59" s="62" t="s">
        <v>63</v>
      </c>
      <c r="E59" s="62" t="s">
        <v>51</v>
      </c>
      <c r="F59" s="62" t="s">
        <v>69</v>
      </c>
      <c r="G59" s="71"/>
      <c r="H59" s="28" t="s">
        <v>7</v>
      </c>
      <c r="I59" s="61" t="s">
        <v>49</v>
      </c>
      <c r="J59" s="28" t="s">
        <v>61</v>
      </c>
      <c r="K59" s="62" t="s">
        <v>63</v>
      </c>
      <c r="L59" s="62" t="s">
        <v>51</v>
      </c>
      <c r="M59" s="62" t="s">
        <v>69</v>
      </c>
      <c r="N59" s="71"/>
    </row>
    <row r="60" spans="1:14" x14ac:dyDescent="0.25">
      <c r="A60" s="7">
        <v>1</v>
      </c>
      <c r="B60" s="55" t="s">
        <v>13</v>
      </c>
      <c r="C60" s="88">
        <v>43319</v>
      </c>
      <c r="D60" s="80" t="s">
        <v>66</v>
      </c>
      <c r="E60" s="56">
        <v>0</v>
      </c>
      <c r="F60" s="6">
        <f>($D$69)*(E60/(SUM($E$60:$E$72)))</f>
        <v>0</v>
      </c>
      <c r="G60" s="31"/>
      <c r="H60" s="7">
        <v>1</v>
      </c>
      <c r="I60" s="55" t="s">
        <v>13</v>
      </c>
      <c r="J60" s="88" t="s">
        <v>82</v>
      </c>
      <c r="K60" s="80" t="s">
        <v>66</v>
      </c>
      <c r="L60" s="56">
        <v>0</v>
      </c>
      <c r="M60" s="6">
        <f>($K$69)*(L60/(SUM($L$60:$L$72)))</f>
        <v>0</v>
      </c>
      <c r="N60" s="31"/>
    </row>
    <row r="61" spans="1:14" x14ac:dyDescent="0.25">
      <c r="A61" s="7">
        <v>2</v>
      </c>
      <c r="B61" s="55" t="s">
        <v>52</v>
      </c>
      <c r="C61" s="89"/>
      <c r="D61" s="81"/>
      <c r="E61" s="56">
        <f>$E$28</f>
        <v>1</v>
      </c>
      <c r="F61" s="6">
        <f t="shared" ref="F61:F72" si="6">($D$69)*(E61/(SUM($E$60:$E$72)))</f>
        <v>282352.9411764706</v>
      </c>
      <c r="G61" s="31"/>
      <c r="H61" s="7">
        <v>2</v>
      </c>
      <c r="I61" s="55" t="s">
        <v>52</v>
      </c>
      <c r="J61" s="89"/>
      <c r="K61" s="81"/>
      <c r="L61" s="56">
        <f>$E$28</f>
        <v>1</v>
      </c>
      <c r="M61" s="6">
        <f t="shared" ref="M61:M72" si="7">($K$69)*(L61/(SUM($L$60:$L$72)))</f>
        <v>50000</v>
      </c>
      <c r="N61" s="31"/>
    </row>
    <row r="62" spans="1:14" x14ac:dyDescent="0.25">
      <c r="A62" s="7">
        <v>3</v>
      </c>
      <c r="B62" s="55" t="s">
        <v>20</v>
      </c>
      <c r="C62" s="89"/>
      <c r="D62" s="80" t="s">
        <v>65</v>
      </c>
      <c r="E62" s="56">
        <f>$E$29</f>
        <v>1</v>
      </c>
      <c r="F62" s="6">
        <f t="shared" si="6"/>
        <v>282352.9411764706</v>
      </c>
      <c r="G62" s="31"/>
      <c r="H62" s="7">
        <v>3</v>
      </c>
      <c r="I62" s="55" t="s">
        <v>20</v>
      </c>
      <c r="J62" s="89"/>
      <c r="K62" s="80" t="s">
        <v>65</v>
      </c>
      <c r="L62" s="56">
        <f>$E$29</f>
        <v>1</v>
      </c>
      <c r="M62" s="6">
        <f t="shared" si="7"/>
        <v>50000</v>
      </c>
      <c r="N62" s="31"/>
    </row>
    <row r="63" spans="1:14" x14ac:dyDescent="0.25">
      <c r="A63" s="7">
        <v>4</v>
      </c>
      <c r="B63" s="55" t="s">
        <v>18</v>
      </c>
      <c r="C63" s="89"/>
      <c r="D63" s="81"/>
      <c r="E63" s="56">
        <v>1</v>
      </c>
      <c r="F63" s="6">
        <f t="shared" si="6"/>
        <v>282352.9411764706</v>
      </c>
      <c r="G63" s="31"/>
      <c r="H63" s="7">
        <v>4</v>
      </c>
      <c r="I63" s="55" t="s">
        <v>18</v>
      </c>
      <c r="J63" s="89"/>
      <c r="K63" s="81"/>
      <c r="L63" s="56">
        <v>1</v>
      </c>
      <c r="M63" s="6">
        <f t="shared" si="7"/>
        <v>50000</v>
      </c>
      <c r="N63" s="31"/>
    </row>
    <row r="64" spans="1:14" x14ac:dyDescent="0.25">
      <c r="A64" s="7">
        <v>5</v>
      </c>
      <c r="B64" s="55" t="s">
        <v>53</v>
      </c>
      <c r="C64" s="89"/>
      <c r="D64" s="82">
        <v>600</v>
      </c>
      <c r="E64" s="56">
        <f>$E$31</f>
        <v>1</v>
      </c>
      <c r="F64" s="6">
        <f t="shared" si="6"/>
        <v>282352.9411764706</v>
      </c>
      <c r="G64" s="31"/>
      <c r="H64" s="7">
        <v>5</v>
      </c>
      <c r="I64" s="55" t="s">
        <v>53</v>
      </c>
      <c r="J64" s="89"/>
      <c r="K64" s="82">
        <v>100</v>
      </c>
      <c r="L64" s="56">
        <f>$E$31</f>
        <v>1</v>
      </c>
      <c r="M64" s="6">
        <f t="shared" si="7"/>
        <v>50000</v>
      </c>
      <c r="N64" s="31"/>
    </row>
    <row r="65" spans="1:14" x14ac:dyDescent="0.25">
      <c r="A65" s="51">
        <v>6</v>
      </c>
      <c r="B65" s="57" t="s">
        <v>19</v>
      </c>
      <c r="C65" s="89"/>
      <c r="D65" s="83"/>
      <c r="E65" s="56">
        <f>$E$32</f>
        <v>1</v>
      </c>
      <c r="F65" s="6">
        <f t="shared" si="6"/>
        <v>282352.9411764706</v>
      </c>
      <c r="G65" s="31"/>
      <c r="H65" s="51">
        <v>6</v>
      </c>
      <c r="I65" s="57" t="s">
        <v>19</v>
      </c>
      <c r="J65" s="89"/>
      <c r="K65" s="83"/>
      <c r="L65" s="56">
        <f>$E$32</f>
        <v>1</v>
      </c>
      <c r="M65" s="6">
        <f t="shared" si="7"/>
        <v>50000</v>
      </c>
      <c r="N65" s="31"/>
    </row>
    <row r="66" spans="1:14" x14ac:dyDescent="0.25">
      <c r="A66" s="51">
        <v>7</v>
      </c>
      <c r="B66" s="57" t="s">
        <v>34</v>
      </c>
      <c r="C66" s="89"/>
      <c r="D66" s="80" t="s">
        <v>67</v>
      </c>
      <c r="E66" s="56">
        <f>$E$33</f>
        <v>1</v>
      </c>
      <c r="F66" s="6">
        <f t="shared" si="6"/>
        <v>282352.9411764706</v>
      </c>
      <c r="G66" s="31"/>
      <c r="H66" s="51">
        <v>7</v>
      </c>
      <c r="I66" s="57" t="s">
        <v>34</v>
      </c>
      <c r="J66" s="89"/>
      <c r="K66" s="80" t="s">
        <v>67</v>
      </c>
      <c r="L66" s="56">
        <f>$E$33</f>
        <v>1</v>
      </c>
      <c r="M66" s="6">
        <f t="shared" si="7"/>
        <v>50000</v>
      </c>
      <c r="N66" s="31"/>
    </row>
    <row r="67" spans="1:14" x14ac:dyDescent="0.25">
      <c r="A67" s="51">
        <v>8</v>
      </c>
      <c r="B67" s="57" t="s">
        <v>54</v>
      </c>
      <c r="C67" s="89"/>
      <c r="D67" s="84"/>
      <c r="E67" s="56">
        <f>$E$34</f>
        <v>0.5</v>
      </c>
      <c r="F67" s="6">
        <f t="shared" si="6"/>
        <v>141176.4705882353</v>
      </c>
      <c r="G67" s="31"/>
      <c r="H67" s="51">
        <v>8</v>
      </c>
      <c r="I67" s="57" t="s">
        <v>54</v>
      </c>
      <c r="J67" s="89"/>
      <c r="K67" s="84"/>
      <c r="L67" s="56">
        <f>$E$34</f>
        <v>0.5</v>
      </c>
      <c r="M67" s="6">
        <f t="shared" si="7"/>
        <v>25000</v>
      </c>
      <c r="N67" s="31"/>
    </row>
    <row r="68" spans="1:14" x14ac:dyDescent="0.25">
      <c r="A68" s="51">
        <v>9</v>
      </c>
      <c r="B68" s="57" t="s">
        <v>41</v>
      </c>
      <c r="C68" s="89"/>
      <c r="D68" s="81"/>
      <c r="E68" s="56">
        <f>$E$35</f>
        <v>0.5</v>
      </c>
      <c r="F68" s="6">
        <f t="shared" si="6"/>
        <v>141176.4705882353</v>
      </c>
      <c r="G68" s="31"/>
      <c r="H68" s="51">
        <v>9</v>
      </c>
      <c r="I68" s="57" t="s">
        <v>41</v>
      </c>
      <c r="J68" s="89"/>
      <c r="K68" s="81"/>
      <c r="L68" s="56">
        <v>0</v>
      </c>
      <c r="M68" s="6">
        <f t="shared" si="7"/>
        <v>0</v>
      </c>
      <c r="N68" s="31"/>
    </row>
    <row r="69" spans="1:14" x14ac:dyDescent="0.25">
      <c r="A69" s="51">
        <v>10</v>
      </c>
      <c r="B69" s="57" t="s">
        <v>40</v>
      </c>
      <c r="C69" s="89"/>
      <c r="D69" s="85">
        <v>2400000</v>
      </c>
      <c r="E69" s="56">
        <f>$E$36</f>
        <v>0.5</v>
      </c>
      <c r="F69" s="6">
        <f t="shared" si="6"/>
        <v>141176.4705882353</v>
      </c>
      <c r="G69" s="31"/>
      <c r="H69" s="51">
        <v>10</v>
      </c>
      <c r="I69" s="57" t="s">
        <v>40</v>
      </c>
      <c r="J69" s="89"/>
      <c r="K69" s="85">
        <v>400000</v>
      </c>
      <c r="L69" s="56">
        <f>$E$36</f>
        <v>0.5</v>
      </c>
      <c r="M69" s="6">
        <f t="shared" si="7"/>
        <v>25000</v>
      </c>
      <c r="N69" s="31"/>
    </row>
    <row r="70" spans="1:14" x14ac:dyDescent="0.25">
      <c r="A70" s="51">
        <v>11</v>
      </c>
      <c r="B70" s="57" t="s">
        <v>55</v>
      </c>
      <c r="C70" s="89"/>
      <c r="D70" s="86"/>
      <c r="E70" s="56">
        <f>$E$37</f>
        <v>0.5</v>
      </c>
      <c r="F70" s="6">
        <f t="shared" si="6"/>
        <v>141176.4705882353</v>
      </c>
      <c r="G70" s="31"/>
      <c r="H70" s="51">
        <v>11</v>
      </c>
      <c r="I70" s="57" t="s">
        <v>55</v>
      </c>
      <c r="J70" s="89"/>
      <c r="K70" s="86"/>
      <c r="L70" s="56">
        <f>$E$37</f>
        <v>0.5</v>
      </c>
      <c r="M70" s="6">
        <f t="shared" si="7"/>
        <v>25000</v>
      </c>
      <c r="N70" s="31"/>
    </row>
    <row r="71" spans="1:14" x14ac:dyDescent="0.25">
      <c r="A71" s="51">
        <v>12</v>
      </c>
      <c r="B71" s="57" t="s">
        <v>56</v>
      </c>
      <c r="C71" s="89"/>
      <c r="D71" s="86"/>
      <c r="E71" s="56">
        <f>$E$38</f>
        <v>0.5</v>
      </c>
      <c r="F71" s="6">
        <f t="shared" si="6"/>
        <v>141176.4705882353</v>
      </c>
      <c r="G71" s="31"/>
      <c r="H71" s="51">
        <v>12</v>
      </c>
      <c r="I71" s="57" t="s">
        <v>56</v>
      </c>
      <c r="J71" s="89"/>
      <c r="K71" s="86"/>
      <c r="L71" s="56">
        <f>$E$38</f>
        <v>0.5</v>
      </c>
      <c r="M71" s="6">
        <f t="shared" si="7"/>
        <v>25000</v>
      </c>
      <c r="N71" s="31"/>
    </row>
    <row r="72" spans="1:14" x14ac:dyDescent="0.25">
      <c r="A72" s="51">
        <v>13</v>
      </c>
      <c r="B72" s="57" t="s">
        <v>39</v>
      </c>
      <c r="C72" s="90"/>
      <c r="D72" s="87"/>
      <c r="E72" s="56">
        <v>0</v>
      </c>
      <c r="F72" s="6">
        <f t="shared" si="6"/>
        <v>0</v>
      </c>
      <c r="G72" s="31"/>
      <c r="H72" s="51">
        <v>13</v>
      </c>
      <c r="I72" s="57" t="s">
        <v>39</v>
      </c>
      <c r="J72" s="90"/>
      <c r="K72" s="87"/>
      <c r="L72" s="56">
        <v>0</v>
      </c>
      <c r="M72" s="6">
        <f t="shared" si="7"/>
        <v>0</v>
      </c>
      <c r="N72" s="31"/>
    </row>
    <row r="73" spans="1:14" x14ac:dyDescent="0.25">
      <c r="A73" s="8"/>
      <c r="B73" s="53"/>
      <c r="C73" s="64"/>
      <c r="D73" s="66"/>
      <c r="E73" s="54"/>
      <c r="F73" s="31"/>
      <c r="G73" s="31"/>
    </row>
    <row r="74" spans="1:14" ht="15.75" x14ac:dyDescent="0.25">
      <c r="A74" s="31"/>
      <c r="B74" s="31"/>
      <c r="C74" s="31"/>
      <c r="D74" s="20"/>
      <c r="E74" s="20"/>
    </row>
    <row r="75" spans="1:14" ht="42.75" x14ac:dyDescent="0.25">
      <c r="A75" s="28" t="s">
        <v>7</v>
      </c>
      <c r="B75" s="61" t="s">
        <v>49</v>
      </c>
      <c r="C75" s="28" t="s">
        <v>61</v>
      </c>
      <c r="D75" s="62" t="s">
        <v>63</v>
      </c>
      <c r="E75" s="62" t="s">
        <v>51</v>
      </c>
      <c r="F75" s="62" t="s">
        <v>69</v>
      </c>
      <c r="G75" s="71"/>
      <c r="H75" s="28" t="s">
        <v>7</v>
      </c>
      <c r="I75" s="61" t="s">
        <v>49</v>
      </c>
      <c r="J75" s="28" t="s">
        <v>61</v>
      </c>
      <c r="K75" s="62" t="s">
        <v>63</v>
      </c>
      <c r="L75" s="62" t="s">
        <v>51</v>
      </c>
      <c r="M75" s="62" t="s">
        <v>69</v>
      </c>
      <c r="N75" s="71"/>
    </row>
    <row r="76" spans="1:14" x14ac:dyDescent="0.25">
      <c r="A76" s="7">
        <v>1</v>
      </c>
      <c r="B76" s="55" t="s">
        <v>13</v>
      </c>
      <c r="C76" s="77" t="s">
        <v>83</v>
      </c>
      <c r="D76" s="80" t="s">
        <v>66</v>
      </c>
      <c r="E76" s="56">
        <v>0</v>
      </c>
      <c r="F76" s="6">
        <f>($D$85)*(E76/(SUM($E$76:$E$88)))</f>
        <v>0</v>
      </c>
      <c r="G76" s="31"/>
      <c r="H76" s="7">
        <v>1</v>
      </c>
      <c r="I76" s="55" t="s">
        <v>13</v>
      </c>
      <c r="J76" s="77"/>
      <c r="K76" s="80" t="s">
        <v>66</v>
      </c>
      <c r="L76" s="56">
        <f>$E$27</f>
        <v>1</v>
      </c>
      <c r="M76" s="6">
        <f>($K$85)*(L76/(SUM($L$76:$L$88)))</f>
        <v>0</v>
      </c>
      <c r="N76" s="31"/>
    </row>
    <row r="77" spans="1:14" x14ac:dyDescent="0.25">
      <c r="A77" s="7">
        <v>2</v>
      </c>
      <c r="B77" s="55" t="s">
        <v>52</v>
      </c>
      <c r="C77" s="78"/>
      <c r="D77" s="81"/>
      <c r="E77" s="56">
        <f>$E$28</f>
        <v>1</v>
      </c>
      <c r="F77" s="6">
        <f t="shared" ref="F77:F88" si="8">($D$85)*(E77/(SUM($E$76:$E$88)))</f>
        <v>352941.17647058825</v>
      </c>
      <c r="G77" s="31"/>
      <c r="H77" s="7">
        <v>2</v>
      </c>
      <c r="I77" s="55" t="s">
        <v>52</v>
      </c>
      <c r="J77" s="78"/>
      <c r="K77" s="81"/>
      <c r="L77" s="56">
        <f>$E$28</f>
        <v>1</v>
      </c>
      <c r="M77" s="6">
        <f t="shared" ref="M77:M88" si="9">($K$85)*(L77/(SUM($L$76:$L$88)))</f>
        <v>0</v>
      </c>
      <c r="N77" s="31"/>
    </row>
    <row r="78" spans="1:14" x14ac:dyDescent="0.25">
      <c r="A78" s="7">
        <v>3</v>
      </c>
      <c r="B78" s="55" t="s">
        <v>20</v>
      </c>
      <c r="C78" s="78"/>
      <c r="D78" s="80" t="s">
        <v>65</v>
      </c>
      <c r="E78" s="56">
        <f>$E$29</f>
        <v>1</v>
      </c>
      <c r="F78" s="6">
        <f t="shared" si="8"/>
        <v>352941.17647058825</v>
      </c>
      <c r="G78" s="31"/>
      <c r="H78" s="7">
        <v>3</v>
      </c>
      <c r="I78" s="55" t="s">
        <v>20</v>
      </c>
      <c r="J78" s="78"/>
      <c r="K78" s="80" t="s">
        <v>65</v>
      </c>
      <c r="L78" s="56">
        <f>$E$29</f>
        <v>1</v>
      </c>
      <c r="M78" s="6">
        <f t="shared" si="9"/>
        <v>0</v>
      </c>
      <c r="N78" s="31"/>
    </row>
    <row r="79" spans="1:14" x14ac:dyDescent="0.25">
      <c r="A79" s="7">
        <v>4</v>
      </c>
      <c r="B79" s="55" t="s">
        <v>18</v>
      </c>
      <c r="C79" s="78"/>
      <c r="D79" s="81"/>
      <c r="E79" s="56">
        <v>1</v>
      </c>
      <c r="F79" s="6">
        <f t="shared" si="8"/>
        <v>352941.17647058825</v>
      </c>
      <c r="G79" s="31"/>
      <c r="H79" s="7">
        <v>4</v>
      </c>
      <c r="I79" s="55" t="s">
        <v>18</v>
      </c>
      <c r="J79" s="78"/>
      <c r="K79" s="81"/>
      <c r="L79" s="56">
        <v>1</v>
      </c>
      <c r="M79" s="6">
        <f t="shared" si="9"/>
        <v>0</v>
      </c>
      <c r="N79" s="31"/>
    </row>
    <row r="80" spans="1:14" x14ac:dyDescent="0.25">
      <c r="A80" s="7">
        <v>5</v>
      </c>
      <c r="B80" s="55" t="s">
        <v>53</v>
      </c>
      <c r="C80" s="78"/>
      <c r="D80" s="82">
        <v>750</v>
      </c>
      <c r="E80" s="56">
        <f>$E$31</f>
        <v>1</v>
      </c>
      <c r="F80" s="6">
        <f t="shared" si="8"/>
        <v>352941.17647058825</v>
      </c>
      <c r="G80" s="31"/>
      <c r="H80" s="7">
        <v>5</v>
      </c>
      <c r="I80" s="55" t="s">
        <v>53</v>
      </c>
      <c r="J80" s="78"/>
      <c r="K80" s="82">
        <v>0</v>
      </c>
      <c r="L80" s="56">
        <f>$E$31</f>
        <v>1</v>
      </c>
      <c r="M80" s="6">
        <f t="shared" si="9"/>
        <v>0</v>
      </c>
      <c r="N80" s="31"/>
    </row>
    <row r="81" spans="1:14" x14ac:dyDescent="0.25">
      <c r="A81" s="51">
        <v>6</v>
      </c>
      <c r="B81" s="57" t="s">
        <v>19</v>
      </c>
      <c r="C81" s="78"/>
      <c r="D81" s="83"/>
      <c r="E81" s="56">
        <f>$E$32</f>
        <v>1</v>
      </c>
      <c r="F81" s="6">
        <f t="shared" si="8"/>
        <v>352941.17647058825</v>
      </c>
      <c r="G81" s="31"/>
      <c r="H81" s="51">
        <v>6</v>
      </c>
      <c r="I81" s="57" t="s">
        <v>19</v>
      </c>
      <c r="J81" s="78"/>
      <c r="K81" s="83"/>
      <c r="L81" s="56">
        <f>$E$32</f>
        <v>1</v>
      </c>
      <c r="M81" s="6">
        <f t="shared" si="9"/>
        <v>0</v>
      </c>
      <c r="N81" s="31"/>
    </row>
    <row r="82" spans="1:14" x14ac:dyDescent="0.25">
      <c r="A82" s="51">
        <v>7</v>
      </c>
      <c r="B82" s="57" t="s">
        <v>34</v>
      </c>
      <c r="C82" s="78"/>
      <c r="D82" s="80" t="s">
        <v>67</v>
      </c>
      <c r="E82" s="56">
        <f>$E$33</f>
        <v>1</v>
      </c>
      <c r="F82" s="6">
        <f t="shared" si="8"/>
        <v>352941.17647058825</v>
      </c>
      <c r="G82" s="31"/>
      <c r="H82" s="51">
        <v>7</v>
      </c>
      <c r="I82" s="57" t="s">
        <v>34</v>
      </c>
      <c r="J82" s="78"/>
      <c r="K82" s="80" t="s">
        <v>67</v>
      </c>
      <c r="L82" s="56">
        <f>$E$33</f>
        <v>1</v>
      </c>
      <c r="M82" s="6">
        <f t="shared" si="9"/>
        <v>0</v>
      </c>
      <c r="N82" s="31"/>
    </row>
    <row r="83" spans="1:14" x14ac:dyDescent="0.25">
      <c r="A83" s="51">
        <v>8</v>
      </c>
      <c r="B83" s="57" t="s">
        <v>54</v>
      </c>
      <c r="C83" s="78"/>
      <c r="D83" s="84"/>
      <c r="E83" s="56">
        <f>$E$34</f>
        <v>0.5</v>
      </c>
      <c r="F83" s="6">
        <f t="shared" si="8"/>
        <v>176470.58823529413</v>
      </c>
      <c r="G83" s="31"/>
      <c r="H83" s="51">
        <v>8</v>
      </c>
      <c r="I83" s="57" t="s">
        <v>54</v>
      </c>
      <c r="J83" s="78"/>
      <c r="K83" s="84"/>
      <c r="L83" s="56">
        <f>$E$34</f>
        <v>0.5</v>
      </c>
      <c r="M83" s="6">
        <f t="shared" si="9"/>
        <v>0</v>
      </c>
      <c r="N83" s="31"/>
    </row>
    <row r="84" spans="1:14" x14ac:dyDescent="0.25">
      <c r="A84" s="51">
        <v>9</v>
      </c>
      <c r="B84" s="57" t="s">
        <v>41</v>
      </c>
      <c r="C84" s="78"/>
      <c r="D84" s="81"/>
      <c r="E84" s="56">
        <f>$E$35</f>
        <v>0.5</v>
      </c>
      <c r="F84" s="6">
        <f t="shared" si="8"/>
        <v>176470.58823529413</v>
      </c>
      <c r="G84" s="31"/>
      <c r="H84" s="51">
        <v>9</v>
      </c>
      <c r="I84" s="57" t="s">
        <v>41</v>
      </c>
      <c r="J84" s="78"/>
      <c r="K84" s="81"/>
      <c r="L84" s="56">
        <f>$E$35</f>
        <v>0.5</v>
      </c>
      <c r="M84" s="6">
        <f t="shared" si="9"/>
        <v>0</v>
      </c>
      <c r="N84" s="31"/>
    </row>
    <row r="85" spans="1:14" x14ac:dyDescent="0.25">
      <c r="A85" s="51">
        <v>10</v>
      </c>
      <c r="B85" s="57" t="s">
        <v>40</v>
      </c>
      <c r="C85" s="78"/>
      <c r="D85" s="85">
        <v>3000000</v>
      </c>
      <c r="E85" s="56">
        <f>$E$36</f>
        <v>0.5</v>
      </c>
      <c r="F85" s="6">
        <f t="shared" si="8"/>
        <v>176470.58823529413</v>
      </c>
      <c r="G85" s="31"/>
      <c r="H85" s="51">
        <v>10</v>
      </c>
      <c r="I85" s="57" t="s">
        <v>40</v>
      </c>
      <c r="J85" s="78"/>
      <c r="K85" s="85"/>
      <c r="L85" s="56">
        <f>$E$36</f>
        <v>0.5</v>
      </c>
      <c r="M85" s="6">
        <f t="shared" si="9"/>
        <v>0</v>
      </c>
      <c r="N85" s="31"/>
    </row>
    <row r="86" spans="1:14" x14ac:dyDescent="0.25">
      <c r="A86" s="51">
        <v>11</v>
      </c>
      <c r="B86" s="57" t="s">
        <v>55</v>
      </c>
      <c r="C86" s="78"/>
      <c r="D86" s="86"/>
      <c r="E86" s="56">
        <f>$E$37</f>
        <v>0.5</v>
      </c>
      <c r="F86" s="6">
        <f t="shared" si="8"/>
        <v>176470.58823529413</v>
      </c>
      <c r="G86" s="31"/>
      <c r="H86" s="51">
        <v>11</v>
      </c>
      <c r="I86" s="57" t="s">
        <v>55</v>
      </c>
      <c r="J86" s="78"/>
      <c r="K86" s="86"/>
      <c r="L86" s="56">
        <f>$E$37</f>
        <v>0.5</v>
      </c>
      <c r="M86" s="6">
        <f t="shared" si="9"/>
        <v>0</v>
      </c>
      <c r="N86" s="31"/>
    </row>
    <row r="87" spans="1:14" x14ac:dyDescent="0.25">
      <c r="A87" s="51">
        <v>12</v>
      </c>
      <c r="B87" s="57" t="s">
        <v>56</v>
      </c>
      <c r="C87" s="78"/>
      <c r="D87" s="86"/>
      <c r="E87" s="56">
        <f>$E$38</f>
        <v>0.5</v>
      </c>
      <c r="F87" s="6">
        <f t="shared" si="8"/>
        <v>176470.58823529413</v>
      </c>
      <c r="G87" s="31"/>
      <c r="H87" s="51">
        <v>12</v>
      </c>
      <c r="I87" s="57" t="s">
        <v>56</v>
      </c>
      <c r="J87" s="78"/>
      <c r="K87" s="86"/>
      <c r="L87" s="56">
        <f>$E$38</f>
        <v>0.5</v>
      </c>
      <c r="M87" s="6">
        <f t="shared" si="9"/>
        <v>0</v>
      </c>
      <c r="N87" s="31"/>
    </row>
    <row r="88" spans="1:14" x14ac:dyDescent="0.25">
      <c r="A88" s="51">
        <v>13</v>
      </c>
      <c r="B88" s="57" t="s">
        <v>39</v>
      </c>
      <c r="C88" s="79"/>
      <c r="D88" s="87"/>
      <c r="E88" s="56">
        <v>0</v>
      </c>
      <c r="F88" s="6">
        <f t="shared" si="8"/>
        <v>0</v>
      </c>
      <c r="G88" s="31"/>
      <c r="H88" s="51">
        <v>13</v>
      </c>
      <c r="I88" s="57" t="s">
        <v>39</v>
      </c>
      <c r="J88" s="79"/>
      <c r="K88" s="87"/>
      <c r="L88" s="56">
        <f>$E$39</f>
        <v>0.5</v>
      </c>
      <c r="M88" s="6">
        <f t="shared" si="9"/>
        <v>0</v>
      </c>
      <c r="N88" s="31"/>
    </row>
    <row r="89" spans="1:14" x14ac:dyDescent="0.25">
      <c r="A89" s="8"/>
      <c r="B89" s="53"/>
      <c r="C89" s="64"/>
      <c r="D89" s="66"/>
      <c r="E89" s="54"/>
      <c r="F89" s="31"/>
      <c r="G89" s="31"/>
      <c r="L89" s="73"/>
      <c r="M89" s="74"/>
      <c r="N89" s="74"/>
    </row>
    <row r="90" spans="1:14" x14ac:dyDescent="0.25">
      <c r="A90" s="4"/>
      <c r="B90" s="4"/>
      <c r="C90" s="4"/>
      <c r="D90" s="11"/>
      <c r="E90" s="4"/>
    </row>
    <row r="91" spans="1:14" ht="53.25" customHeight="1" x14ac:dyDescent="0.25">
      <c r="A91" s="28" t="s">
        <v>7</v>
      </c>
      <c r="B91" s="61" t="s">
        <v>49</v>
      </c>
      <c r="C91" s="28" t="s">
        <v>61</v>
      </c>
      <c r="D91" s="62" t="s">
        <v>63</v>
      </c>
      <c r="E91" s="62" t="s">
        <v>51</v>
      </c>
      <c r="F91" s="62" t="s">
        <v>69</v>
      </c>
      <c r="H91" s="28" t="s">
        <v>7</v>
      </c>
      <c r="I91" s="61" t="s">
        <v>49</v>
      </c>
      <c r="J91" s="28" t="s">
        <v>61</v>
      </c>
      <c r="K91" s="62" t="s">
        <v>63</v>
      </c>
      <c r="L91" s="62" t="s">
        <v>51</v>
      </c>
      <c r="M91" s="62" t="s">
        <v>69</v>
      </c>
      <c r="N91" s="71"/>
    </row>
    <row r="92" spans="1:14" x14ac:dyDescent="0.25">
      <c r="A92" s="7">
        <v>1</v>
      </c>
      <c r="B92" s="55" t="s">
        <v>13</v>
      </c>
      <c r="C92" s="77"/>
      <c r="D92" s="80" t="s">
        <v>66</v>
      </c>
      <c r="E92" s="56">
        <f>$E$27</f>
        <v>1</v>
      </c>
      <c r="F92" s="6">
        <f>($D$101)*(E92/(SUM($E$92:$E$104)))</f>
        <v>0</v>
      </c>
      <c r="H92" s="7">
        <v>1</v>
      </c>
      <c r="I92" s="55" t="s">
        <v>13</v>
      </c>
      <c r="J92" s="77"/>
      <c r="K92" s="80" t="s">
        <v>66</v>
      </c>
      <c r="L92" s="56">
        <f>$E$27</f>
        <v>1</v>
      </c>
      <c r="M92" s="6">
        <f>($K$101)*(L92/(SUM($L$92:$L$104)))</f>
        <v>0</v>
      </c>
      <c r="N92" s="31"/>
    </row>
    <row r="93" spans="1:14" x14ac:dyDescent="0.25">
      <c r="A93" s="7">
        <v>2</v>
      </c>
      <c r="B93" s="55" t="s">
        <v>52</v>
      </c>
      <c r="C93" s="78"/>
      <c r="D93" s="81"/>
      <c r="E93" s="56">
        <f>$E$28</f>
        <v>1</v>
      </c>
      <c r="F93" s="6">
        <f t="shared" ref="F93:F104" si="10">($K$85)*(E93/(SUM($L$76:$L$88)))</f>
        <v>0</v>
      </c>
      <c r="H93" s="7">
        <v>2</v>
      </c>
      <c r="I93" s="55" t="s">
        <v>52</v>
      </c>
      <c r="J93" s="78"/>
      <c r="K93" s="81"/>
      <c r="L93" s="56">
        <f>$E$28</f>
        <v>1</v>
      </c>
      <c r="M93" s="6">
        <f t="shared" ref="M93:M104" si="11">($K$85)*(L93/(SUM($L$76:$L$88)))</f>
        <v>0</v>
      </c>
      <c r="N93" s="31"/>
    </row>
    <row r="94" spans="1:14" x14ac:dyDescent="0.25">
      <c r="A94" s="7">
        <v>3</v>
      </c>
      <c r="B94" s="55" t="s">
        <v>20</v>
      </c>
      <c r="C94" s="78"/>
      <c r="D94" s="80" t="s">
        <v>65</v>
      </c>
      <c r="E94" s="56">
        <f>$E$29</f>
        <v>1</v>
      </c>
      <c r="F94" s="6">
        <f t="shared" si="10"/>
        <v>0</v>
      </c>
      <c r="H94" s="7">
        <v>3</v>
      </c>
      <c r="I94" s="55" t="s">
        <v>20</v>
      </c>
      <c r="J94" s="78"/>
      <c r="K94" s="80" t="s">
        <v>65</v>
      </c>
      <c r="L94" s="56">
        <f>$E$29</f>
        <v>1</v>
      </c>
      <c r="M94" s="6">
        <f t="shared" si="11"/>
        <v>0</v>
      </c>
      <c r="N94" s="31"/>
    </row>
    <row r="95" spans="1:14" x14ac:dyDescent="0.25">
      <c r="A95" s="7">
        <v>4</v>
      </c>
      <c r="B95" s="55" t="s">
        <v>18</v>
      </c>
      <c r="C95" s="78"/>
      <c r="D95" s="81"/>
      <c r="E95" s="56">
        <v>1</v>
      </c>
      <c r="F95" s="6">
        <f t="shared" si="10"/>
        <v>0</v>
      </c>
      <c r="H95" s="7">
        <v>4</v>
      </c>
      <c r="I95" s="55" t="s">
        <v>18</v>
      </c>
      <c r="J95" s="78"/>
      <c r="K95" s="81"/>
      <c r="L95" s="56">
        <v>1</v>
      </c>
      <c r="M95" s="6">
        <f t="shared" si="11"/>
        <v>0</v>
      </c>
      <c r="N95" s="31"/>
    </row>
    <row r="96" spans="1:14" x14ac:dyDescent="0.25">
      <c r="A96" s="7">
        <v>5</v>
      </c>
      <c r="B96" s="55" t="s">
        <v>53</v>
      </c>
      <c r="C96" s="78"/>
      <c r="D96" s="82">
        <v>0</v>
      </c>
      <c r="E96" s="56">
        <f>$E$31</f>
        <v>1</v>
      </c>
      <c r="F96" s="6">
        <f t="shared" si="10"/>
        <v>0</v>
      </c>
      <c r="H96" s="7">
        <v>5</v>
      </c>
      <c r="I96" s="55" t="s">
        <v>53</v>
      </c>
      <c r="J96" s="78"/>
      <c r="K96" s="82">
        <v>0</v>
      </c>
      <c r="L96" s="56">
        <f>$E$31</f>
        <v>1</v>
      </c>
      <c r="M96" s="6">
        <f t="shared" si="11"/>
        <v>0</v>
      </c>
      <c r="N96" s="31"/>
    </row>
    <row r="97" spans="1:14" x14ac:dyDescent="0.25">
      <c r="A97" s="51">
        <v>6</v>
      </c>
      <c r="B97" s="57" t="s">
        <v>19</v>
      </c>
      <c r="C97" s="78"/>
      <c r="D97" s="83"/>
      <c r="E97" s="56">
        <f>$E$32</f>
        <v>1</v>
      </c>
      <c r="F97" s="6">
        <f t="shared" si="10"/>
        <v>0</v>
      </c>
      <c r="H97" s="51">
        <v>6</v>
      </c>
      <c r="I97" s="57" t="s">
        <v>19</v>
      </c>
      <c r="J97" s="78"/>
      <c r="K97" s="83"/>
      <c r="L97" s="56">
        <f>$E$32</f>
        <v>1</v>
      </c>
      <c r="M97" s="6">
        <f t="shared" si="11"/>
        <v>0</v>
      </c>
      <c r="N97" s="31"/>
    </row>
    <row r="98" spans="1:14" x14ac:dyDescent="0.25">
      <c r="A98" s="51">
        <v>7</v>
      </c>
      <c r="B98" s="57" t="s">
        <v>34</v>
      </c>
      <c r="C98" s="78"/>
      <c r="D98" s="80" t="s">
        <v>67</v>
      </c>
      <c r="E98" s="56">
        <f>$E$33</f>
        <v>1</v>
      </c>
      <c r="F98" s="6">
        <f t="shared" si="10"/>
        <v>0</v>
      </c>
      <c r="H98" s="51">
        <v>7</v>
      </c>
      <c r="I98" s="57" t="s">
        <v>34</v>
      </c>
      <c r="J98" s="78"/>
      <c r="K98" s="80" t="s">
        <v>67</v>
      </c>
      <c r="L98" s="56">
        <f>$E$33</f>
        <v>1</v>
      </c>
      <c r="M98" s="6">
        <f t="shared" si="11"/>
        <v>0</v>
      </c>
      <c r="N98" s="31"/>
    </row>
    <row r="99" spans="1:14" x14ac:dyDescent="0.25">
      <c r="A99" s="51">
        <v>8</v>
      </c>
      <c r="B99" s="57" t="s">
        <v>54</v>
      </c>
      <c r="C99" s="78"/>
      <c r="D99" s="84"/>
      <c r="E99" s="56">
        <f>$E$34</f>
        <v>0.5</v>
      </c>
      <c r="F99" s="6">
        <f t="shared" si="10"/>
        <v>0</v>
      </c>
      <c r="H99" s="51">
        <v>8</v>
      </c>
      <c r="I99" s="57" t="s">
        <v>54</v>
      </c>
      <c r="J99" s="78"/>
      <c r="K99" s="84"/>
      <c r="L99" s="56">
        <f>$E$34</f>
        <v>0.5</v>
      </c>
      <c r="M99" s="6">
        <f t="shared" si="11"/>
        <v>0</v>
      </c>
      <c r="N99" s="31"/>
    </row>
    <row r="100" spans="1:14" x14ac:dyDescent="0.25">
      <c r="A100" s="51">
        <v>9</v>
      </c>
      <c r="B100" s="57" t="s">
        <v>41</v>
      </c>
      <c r="C100" s="78"/>
      <c r="D100" s="81"/>
      <c r="E100" s="56">
        <f>$E$35</f>
        <v>0.5</v>
      </c>
      <c r="F100" s="6">
        <f t="shared" si="10"/>
        <v>0</v>
      </c>
      <c r="H100" s="51">
        <v>9</v>
      </c>
      <c r="I100" s="57" t="s">
        <v>41</v>
      </c>
      <c r="J100" s="78"/>
      <c r="K100" s="81"/>
      <c r="L100" s="56">
        <f>$E$35</f>
        <v>0.5</v>
      </c>
      <c r="M100" s="6">
        <f t="shared" si="11"/>
        <v>0</v>
      </c>
      <c r="N100" s="31"/>
    </row>
    <row r="101" spans="1:14" x14ac:dyDescent="0.25">
      <c r="A101" s="51">
        <v>10</v>
      </c>
      <c r="B101" s="57" t="s">
        <v>40</v>
      </c>
      <c r="C101" s="78"/>
      <c r="D101" s="85"/>
      <c r="E101" s="56">
        <f>$E$36</f>
        <v>0.5</v>
      </c>
      <c r="F101" s="6">
        <f t="shared" si="10"/>
        <v>0</v>
      </c>
      <c r="H101" s="51">
        <v>10</v>
      </c>
      <c r="I101" s="57" t="s">
        <v>40</v>
      </c>
      <c r="J101" s="78"/>
      <c r="K101" s="85"/>
      <c r="L101" s="56">
        <f>$E$36</f>
        <v>0.5</v>
      </c>
      <c r="M101" s="6">
        <f t="shared" si="11"/>
        <v>0</v>
      </c>
      <c r="N101" s="31"/>
    </row>
    <row r="102" spans="1:14" x14ac:dyDescent="0.25">
      <c r="A102" s="51">
        <v>11</v>
      </c>
      <c r="B102" s="57" t="s">
        <v>55</v>
      </c>
      <c r="C102" s="78"/>
      <c r="D102" s="86"/>
      <c r="E102" s="56">
        <f>$E$37</f>
        <v>0.5</v>
      </c>
      <c r="F102" s="6">
        <f t="shared" si="10"/>
        <v>0</v>
      </c>
      <c r="H102" s="51">
        <v>11</v>
      </c>
      <c r="I102" s="57" t="s">
        <v>55</v>
      </c>
      <c r="J102" s="78"/>
      <c r="K102" s="86"/>
      <c r="L102" s="56">
        <f>$E$37</f>
        <v>0.5</v>
      </c>
      <c r="M102" s="6">
        <f t="shared" si="11"/>
        <v>0</v>
      </c>
      <c r="N102" s="31"/>
    </row>
    <row r="103" spans="1:14" x14ac:dyDescent="0.25">
      <c r="A103" s="51">
        <v>12</v>
      </c>
      <c r="B103" s="57" t="s">
        <v>56</v>
      </c>
      <c r="C103" s="78"/>
      <c r="D103" s="86"/>
      <c r="E103" s="56">
        <f>$E$38</f>
        <v>0.5</v>
      </c>
      <c r="F103" s="6">
        <f t="shared" si="10"/>
        <v>0</v>
      </c>
      <c r="H103" s="51">
        <v>12</v>
      </c>
      <c r="I103" s="57" t="s">
        <v>56</v>
      </c>
      <c r="J103" s="78"/>
      <c r="K103" s="86"/>
      <c r="L103" s="56">
        <f>$E$38</f>
        <v>0.5</v>
      </c>
      <c r="M103" s="6">
        <f t="shared" si="11"/>
        <v>0</v>
      </c>
      <c r="N103" s="31"/>
    </row>
    <row r="104" spans="1:14" x14ac:dyDescent="0.25">
      <c r="A104" s="51">
        <v>13</v>
      </c>
      <c r="B104" s="57" t="s">
        <v>39</v>
      </c>
      <c r="C104" s="79"/>
      <c r="D104" s="87"/>
      <c r="E104" s="56">
        <f>$E$39</f>
        <v>0.5</v>
      </c>
      <c r="F104" s="6">
        <f t="shared" si="10"/>
        <v>0</v>
      </c>
      <c r="H104" s="51">
        <v>13</v>
      </c>
      <c r="I104" s="57" t="s">
        <v>39</v>
      </c>
      <c r="J104" s="79"/>
      <c r="K104" s="87"/>
      <c r="L104" s="56">
        <f>$E$39</f>
        <v>0.5</v>
      </c>
      <c r="M104" s="6">
        <f t="shared" si="11"/>
        <v>0</v>
      </c>
      <c r="N104" s="31"/>
    </row>
    <row r="111" spans="1:14" x14ac:dyDescent="0.25">
      <c r="B111" s="4" t="s">
        <v>11</v>
      </c>
      <c r="C111" s="4"/>
      <c r="D111" s="11" t="s">
        <v>12</v>
      </c>
    </row>
    <row r="112" spans="1:14" x14ac:dyDescent="0.25">
      <c r="B112" s="4"/>
      <c r="C112" s="4"/>
      <c r="D112" s="11"/>
    </row>
    <row r="113" spans="2:4" x14ac:dyDescent="0.25">
      <c r="B113" s="4"/>
      <c r="C113" s="4"/>
      <c r="D113" s="11"/>
    </row>
    <row r="114" spans="2:4" x14ac:dyDescent="0.25">
      <c r="B114" s="4"/>
      <c r="C114" s="4"/>
      <c r="D114" s="11"/>
    </row>
    <row r="115" spans="2:4" x14ac:dyDescent="0.25">
      <c r="B115" s="4" t="s">
        <v>13</v>
      </c>
      <c r="C115" s="4"/>
      <c r="D115" s="11" t="s">
        <v>23</v>
      </c>
    </row>
  </sheetData>
  <mergeCells count="59">
    <mergeCell ref="C76:C88"/>
    <mergeCell ref="D76:D77"/>
    <mergeCell ref="D78:D79"/>
    <mergeCell ref="D80:D81"/>
    <mergeCell ref="D82:D84"/>
    <mergeCell ref="D85:D88"/>
    <mergeCell ref="C60:C72"/>
    <mergeCell ref="D60:D61"/>
    <mergeCell ref="D62:D63"/>
    <mergeCell ref="D64:D65"/>
    <mergeCell ref="D66:D68"/>
    <mergeCell ref="D69:D72"/>
    <mergeCell ref="A41:B41"/>
    <mergeCell ref="C44:C56"/>
    <mergeCell ref="D50:D52"/>
    <mergeCell ref="D53:D56"/>
    <mergeCell ref="D44:D45"/>
    <mergeCell ref="D46:D47"/>
    <mergeCell ref="D48:D49"/>
    <mergeCell ref="C41:E41"/>
    <mergeCell ref="H24:I24"/>
    <mergeCell ref="A22:B22"/>
    <mergeCell ref="A24:B24"/>
    <mergeCell ref="A4:E4"/>
    <mergeCell ref="A8:E8"/>
    <mergeCell ref="A19:B19"/>
    <mergeCell ref="A20:D20"/>
    <mergeCell ref="H12:L12"/>
    <mergeCell ref="G17:O17"/>
    <mergeCell ref="J44:J56"/>
    <mergeCell ref="K44:K45"/>
    <mergeCell ref="K46:K47"/>
    <mergeCell ref="K48:K49"/>
    <mergeCell ref="K50:K52"/>
    <mergeCell ref="K53:K56"/>
    <mergeCell ref="J60:J72"/>
    <mergeCell ref="K60:K61"/>
    <mergeCell ref="K62:K63"/>
    <mergeCell ref="K64:K65"/>
    <mergeCell ref="K66:K68"/>
    <mergeCell ref="K69:K72"/>
    <mergeCell ref="J76:J88"/>
    <mergeCell ref="K76:K77"/>
    <mergeCell ref="K78:K79"/>
    <mergeCell ref="K80:K81"/>
    <mergeCell ref="K82:K84"/>
    <mergeCell ref="K85:K88"/>
    <mergeCell ref="J92:J104"/>
    <mergeCell ref="K92:K93"/>
    <mergeCell ref="K94:K95"/>
    <mergeCell ref="K96:K97"/>
    <mergeCell ref="K98:K100"/>
    <mergeCell ref="K101:K104"/>
    <mergeCell ref="C92:C104"/>
    <mergeCell ref="D92:D93"/>
    <mergeCell ref="D94:D95"/>
    <mergeCell ref="D96:D97"/>
    <mergeCell ref="D98:D100"/>
    <mergeCell ref="D101:D10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23" sqref="C23"/>
    </sheetView>
  </sheetViews>
  <sheetFormatPr defaultColWidth="9.140625" defaultRowHeight="15" x14ac:dyDescent="0.25"/>
  <cols>
    <col min="1" max="1" width="9.140625" style="4"/>
    <col min="2" max="2" width="34.5703125" style="4" customWidth="1"/>
    <col min="3" max="3" width="15.28515625" style="4" customWidth="1"/>
    <col min="4" max="4" width="17.5703125" style="4" customWidth="1"/>
    <col min="5" max="5" width="22" style="4" customWidth="1"/>
    <col min="6" max="6" width="18" style="4" customWidth="1"/>
    <col min="7" max="7" width="16.5703125" style="4" customWidth="1"/>
    <col min="8" max="8" width="20.140625" style="4" customWidth="1"/>
    <col min="9" max="9" width="21.140625" style="4" customWidth="1"/>
    <col min="10" max="10" width="21.5703125" style="38" customWidth="1"/>
    <col min="11" max="11" width="29" style="4" customWidth="1"/>
    <col min="12" max="12" width="17" style="4" customWidth="1"/>
    <col min="13" max="13" width="9.140625" style="4"/>
    <col min="14" max="14" width="11" style="4" bestFit="1" customWidth="1"/>
    <col min="15" max="16384" width="9.140625" style="4"/>
  </cols>
  <sheetData>
    <row r="1" spans="1:15" x14ac:dyDescent="0.25">
      <c r="A1" s="4" t="s">
        <v>3</v>
      </c>
    </row>
    <row r="2" spans="1:15" x14ac:dyDescent="0.25">
      <c r="A2" s="4" t="s">
        <v>4</v>
      </c>
    </row>
    <row r="3" spans="1:15" ht="15.75" x14ac:dyDescent="0.25">
      <c r="A3" s="1" t="s">
        <v>5</v>
      </c>
    </row>
    <row r="4" spans="1:15" ht="25.5" x14ac:dyDescent="0.35">
      <c r="A4" s="102" t="s">
        <v>46</v>
      </c>
      <c r="B4" s="102"/>
      <c r="C4" s="102"/>
      <c r="D4" s="102"/>
      <c r="E4" s="102"/>
      <c r="F4" s="102"/>
      <c r="G4" s="102"/>
      <c r="H4" s="102"/>
      <c r="I4" s="43"/>
    </row>
    <row r="5" spans="1:15" ht="15.75" customHeight="1" x14ac:dyDescent="0.35">
      <c r="A5" s="21"/>
      <c r="B5" s="21"/>
      <c r="C5" s="26"/>
      <c r="D5" s="26"/>
      <c r="E5" s="26"/>
      <c r="F5" s="26"/>
      <c r="G5" s="21"/>
      <c r="H5" s="21"/>
      <c r="I5" s="43"/>
    </row>
    <row r="6" spans="1:15" ht="15.75" customHeight="1" x14ac:dyDescent="0.35">
      <c r="A6" s="25"/>
      <c r="B6" s="25"/>
      <c r="C6" s="26"/>
      <c r="D6" s="26"/>
      <c r="E6" s="26"/>
      <c r="F6" s="26"/>
      <c r="G6" s="25"/>
      <c r="H6" s="25"/>
      <c r="I6" s="43"/>
    </row>
    <row r="7" spans="1:15" s="20" customFormat="1" ht="18.75" customHeight="1" x14ac:dyDescent="0.25">
      <c r="A7" s="20" t="s">
        <v>8</v>
      </c>
      <c r="J7" s="39"/>
    </row>
    <row r="8" spans="1:15" s="20" customFormat="1" ht="21.75" customHeight="1" x14ac:dyDescent="0.25">
      <c r="A8" s="19" t="s">
        <v>22</v>
      </c>
      <c r="J8" s="39"/>
    </row>
    <row r="9" spans="1:15" s="20" customFormat="1" ht="31.5" customHeight="1" x14ac:dyDescent="0.25">
      <c r="A9" s="32" t="s">
        <v>31</v>
      </c>
      <c r="B9" s="33"/>
      <c r="C9" s="34">
        <f>'1'!E20</f>
        <v>38941000</v>
      </c>
      <c r="J9" s="39"/>
    </row>
    <row r="10" spans="1:15" s="20" customFormat="1" ht="21.75" customHeight="1" x14ac:dyDescent="0.25">
      <c r="A10" s="103" t="s">
        <v>32</v>
      </c>
      <c r="B10" s="104"/>
      <c r="C10" s="34">
        <f>COUNT(A17:A23)</f>
        <v>7</v>
      </c>
      <c r="J10" s="39"/>
    </row>
    <row r="11" spans="1:15" s="20" customFormat="1" ht="21.75" customHeight="1" x14ac:dyDescent="0.25">
      <c r="A11" s="103" t="s">
        <v>43</v>
      </c>
      <c r="B11" s="104"/>
      <c r="C11" s="34">
        <f>C9*10%</f>
        <v>3894100</v>
      </c>
      <c r="J11" s="39"/>
    </row>
    <row r="12" spans="1:15" s="20" customFormat="1" ht="21.75" customHeight="1" x14ac:dyDescent="0.25">
      <c r="A12" s="103" t="s">
        <v>44</v>
      </c>
      <c r="B12" s="104"/>
      <c r="C12" s="34">
        <f>C9-C11</f>
        <v>35046900</v>
      </c>
      <c r="J12" s="39"/>
    </row>
    <row r="13" spans="1:15" s="20" customFormat="1" ht="21.75" customHeight="1" x14ac:dyDescent="0.25">
      <c r="A13" s="103" t="s">
        <v>33</v>
      </c>
      <c r="B13" s="104"/>
      <c r="C13" s="6">
        <f>COUNTIF(C17:C23, "&gt;=7")</f>
        <v>0</v>
      </c>
      <c r="J13" s="39"/>
    </row>
    <row r="14" spans="1:15" s="20" customFormat="1" ht="20.25" customHeight="1" x14ac:dyDescent="0.25">
      <c r="A14" s="103" t="s">
        <v>30</v>
      </c>
      <c r="B14" s="104"/>
      <c r="C14" s="6">
        <f>COUNTIFS(C17:C23, "&gt;=2.5",C17:C23,"&lt;7")</f>
        <v>0</v>
      </c>
      <c r="J14" s="39"/>
      <c r="O14" s="41"/>
    </row>
    <row r="15" spans="1:15" s="20" customFormat="1" ht="15" customHeight="1" x14ac:dyDescent="0.25">
      <c r="A15" s="31"/>
      <c r="B15" s="31"/>
      <c r="C15" s="31"/>
      <c r="J15" s="39"/>
    </row>
    <row r="16" spans="1:15" x14ac:dyDescent="0.25">
      <c r="A16" s="28" t="s">
        <v>7</v>
      </c>
      <c r="B16" s="28" t="s">
        <v>17</v>
      </c>
      <c r="C16" s="29" t="s">
        <v>25</v>
      </c>
      <c r="D16" s="29" t="s">
        <v>24</v>
      </c>
      <c r="E16" s="29" t="s">
        <v>38</v>
      </c>
      <c r="F16" s="29" t="s">
        <v>45</v>
      </c>
      <c r="G16" s="29" t="s">
        <v>37</v>
      </c>
      <c r="H16" s="30" t="s">
        <v>28</v>
      </c>
      <c r="I16" s="45"/>
      <c r="J16" s="48"/>
      <c r="K16" s="22"/>
      <c r="O16" s="22"/>
    </row>
    <row r="17" spans="1:13" x14ac:dyDescent="0.25">
      <c r="A17" s="7">
        <v>1</v>
      </c>
      <c r="B17" s="23" t="s">
        <v>35</v>
      </c>
      <c r="C17" s="37">
        <v>0</v>
      </c>
      <c r="D17" s="24">
        <f>$C$12/7</f>
        <v>5006700</v>
      </c>
      <c r="E17" s="44">
        <v>1</v>
      </c>
      <c r="F17" s="50">
        <f>(D17*70%)/5</f>
        <v>700938</v>
      </c>
      <c r="G17" s="24">
        <v>100000</v>
      </c>
      <c r="H17" s="24">
        <f>D17*E17+F17-G17</f>
        <v>5607638</v>
      </c>
      <c r="I17" s="35"/>
      <c r="J17" s="47"/>
      <c r="K17" s="35"/>
      <c r="L17" s="22"/>
    </row>
    <row r="18" spans="1:13" x14ac:dyDescent="0.25">
      <c r="A18" s="7">
        <v>2</v>
      </c>
      <c r="B18" s="23" t="s">
        <v>13</v>
      </c>
      <c r="C18" s="37">
        <v>1</v>
      </c>
      <c r="D18" s="24">
        <f t="shared" ref="D18:D23" si="0">$C$12/7</f>
        <v>5006700</v>
      </c>
      <c r="E18" s="44">
        <v>1</v>
      </c>
      <c r="F18" s="50">
        <f>(D18*70%)/5</f>
        <v>700938</v>
      </c>
      <c r="G18" s="24">
        <v>100000</v>
      </c>
      <c r="H18" s="24">
        <f t="shared" ref="H18:H23" si="1">D18*E18+F18-G18</f>
        <v>5607638</v>
      </c>
      <c r="I18" s="35"/>
      <c r="J18" s="47"/>
      <c r="K18" s="35"/>
      <c r="L18" s="22"/>
    </row>
    <row r="19" spans="1:13" x14ac:dyDescent="0.25">
      <c r="A19" s="7">
        <v>3</v>
      </c>
      <c r="B19" s="23" t="s">
        <v>21</v>
      </c>
      <c r="C19" s="37">
        <v>0</v>
      </c>
      <c r="D19" s="24">
        <f t="shared" si="0"/>
        <v>5006700</v>
      </c>
      <c r="E19" s="44">
        <v>0.8</v>
      </c>
      <c r="F19" s="50"/>
      <c r="G19" s="24">
        <v>100000</v>
      </c>
      <c r="H19" s="24">
        <f t="shared" si="1"/>
        <v>3905360</v>
      </c>
      <c r="I19" s="35"/>
      <c r="J19" s="47"/>
      <c r="K19" s="35"/>
      <c r="L19" s="22"/>
      <c r="M19" s="22"/>
    </row>
    <row r="20" spans="1:13" x14ac:dyDescent="0.25">
      <c r="A20" s="7">
        <v>4</v>
      </c>
      <c r="B20" s="23" t="s">
        <v>18</v>
      </c>
      <c r="C20" s="37">
        <v>0.5</v>
      </c>
      <c r="D20" s="24">
        <f t="shared" si="0"/>
        <v>5006700</v>
      </c>
      <c r="E20" s="44">
        <v>0.7</v>
      </c>
      <c r="F20" s="50"/>
      <c r="G20" s="24">
        <v>100000</v>
      </c>
      <c r="H20" s="24">
        <f t="shared" si="1"/>
        <v>3404690</v>
      </c>
      <c r="I20" s="35"/>
      <c r="J20" s="47"/>
      <c r="K20" s="35"/>
      <c r="L20" s="22"/>
    </row>
    <row r="21" spans="1:13" x14ac:dyDescent="0.25">
      <c r="A21" s="7">
        <v>5</v>
      </c>
      <c r="B21" s="23" t="s">
        <v>19</v>
      </c>
      <c r="C21" s="37">
        <v>0</v>
      </c>
      <c r="D21" s="24">
        <f t="shared" si="0"/>
        <v>5006700</v>
      </c>
      <c r="E21" s="44">
        <v>1</v>
      </c>
      <c r="F21" s="50">
        <f>(D21*70%)/5</f>
        <v>700938</v>
      </c>
      <c r="G21" s="24">
        <v>100000</v>
      </c>
      <c r="H21" s="24">
        <f t="shared" si="1"/>
        <v>5607638</v>
      </c>
      <c r="I21" s="35"/>
      <c r="J21" s="47"/>
      <c r="K21" s="35"/>
      <c r="L21" s="22"/>
    </row>
    <row r="22" spans="1:13" x14ac:dyDescent="0.25">
      <c r="A22" s="7">
        <v>6</v>
      </c>
      <c r="B22" s="23" t="s">
        <v>20</v>
      </c>
      <c r="C22" s="37">
        <v>0</v>
      </c>
      <c r="D22" s="24">
        <f t="shared" si="0"/>
        <v>5006700</v>
      </c>
      <c r="E22" s="44">
        <v>0.8</v>
      </c>
      <c r="F22" s="50">
        <f t="shared" ref="F22:F23" si="2">(D22*70%)/5</f>
        <v>700938</v>
      </c>
      <c r="G22" s="24"/>
      <c r="H22" s="24">
        <f t="shared" si="1"/>
        <v>4706298</v>
      </c>
      <c r="I22" s="35"/>
      <c r="J22" s="47"/>
      <c r="K22" s="35"/>
      <c r="L22" s="22"/>
    </row>
    <row r="23" spans="1:13" ht="16.5" customHeight="1" x14ac:dyDescent="0.25">
      <c r="A23" s="7">
        <v>7</v>
      </c>
      <c r="B23" s="23" t="s">
        <v>34</v>
      </c>
      <c r="C23" s="37">
        <v>1</v>
      </c>
      <c r="D23" s="24">
        <f t="shared" si="0"/>
        <v>5006700</v>
      </c>
      <c r="E23" s="44">
        <v>1</v>
      </c>
      <c r="F23" s="50">
        <f t="shared" si="2"/>
        <v>700938</v>
      </c>
      <c r="G23" s="24">
        <v>100000</v>
      </c>
      <c r="H23" s="24">
        <f t="shared" si="1"/>
        <v>5607638</v>
      </c>
      <c r="I23" s="35"/>
      <c r="J23" s="47"/>
      <c r="K23" s="35"/>
      <c r="L23" s="22"/>
    </row>
    <row r="24" spans="1:13" ht="16.5" customHeight="1" x14ac:dyDescent="0.25">
      <c r="A24" s="7">
        <v>8</v>
      </c>
      <c r="B24" s="23" t="s">
        <v>40</v>
      </c>
      <c r="C24" s="37"/>
      <c r="D24" s="24">
        <f>$C$11/3</f>
        <v>1298033.3333333333</v>
      </c>
      <c r="E24" s="44">
        <v>1.25</v>
      </c>
      <c r="F24" s="50"/>
      <c r="G24" s="24"/>
      <c r="H24" s="24">
        <f>(D24*125%)-G24</f>
        <v>1622541.6666666665</v>
      </c>
      <c r="I24" s="35"/>
      <c r="J24" s="47"/>
      <c r="K24" s="35"/>
      <c r="L24" s="22"/>
    </row>
    <row r="25" spans="1:13" ht="16.5" customHeight="1" x14ac:dyDescent="0.25">
      <c r="A25" s="7">
        <v>9</v>
      </c>
      <c r="B25" s="23" t="s">
        <v>39</v>
      </c>
      <c r="C25" s="37"/>
      <c r="D25" s="24">
        <f t="shared" ref="D25:D26" si="3">$C$11/3</f>
        <v>1298033.3333333333</v>
      </c>
      <c r="E25" s="44">
        <v>1.25</v>
      </c>
      <c r="F25" s="50"/>
      <c r="G25" s="24"/>
      <c r="H25" s="24">
        <f t="shared" ref="H25" si="4">(D25*125%)-G25</f>
        <v>1622541.6666666665</v>
      </c>
      <c r="I25" s="35"/>
      <c r="J25" s="47"/>
      <c r="K25" s="35"/>
      <c r="L25" s="22"/>
    </row>
    <row r="26" spans="1:13" ht="16.5" customHeight="1" x14ac:dyDescent="0.25">
      <c r="A26" s="7">
        <v>10</v>
      </c>
      <c r="B26" s="23" t="s">
        <v>41</v>
      </c>
      <c r="C26" s="37"/>
      <c r="D26" s="24">
        <f t="shared" si="3"/>
        <v>1298033.3333333333</v>
      </c>
      <c r="E26" s="44">
        <v>0.5</v>
      </c>
      <c r="F26" s="50"/>
      <c r="G26" s="24"/>
      <c r="H26" s="24">
        <f>(D26*50%)-G26</f>
        <v>649016.66666666663</v>
      </c>
      <c r="I26" s="35"/>
      <c r="J26" s="47"/>
      <c r="K26" s="35"/>
      <c r="L26" s="22"/>
    </row>
    <row r="27" spans="1:13" x14ac:dyDescent="0.25">
      <c r="A27" s="7">
        <v>11</v>
      </c>
      <c r="B27" s="105" t="s">
        <v>42</v>
      </c>
      <c r="C27" s="106"/>
      <c r="D27" s="106"/>
      <c r="E27" s="107"/>
      <c r="F27" s="49"/>
      <c r="G27" s="46">
        <f>SUM(G17:G26)</f>
        <v>600000</v>
      </c>
      <c r="H27" s="24">
        <v>600000</v>
      </c>
      <c r="J27" s="40"/>
      <c r="K27" s="31"/>
    </row>
    <row r="28" spans="1:13" x14ac:dyDescent="0.25">
      <c r="A28" s="108" t="s">
        <v>29</v>
      </c>
      <c r="B28" s="109"/>
      <c r="C28" s="109"/>
      <c r="D28" s="109"/>
      <c r="E28" s="109"/>
      <c r="F28" s="109"/>
      <c r="G28" s="110"/>
      <c r="H28" s="27">
        <f>SUM(H17:H27)</f>
        <v>38940999.999999993</v>
      </c>
      <c r="I28" s="22"/>
      <c r="L28" s="22"/>
    </row>
    <row r="31" spans="1:13" x14ac:dyDescent="0.25">
      <c r="B31" s="36" t="s">
        <v>26</v>
      </c>
      <c r="C31" s="36"/>
      <c r="D31" s="101" t="s">
        <v>27</v>
      </c>
      <c r="E31" s="101"/>
      <c r="F31" s="101"/>
      <c r="G31" s="101"/>
      <c r="H31" s="101"/>
      <c r="I31" s="42"/>
      <c r="K31" s="22"/>
    </row>
    <row r="36" spans="2:9" x14ac:dyDescent="0.25">
      <c r="B36" s="36" t="s">
        <v>13</v>
      </c>
      <c r="C36" s="36"/>
      <c r="D36" s="101" t="s">
        <v>23</v>
      </c>
      <c r="E36" s="101"/>
      <c r="F36" s="101"/>
      <c r="G36" s="101"/>
      <c r="H36" s="101"/>
      <c r="I36" s="42"/>
    </row>
  </sheetData>
  <mergeCells count="10">
    <mergeCell ref="D36:H36"/>
    <mergeCell ref="A4:H4"/>
    <mergeCell ref="A10:B10"/>
    <mergeCell ref="D31:H31"/>
    <mergeCell ref="B27:E27"/>
    <mergeCell ref="A28:G28"/>
    <mergeCell ref="A12:B12"/>
    <mergeCell ref="A11:B11"/>
    <mergeCell ref="A13:B13"/>
    <mergeCell ref="A14:B14"/>
  </mergeCells>
  <pageMargins left="0.7" right="0.7" top="0.75" bottom="0.75" header="0.3" footer="0.3"/>
  <pageSetup scale="8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</vt:lpstr>
      <vt:lpstr>2</vt:lpstr>
      <vt:lpstr>'1'!Print_Area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2018-08-02T01:47:39Z</dcterms:modified>
</cp:coreProperties>
</file>