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weiner/Desktop/Misc/"/>
    </mc:Choice>
  </mc:AlternateContent>
  <xr:revisionPtr revIDLastSave="0" documentId="13_ncr:1_{A471A740-320F-294D-B285-0EBAB29A0872}" xr6:coauthVersionLast="45" xr6:coauthVersionMax="45" xr10:uidLastSave="{00000000-0000-0000-0000-000000000000}"/>
  <bookViews>
    <workbookView xWindow="1540" yWindow="460" windowWidth="15420" windowHeight="15400" xr2:uid="{B63B3FF5-5FA0-E641-9E79-0B53A4D4816D}"/>
  </bookViews>
  <sheets>
    <sheet name="China+Korea" sheetId="31" r:id="rId1"/>
    <sheet name="New York" sheetId="1" r:id="rId2"/>
    <sheet name="California" sheetId="2" r:id="rId3"/>
    <sheet name="Massachussetts" sheetId="25" r:id="rId4"/>
    <sheet name="Santa Clara" sheetId="6" r:id="rId5"/>
    <sheet name="New York State" sheetId="27" r:id="rId6"/>
    <sheet name="Texas" sheetId="28" r:id="rId7"/>
    <sheet name="South Korea" sheetId="5" r:id="rId8"/>
    <sheet name="Sweden" sheetId="4" r:id="rId9"/>
    <sheet name="Norway" sheetId="14" r:id="rId10"/>
    <sheet name="Spain" sheetId="8" r:id="rId11"/>
    <sheet name="Switzerland" sheetId="10" r:id="rId12"/>
    <sheet name="Netherlands" sheetId="12" r:id="rId13"/>
    <sheet name="Italy" sheetId="3" r:id="rId14"/>
    <sheet name="Israel" sheetId="29" r:id="rId15"/>
    <sheet name="Portugal" sheetId="13" r:id="rId16"/>
    <sheet name="France" sheetId="22" r:id="rId17"/>
    <sheet name="Austria" sheetId="15" r:id="rId18"/>
    <sheet name="Denmark" sheetId="16" r:id="rId19"/>
    <sheet name="Belgium" sheetId="11" r:id="rId20"/>
    <sheet name="England" sheetId="17" r:id="rId21"/>
    <sheet name="United States" sheetId="19" r:id="rId22"/>
    <sheet name="Florida" sheetId="23" r:id="rId23"/>
    <sheet name="Connecticut" sheetId="26" r:id="rId24"/>
    <sheet name="Washington State" sheetId="20" r:id="rId25"/>
    <sheet name="Princess Cruise" sheetId="21" r:id="rId26"/>
    <sheet name="Germany" sheetId="24" r:id="rId27"/>
    <sheet name="Finalnd" sheetId="30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31" l="1"/>
  <c r="E47" i="31"/>
  <c r="E46" i="31"/>
  <c r="E45" i="31"/>
  <c r="E44" i="31"/>
  <c r="E43" i="31"/>
  <c r="E42" i="31"/>
  <c r="E41" i="31"/>
  <c r="E40" i="31"/>
  <c r="AA16" i="31"/>
  <c r="Y16" i="31"/>
  <c r="W16" i="31"/>
  <c r="U16" i="31"/>
  <c r="S16" i="31"/>
  <c r="Q16" i="31"/>
  <c r="O16" i="31"/>
  <c r="M16" i="31"/>
  <c r="K16" i="31"/>
  <c r="I16" i="31"/>
  <c r="G16" i="31"/>
  <c r="E16" i="31"/>
  <c r="AA15" i="31"/>
  <c r="Y15" i="31"/>
  <c r="W15" i="31"/>
  <c r="U15" i="31"/>
  <c r="S15" i="31"/>
  <c r="Q15" i="31"/>
  <c r="O15" i="31"/>
  <c r="M15" i="31"/>
  <c r="K15" i="31"/>
  <c r="I15" i="31"/>
  <c r="G15" i="31"/>
  <c r="E15" i="31"/>
  <c r="AA14" i="31"/>
  <c r="Y14" i="31"/>
  <c r="W14" i="31"/>
  <c r="U14" i="31"/>
  <c r="S14" i="31"/>
  <c r="Q14" i="31"/>
  <c r="O14" i="31"/>
  <c r="M14" i="31"/>
  <c r="K14" i="31"/>
  <c r="I14" i="31"/>
  <c r="G14" i="31"/>
  <c r="E14" i="31"/>
  <c r="AA13" i="31"/>
  <c r="Y13" i="31"/>
  <c r="W13" i="31"/>
  <c r="U13" i="31"/>
  <c r="S13" i="31"/>
  <c r="Q13" i="31"/>
  <c r="O13" i="31"/>
  <c r="M13" i="31"/>
  <c r="K13" i="31"/>
  <c r="I13" i="31"/>
  <c r="G13" i="31"/>
  <c r="E13" i="31"/>
  <c r="AA12" i="31"/>
  <c r="Y12" i="31"/>
  <c r="W12" i="31"/>
  <c r="U12" i="31"/>
  <c r="S12" i="31"/>
  <c r="Q12" i="31"/>
  <c r="O12" i="31"/>
  <c r="M12" i="31"/>
  <c r="K12" i="31"/>
  <c r="I12" i="31"/>
  <c r="G12" i="31"/>
  <c r="E12" i="31"/>
  <c r="AA11" i="31"/>
  <c r="Y11" i="31"/>
  <c r="W11" i="31"/>
  <c r="U11" i="31"/>
  <c r="S11" i="31"/>
  <c r="Q11" i="31"/>
  <c r="O11" i="31"/>
  <c r="M11" i="31"/>
  <c r="K11" i="31"/>
  <c r="I11" i="31"/>
  <c r="G11" i="31"/>
  <c r="E11" i="31"/>
  <c r="AA10" i="31"/>
  <c r="Y10" i="31"/>
  <c r="W10" i="31"/>
  <c r="U10" i="31"/>
  <c r="S10" i="31"/>
  <c r="Q10" i="31"/>
  <c r="O10" i="31"/>
  <c r="M10" i="31"/>
  <c r="K10" i="31"/>
  <c r="I10" i="31"/>
  <c r="G10" i="31"/>
  <c r="E10" i="31"/>
  <c r="AA9" i="31"/>
  <c r="Y9" i="31"/>
  <c r="W9" i="31"/>
  <c r="U9" i="31"/>
  <c r="S9" i="31"/>
  <c r="Q9" i="31"/>
  <c r="O9" i="31"/>
  <c r="M9" i="31"/>
  <c r="K9" i="31"/>
  <c r="I9" i="31"/>
  <c r="G9" i="31"/>
  <c r="E9" i="31"/>
  <c r="AA8" i="31"/>
  <c r="Y8" i="31"/>
  <c r="W8" i="31"/>
  <c r="U8" i="31"/>
  <c r="S8" i="31"/>
  <c r="Q8" i="31"/>
  <c r="O8" i="31"/>
  <c r="M8" i="31"/>
  <c r="K8" i="31"/>
  <c r="I8" i="31"/>
  <c r="G8" i="31"/>
  <c r="E8" i="31"/>
  <c r="AA7" i="31"/>
  <c r="Y7" i="31"/>
  <c r="W7" i="31"/>
  <c r="U7" i="31"/>
  <c r="S7" i="31"/>
  <c r="Q7" i="31"/>
  <c r="O7" i="31"/>
  <c r="M7" i="31"/>
  <c r="K7" i="31"/>
  <c r="I7" i="31"/>
  <c r="G7" i="31"/>
  <c r="E7" i="31"/>
  <c r="AA30" i="5"/>
  <c r="Y30" i="5"/>
  <c r="AA29" i="5"/>
  <c r="Y29" i="5"/>
  <c r="AA28" i="5"/>
  <c r="Y28" i="5"/>
  <c r="AA27" i="5"/>
  <c r="Y27" i="5"/>
  <c r="AA26" i="5"/>
  <c r="Y26" i="5"/>
  <c r="AA25" i="5"/>
  <c r="Y25" i="5"/>
  <c r="AA24" i="5"/>
  <c r="Y24" i="5"/>
  <c r="AA23" i="5"/>
  <c r="Y23" i="5"/>
  <c r="AA22" i="5"/>
  <c r="Y22" i="5"/>
  <c r="AA21" i="5"/>
  <c r="Y21" i="5"/>
  <c r="E44" i="5" l="1"/>
  <c r="E43" i="5"/>
  <c r="E42" i="5"/>
  <c r="E41" i="5"/>
  <c r="E40" i="5"/>
  <c r="E39" i="5"/>
  <c r="E38" i="5"/>
  <c r="E37" i="5"/>
  <c r="E36" i="5"/>
  <c r="W22" i="5"/>
  <c r="W23" i="5"/>
  <c r="W24" i="5"/>
  <c r="W25" i="5"/>
  <c r="W26" i="5"/>
  <c r="W27" i="5"/>
  <c r="W28" i="5"/>
  <c r="W29" i="5"/>
  <c r="W30" i="5"/>
  <c r="W21" i="5"/>
  <c r="U22" i="5"/>
  <c r="U23" i="5"/>
  <c r="U24" i="5"/>
  <c r="U25" i="5"/>
  <c r="U26" i="5"/>
  <c r="U27" i="5"/>
  <c r="U28" i="5"/>
  <c r="U29" i="5"/>
  <c r="U30" i="5"/>
  <c r="U21" i="5"/>
  <c r="S30" i="5"/>
  <c r="S22" i="5"/>
  <c r="S23" i="5"/>
  <c r="S24" i="5"/>
  <c r="S25" i="5"/>
  <c r="S26" i="5"/>
  <c r="S27" i="5"/>
  <c r="S28" i="5"/>
  <c r="S29" i="5"/>
  <c r="S21" i="5"/>
  <c r="Q22" i="5"/>
  <c r="Q23" i="5"/>
  <c r="Q24" i="5"/>
  <c r="Q25" i="5"/>
  <c r="Q26" i="5"/>
  <c r="Q27" i="5"/>
  <c r="Q28" i="5"/>
  <c r="Q29" i="5"/>
  <c r="Q30" i="5"/>
  <c r="Q21" i="5"/>
  <c r="O22" i="5"/>
  <c r="O23" i="5"/>
  <c r="O24" i="5"/>
  <c r="O25" i="5"/>
  <c r="O26" i="5"/>
  <c r="O27" i="5"/>
  <c r="O28" i="5"/>
  <c r="O29" i="5"/>
  <c r="O30" i="5"/>
  <c r="O21" i="5"/>
  <c r="M22" i="5"/>
  <c r="M23" i="5"/>
  <c r="M24" i="5"/>
  <c r="M25" i="5"/>
  <c r="M26" i="5"/>
  <c r="M27" i="5"/>
  <c r="M28" i="5"/>
  <c r="M29" i="5"/>
  <c r="M30" i="5"/>
  <c r="M21" i="5"/>
  <c r="K22" i="5"/>
  <c r="K23" i="5"/>
  <c r="K24" i="5"/>
  <c r="K25" i="5"/>
  <c r="K26" i="5"/>
  <c r="K27" i="5"/>
  <c r="K28" i="5"/>
  <c r="K29" i="5"/>
  <c r="K30" i="5"/>
  <c r="K21" i="5"/>
  <c r="I22" i="5"/>
  <c r="I23" i="5"/>
  <c r="I24" i="5"/>
  <c r="I25" i="5"/>
  <c r="I26" i="5"/>
  <c r="I27" i="5"/>
  <c r="I28" i="5"/>
  <c r="I29" i="5"/>
  <c r="I30" i="5"/>
  <c r="I21" i="5"/>
  <c r="G22" i="5"/>
  <c r="G23" i="5"/>
  <c r="G24" i="5"/>
  <c r="G25" i="5"/>
  <c r="G26" i="5"/>
  <c r="G27" i="5"/>
  <c r="G28" i="5"/>
  <c r="G29" i="5"/>
  <c r="G30" i="5"/>
  <c r="G21" i="5"/>
  <c r="E22" i="5"/>
  <c r="E23" i="5"/>
  <c r="E24" i="5"/>
  <c r="E25" i="5"/>
  <c r="E26" i="5"/>
  <c r="E27" i="5"/>
  <c r="E28" i="5"/>
  <c r="E29" i="5"/>
  <c r="E30" i="5"/>
  <c r="E21" i="5"/>
  <c r="O5" i="8" l="1"/>
  <c r="O6" i="8"/>
  <c r="O7" i="8"/>
  <c r="O8" i="8"/>
  <c r="O9" i="8"/>
  <c r="O10" i="8"/>
  <c r="O11" i="8"/>
  <c r="O12" i="8"/>
  <c r="O13" i="8"/>
  <c r="O14" i="8"/>
  <c r="O4" i="8"/>
  <c r="N5" i="8"/>
  <c r="N6" i="8"/>
  <c r="N7" i="8"/>
  <c r="N8" i="8"/>
  <c r="N9" i="8"/>
  <c r="N10" i="8"/>
  <c r="N11" i="8"/>
  <c r="N12" i="8"/>
  <c r="N13" i="8"/>
  <c r="N14" i="8"/>
  <c r="N4" i="8"/>
  <c r="L16" i="8"/>
  <c r="L4" i="22"/>
  <c r="L5" i="22"/>
  <c r="L6" i="22"/>
  <c r="L7" i="22"/>
  <c r="L8" i="22"/>
  <c r="L9" i="22"/>
  <c r="L10" i="22"/>
  <c r="L11" i="22"/>
  <c r="L12" i="22"/>
  <c r="L13" i="22"/>
  <c r="L3" i="22"/>
  <c r="H5" i="11" l="1"/>
  <c r="H6" i="11"/>
  <c r="H7" i="11"/>
  <c r="H8" i="11"/>
  <c r="H9" i="11"/>
  <c r="H10" i="11"/>
  <c r="H11" i="11"/>
  <c r="H12" i="11"/>
  <c r="H4" i="11"/>
  <c r="G3" i="11"/>
  <c r="AE4" i="16" l="1"/>
  <c r="AE5" i="16"/>
  <c r="AE6" i="16"/>
  <c r="AE7" i="16"/>
  <c r="AE8" i="16"/>
  <c r="AE9" i="16"/>
  <c r="AE10" i="16"/>
  <c r="AE11" i="16"/>
  <c r="AE12" i="16"/>
  <c r="AE13" i="16"/>
  <c r="AE3" i="16"/>
  <c r="AD4" i="16"/>
  <c r="AD5" i="16"/>
  <c r="AD6" i="16"/>
  <c r="AD7" i="16"/>
  <c r="AD8" i="16"/>
  <c r="AD9" i="16"/>
  <c r="AD10" i="16"/>
  <c r="AD11" i="16"/>
  <c r="AD12" i="16"/>
  <c r="AD13" i="16"/>
  <c r="AD14" i="16"/>
  <c r="AD3" i="16"/>
  <c r="R7" i="12"/>
  <c r="R8" i="12"/>
  <c r="R9" i="12"/>
  <c r="R10" i="12"/>
  <c r="R11" i="12"/>
  <c r="R12" i="12"/>
  <c r="R13" i="12"/>
  <c r="R14" i="12"/>
  <c r="R15" i="12"/>
  <c r="R16" i="12"/>
  <c r="R6" i="12"/>
  <c r="Q7" i="12"/>
  <c r="Q8" i="12"/>
  <c r="Q9" i="12"/>
  <c r="Q10" i="12"/>
  <c r="Q11" i="12"/>
  <c r="Q12" i="12"/>
  <c r="Q13" i="12"/>
  <c r="Q14" i="12"/>
  <c r="Q15" i="12"/>
  <c r="Q16" i="12"/>
  <c r="Q6" i="12"/>
  <c r="P14" i="12"/>
  <c r="O14" i="12"/>
  <c r="P6" i="12"/>
  <c r="P12" i="12"/>
  <c r="P13" i="12"/>
  <c r="P7" i="12"/>
  <c r="P8" i="12"/>
  <c r="P9" i="12"/>
  <c r="P10" i="12"/>
  <c r="P11" i="12"/>
  <c r="O13" i="12"/>
  <c r="O12" i="12"/>
  <c r="O11" i="12"/>
  <c r="O10" i="12"/>
  <c r="O9" i="12"/>
  <c r="O8" i="12"/>
  <c r="O7" i="12"/>
  <c r="O6" i="12"/>
  <c r="S12" i="3"/>
  <c r="R5" i="3"/>
  <c r="R6" i="3"/>
  <c r="R7" i="3"/>
  <c r="R8" i="3"/>
  <c r="R9" i="3"/>
  <c r="R10" i="3"/>
  <c r="R11" i="3"/>
  <c r="R12" i="3"/>
  <c r="R13" i="3"/>
  <c r="R4" i="3"/>
  <c r="Q3" i="3"/>
  <c r="N12" i="14" l="1"/>
  <c r="L16" i="14"/>
  <c r="M5" i="14"/>
  <c r="M6" i="14"/>
  <c r="M7" i="14"/>
  <c r="M8" i="14"/>
  <c r="M9" i="14"/>
  <c r="M10" i="14"/>
  <c r="M11" i="14"/>
  <c r="M12" i="14"/>
  <c r="M13" i="14"/>
  <c r="M14" i="14"/>
  <c r="M15" i="14"/>
  <c r="M4" i="14"/>
  <c r="L5" i="14"/>
  <c r="L6" i="14"/>
  <c r="L7" i="14"/>
  <c r="L8" i="14"/>
  <c r="L9" i="14"/>
  <c r="L10" i="14"/>
  <c r="L11" i="14"/>
  <c r="L12" i="14"/>
  <c r="L13" i="14"/>
  <c r="L14" i="14"/>
  <c r="L15" i="14"/>
  <c r="L4" i="14"/>
  <c r="V13" i="4"/>
  <c r="U5" i="4"/>
  <c r="U6" i="4"/>
  <c r="U7" i="4"/>
  <c r="U8" i="4"/>
  <c r="U9" i="4"/>
  <c r="U10" i="4"/>
  <c r="U11" i="4"/>
  <c r="U12" i="4"/>
  <c r="U14" i="4"/>
  <c r="U15" i="4"/>
  <c r="U4" i="4"/>
  <c r="T13" i="4"/>
  <c r="S5" i="4"/>
  <c r="S6" i="4"/>
  <c r="S7" i="4"/>
  <c r="S8" i="4"/>
  <c r="S9" i="4"/>
  <c r="S10" i="4"/>
  <c r="S11" i="4"/>
  <c r="S12" i="4"/>
  <c r="S13" i="4"/>
  <c r="S14" i="4"/>
  <c r="S15" i="4"/>
  <c r="S4" i="4"/>
  <c r="R3" i="4"/>
  <c r="Q3" i="4"/>
  <c r="X17" i="13"/>
  <c r="X18" i="13"/>
  <c r="X19" i="13"/>
  <c r="X20" i="13"/>
  <c r="X21" i="13"/>
  <c r="X22" i="13"/>
  <c r="X23" i="13"/>
  <c r="X24" i="13"/>
  <c r="X16" i="13"/>
  <c r="V17" i="13"/>
  <c r="V18" i="13"/>
  <c r="V19" i="13"/>
  <c r="V20" i="13"/>
  <c r="V21" i="13"/>
  <c r="V22" i="13"/>
  <c r="V23" i="13"/>
  <c r="V24" i="13"/>
  <c r="V16" i="13"/>
  <c r="W15" i="13"/>
  <c r="U15" i="13"/>
  <c r="T14" i="13"/>
  <c r="W17" i="13"/>
  <c r="W18" i="13"/>
  <c r="W19" i="13"/>
  <c r="W20" i="13"/>
  <c r="W21" i="13"/>
  <c r="W22" i="13"/>
  <c r="W23" i="13"/>
  <c r="W24" i="13"/>
  <c r="W16" i="13"/>
  <c r="U24" i="13"/>
  <c r="U19" i="13"/>
  <c r="U20" i="13"/>
  <c r="U21" i="13"/>
  <c r="U22" i="13"/>
  <c r="U23" i="13"/>
  <c r="U18" i="13"/>
  <c r="U17" i="13"/>
  <c r="U16" i="13"/>
  <c r="T6" i="5"/>
  <c r="T7" i="5"/>
  <c r="T8" i="5"/>
  <c r="T9" i="5"/>
  <c r="T10" i="5"/>
  <c r="T11" i="5"/>
  <c r="T12" i="5"/>
  <c r="T13" i="5"/>
  <c r="T14" i="5"/>
  <c r="T15" i="5"/>
  <c r="T5" i="5"/>
  <c r="S6" i="5"/>
  <c r="S7" i="5"/>
  <c r="S8" i="5"/>
  <c r="S9" i="5"/>
  <c r="S10" i="5"/>
  <c r="S11" i="5"/>
  <c r="S12" i="5"/>
  <c r="S13" i="5"/>
  <c r="S14" i="5"/>
  <c r="S15" i="5"/>
  <c r="S5" i="5"/>
  <c r="AJ16" i="10"/>
  <c r="AJ17" i="10"/>
  <c r="AJ18" i="10"/>
  <c r="AJ19" i="10"/>
  <c r="AJ20" i="10"/>
  <c r="AJ21" i="10"/>
  <c r="AJ22" i="10"/>
  <c r="AJ23" i="10"/>
  <c r="AJ15" i="10"/>
  <c r="AI16" i="10"/>
  <c r="AI17" i="10"/>
  <c r="AI18" i="10"/>
  <c r="AI19" i="10"/>
  <c r="AI20" i="10"/>
  <c r="AI21" i="10"/>
  <c r="AI22" i="10"/>
  <c r="AI23" i="10"/>
  <c r="AI15" i="10"/>
  <c r="AJ14" i="10"/>
  <c r="AI14" i="10"/>
  <c r="F5" i="30"/>
  <c r="F6" i="30"/>
  <c r="F7" i="30"/>
  <c r="F8" i="30"/>
  <c r="F9" i="30"/>
  <c r="F10" i="30"/>
  <c r="F11" i="30"/>
  <c r="F12" i="30"/>
  <c r="F4" i="30"/>
  <c r="E5" i="30"/>
  <c r="E6" i="30"/>
  <c r="E7" i="30"/>
  <c r="E8" i="30"/>
  <c r="E9" i="30"/>
  <c r="E10" i="30"/>
  <c r="E11" i="30"/>
  <c r="E12" i="30"/>
  <c r="E13" i="30"/>
  <c r="E14" i="30"/>
  <c r="E4" i="30"/>
  <c r="D3" i="30"/>
  <c r="J31" i="24"/>
  <c r="I24" i="24"/>
  <c r="I25" i="24"/>
  <c r="I26" i="24"/>
  <c r="I27" i="24"/>
  <c r="I28" i="24"/>
  <c r="I29" i="24"/>
  <c r="I30" i="24"/>
  <c r="I31" i="24"/>
  <c r="I32" i="24"/>
  <c r="I33" i="24"/>
  <c r="I23" i="24"/>
  <c r="I22" i="24"/>
  <c r="M4" i="2" l="1"/>
  <c r="M5" i="2"/>
  <c r="M6" i="2"/>
  <c r="M7" i="2"/>
  <c r="M3" i="2"/>
  <c r="M2" i="2"/>
  <c r="E24" i="24" l="1"/>
  <c r="E25" i="24"/>
  <c r="E26" i="24"/>
  <c r="E27" i="24"/>
  <c r="E28" i="24"/>
  <c r="E29" i="24"/>
  <c r="E30" i="24"/>
  <c r="E31" i="24"/>
  <c r="E23" i="24"/>
  <c r="D31" i="24"/>
  <c r="E12" i="27" l="1"/>
  <c r="D5" i="27"/>
  <c r="D6" i="27"/>
  <c r="D7" i="27"/>
  <c r="D8" i="27"/>
  <c r="D9" i="27"/>
  <c r="D10" i="27"/>
  <c r="D11" i="27"/>
  <c r="D12" i="27"/>
  <c r="D13" i="27"/>
  <c r="D4" i="27"/>
  <c r="D3" i="27"/>
  <c r="D7" i="29"/>
  <c r="D8" i="29"/>
  <c r="D9" i="29"/>
  <c r="D10" i="29"/>
  <c r="D11" i="29"/>
  <c r="D12" i="29"/>
  <c r="D13" i="29"/>
  <c r="D14" i="29"/>
  <c r="D6" i="29"/>
  <c r="C15" i="29"/>
  <c r="P12" i="3"/>
  <c r="O5" i="3"/>
  <c r="O6" i="3"/>
  <c r="O7" i="3"/>
  <c r="O8" i="3"/>
  <c r="O9" i="3"/>
  <c r="O10" i="3"/>
  <c r="O11" i="3"/>
  <c r="O12" i="3"/>
  <c r="O13" i="3"/>
  <c r="O4" i="3"/>
  <c r="O3" i="3"/>
  <c r="H5" i="14"/>
  <c r="H6" i="14"/>
  <c r="H7" i="14"/>
  <c r="H8" i="14"/>
  <c r="H9" i="14"/>
  <c r="H10" i="14"/>
  <c r="H11" i="14"/>
  <c r="H4" i="14"/>
  <c r="I12" i="14"/>
  <c r="H12" i="14"/>
  <c r="H3" i="14"/>
  <c r="P12" i="4"/>
  <c r="O4" i="4"/>
  <c r="O6" i="4"/>
  <c r="O7" i="4"/>
  <c r="O8" i="4"/>
  <c r="O9" i="4"/>
  <c r="O10" i="4"/>
  <c r="O11" i="4"/>
  <c r="O12" i="4"/>
  <c r="O13" i="4"/>
  <c r="O5" i="4"/>
  <c r="D6" i="28" l="1"/>
  <c r="D7" i="28"/>
  <c r="D8" i="28"/>
  <c r="D9" i="28"/>
  <c r="D10" i="28"/>
  <c r="D11" i="28"/>
  <c r="D12" i="28"/>
  <c r="D13" i="28"/>
  <c r="D5" i="28"/>
  <c r="G5" i="26"/>
  <c r="G6" i="26"/>
  <c r="G7" i="26"/>
  <c r="G8" i="26"/>
  <c r="G9" i="26"/>
  <c r="G10" i="26"/>
  <c r="G11" i="26"/>
  <c r="G12" i="26"/>
  <c r="G4" i="26"/>
  <c r="F5" i="26"/>
  <c r="F6" i="26"/>
  <c r="F7" i="26"/>
  <c r="F8" i="26"/>
  <c r="F9" i="26"/>
  <c r="F10" i="26"/>
  <c r="F11" i="26"/>
  <c r="F12" i="26"/>
  <c r="F4" i="26"/>
  <c r="C16" i="25"/>
  <c r="C6" i="25"/>
  <c r="C7" i="25"/>
  <c r="C8" i="25"/>
  <c r="C9" i="25"/>
  <c r="C10" i="25"/>
  <c r="C11" i="25"/>
  <c r="C12" i="25"/>
  <c r="C13" i="25"/>
  <c r="C14" i="25"/>
  <c r="C15" i="25"/>
  <c r="C5" i="25"/>
  <c r="K4" i="2"/>
  <c r="K5" i="2"/>
  <c r="K6" i="2"/>
  <c r="K7" i="2"/>
  <c r="K8" i="2"/>
  <c r="K9" i="2"/>
  <c r="K10" i="2"/>
  <c r="K3" i="2"/>
  <c r="I20" i="24" l="1"/>
  <c r="G20" i="24"/>
  <c r="E20" i="24"/>
  <c r="J18" i="24"/>
  <c r="H18" i="24"/>
  <c r="F18" i="24"/>
  <c r="J17" i="24"/>
  <c r="H17" i="24"/>
  <c r="F17" i="24"/>
  <c r="J16" i="24"/>
  <c r="H16" i="24"/>
  <c r="F16" i="24"/>
  <c r="J15" i="24"/>
  <c r="K18" i="24" s="1"/>
  <c r="H15" i="24"/>
  <c r="F15" i="24"/>
  <c r="J14" i="24"/>
  <c r="J20" i="24" s="1"/>
  <c r="H14" i="24"/>
  <c r="H20" i="24" s="1"/>
  <c r="F14" i="24"/>
  <c r="F20" i="24" s="1"/>
  <c r="K15" i="24" l="1"/>
  <c r="K16" i="24"/>
  <c r="K17" i="24"/>
  <c r="K14" i="24"/>
  <c r="K20" i="24" l="1"/>
  <c r="E8" i="17"/>
  <c r="E9" i="17"/>
  <c r="E10" i="17"/>
  <c r="E11" i="17"/>
  <c r="E12" i="17"/>
  <c r="E7" i="17"/>
  <c r="W14" i="16"/>
  <c r="X14" i="16"/>
  <c r="Y14" i="16"/>
  <c r="Z14" i="16"/>
  <c r="AA14" i="16"/>
  <c r="V14" i="16"/>
  <c r="X4" i="16"/>
  <c r="X5" i="16"/>
  <c r="X6" i="16"/>
  <c r="X7" i="16"/>
  <c r="X8" i="16"/>
  <c r="X9" i="16"/>
  <c r="X10" i="16"/>
  <c r="X11" i="16"/>
  <c r="X12" i="16"/>
  <c r="X13" i="16"/>
  <c r="X3" i="16"/>
  <c r="D3" i="20"/>
  <c r="C3" i="20"/>
  <c r="D15" i="24"/>
  <c r="D16" i="24"/>
  <c r="D17" i="24"/>
  <c r="D18" i="24"/>
  <c r="D14" i="24"/>
  <c r="C19" i="24"/>
  <c r="D6" i="24"/>
  <c r="D7" i="24"/>
  <c r="D8" i="24"/>
  <c r="D9" i="24"/>
  <c r="D5" i="24"/>
  <c r="C10" i="24"/>
  <c r="R12" i="1"/>
  <c r="R13" i="1"/>
  <c r="R14" i="1"/>
  <c r="Q11" i="1"/>
  <c r="Q12" i="1"/>
  <c r="Q13" i="1"/>
  <c r="Q14" i="1"/>
  <c r="R6" i="1"/>
  <c r="R7" i="1"/>
  <c r="R8" i="1"/>
  <c r="R9" i="1"/>
  <c r="R10" i="1"/>
  <c r="R11" i="1"/>
  <c r="R5" i="1"/>
  <c r="Q7" i="1"/>
  <c r="Q8" i="1"/>
  <c r="Q9" i="1"/>
  <c r="Q10" i="1"/>
  <c r="Q6" i="1"/>
  <c r="Q5" i="1"/>
  <c r="C3" i="21" l="1"/>
  <c r="F12" i="11"/>
  <c r="F4" i="11"/>
  <c r="F5" i="11"/>
  <c r="F6" i="11"/>
  <c r="F7" i="11"/>
  <c r="F8" i="11"/>
  <c r="F9" i="11"/>
  <c r="F10" i="11"/>
  <c r="F11" i="11"/>
  <c r="F3" i="11"/>
  <c r="T6" i="13"/>
  <c r="T7" i="13"/>
  <c r="T8" i="13"/>
  <c r="T9" i="13"/>
  <c r="T10" i="13"/>
  <c r="T11" i="13"/>
  <c r="T12" i="13"/>
  <c r="T13" i="13"/>
  <c r="T5" i="13"/>
  <c r="S14" i="13"/>
  <c r="S6" i="13"/>
  <c r="S7" i="13"/>
  <c r="S8" i="13"/>
  <c r="S9" i="13"/>
  <c r="S10" i="13"/>
  <c r="S11" i="13"/>
  <c r="S12" i="13"/>
  <c r="S13" i="13"/>
  <c r="S5" i="13"/>
  <c r="O15" i="13"/>
  <c r="U24" i="10"/>
  <c r="V24" i="10"/>
  <c r="X24" i="10"/>
  <c r="Y24" i="10"/>
  <c r="Z24" i="10"/>
  <c r="W24" i="10"/>
  <c r="N4" i="3"/>
  <c r="N6" i="3"/>
  <c r="N7" i="3"/>
  <c r="N8" i="3"/>
  <c r="N9" i="3"/>
  <c r="N10" i="3"/>
  <c r="N11" i="3"/>
  <c r="N12" i="3"/>
  <c r="N13" i="3"/>
  <c r="K15" i="12"/>
  <c r="K6" i="12"/>
  <c r="K7" i="12"/>
  <c r="K8" i="12"/>
  <c r="K9" i="12"/>
  <c r="K10" i="12"/>
  <c r="K11" i="12"/>
  <c r="K12" i="12"/>
  <c r="K13" i="12"/>
  <c r="K14" i="12"/>
  <c r="L13" i="12"/>
  <c r="L14" i="12"/>
  <c r="L15" i="12"/>
  <c r="L12" i="12"/>
  <c r="L11" i="12"/>
  <c r="L10" i="12"/>
  <c r="L9" i="12"/>
  <c r="L8" i="12"/>
  <c r="L7" i="12"/>
  <c r="L6" i="12"/>
  <c r="G15" i="14" l="1"/>
  <c r="G14" i="14"/>
  <c r="F15" i="14"/>
  <c r="F14" i="14"/>
  <c r="G5" i="13"/>
  <c r="H5" i="13"/>
  <c r="I5" i="13"/>
  <c r="J5" i="13"/>
  <c r="E15" i="14"/>
  <c r="E14" i="14"/>
  <c r="D3" i="14"/>
  <c r="D14" i="14" s="1"/>
  <c r="D15" i="14" s="1"/>
  <c r="F5" i="13"/>
  <c r="D5" i="13"/>
  <c r="E5" i="13"/>
  <c r="C5" i="13"/>
  <c r="E3" i="11"/>
  <c r="D3" i="11"/>
  <c r="D3" i="4" l="1"/>
  <c r="C3" i="4"/>
</calcChain>
</file>

<file path=xl/sharedStrings.xml><?xml version="1.0" encoding="utf-8"?>
<sst xmlns="http://schemas.openxmlformats.org/spreadsheetml/2006/main" count="743" uniqueCount="168">
  <si>
    <t>Deaths</t>
  </si>
  <si>
    <t>Age-group (years)</t>
  </si>
  <si>
    <t>80+</t>
  </si>
  <si>
    <t>0 to 17</t>
  </si>
  <si>
    <t>18 to 44</t>
  </si>
  <si>
    <t>45 to 64</t>
  </si>
  <si>
    <t xml:space="preserve">75+ </t>
  </si>
  <si>
    <t>Male</t>
  </si>
  <si>
    <t>Female</t>
  </si>
  <si>
    <t>64 to 74</t>
  </si>
  <si>
    <t>Total Deaths</t>
  </si>
  <si>
    <t>New York City</t>
  </si>
  <si>
    <t>California</t>
  </si>
  <si>
    <t>0-17</t>
  </si>
  <si>
    <t>18-49</t>
  </si>
  <si>
    <t>50-64</t>
  </si>
  <si>
    <t>65+</t>
  </si>
  <si>
    <t>Cases 4/3</t>
  </si>
  <si>
    <t>Unknown</t>
  </si>
  <si>
    <t>Sex (m/f)</t>
  </si>
  <si>
    <t>0-9</t>
  </si>
  <si>
    <t>20-29</t>
  </si>
  <si>
    <t>10-19</t>
  </si>
  <si>
    <t>30-39</t>
  </si>
  <si>
    <t>40-49</t>
  </si>
  <si>
    <t>50-59</t>
  </si>
  <si>
    <t>60-69</t>
  </si>
  <si>
    <t>70-79</t>
  </si>
  <si>
    <t>80-89</t>
  </si>
  <si>
    <t>&gt;=90</t>
  </si>
  <si>
    <t>Total Cases</t>
  </si>
  <si>
    <t>April 4th</t>
  </si>
  <si>
    <t xml:space="preserve">Total Deaths </t>
  </si>
  <si>
    <t>Total</t>
  </si>
  <si>
    <t>Cases 4/4</t>
  </si>
  <si>
    <t>Sex</t>
  </si>
  <si>
    <t>April 3rd</t>
  </si>
  <si>
    <t xml:space="preserve">Sex </t>
  </si>
  <si>
    <t>April 5th</t>
  </si>
  <si>
    <t>All</t>
  </si>
  <si>
    <t>Deaths 4/1</t>
  </si>
  <si>
    <t>Deaths 4/2</t>
  </si>
  <si>
    <t>Deaths 4/3</t>
  </si>
  <si>
    <t>Deaths 4/4</t>
  </si>
  <si>
    <t>Cases</t>
  </si>
  <si>
    <t>&lt;20</t>
  </si>
  <si>
    <t>21-30</t>
  </si>
  <si>
    <t>31-40</t>
  </si>
  <si>
    <t>41-50</t>
  </si>
  <si>
    <t>51-60</t>
  </si>
  <si>
    <t>61-70</t>
  </si>
  <si>
    <t>71-80</t>
  </si>
  <si>
    <t>81-90</t>
  </si>
  <si>
    <t>90+</t>
  </si>
  <si>
    <t>Other</t>
  </si>
  <si>
    <t>Cases 4/5</t>
  </si>
  <si>
    <t>Deaths 4/5</t>
  </si>
  <si>
    <t>April 6th</t>
  </si>
  <si>
    <t>30 - 39</t>
  </si>
  <si>
    <t>40 - 49</t>
  </si>
  <si>
    <t>50 - 59</t>
  </si>
  <si>
    <t>60 - 69</t>
  </si>
  <si>
    <t>70 - 79</t>
  </si>
  <si>
    <t>Age Group</t>
  </si>
  <si>
    <t>Dead Men</t>
  </si>
  <si>
    <t>Dead Women</t>
  </si>
  <si>
    <t>0 - 9</t>
  </si>
  <si>
    <t>10 - 19</t>
  </si>
  <si>
    <t>20 - 29</t>
  </si>
  <si>
    <t>Male Cases</t>
  </si>
  <si>
    <t>Female Cases</t>
  </si>
  <si>
    <t>Male Deaths</t>
  </si>
  <si>
    <t>Deaths 4/6</t>
  </si>
  <si>
    <t>124,527 cases</t>
  </si>
  <si>
    <t>542</t>
  </si>
  <si>
    <t>Cases 4/6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</si>
  <si>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</si>
  <si>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</si>
  <si>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</si>
  <si>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</si>
  <si>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</si>
  <si>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</si>
  <si>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</si>
  <si>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</si>
  <si>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</si>
  <si>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</si>
  <si>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</si>
  <si>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</si>
  <si>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</si>
  <si>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</si>
  <si>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</si>
  <si>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</si>
  <si>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</si>
  <si>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</si>
  <si>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</si>
  <si>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</t>
  </si>
  <si>
    <t>Passed Away</t>
  </si>
  <si>
    <t>Female Deaths</t>
  </si>
  <si>
    <t>April 7th</t>
  </si>
  <si>
    <t>Cases 4/7</t>
  </si>
  <si>
    <t>Deaths:374</t>
  </si>
  <si>
    <t>Deaths 4/7</t>
  </si>
  <si>
    <t>&lt;5</t>
  </si>
  <si>
    <t>15-24</t>
  </si>
  <si>
    <t>25-34</t>
  </si>
  <si>
    <t>35-44</t>
  </si>
  <si>
    <t>45-54</t>
  </si>
  <si>
    <t>55-64</t>
  </si>
  <si>
    <t>&gt;64</t>
  </si>
  <si>
    <t>5-14</t>
  </si>
  <si>
    <t>Women Cases</t>
  </si>
  <si>
    <t>Men Cases</t>
  </si>
  <si>
    <t xml:space="preserve">Total cases </t>
  </si>
  <si>
    <t>Total Dead</t>
  </si>
  <si>
    <t>)</t>
  </si>
  <si>
    <t>Total April 7th</t>
  </si>
  <si>
    <t>Age group</t>
  </si>
  <si>
    <t>0-19</t>
  </si>
  <si>
    <t>20-39</t>
  </si>
  <si>
    <t>40-59</t>
  </si>
  <si>
    <t>60-79</t>
  </si>
  <si>
    <t>TBC</t>
  </si>
  <si>
    <t>Cases 4/8</t>
  </si>
  <si>
    <t>April 8th</t>
  </si>
  <si>
    <t>April 9th</t>
  </si>
  <si>
    <t>Deaths 4/8</t>
  </si>
  <si>
    <t>4/8 CFR</t>
  </si>
  <si>
    <t>Cases 4/9</t>
  </si>
  <si>
    <t>Deaths 4/9</t>
  </si>
  <si>
    <t>4/9 CFR</t>
  </si>
  <si>
    <t>65-74</t>
  </si>
  <si>
    <t>75-84</t>
  </si>
  <si>
    <t>85+</t>
  </si>
  <si>
    <t>1-4</t>
  </si>
  <si>
    <t>&lt;1</t>
  </si>
  <si>
    <t>15-59</t>
  </si>
  <si>
    <t>50-70</t>
  </si>
  <si>
    <t>&lt;60</t>
  </si>
  <si>
    <t>Males</t>
  </si>
  <si>
    <t>%</t>
  </si>
  <si>
    <t>Females</t>
  </si>
  <si>
    <t>Both sexes</t>
  </si>
  <si>
    <t>Cases 4/13</t>
  </si>
  <si>
    <t>&lt;19</t>
  </si>
  <si>
    <t>Cases 5/18</t>
  </si>
  <si>
    <t>5/18 Cases</t>
  </si>
  <si>
    <t>male cases</t>
  </si>
  <si>
    <t>female cases</t>
  </si>
  <si>
    <t xml:space="preserve">male deaths </t>
  </si>
  <si>
    <t>female deaths</t>
  </si>
  <si>
    <t>Dead</t>
  </si>
  <si>
    <t>M</t>
  </si>
  <si>
    <t>F</t>
  </si>
  <si>
    <t>Percent Deaths</t>
  </si>
  <si>
    <t>March 3rd</t>
  </si>
  <si>
    <t>March 10th</t>
  </si>
  <si>
    <t>March 17th</t>
  </si>
  <si>
    <t>March 24th</t>
  </si>
  <si>
    <t>March 31st</t>
  </si>
  <si>
    <t>April 13th</t>
  </si>
  <si>
    <t>April 20th</t>
  </si>
  <si>
    <t>April 27th</t>
  </si>
  <si>
    <t>May 4th</t>
  </si>
  <si>
    <t>May 18th</t>
  </si>
  <si>
    <t>May 11th</t>
  </si>
  <si>
    <t>February 12th</t>
  </si>
  <si>
    <t>South Korea</t>
  </si>
  <si>
    <t>China: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</si>
</sst>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95BA6"/>
      <name val="Verdana"/>
      <family val="2"/>
    </font>
    <font>
      <sz val="10"/>
      <name val="Verdana"/>
      <family val="2"/>
    </font>
    <font>
      <sz val="10"/>
      <color rgb="FFFFFFFF"/>
      <name val="Verdana"/>
      <family val="2"/>
    </font>
    <font>
      <sz val="10"/>
      <color theme="0"/>
      <name val="Verdana"/>
      <family val="2"/>
    </font>
    <font>
      <b/>
      <sz val="10"/>
      <name val="Verdana"/>
      <family val="2"/>
    </font>
    <font>
      <sz val="12"/>
      <color rgb="FF000000"/>
      <name val="Calibri"/>
      <family val="2"/>
      <scheme val="minor"/>
    </font>
    <font>
      <b/>
      <sz val="13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4" tint="-0.249977111117893"/>
      <name val="Calibri"/>
      <family val="2"/>
      <scheme val="minor"/>
    </font>
    <font>
      <sz val="10"/>
      <name val="Calibri"/>
      <family val="2"/>
      <charset val="1"/>
    </font>
    <font>
      <sz val="48"/>
      <color theme="1"/>
      <name val="Calibri (Body)"/>
    </font>
    <font>
      <b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B4C6E7"/>
        <bgColor rgb="FF000000"/>
      </patternFill>
    </fill>
    <fill>
      <patternFill patternType="solid">
        <fgColor rgb="FFEDF3F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2" borderId="1">
      <alignment horizontal="right" vertical="center"/>
    </xf>
    <xf numFmtId="0" fontId="4" fillId="2" borderId="1">
      <alignment horizontal="right" vertical="center" textRotation="90" wrapText="1"/>
    </xf>
    <xf numFmtId="16" fontId="3" fillId="0" borderId="0">
      <alignment horizontal="center"/>
    </xf>
    <xf numFmtId="3" fontId="6" fillId="0" borderId="1">
      <alignment horizontal="center" vertical="center"/>
    </xf>
    <xf numFmtId="10" fontId="4" fillId="0" borderId="1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0" applyFont="1"/>
    <xf numFmtId="16" fontId="0" fillId="0" borderId="0" xfId="0" applyNumberFormat="1"/>
    <xf numFmtId="0" fontId="0" fillId="0" borderId="0" xfId="0"/>
    <xf numFmtId="0" fontId="0" fillId="0" borderId="0" xfId="0"/>
    <xf numFmtId="0" fontId="4" fillId="2" borderId="3" xfId="1" applyFont="1" applyBorder="1" applyAlignment="1">
      <alignment horizontal="right" vertical="center"/>
    </xf>
    <xf numFmtId="0" fontId="4" fillId="0" borderId="0" xfId="0" applyFont="1"/>
    <xf numFmtId="0" fontId="4" fillId="2" borderId="1" xfId="2">
      <alignment horizontal="right" vertical="center"/>
    </xf>
    <xf numFmtId="3" fontId="6" fillId="0" borderId="1" xfId="5">
      <alignment horizontal="center" vertical="center"/>
    </xf>
    <xf numFmtId="0" fontId="4" fillId="2" borderId="1" xfId="3">
      <alignment horizontal="right" vertical="center" textRotation="90" wrapText="1"/>
    </xf>
    <xf numFmtId="0" fontId="4" fillId="2" borderId="1" xfId="2" quotePrefix="1">
      <alignment horizontal="right" vertical="center"/>
    </xf>
    <xf numFmtId="0" fontId="4" fillId="2" borderId="1" xfId="2">
      <alignment horizontal="right" vertical="center"/>
    </xf>
    <xf numFmtId="16" fontId="5" fillId="0" borderId="0" xfId="0" applyNumberFormat="1" applyFont="1" applyAlignment="1"/>
    <xf numFmtId="16" fontId="3" fillId="0" borderId="0" xfId="4" applyAlignment="1"/>
    <xf numFmtId="3" fontId="0" fillId="0" borderId="0" xfId="0" applyNumberFormat="1"/>
    <xf numFmtId="0" fontId="4" fillId="2" borderId="2" xfId="2" applyBorder="1">
      <alignment horizontal="right" vertical="center"/>
    </xf>
    <xf numFmtId="0" fontId="2" fillId="0" borderId="0" xfId="0" applyFont="1"/>
    <xf numFmtId="0" fontId="4" fillId="0" borderId="1" xfId="0" applyFont="1" applyBorder="1"/>
    <xf numFmtId="10" fontId="4" fillId="0" borderId="1" xfId="0" applyNumberFormat="1" applyFont="1" applyBorder="1"/>
    <xf numFmtId="0" fontId="8" fillId="3" borderId="11" xfId="0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right" vertical="center"/>
    </xf>
    <xf numFmtId="16" fontId="8" fillId="3" borderId="8" xfId="0" quotePrefix="1" applyNumberFormat="1" applyFont="1" applyFill="1" applyBorder="1" applyAlignment="1">
      <alignment horizontal="right" vertical="center"/>
    </xf>
    <xf numFmtId="0" fontId="9" fillId="0" borderId="0" xfId="0" applyFont="1"/>
    <xf numFmtId="3" fontId="6" fillId="0" borderId="0" xfId="5" applyFill="1" applyBorder="1">
      <alignment horizontal="center" vertical="center"/>
    </xf>
    <xf numFmtId="3" fontId="6" fillId="0" borderId="1" xfId="5" quotePrefix="1">
      <alignment horizontal="center" vertical="center"/>
    </xf>
    <xf numFmtId="0" fontId="4" fillId="0" borderId="2" xfId="0" applyFont="1" applyFill="1" applyBorder="1"/>
    <xf numFmtId="10" fontId="4" fillId="0" borderId="1" xfId="6"/>
    <xf numFmtId="15" fontId="10" fillId="4" borderId="14" xfId="0" applyNumberFormat="1" applyFont="1" applyFill="1" applyBorder="1" applyAlignment="1">
      <alignment vertical="center" wrapText="1"/>
    </xf>
    <xf numFmtId="15" fontId="10" fillId="4" borderId="15" xfId="0" applyNumberFormat="1" applyFont="1" applyFill="1" applyBorder="1" applyAlignment="1">
      <alignment vertical="center" wrapText="1"/>
    </xf>
    <xf numFmtId="3" fontId="11" fillId="0" borderId="16" xfId="0" applyNumberFormat="1" applyFont="1" applyBorder="1" applyAlignment="1">
      <alignment horizontal="right"/>
    </xf>
    <xf numFmtId="0" fontId="12" fillId="5" borderId="0" xfId="0" applyFont="1" applyFill="1"/>
    <xf numFmtId="3" fontId="11" fillId="5" borderId="18" xfId="0" applyNumberFormat="1" applyFont="1" applyFill="1" applyBorder="1" applyAlignment="1">
      <alignment horizontal="right"/>
    </xf>
    <xf numFmtId="3" fontId="11" fillId="5" borderId="19" xfId="0" applyNumberFormat="1" applyFont="1" applyFill="1" applyBorder="1" applyAlignment="1">
      <alignment horizontal="right"/>
    </xf>
    <xf numFmtId="3" fontId="11" fillId="5" borderId="16" xfId="0" applyNumberFormat="1" applyFont="1" applyFill="1" applyBorder="1" applyAlignment="1">
      <alignment horizontal="right"/>
    </xf>
    <xf numFmtId="3" fontId="11" fillId="0" borderId="14" xfId="0" applyNumberFormat="1" applyFont="1" applyBorder="1" applyAlignment="1">
      <alignment horizontal="right"/>
    </xf>
    <xf numFmtId="0" fontId="13" fillId="6" borderId="0" xfId="0" applyFont="1" applyFill="1"/>
    <xf numFmtId="3" fontId="11" fillId="6" borderId="17" xfId="0" applyNumberFormat="1" applyFont="1" applyFill="1" applyBorder="1" applyAlignment="1">
      <alignment horizontal="right"/>
    </xf>
    <xf numFmtId="3" fontId="11" fillId="6" borderId="20" xfId="0" applyNumberFormat="1" applyFont="1" applyFill="1" applyBorder="1" applyAlignment="1">
      <alignment horizontal="right"/>
    </xf>
    <xf numFmtId="3" fontId="11" fillId="6" borderId="21" xfId="0" applyNumberFormat="1" applyFont="1" applyFill="1" applyBorder="1" applyAlignment="1">
      <alignment horizontal="right"/>
    </xf>
    <xf numFmtId="0" fontId="10" fillId="4" borderId="22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1" fillId="6" borderId="0" xfId="0" applyFont="1" applyFill="1"/>
    <xf numFmtId="0" fontId="11" fillId="6" borderId="23" xfId="0" applyFont="1" applyFill="1" applyBorder="1"/>
    <xf numFmtId="0" fontId="0" fillId="0" borderId="18" xfId="0" applyBorder="1"/>
    <xf numFmtId="0" fontId="11" fillId="6" borderId="24" xfId="0" applyFont="1" applyFill="1" applyBorder="1"/>
    <xf numFmtId="0" fontId="0" fillId="0" borderId="25" xfId="0" applyBorder="1"/>
    <xf numFmtId="0" fontId="11" fillId="6" borderId="26" xfId="0" applyFont="1" applyFill="1" applyBorder="1"/>
    <xf numFmtId="0" fontId="0" fillId="0" borderId="27" xfId="0" applyBorder="1"/>
    <xf numFmtId="0" fontId="4" fillId="2" borderId="1" xfId="2">
      <alignment horizontal="right" vertical="center"/>
    </xf>
    <xf numFmtId="0" fontId="0" fillId="0" borderId="0" xfId="0"/>
    <xf numFmtId="0" fontId="15" fillId="0" borderId="0" xfId="0" applyFont="1"/>
    <xf numFmtId="3" fontId="15" fillId="0" borderId="0" xfId="0" applyNumberFormat="1" applyFont="1"/>
    <xf numFmtId="3" fontId="16" fillId="0" borderId="0" xfId="0" applyNumberFormat="1" applyFont="1"/>
    <xf numFmtId="9" fontId="0" fillId="0" borderId="0" xfId="0" applyNumberFormat="1"/>
    <xf numFmtId="9" fontId="0" fillId="0" borderId="0" xfId="7" applyFont="1"/>
    <xf numFmtId="3" fontId="6" fillId="0" borderId="28" xfId="5" applyFill="1" applyBorder="1">
      <alignment horizontal="center" vertical="center"/>
    </xf>
    <xf numFmtId="3" fontId="6" fillId="0" borderId="2" xfId="5" applyFill="1" applyBorder="1">
      <alignment horizontal="center" vertical="center"/>
    </xf>
    <xf numFmtId="0" fontId="17" fillId="7" borderId="26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18" fillId="7" borderId="27" xfId="0" applyFont="1" applyFill="1" applyBorder="1" applyAlignment="1">
      <alignment horizontal="center"/>
    </xf>
    <xf numFmtId="0" fontId="17" fillId="7" borderId="30" xfId="0" applyFont="1" applyFill="1" applyBorder="1" applyAlignment="1">
      <alignment horizontal="right"/>
    </xf>
    <xf numFmtId="164" fontId="18" fillId="7" borderId="0" xfId="0" applyNumberFormat="1" applyFont="1" applyFill="1"/>
    <xf numFmtId="0" fontId="17" fillId="7" borderId="0" xfId="0" applyFont="1" applyFill="1" applyAlignment="1">
      <alignment horizontal="right"/>
    </xf>
    <xf numFmtId="164" fontId="18" fillId="7" borderId="31" xfId="0" applyNumberFormat="1" applyFont="1" applyFill="1" applyBorder="1"/>
    <xf numFmtId="0" fontId="17" fillId="7" borderId="0" xfId="0" applyFont="1" applyFill="1"/>
    <xf numFmtId="1" fontId="17" fillId="7" borderId="0" xfId="0" applyNumberFormat="1" applyFont="1" applyFill="1"/>
    <xf numFmtId="0" fontId="17" fillId="7" borderId="30" xfId="0" applyFont="1" applyFill="1" applyBorder="1"/>
    <xf numFmtId="0" fontId="18" fillId="7" borderId="0" xfId="0" applyFont="1" applyFill="1"/>
    <xf numFmtId="0" fontId="18" fillId="7" borderId="31" xfId="0" applyFont="1" applyFill="1" applyBorder="1"/>
    <xf numFmtId="0" fontId="19" fillId="7" borderId="30" xfId="0" applyFont="1" applyFill="1" applyBorder="1"/>
    <xf numFmtId="1" fontId="20" fillId="7" borderId="0" xfId="0" applyNumberFormat="1" applyFont="1" applyFill="1"/>
    <xf numFmtId="0" fontId="19" fillId="7" borderId="0" xfId="0" applyFont="1" applyFill="1"/>
    <xf numFmtId="164" fontId="20" fillId="7" borderId="0" xfId="0" applyNumberFormat="1" applyFont="1" applyFill="1"/>
    <xf numFmtId="1" fontId="19" fillId="7" borderId="0" xfId="0" applyNumberFormat="1" applyFont="1" applyFill="1"/>
    <xf numFmtId="0" fontId="20" fillId="7" borderId="31" xfId="0" applyFont="1" applyFill="1" applyBorder="1"/>
    <xf numFmtId="0" fontId="8" fillId="3" borderId="6" xfId="0" applyFont="1" applyFill="1" applyBorder="1" applyAlignment="1">
      <alignment horizontal="right" vertical="center"/>
    </xf>
    <xf numFmtId="0" fontId="21" fillId="8" borderId="23" xfId="0" applyFont="1" applyFill="1" applyBorder="1"/>
    <xf numFmtId="0" fontId="21" fillId="8" borderId="32" xfId="0" applyFont="1" applyFill="1" applyBorder="1"/>
    <xf numFmtId="14" fontId="21" fillId="8" borderId="32" xfId="0" applyNumberFormat="1" applyFont="1" applyFill="1" applyBorder="1"/>
    <xf numFmtId="0" fontId="21" fillId="8" borderId="18" xfId="0" applyFont="1" applyFill="1" applyBorder="1"/>
    <xf numFmtId="0" fontId="22" fillId="8" borderId="26" xfId="0" applyFont="1" applyFill="1" applyBorder="1" applyAlignment="1">
      <alignment horizontal="center"/>
    </xf>
    <xf numFmtId="0" fontId="22" fillId="8" borderId="29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164" fontId="23" fillId="8" borderId="0" xfId="0" applyNumberFormat="1" applyFont="1" applyFill="1" applyAlignment="1">
      <alignment horizontal="center"/>
    </xf>
    <xf numFmtId="164" fontId="23" fillId="8" borderId="31" xfId="0" applyNumberFormat="1" applyFont="1" applyFill="1" applyBorder="1" applyAlignment="1">
      <alignment horizontal="center"/>
    </xf>
    <xf numFmtId="0" fontId="23" fillId="8" borderId="0" xfId="0" applyFont="1" applyFill="1" applyAlignment="1">
      <alignment horizontal="center"/>
    </xf>
    <xf numFmtId="0" fontId="23" fillId="8" borderId="31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164" fontId="25" fillId="8" borderId="0" xfId="0" applyNumberFormat="1" applyFont="1" applyFill="1" applyAlignment="1">
      <alignment horizontal="center"/>
    </xf>
    <xf numFmtId="0" fontId="25" fillId="8" borderId="0" xfId="0" applyFont="1" applyFill="1" applyAlignment="1">
      <alignment horizontal="center"/>
    </xf>
    <xf numFmtId="0" fontId="25" fillId="8" borderId="31" xfId="0" applyFont="1" applyFill="1" applyBorder="1" applyAlignment="1">
      <alignment horizontal="center"/>
    </xf>
    <xf numFmtId="0" fontId="0" fillId="0" borderId="0" xfId="0"/>
    <xf numFmtId="0" fontId="8" fillId="3" borderId="1" xfId="0" applyFont="1" applyFill="1" applyBorder="1" applyAlignment="1">
      <alignment horizontal="right" vertical="center"/>
    </xf>
    <xf numFmtId="0" fontId="8" fillId="3" borderId="10" xfId="0" applyNumberFormat="1" applyFont="1" applyFill="1" applyBorder="1" applyAlignment="1">
      <alignment horizontal="right" vertical="center"/>
    </xf>
    <xf numFmtId="0" fontId="8" fillId="3" borderId="10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8" xfId="0" applyNumberFormat="1" applyFont="1" applyFill="1" applyBorder="1" applyAlignment="1">
      <alignment horizontal="right" vertical="center"/>
    </xf>
    <xf numFmtId="0" fontId="4" fillId="2" borderId="1" xfId="2">
      <alignment horizontal="right" vertical="center"/>
    </xf>
    <xf numFmtId="0" fontId="0" fillId="0" borderId="0" xfId="0"/>
    <xf numFmtId="16" fontId="3" fillId="0" borderId="7" xfId="4" applyBorder="1" applyAlignment="1">
      <alignment horizontal="center"/>
    </xf>
    <xf numFmtId="0" fontId="4" fillId="2" borderId="1" xfId="2">
      <alignment horizontal="right" vertical="center"/>
    </xf>
    <xf numFmtId="0" fontId="0" fillId="0" borderId="0" xfId="0"/>
    <xf numFmtId="0" fontId="4" fillId="2" borderId="2" xfId="3" applyBorder="1">
      <alignment horizontal="right" vertical="center" textRotation="90" wrapText="1"/>
    </xf>
    <xf numFmtId="0" fontId="4" fillId="2" borderId="0" xfId="3" applyBorder="1">
      <alignment horizontal="right" vertical="center" textRotation="90" wrapText="1"/>
    </xf>
    <xf numFmtId="0" fontId="26" fillId="9" borderId="30" xfId="0" applyFont="1" applyFill="1" applyBorder="1"/>
    <xf numFmtId="0" fontId="0" fillId="0" borderId="0" xfId="0" applyFill="1" applyBorder="1"/>
    <xf numFmtId="16" fontId="3" fillId="0" borderId="0" xfId="4">
      <alignment horizontal="center"/>
    </xf>
    <xf numFmtId="0" fontId="4" fillId="2" borderId="5" xfId="1" applyFont="1" applyBorder="1" applyAlignment="1">
      <alignment horizontal="center" vertical="center" textRotation="90" wrapText="1"/>
    </xf>
    <xf numFmtId="0" fontId="4" fillId="2" borderId="6" xfId="1" applyFont="1" applyBorder="1" applyAlignment="1">
      <alignment horizontal="center" vertical="center" textRotation="90" wrapText="1"/>
    </xf>
    <xf numFmtId="0" fontId="4" fillId="2" borderId="9" xfId="3" applyBorder="1" applyAlignment="1">
      <alignment horizontal="center" vertical="center" textRotation="90" wrapText="1"/>
    </xf>
    <xf numFmtId="0" fontId="4" fillId="2" borderId="2" xfId="3" applyBorder="1" applyAlignment="1">
      <alignment horizontal="center" vertical="center" textRotation="90" wrapText="1"/>
    </xf>
    <xf numFmtId="0" fontId="4" fillId="2" borderId="10" xfId="3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4" fillId="2" borderId="9" xfId="2" applyBorder="1" applyAlignment="1">
      <alignment horizontal="center" vertical="center"/>
    </xf>
    <xf numFmtId="0" fontId="4" fillId="2" borderId="2" xfId="2" applyBorder="1" applyAlignment="1">
      <alignment horizontal="center" vertical="center"/>
    </xf>
    <xf numFmtId="0" fontId="4" fillId="2" borderId="10" xfId="2" applyBorder="1" applyAlignment="1">
      <alignment horizontal="center" vertical="center"/>
    </xf>
    <xf numFmtId="0" fontId="4" fillId="2" borderId="9" xfId="2" applyBorder="1" applyAlignment="1">
      <alignment horizontal="center" vertical="center" wrapText="1"/>
    </xf>
    <xf numFmtId="0" fontId="4" fillId="2" borderId="2" xfId="2" applyBorder="1" applyAlignment="1">
      <alignment horizontal="center" vertical="center" wrapText="1"/>
    </xf>
    <xf numFmtId="0" fontId="4" fillId="2" borderId="10" xfId="2" applyBorder="1" applyAlignment="1">
      <alignment horizontal="center" vertical="center" wrapText="1"/>
    </xf>
    <xf numFmtId="16" fontId="3" fillId="0" borderId="7" xfId="4" applyBorder="1" applyAlignment="1">
      <alignment horizontal="center"/>
    </xf>
    <xf numFmtId="0" fontId="4" fillId="2" borderId="1" xfId="2" applyAlignment="1">
      <alignment horizontal="right" vertical="center" wrapText="1"/>
    </xf>
    <xf numFmtId="0" fontId="4" fillId="2" borderId="5" xfId="2" applyBorder="1" applyAlignment="1">
      <alignment horizontal="center" vertical="center"/>
    </xf>
    <xf numFmtId="0" fontId="4" fillId="2" borderId="6" xfId="2" applyBorder="1" applyAlignment="1">
      <alignment horizontal="center" vertical="center"/>
    </xf>
    <xf numFmtId="0" fontId="8" fillId="3" borderId="9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8" fillId="3" borderId="10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4" fillId="2" borderId="5" xfId="2" applyBorder="1" applyAlignment="1">
      <alignment horizontal="center" vertical="center" wrapText="1"/>
    </xf>
    <xf numFmtId="0" fontId="4" fillId="2" borderId="8" xfId="2" applyBorder="1" applyAlignment="1">
      <alignment horizontal="center" vertical="center" wrapText="1"/>
    </xf>
    <xf numFmtId="0" fontId="4" fillId="2" borderId="6" xfId="2" applyBorder="1" applyAlignment="1">
      <alignment horizontal="center" vertical="center" wrapText="1"/>
    </xf>
    <xf numFmtId="0" fontId="4" fillId="2" borderId="1" xfId="2">
      <alignment horizontal="right" vertical="center"/>
    </xf>
    <xf numFmtId="16" fontId="0" fillId="0" borderId="0" xfId="0" applyNumberFormat="1" applyAlignment="1">
      <alignment horizontal="center"/>
    </xf>
    <xf numFmtId="0" fontId="4" fillId="2" borderId="4" xfId="2" applyBorder="1" applyAlignment="1">
      <alignment horizontal="center" vertical="center" wrapText="1"/>
    </xf>
    <xf numFmtId="0" fontId="4" fillId="2" borderId="0" xfId="2" applyBorder="1" applyAlignment="1">
      <alignment horizontal="center" vertical="center" wrapText="1"/>
    </xf>
    <xf numFmtId="0" fontId="0" fillId="0" borderId="0" xfId="0"/>
    <xf numFmtId="0" fontId="8" fillId="3" borderId="9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5" fontId="6" fillId="0" borderId="1" xfId="7" applyNumberFormat="1" applyFont="1" applyBorder="1" applyAlignment="1">
      <alignment horizontal="center" vertical="center"/>
    </xf>
    <xf numFmtId="16" fontId="3" fillId="0" borderId="7" xfId="4" quotePrefix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/>
  </cellXfs>
  <cellStyles count="8">
    <cellStyle name="40% - Accent1" xfId="1" builtinId="31"/>
    <cellStyle name="Normal" xfId="0" builtinId="0"/>
    <cellStyle name="Percent" xfId="7" builtinId="5"/>
    <cellStyle name="Style 1" xfId="3" xr:uid="{ECD8DFB2-064A-5241-B7F0-3DF16E359FF4}"/>
    <cellStyle name="Style 2" xfId="4" xr:uid="{440EEF74-0664-DF41-B5DA-628946701EA8}"/>
    <cellStyle name="Style 3" xfId="2" xr:uid="{30E8ADA5-B381-214E-8D4E-0E88F175BDE3}"/>
    <cellStyle name="Style 4" xfId="6" xr:uid="{799F6D4E-1CFE-4349-8A69-7F60570E9AC1}"/>
    <cellStyle name="Style 6" xfId="5" xr:uid="{28B02847-FE92-7B43-82FE-514CA287C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12700" cy="2244912"/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5A4CF0B7-F115-C147-9CD2-B5512561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600" y="4724400"/>
          <a:ext cx="12700" cy="2244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12700" cy="2244912"/>
    <xdr:pic>
      <xdr:nvPicPr>
        <xdr:cNvPr id="3" name="Picture 2" descr="page1image61607872">
          <a:extLst>
            <a:ext uri="{FF2B5EF4-FFF2-40B4-BE49-F238E27FC236}">
              <a16:creationId xmlns:a16="http://schemas.microsoft.com/office/drawing/2014/main" id="{DFDBCAD6-B60F-7C4D-A2C4-0BD8B0C89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600" y="8001000"/>
          <a:ext cx="12700" cy="2244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20</xdr:row>
      <xdr:rowOff>0</xdr:rowOff>
    </xdr:from>
    <xdr:to>
      <xdr:col>2</xdr:col>
      <xdr:colOff>12700</xdr:colOff>
      <xdr:row>30</xdr:row>
      <xdr:rowOff>128954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0D8C2102-8B69-6741-9ED6-4F06C7F5B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508000"/>
          <a:ext cx="127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8</xdr:row>
      <xdr:rowOff>190500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11</xdr:row>
      <xdr:rowOff>38100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127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11</xdr:row>
      <xdr:rowOff>165100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536BC006-13C7-5A43-BE53-492B9AA36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12700" cy="219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0</xdr:row>
      <xdr:rowOff>0</xdr:rowOff>
    </xdr:from>
    <xdr:to>
      <xdr:col>1</xdr:col>
      <xdr:colOff>0</xdr:colOff>
      <xdr:row>9</xdr:row>
      <xdr:rowOff>25400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13</xdr:row>
      <xdr:rowOff>50800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"/>
          <a:ext cx="127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10</xdr:row>
      <xdr:rowOff>63500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19</xdr:row>
      <xdr:rowOff>0</xdr:rowOff>
    </xdr:from>
    <xdr:ext cx="12700" cy="2244912"/>
    <xdr:pic>
      <xdr:nvPicPr>
        <xdr:cNvPr id="3" name="Picture 2" descr="page1image61607872">
          <a:extLst>
            <a:ext uri="{FF2B5EF4-FFF2-40B4-BE49-F238E27FC236}">
              <a16:creationId xmlns:a16="http://schemas.microsoft.com/office/drawing/2014/main" id="{836159B7-B2E1-7D43-ACAC-94F486ABA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765" y="508000"/>
          <a:ext cx="12700" cy="2244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12700" cy="2244912"/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9CE19712-6291-5547-A429-CC596D0E0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934" y="4684426"/>
          <a:ext cx="12700" cy="2244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6</xdr:row>
      <xdr:rowOff>177800</xdr:rowOff>
    </xdr:to>
    <xdr:pic>
      <xdr:nvPicPr>
        <xdr:cNvPr id="3" name="Picture 2" descr="page1image6160787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9</xdr:row>
      <xdr:rowOff>50800</xdr:rowOff>
    </xdr:to>
    <xdr:pic>
      <xdr:nvPicPr>
        <xdr:cNvPr id="3" name="Picture 2" descr="page1image6160787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812800</xdr:colOff>
      <xdr:row>0</xdr:row>
      <xdr:rowOff>0</xdr:rowOff>
    </xdr:from>
    <xdr:to>
      <xdr:col>2</xdr:col>
      <xdr:colOff>0</xdr:colOff>
      <xdr:row>7</xdr:row>
      <xdr:rowOff>12700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5</xdr:row>
      <xdr:rowOff>152400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1</xdr:row>
      <xdr:rowOff>114300</xdr:rowOff>
    </xdr:from>
    <xdr:to>
      <xdr:col>6</xdr:col>
      <xdr:colOff>292100</xdr:colOff>
      <xdr:row>1</xdr:row>
      <xdr:rowOff>127000</xdr:rowOff>
    </xdr:to>
    <xdr:pic>
      <xdr:nvPicPr>
        <xdr:cNvPr id="3" name="Picture 2" descr="page1image6161843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17500"/>
          <a:ext cx="382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1</xdr:row>
      <xdr:rowOff>0</xdr:rowOff>
    </xdr:from>
    <xdr:to>
      <xdr:col>10</xdr:col>
      <xdr:colOff>254000</xdr:colOff>
      <xdr:row>1</xdr:row>
      <xdr:rowOff>12700</xdr:rowOff>
    </xdr:to>
    <xdr:pic>
      <xdr:nvPicPr>
        <xdr:cNvPr id="4" name="Picture 3" descr="page1image61615360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00" y="203200"/>
          <a:ext cx="382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1</xdr:row>
      <xdr:rowOff>0</xdr:rowOff>
    </xdr:from>
    <xdr:to>
      <xdr:col>14</xdr:col>
      <xdr:colOff>787400</xdr:colOff>
      <xdr:row>1</xdr:row>
      <xdr:rowOff>12700</xdr:rowOff>
    </xdr:to>
    <xdr:pic>
      <xdr:nvPicPr>
        <xdr:cNvPr id="5" name="Picture 4" descr="page1image6161670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03200"/>
          <a:ext cx="382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800100</xdr:colOff>
      <xdr:row>1</xdr:row>
      <xdr:rowOff>0</xdr:rowOff>
    </xdr:from>
    <xdr:to>
      <xdr:col>19</xdr:col>
      <xdr:colOff>495300</xdr:colOff>
      <xdr:row>1</xdr:row>
      <xdr:rowOff>12700</xdr:rowOff>
    </xdr:to>
    <xdr:pic>
      <xdr:nvPicPr>
        <xdr:cNvPr id="6" name="Picture 5" descr="page1image6160691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1600" y="203200"/>
          <a:ext cx="382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508000</xdr:colOff>
      <xdr:row>1</xdr:row>
      <xdr:rowOff>0</xdr:rowOff>
    </xdr:from>
    <xdr:to>
      <xdr:col>24</xdr:col>
      <xdr:colOff>203200</xdr:colOff>
      <xdr:row>1</xdr:row>
      <xdr:rowOff>12700</xdr:rowOff>
    </xdr:to>
    <xdr:pic>
      <xdr:nvPicPr>
        <xdr:cNvPr id="7" name="Picture 6" descr="page1image61606720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7000" y="203200"/>
          <a:ext cx="382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215900</xdr:colOff>
      <xdr:row>1</xdr:row>
      <xdr:rowOff>0</xdr:rowOff>
    </xdr:from>
    <xdr:to>
      <xdr:col>28</xdr:col>
      <xdr:colOff>736600</xdr:colOff>
      <xdr:row>1</xdr:row>
      <xdr:rowOff>12700</xdr:rowOff>
    </xdr:to>
    <xdr:pic>
      <xdr:nvPicPr>
        <xdr:cNvPr id="8" name="Picture 7" descr="page1image61609984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0" y="203200"/>
          <a:ext cx="382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749300</xdr:colOff>
      <xdr:row>1</xdr:row>
      <xdr:rowOff>0</xdr:rowOff>
    </xdr:from>
    <xdr:to>
      <xdr:col>30</xdr:col>
      <xdr:colOff>635000</xdr:colOff>
      <xdr:row>1</xdr:row>
      <xdr:rowOff>0</xdr:rowOff>
    </xdr:to>
    <xdr:pic>
      <xdr:nvPicPr>
        <xdr:cNvPr id="9" name="Picture 8" descr="page1image6160921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7800" y="203200"/>
          <a:ext cx="153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647700</xdr:colOff>
      <xdr:row>1</xdr:row>
      <xdr:rowOff>0</xdr:rowOff>
    </xdr:from>
    <xdr:to>
      <xdr:col>35</xdr:col>
      <xdr:colOff>342900</xdr:colOff>
      <xdr:row>1</xdr:row>
      <xdr:rowOff>12700</xdr:rowOff>
    </xdr:to>
    <xdr:pic>
      <xdr:nvPicPr>
        <xdr:cNvPr id="10" name="Picture 9" descr="page1image6160940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87200" y="203200"/>
          <a:ext cx="382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355600</xdr:colOff>
      <xdr:row>1</xdr:row>
      <xdr:rowOff>0</xdr:rowOff>
    </xdr:from>
    <xdr:to>
      <xdr:col>36</xdr:col>
      <xdr:colOff>723900</xdr:colOff>
      <xdr:row>1</xdr:row>
      <xdr:rowOff>0</xdr:rowOff>
    </xdr:to>
    <xdr:pic>
      <xdr:nvPicPr>
        <xdr:cNvPr id="11" name="Picture 10" descr="page1image61626752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0" y="203200"/>
          <a:ext cx="1193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736600</xdr:colOff>
      <xdr:row>1</xdr:row>
      <xdr:rowOff>0</xdr:rowOff>
    </xdr:from>
    <xdr:to>
      <xdr:col>38</xdr:col>
      <xdr:colOff>457200</xdr:colOff>
      <xdr:row>1</xdr:row>
      <xdr:rowOff>0</xdr:rowOff>
    </xdr:to>
    <xdr:pic>
      <xdr:nvPicPr>
        <xdr:cNvPr id="12" name="Picture 11" descr="page1image61625408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9100" y="203200"/>
          <a:ext cx="137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5</xdr:row>
      <xdr:rowOff>152400</xdr:rowOff>
    </xdr:to>
    <xdr:pic>
      <xdr:nvPicPr>
        <xdr:cNvPr id="13" name="Picture 12" descr="page1image6160787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8</xdr:row>
      <xdr:rowOff>190335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8</xdr:row>
      <xdr:rowOff>190335</xdr:rowOff>
    </xdr:to>
    <xdr:pic>
      <xdr:nvPicPr>
        <xdr:cNvPr id="3" name="Picture 2" descr="page1image6160787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2700" cy="195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7FCB-73BF-CC49-8040-D63997B60C2D}">
  <dimension ref="B2:AA48"/>
  <sheetViews>
    <sheetView tabSelected="1" topLeftCell="A11" zoomScale="65" workbookViewId="0">
      <selection activeCell="I43" sqref="I43"/>
    </sheetView>
  </sheetViews>
  <sheetFormatPr baseColWidth="10" defaultRowHeight="16"/>
  <sheetData>
    <row r="2" spans="2:27" ht="11" customHeight="1"/>
    <row r="3" spans="2:27" ht="56" customHeight="1">
      <c r="C3" s="145" t="s">
        <v>166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</row>
    <row r="4" spans="2:27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2:27" ht="24" thickBot="1">
      <c r="B5" s="102"/>
      <c r="C5" s="102"/>
      <c r="D5" s="120" t="s">
        <v>154</v>
      </c>
      <c r="E5" s="120"/>
      <c r="F5" s="120" t="s">
        <v>155</v>
      </c>
      <c r="G5" s="120"/>
      <c r="H5" s="120" t="s">
        <v>156</v>
      </c>
      <c r="I5" s="120"/>
      <c r="J5" s="120" t="s">
        <v>157</v>
      </c>
      <c r="K5" s="120"/>
      <c r="L5" s="120" t="s">
        <v>158</v>
      </c>
      <c r="M5" s="120"/>
      <c r="N5" s="120" t="s">
        <v>57</v>
      </c>
      <c r="O5" s="120"/>
      <c r="P5" s="120" t="s">
        <v>159</v>
      </c>
      <c r="Q5" s="120"/>
      <c r="R5" s="120" t="s">
        <v>160</v>
      </c>
      <c r="S5" s="120"/>
      <c r="T5" s="120" t="s">
        <v>161</v>
      </c>
      <c r="U5" s="120"/>
      <c r="V5" s="120" t="s">
        <v>162</v>
      </c>
      <c r="W5" s="120"/>
      <c r="X5" s="100" t="s">
        <v>164</v>
      </c>
      <c r="Y5" s="100"/>
      <c r="Z5" s="120" t="s">
        <v>163</v>
      </c>
      <c r="AA5" s="120"/>
    </row>
    <row r="6" spans="2:27" ht="35" thickBot="1">
      <c r="B6" s="102"/>
      <c r="C6" s="102"/>
      <c r="D6" s="9" t="s">
        <v>10</v>
      </c>
      <c r="E6" s="9" t="s">
        <v>153</v>
      </c>
      <c r="F6" s="9" t="s">
        <v>10</v>
      </c>
      <c r="G6" s="9" t="s">
        <v>153</v>
      </c>
      <c r="H6" s="9" t="s">
        <v>10</v>
      </c>
      <c r="I6" s="9" t="s">
        <v>153</v>
      </c>
      <c r="J6" s="9" t="s">
        <v>10</v>
      </c>
      <c r="K6" s="9" t="s">
        <v>153</v>
      </c>
      <c r="L6" s="9" t="s">
        <v>10</v>
      </c>
      <c r="M6" s="9" t="s">
        <v>153</v>
      </c>
      <c r="N6" s="9" t="s">
        <v>10</v>
      </c>
      <c r="O6" s="9" t="s">
        <v>153</v>
      </c>
      <c r="P6" s="9" t="s">
        <v>10</v>
      </c>
      <c r="Q6" s="9" t="s">
        <v>153</v>
      </c>
      <c r="R6" s="9" t="s">
        <v>10</v>
      </c>
      <c r="S6" s="9" t="s">
        <v>153</v>
      </c>
      <c r="T6" s="9" t="s">
        <v>10</v>
      </c>
      <c r="U6" s="9" t="s">
        <v>153</v>
      </c>
      <c r="V6" s="9" t="s">
        <v>10</v>
      </c>
      <c r="W6" s="9" t="s">
        <v>153</v>
      </c>
      <c r="X6" s="9" t="s">
        <v>10</v>
      </c>
      <c r="Y6" s="9" t="s">
        <v>153</v>
      </c>
      <c r="Z6" s="9" t="s">
        <v>10</v>
      </c>
      <c r="AA6" s="9" t="s">
        <v>153</v>
      </c>
    </row>
    <row r="7" spans="2:27" ht="17" thickBot="1">
      <c r="B7" s="117" t="s">
        <v>1</v>
      </c>
      <c r="C7" s="101" t="s">
        <v>39</v>
      </c>
      <c r="D7" s="8">
        <v>28</v>
      </c>
      <c r="E7" s="143">
        <f>D7/28</f>
        <v>1</v>
      </c>
      <c r="F7" s="8">
        <v>54</v>
      </c>
      <c r="G7" s="143">
        <f>F7/54</f>
        <v>1</v>
      </c>
      <c r="H7" s="8">
        <v>81</v>
      </c>
      <c r="I7" s="143">
        <f>H7/81</f>
        <v>1</v>
      </c>
      <c r="J7" s="8">
        <v>120</v>
      </c>
      <c r="K7" s="143">
        <f>J7/120</f>
        <v>1</v>
      </c>
      <c r="L7" s="8">
        <v>162</v>
      </c>
      <c r="M7" s="143">
        <f>L7/162</f>
        <v>1</v>
      </c>
      <c r="N7" s="8">
        <v>186</v>
      </c>
      <c r="O7" s="143">
        <f>N7/186</f>
        <v>1</v>
      </c>
      <c r="P7" s="8">
        <v>217</v>
      </c>
      <c r="Q7" s="143">
        <f>P7/217</f>
        <v>1</v>
      </c>
      <c r="R7" s="8">
        <v>236</v>
      </c>
      <c r="S7" s="143">
        <f>R7/236</f>
        <v>1</v>
      </c>
      <c r="T7" s="8">
        <v>243</v>
      </c>
      <c r="U7" s="143">
        <f>T7/243</f>
        <v>1</v>
      </c>
      <c r="V7" s="8">
        <v>252</v>
      </c>
      <c r="W7" s="143">
        <f>V7/252</f>
        <v>1</v>
      </c>
      <c r="X7" s="8">
        <v>256</v>
      </c>
      <c r="Y7" s="143">
        <f>X7/256</f>
        <v>1</v>
      </c>
      <c r="Z7" s="8">
        <v>263</v>
      </c>
      <c r="AA7" s="143">
        <f>Z7/263</f>
        <v>1</v>
      </c>
    </row>
    <row r="8" spans="2:27" ht="17" thickBot="1">
      <c r="B8" s="118"/>
      <c r="C8" s="101" t="s">
        <v>20</v>
      </c>
      <c r="D8" s="8">
        <v>0</v>
      </c>
      <c r="E8" s="143">
        <f t="shared" ref="E8:G16" si="0">D8/28</f>
        <v>0</v>
      </c>
      <c r="F8" s="8">
        <v>0</v>
      </c>
      <c r="G8" s="143">
        <f t="shared" ref="G8:I16" si="1">F8/54</f>
        <v>0</v>
      </c>
      <c r="H8" s="8">
        <v>0</v>
      </c>
      <c r="I8" s="143">
        <f t="shared" ref="I8:K16" si="2">H8/81</f>
        <v>0</v>
      </c>
      <c r="J8" s="8">
        <v>0</v>
      </c>
      <c r="K8" s="143">
        <f t="shared" ref="K8:M16" si="3">J8/120</f>
        <v>0</v>
      </c>
      <c r="L8" s="8">
        <v>0</v>
      </c>
      <c r="M8" s="143">
        <f t="shared" ref="M8:O16" si="4">L8/162</f>
        <v>0</v>
      </c>
      <c r="N8" s="8">
        <v>0</v>
      </c>
      <c r="O8" s="143">
        <f t="shared" ref="O8:Q16" si="5">N8/186</f>
        <v>0</v>
      </c>
      <c r="P8" s="8">
        <v>0</v>
      </c>
      <c r="Q8" s="143">
        <f t="shared" ref="Q8:S16" si="6">P8/217</f>
        <v>0</v>
      </c>
      <c r="R8" s="8">
        <v>0</v>
      </c>
      <c r="S8" s="143">
        <f t="shared" ref="S8:U15" si="7">R8/236</f>
        <v>0</v>
      </c>
      <c r="T8" s="8">
        <v>0</v>
      </c>
      <c r="U8" s="143">
        <f t="shared" ref="U8:U16" si="8">T8/243</f>
        <v>0</v>
      </c>
      <c r="V8" s="8">
        <v>0</v>
      </c>
      <c r="W8" s="143">
        <f t="shared" ref="W8:Y16" si="9">V8/252</f>
        <v>0</v>
      </c>
      <c r="X8" s="8">
        <v>0</v>
      </c>
      <c r="Y8" s="143">
        <f t="shared" ref="Y8:AA16" si="10">X8/256</f>
        <v>0</v>
      </c>
      <c r="Z8" s="8">
        <v>0</v>
      </c>
      <c r="AA8" s="143">
        <f t="shared" ref="AA8:AA16" si="11">Z8/263</f>
        <v>0</v>
      </c>
    </row>
    <row r="9" spans="2:27" ht="17" thickBot="1">
      <c r="B9" s="118"/>
      <c r="C9" s="10" t="s">
        <v>22</v>
      </c>
      <c r="D9" s="8">
        <v>0</v>
      </c>
      <c r="E9" s="143">
        <f t="shared" si="0"/>
        <v>0</v>
      </c>
      <c r="F9" s="8">
        <v>0</v>
      </c>
      <c r="G9" s="143">
        <f t="shared" si="1"/>
        <v>0</v>
      </c>
      <c r="H9" s="8">
        <v>0</v>
      </c>
      <c r="I9" s="143">
        <f t="shared" si="2"/>
        <v>0</v>
      </c>
      <c r="J9" s="8">
        <v>0</v>
      </c>
      <c r="K9" s="143">
        <f t="shared" si="3"/>
        <v>0</v>
      </c>
      <c r="L9" s="8">
        <v>0</v>
      </c>
      <c r="M9" s="143">
        <f t="shared" si="4"/>
        <v>0</v>
      </c>
      <c r="N9" s="8">
        <v>0</v>
      </c>
      <c r="O9" s="143">
        <f t="shared" si="5"/>
        <v>0</v>
      </c>
      <c r="P9" s="8">
        <v>0</v>
      </c>
      <c r="Q9" s="143">
        <f t="shared" si="6"/>
        <v>0</v>
      </c>
      <c r="R9" s="8">
        <v>0</v>
      </c>
      <c r="S9" s="143">
        <f t="shared" si="7"/>
        <v>0</v>
      </c>
      <c r="T9" s="8">
        <v>0</v>
      </c>
      <c r="U9" s="143">
        <f t="shared" si="8"/>
        <v>0</v>
      </c>
      <c r="V9" s="8">
        <v>0</v>
      </c>
      <c r="W9" s="143">
        <f t="shared" si="9"/>
        <v>0</v>
      </c>
      <c r="X9" s="8">
        <v>0</v>
      </c>
      <c r="Y9" s="143">
        <f t="shared" si="10"/>
        <v>0</v>
      </c>
      <c r="Z9" s="8">
        <v>0</v>
      </c>
      <c r="AA9" s="143">
        <f t="shared" si="11"/>
        <v>0</v>
      </c>
    </row>
    <row r="10" spans="2:27" ht="17" thickBot="1">
      <c r="B10" s="118"/>
      <c r="C10" s="101" t="s">
        <v>21</v>
      </c>
      <c r="D10" s="8">
        <v>0</v>
      </c>
      <c r="E10" s="143">
        <f t="shared" si="0"/>
        <v>0</v>
      </c>
      <c r="F10" s="8">
        <v>0</v>
      </c>
      <c r="G10" s="143">
        <f t="shared" si="1"/>
        <v>0</v>
      </c>
      <c r="H10" s="8">
        <v>0</v>
      </c>
      <c r="I10" s="143">
        <f t="shared" si="2"/>
        <v>0</v>
      </c>
      <c r="J10" s="8">
        <v>0</v>
      </c>
      <c r="K10" s="143">
        <f t="shared" si="3"/>
        <v>0</v>
      </c>
      <c r="L10" s="8">
        <v>0</v>
      </c>
      <c r="M10" s="143">
        <f t="shared" si="4"/>
        <v>0</v>
      </c>
      <c r="N10" s="8">
        <v>0</v>
      </c>
      <c r="O10" s="143">
        <f t="shared" si="5"/>
        <v>0</v>
      </c>
      <c r="P10" s="8">
        <v>0</v>
      </c>
      <c r="Q10" s="143">
        <f t="shared" si="6"/>
        <v>0</v>
      </c>
      <c r="R10" s="8">
        <v>0</v>
      </c>
      <c r="S10" s="143">
        <f t="shared" si="7"/>
        <v>0</v>
      </c>
      <c r="T10" s="8">
        <v>0</v>
      </c>
      <c r="U10" s="143">
        <f t="shared" si="8"/>
        <v>0</v>
      </c>
      <c r="V10" s="8">
        <v>0</v>
      </c>
      <c r="W10" s="143">
        <f t="shared" si="9"/>
        <v>0</v>
      </c>
      <c r="X10" s="8">
        <v>0</v>
      </c>
      <c r="Y10" s="143">
        <f t="shared" si="10"/>
        <v>0</v>
      </c>
      <c r="Z10" s="8">
        <v>0</v>
      </c>
      <c r="AA10" s="143">
        <f t="shared" si="11"/>
        <v>0</v>
      </c>
    </row>
    <row r="11" spans="2:27" ht="17" thickBot="1">
      <c r="B11" s="118"/>
      <c r="C11" s="101" t="s">
        <v>23</v>
      </c>
      <c r="D11" s="8">
        <v>1</v>
      </c>
      <c r="E11" s="143">
        <f t="shared" si="0"/>
        <v>3.5714285714285712E-2</v>
      </c>
      <c r="F11" s="8">
        <v>1</v>
      </c>
      <c r="G11" s="143">
        <f t="shared" si="1"/>
        <v>1.8518518518518517E-2</v>
      </c>
      <c r="H11" s="8">
        <v>1</v>
      </c>
      <c r="I11" s="143">
        <f t="shared" si="2"/>
        <v>1.2345679012345678E-2</v>
      </c>
      <c r="J11" s="8">
        <v>1</v>
      </c>
      <c r="K11" s="143">
        <f t="shared" si="3"/>
        <v>8.3333333333333332E-3</v>
      </c>
      <c r="L11" s="8">
        <v>1</v>
      </c>
      <c r="M11" s="143">
        <f t="shared" si="4"/>
        <v>6.1728395061728392E-3</v>
      </c>
      <c r="N11" s="8">
        <v>1</v>
      </c>
      <c r="O11" s="143">
        <f t="shared" si="5"/>
        <v>5.3763440860215058E-3</v>
      </c>
      <c r="P11" s="8">
        <v>1</v>
      </c>
      <c r="Q11" s="143">
        <f t="shared" si="6"/>
        <v>4.608294930875576E-3</v>
      </c>
      <c r="R11" s="8">
        <v>2</v>
      </c>
      <c r="S11" s="143">
        <f t="shared" si="7"/>
        <v>8.4745762711864406E-3</v>
      </c>
      <c r="T11" s="8">
        <v>2</v>
      </c>
      <c r="U11" s="143">
        <f t="shared" si="8"/>
        <v>8.23045267489712E-3</v>
      </c>
      <c r="V11" s="8">
        <v>2</v>
      </c>
      <c r="W11" s="143">
        <f t="shared" si="9"/>
        <v>7.9365079365079361E-3</v>
      </c>
      <c r="X11" s="8">
        <v>2</v>
      </c>
      <c r="Y11" s="143">
        <f t="shared" si="10"/>
        <v>7.8125E-3</v>
      </c>
      <c r="Z11" s="8">
        <v>2</v>
      </c>
      <c r="AA11" s="143">
        <f t="shared" si="11"/>
        <v>7.6045627376425855E-3</v>
      </c>
    </row>
    <row r="12" spans="2:27" ht="17" thickBot="1">
      <c r="B12" s="118"/>
      <c r="C12" s="101" t="s">
        <v>24</v>
      </c>
      <c r="D12" s="8">
        <v>1</v>
      </c>
      <c r="E12" s="143">
        <f t="shared" si="0"/>
        <v>3.5714285714285712E-2</v>
      </c>
      <c r="F12" s="8">
        <v>1</v>
      </c>
      <c r="G12" s="143">
        <f t="shared" si="1"/>
        <v>1.8518518518518517E-2</v>
      </c>
      <c r="H12" s="8">
        <v>1</v>
      </c>
      <c r="I12" s="143">
        <f t="shared" si="2"/>
        <v>1.2345679012345678E-2</v>
      </c>
      <c r="J12" s="8">
        <v>1</v>
      </c>
      <c r="K12" s="143">
        <f t="shared" si="3"/>
        <v>8.3333333333333332E-3</v>
      </c>
      <c r="L12" s="8">
        <v>1</v>
      </c>
      <c r="M12" s="143">
        <f t="shared" si="4"/>
        <v>6.1728395061728392E-3</v>
      </c>
      <c r="N12" s="8">
        <v>2</v>
      </c>
      <c r="O12" s="143">
        <f t="shared" si="5"/>
        <v>1.0752688172043012E-2</v>
      </c>
      <c r="P12" s="8">
        <v>3</v>
      </c>
      <c r="Q12" s="143">
        <f t="shared" si="6"/>
        <v>1.3824884792626729E-2</v>
      </c>
      <c r="R12" s="8">
        <v>3</v>
      </c>
      <c r="S12" s="143">
        <f t="shared" si="7"/>
        <v>1.2711864406779662E-2</v>
      </c>
      <c r="T12" s="8">
        <v>3</v>
      </c>
      <c r="U12" s="143">
        <f t="shared" si="8"/>
        <v>1.2345679012345678E-2</v>
      </c>
      <c r="V12" s="8">
        <v>3</v>
      </c>
      <c r="W12" s="143">
        <f t="shared" si="9"/>
        <v>1.1904761904761904E-2</v>
      </c>
      <c r="X12" s="8">
        <v>3</v>
      </c>
      <c r="Y12" s="143">
        <f t="shared" si="10"/>
        <v>1.171875E-2</v>
      </c>
      <c r="Z12" s="8">
        <v>3</v>
      </c>
      <c r="AA12" s="143">
        <f t="shared" si="11"/>
        <v>1.1406844106463879E-2</v>
      </c>
    </row>
    <row r="13" spans="2:27" ht="17" thickBot="1">
      <c r="B13" s="118"/>
      <c r="C13" s="101" t="s">
        <v>25</v>
      </c>
      <c r="D13" s="8">
        <v>5</v>
      </c>
      <c r="E13" s="143">
        <f t="shared" si="0"/>
        <v>0.17857142857142858</v>
      </c>
      <c r="F13" s="8">
        <v>5</v>
      </c>
      <c r="G13" s="143">
        <f t="shared" si="1"/>
        <v>9.2592592592592587E-2</v>
      </c>
      <c r="H13" s="8">
        <v>6</v>
      </c>
      <c r="I13" s="143">
        <f t="shared" si="2"/>
        <v>7.407407407407407E-2</v>
      </c>
      <c r="J13" s="8">
        <v>8</v>
      </c>
      <c r="K13" s="143">
        <f t="shared" si="3"/>
        <v>6.6666666666666666E-2</v>
      </c>
      <c r="L13" s="8">
        <v>10</v>
      </c>
      <c r="M13" s="143">
        <f t="shared" si="4"/>
        <v>6.1728395061728392E-2</v>
      </c>
      <c r="N13" s="8">
        <v>13</v>
      </c>
      <c r="O13" s="143">
        <f t="shared" si="5"/>
        <v>6.9892473118279563E-2</v>
      </c>
      <c r="P13" s="8">
        <v>14</v>
      </c>
      <c r="Q13" s="143">
        <f t="shared" si="6"/>
        <v>6.4516129032258063E-2</v>
      </c>
      <c r="R13" s="8">
        <v>15</v>
      </c>
      <c r="S13" s="143">
        <f t="shared" si="7"/>
        <v>6.3559322033898302E-2</v>
      </c>
      <c r="T13" s="8">
        <v>15</v>
      </c>
      <c r="U13" s="143">
        <f t="shared" si="8"/>
        <v>6.1728395061728392E-2</v>
      </c>
      <c r="V13" s="8">
        <v>15</v>
      </c>
      <c r="W13" s="143">
        <f t="shared" si="9"/>
        <v>5.9523809523809521E-2</v>
      </c>
      <c r="X13" s="8">
        <v>15</v>
      </c>
      <c r="Y13" s="143">
        <f t="shared" si="10"/>
        <v>5.859375E-2</v>
      </c>
      <c r="Z13" s="8">
        <v>15</v>
      </c>
      <c r="AA13" s="143">
        <f t="shared" si="11"/>
        <v>5.7034220532319393E-2</v>
      </c>
    </row>
    <row r="14" spans="2:27" ht="17" thickBot="1">
      <c r="B14" s="118"/>
      <c r="C14" s="101" t="s">
        <v>26</v>
      </c>
      <c r="D14" s="8">
        <v>7</v>
      </c>
      <c r="E14" s="143">
        <f t="shared" si="0"/>
        <v>0.25</v>
      </c>
      <c r="F14" s="8">
        <v>13</v>
      </c>
      <c r="G14" s="143">
        <f t="shared" si="1"/>
        <v>0.24074074074074073</v>
      </c>
      <c r="H14" s="8">
        <v>16</v>
      </c>
      <c r="I14" s="143">
        <f t="shared" si="2"/>
        <v>0.19753086419753085</v>
      </c>
      <c r="J14" s="8">
        <v>20</v>
      </c>
      <c r="K14" s="143">
        <f t="shared" si="3"/>
        <v>0.16666666666666666</v>
      </c>
      <c r="L14" s="8">
        <v>22</v>
      </c>
      <c r="M14" s="143">
        <f t="shared" si="4"/>
        <v>0.13580246913580246</v>
      </c>
      <c r="N14" s="8">
        <v>26</v>
      </c>
      <c r="O14" s="143">
        <f t="shared" si="5"/>
        <v>0.13978494623655913</v>
      </c>
      <c r="P14" s="8">
        <v>32</v>
      </c>
      <c r="Q14" s="143">
        <f t="shared" si="6"/>
        <v>0.14746543778801843</v>
      </c>
      <c r="R14" s="8">
        <v>34</v>
      </c>
      <c r="S14" s="143">
        <f t="shared" si="7"/>
        <v>0.1440677966101695</v>
      </c>
      <c r="T14" s="8">
        <v>35</v>
      </c>
      <c r="U14" s="143">
        <f t="shared" si="8"/>
        <v>0.1440329218106996</v>
      </c>
      <c r="V14" s="8">
        <v>36</v>
      </c>
      <c r="W14" s="143">
        <f t="shared" si="9"/>
        <v>0.14285714285714285</v>
      </c>
      <c r="X14" s="8">
        <v>37</v>
      </c>
      <c r="Y14" s="143">
        <f t="shared" si="10"/>
        <v>0.14453125</v>
      </c>
      <c r="Z14" s="8">
        <v>38</v>
      </c>
      <c r="AA14" s="143">
        <f t="shared" si="11"/>
        <v>0.14448669201520911</v>
      </c>
    </row>
    <row r="15" spans="2:27" ht="17" thickBot="1">
      <c r="B15" s="118"/>
      <c r="C15" s="101" t="s">
        <v>27</v>
      </c>
      <c r="D15" s="8">
        <v>9</v>
      </c>
      <c r="E15" s="143">
        <f t="shared" si="0"/>
        <v>0.32142857142857145</v>
      </c>
      <c r="F15" s="8">
        <v>19</v>
      </c>
      <c r="G15" s="143">
        <f t="shared" si="1"/>
        <v>0.35185185185185186</v>
      </c>
      <c r="H15" s="8">
        <v>29</v>
      </c>
      <c r="I15" s="143">
        <f t="shared" si="2"/>
        <v>0.35802469135802467</v>
      </c>
      <c r="J15" s="8">
        <v>29</v>
      </c>
      <c r="K15" s="143">
        <f t="shared" si="3"/>
        <v>0.24166666666666667</v>
      </c>
      <c r="L15" s="8">
        <v>46</v>
      </c>
      <c r="M15" s="143">
        <f t="shared" si="4"/>
        <v>0.2839506172839506</v>
      </c>
      <c r="N15" s="8">
        <v>52</v>
      </c>
      <c r="O15" s="143">
        <f t="shared" si="5"/>
        <v>0.27956989247311825</v>
      </c>
      <c r="P15" s="8">
        <v>64</v>
      </c>
      <c r="Q15" s="143">
        <f t="shared" si="6"/>
        <v>0.29493087557603687</v>
      </c>
      <c r="R15" s="8">
        <v>69</v>
      </c>
      <c r="S15" s="143">
        <f t="shared" si="7"/>
        <v>0.2923728813559322</v>
      </c>
      <c r="T15" s="8">
        <v>72</v>
      </c>
      <c r="U15" s="143">
        <f t="shared" si="8"/>
        <v>0.29629629629629628</v>
      </c>
      <c r="V15" s="8">
        <v>76</v>
      </c>
      <c r="W15" s="143">
        <f t="shared" si="9"/>
        <v>0.30158730158730157</v>
      </c>
      <c r="X15" s="8">
        <v>77</v>
      </c>
      <c r="Y15" s="143">
        <f t="shared" si="10"/>
        <v>0.30078125</v>
      </c>
      <c r="Z15" s="8">
        <v>78</v>
      </c>
      <c r="AA15" s="143">
        <f t="shared" si="11"/>
        <v>0.29657794676806082</v>
      </c>
    </row>
    <row r="16" spans="2:27" ht="17" thickBot="1">
      <c r="B16" s="119"/>
      <c r="C16" s="101" t="s">
        <v>2</v>
      </c>
      <c r="D16" s="8">
        <v>5</v>
      </c>
      <c r="E16" s="143">
        <f t="shared" si="0"/>
        <v>0.17857142857142858</v>
      </c>
      <c r="F16" s="8">
        <v>15</v>
      </c>
      <c r="G16" s="143">
        <f t="shared" si="1"/>
        <v>0.27777777777777779</v>
      </c>
      <c r="H16" s="8">
        <v>28</v>
      </c>
      <c r="I16" s="143">
        <f t="shared" si="2"/>
        <v>0.34567901234567899</v>
      </c>
      <c r="J16" s="8">
        <v>52</v>
      </c>
      <c r="K16" s="143">
        <f t="shared" si="3"/>
        <v>0.43333333333333335</v>
      </c>
      <c r="L16" s="8">
        <v>82</v>
      </c>
      <c r="M16" s="143">
        <f t="shared" si="4"/>
        <v>0.50617283950617287</v>
      </c>
      <c r="N16" s="8">
        <v>92</v>
      </c>
      <c r="O16" s="143">
        <f t="shared" si="5"/>
        <v>0.4946236559139785</v>
      </c>
      <c r="P16" s="8">
        <v>103</v>
      </c>
      <c r="Q16" s="143">
        <f t="shared" si="6"/>
        <v>0.47465437788018433</v>
      </c>
      <c r="R16" s="8">
        <v>113</v>
      </c>
      <c r="S16" s="143">
        <f>R16/236</f>
        <v>0.4788135593220339</v>
      </c>
      <c r="T16" s="8">
        <v>116</v>
      </c>
      <c r="U16" s="143">
        <f t="shared" si="8"/>
        <v>0.47736625514403291</v>
      </c>
      <c r="V16" s="8">
        <v>120</v>
      </c>
      <c r="W16" s="143">
        <f t="shared" si="9"/>
        <v>0.47619047619047616</v>
      </c>
      <c r="X16" s="8">
        <v>122</v>
      </c>
      <c r="Y16" s="143">
        <f t="shared" si="10"/>
        <v>0.4765625</v>
      </c>
      <c r="Z16" s="8">
        <v>127</v>
      </c>
      <c r="AA16" s="143">
        <f t="shared" si="11"/>
        <v>0.4828897338403042</v>
      </c>
    </row>
    <row r="17" spans="2:2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</row>
    <row r="18" spans="2:27"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</row>
    <row r="19" spans="2:27"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</row>
    <row r="20" spans="2:27" ht="24" thickBot="1">
      <c r="B20" s="102"/>
      <c r="C20" s="13"/>
      <c r="D20" s="120" t="s">
        <v>36</v>
      </c>
      <c r="E20" s="120"/>
      <c r="F20" s="120" t="s">
        <v>31</v>
      </c>
      <c r="G20" s="120"/>
      <c r="H20" s="120" t="s">
        <v>38</v>
      </c>
      <c r="I20" s="120"/>
      <c r="J20" s="120" t="s">
        <v>57</v>
      </c>
      <c r="K20" s="120"/>
      <c r="L20" s="120" t="s">
        <v>98</v>
      </c>
      <c r="M20" s="120"/>
      <c r="N20" s="120" t="s">
        <v>123</v>
      </c>
      <c r="O20" s="120"/>
      <c r="P20" s="120" t="s">
        <v>124</v>
      </c>
      <c r="Q20" s="120"/>
      <c r="R20" s="120">
        <v>43969</v>
      </c>
      <c r="S20" s="120"/>
      <c r="T20" s="102"/>
      <c r="U20" s="102"/>
      <c r="V20" s="102"/>
      <c r="W20" s="102"/>
      <c r="X20" s="102"/>
      <c r="Y20" s="102"/>
      <c r="Z20" s="102"/>
      <c r="AA20" s="102"/>
    </row>
    <row r="21" spans="2:27" ht="44" thickBot="1">
      <c r="B21" s="102"/>
      <c r="C21" s="102"/>
      <c r="D21" s="9" t="s">
        <v>30</v>
      </c>
      <c r="E21" s="9" t="s">
        <v>10</v>
      </c>
      <c r="F21" s="9" t="s">
        <v>30</v>
      </c>
      <c r="G21" s="9" t="s">
        <v>10</v>
      </c>
      <c r="H21" s="9" t="s">
        <v>30</v>
      </c>
      <c r="I21" s="9" t="s">
        <v>10</v>
      </c>
      <c r="J21" s="9" t="s">
        <v>30</v>
      </c>
      <c r="K21" s="9" t="s">
        <v>10</v>
      </c>
      <c r="L21" s="9" t="s">
        <v>30</v>
      </c>
      <c r="M21" s="9" t="s">
        <v>10</v>
      </c>
      <c r="N21" s="9" t="s">
        <v>30</v>
      </c>
      <c r="O21" s="9" t="s">
        <v>10</v>
      </c>
      <c r="P21" s="9" t="s">
        <v>30</v>
      </c>
      <c r="Q21" s="9" t="s">
        <v>10</v>
      </c>
      <c r="R21" s="9" t="s">
        <v>30</v>
      </c>
      <c r="S21" s="9" t="s">
        <v>10</v>
      </c>
      <c r="T21" s="102"/>
      <c r="U21" s="102"/>
      <c r="V21" s="102"/>
      <c r="W21" s="102"/>
      <c r="X21" s="102"/>
      <c r="Y21" s="102"/>
      <c r="Z21" s="102"/>
      <c r="AA21" s="102"/>
    </row>
    <row r="22" spans="2:27" ht="17" thickBot="1">
      <c r="B22" s="117" t="s">
        <v>1</v>
      </c>
      <c r="C22" s="101" t="s">
        <v>39</v>
      </c>
      <c r="D22" s="8">
        <v>10062</v>
      </c>
      <c r="E22" s="8">
        <v>174</v>
      </c>
      <c r="F22" s="8">
        <v>10156</v>
      </c>
      <c r="G22" s="8">
        <v>177</v>
      </c>
      <c r="H22" s="8">
        <v>10237</v>
      </c>
      <c r="I22" s="8">
        <v>183</v>
      </c>
      <c r="J22" s="8">
        <v>10284</v>
      </c>
      <c r="K22" s="8">
        <v>186</v>
      </c>
      <c r="L22" s="8">
        <v>10331</v>
      </c>
      <c r="M22" s="8">
        <v>192</v>
      </c>
      <c r="N22" s="8">
        <v>10384</v>
      </c>
      <c r="O22" s="8">
        <v>200</v>
      </c>
      <c r="P22" s="8">
        <v>10423</v>
      </c>
      <c r="Q22" s="8">
        <v>204</v>
      </c>
      <c r="R22" s="8">
        <v>11078</v>
      </c>
      <c r="S22" s="8">
        <v>263</v>
      </c>
      <c r="T22" s="102"/>
      <c r="U22" s="102"/>
      <c r="V22" s="102"/>
      <c r="W22" s="102"/>
      <c r="X22" s="102"/>
      <c r="Y22" s="102"/>
      <c r="Z22" s="102"/>
      <c r="AA22" s="102"/>
    </row>
    <row r="23" spans="2:27" ht="17" thickBot="1">
      <c r="B23" s="118"/>
      <c r="C23" s="101" t="s">
        <v>20</v>
      </c>
      <c r="D23" s="8">
        <v>121</v>
      </c>
      <c r="E23" s="8">
        <v>0</v>
      </c>
      <c r="F23" s="8">
        <v>122</v>
      </c>
      <c r="G23" s="8">
        <v>0</v>
      </c>
      <c r="H23" s="8">
        <v>124</v>
      </c>
      <c r="I23" s="8">
        <v>0</v>
      </c>
      <c r="J23" s="8">
        <v>126</v>
      </c>
      <c r="K23" s="8">
        <v>0</v>
      </c>
      <c r="L23" s="8">
        <v>126</v>
      </c>
      <c r="M23" s="8">
        <v>0</v>
      </c>
      <c r="N23" s="8">
        <v>126</v>
      </c>
      <c r="O23" s="8">
        <v>0</v>
      </c>
      <c r="P23" s="8">
        <v>128</v>
      </c>
      <c r="Q23" s="8">
        <v>0</v>
      </c>
      <c r="R23" s="8">
        <v>148</v>
      </c>
      <c r="S23" s="8">
        <v>0</v>
      </c>
      <c r="T23" s="102"/>
      <c r="U23" s="102"/>
      <c r="V23" s="102"/>
      <c r="W23" s="102"/>
      <c r="X23" s="102"/>
      <c r="Y23" s="102"/>
      <c r="Z23" s="102"/>
      <c r="AA23" s="102"/>
    </row>
    <row r="24" spans="2:27" ht="17" thickBot="1">
      <c r="B24" s="118"/>
      <c r="C24" s="10" t="s">
        <v>22</v>
      </c>
      <c r="D24" s="8">
        <v>528</v>
      </c>
      <c r="E24" s="8">
        <v>0</v>
      </c>
      <c r="F24" s="8">
        <v>530</v>
      </c>
      <c r="G24" s="8">
        <v>0</v>
      </c>
      <c r="H24" s="8">
        <v>535</v>
      </c>
      <c r="I24" s="8">
        <v>0</v>
      </c>
      <c r="J24" s="24" t="s">
        <v>74</v>
      </c>
      <c r="K24" s="8">
        <v>0</v>
      </c>
      <c r="L24" s="8">
        <v>544</v>
      </c>
      <c r="M24" s="8">
        <v>0</v>
      </c>
      <c r="N24" s="8">
        <v>548</v>
      </c>
      <c r="O24" s="8">
        <v>0</v>
      </c>
      <c r="P24" s="8">
        <v>552</v>
      </c>
      <c r="Q24" s="8">
        <v>0</v>
      </c>
      <c r="R24" s="8">
        <v>621</v>
      </c>
      <c r="S24" s="8">
        <v>0</v>
      </c>
      <c r="T24" s="102"/>
      <c r="U24" s="102"/>
      <c r="V24" s="102"/>
      <c r="W24" s="102"/>
      <c r="X24" s="102"/>
      <c r="Y24" s="102"/>
      <c r="Z24" s="102"/>
      <c r="AA24" s="102"/>
    </row>
    <row r="25" spans="2:27" ht="17" thickBot="1">
      <c r="B25" s="118"/>
      <c r="C25" s="101" t="s">
        <v>21</v>
      </c>
      <c r="D25" s="8">
        <v>2743</v>
      </c>
      <c r="E25" s="8">
        <v>0</v>
      </c>
      <c r="F25" s="8">
        <v>2761</v>
      </c>
      <c r="G25" s="8">
        <v>0</v>
      </c>
      <c r="H25" s="8">
        <v>2789</v>
      </c>
      <c r="I25" s="8">
        <v>0</v>
      </c>
      <c r="J25" s="8">
        <v>2804</v>
      </c>
      <c r="K25" s="8">
        <v>0</v>
      </c>
      <c r="L25" s="8">
        <v>2819</v>
      </c>
      <c r="M25" s="8">
        <v>0</v>
      </c>
      <c r="N25" s="8">
        <v>2832</v>
      </c>
      <c r="O25" s="8">
        <v>0</v>
      </c>
      <c r="P25" s="8">
        <v>2844</v>
      </c>
      <c r="Q25" s="8">
        <v>0</v>
      </c>
      <c r="R25" s="8">
        <v>3087</v>
      </c>
      <c r="S25" s="8">
        <v>0</v>
      </c>
      <c r="T25" s="102"/>
      <c r="U25" s="102"/>
      <c r="V25" s="102"/>
      <c r="W25" s="102"/>
      <c r="X25" s="102"/>
      <c r="Y25" s="102"/>
      <c r="Z25" s="102"/>
      <c r="AA25" s="102"/>
    </row>
    <row r="26" spans="2:27" ht="17" thickBot="1">
      <c r="B26" s="118"/>
      <c r="C26" s="101" t="s">
        <v>23</v>
      </c>
      <c r="D26" s="8">
        <v>1052</v>
      </c>
      <c r="E26" s="8">
        <v>1</v>
      </c>
      <c r="F26" s="8">
        <v>1066</v>
      </c>
      <c r="G26" s="8">
        <v>1</v>
      </c>
      <c r="H26" s="8">
        <v>1083</v>
      </c>
      <c r="I26" s="8">
        <v>1</v>
      </c>
      <c r="J26" s="8">
        <v>1086</v>
      </c>
      <c r="K26" s="8">
        <v>1</v>
      </c>
      <c r="L26" s="8">
        <v>1092</v>
      </c>
      <c r="M26" s="8">
        <v>1</v>
      </c>
      <c r="N26" s="8">
        <v>1102</v>
      </c>
      <c r="O26" s="8">
        <v>1</v>
      </c>
      <c r="P26" s="8">
        <v>1109</v>
      </c>
      <c r="Q26" s="8">
        <v>1</v>
      </c>
      <c r="R26" s="8">
        <v>1215</v>
      </c>
      <c r="S26" s="8">
        <v>2</v>
      </c>
      <c r="T26" s="102"/>
      <c r="U26" s="102"/>
      <c r="V26" s="102"/>
      <c r="W26" s="102"/>
      <c r="X26" s="102"/>
      <c r="Y26" s="102"/>
      <c r="Z26" s="102"/>
      <c r="AA26" s="102"/>
    </row>
    <row r="27" spans="2:27" ht="17" thickBot="1">
      <c r="B27" s="118"/>
      <c r="C27" s="101" t="s">
        <v>24</v>
      </c>
      <c r="D27" s="8">
        <v>1350</v>
      </c>
      <c r="E27" s="8">
        <v>2</v>
      </c>
      <c r="F27" s="8">
        <v>1358</v>
      </c>
      <c r="G27" s="8">
        <v>2</v>
      </c>
      <c r="H27" s="8">
        <v>1370</v>
      </c>
      <c r="I27" s="8">
        <v>2</v>
      </c>
      <c r="J27" s="8">
        <v>1375</v>
      </c>
      <c r="K27" s="8">
        <v>2</v>
      </c>
      <c r="L27" s="8">
        <v>1382</v>
      </c>
      <c r="M27" s="8">
        <v>2</v>
      </c>
      <c r="N27" s="8">
        <v>1387</v>
      </c>
      <c r="O27" s="8">
        <v>3</v>
      </c>
      <c r="P27" s="8">
        <v>1394</v>
      </c>
      <c r="Q27" s="8">
        <v>3</v>
      </c>
      <c r="R27" s="8">
        <v>1462</v>
      </c>
      <c r="S27" s="8">
        <v>3</v>
      </c>
      <c r="T27" s="102"/>
      <c r="U27" s="102"/>
      <c r="V27" s="102"/>
      <c r="W27" s="102"/>
      <c r="X27" s="102"/>
      <c r="Y27" s="102"/>
      <c r="Z27" s="102"/>
      <c r="AA27" s="102"/>
    </row>
    <row r="28" spans="2:27" ht="17" thickBot="1">
      <c r="B28" s="118"/>
      <c r="C28" s="101" t="s">
        <v>25</v>
      </c>
      <c r="D28" s="8">
        <v>1887</v>
      </c>
      <c r="E28" s="8">
        <v>12</v>
      </c>
      <c r="F28" s="8">
        <v>1898</v>
      </c>
      <c r="G28" s="8">
        <v>12</v>
      </c>
      <c r="H28" s="8">
        <v>1904</v>
      </c>
      <c r="I28" s="8">
        <v>13</v>
      </c>
      <c r="J28" s="8">
        <v>1906</v>
      </c>
      <c r="K28" s="8">
        <v>13</v>
      </c>
      <c r="L28" s="8">
        <v>1909</v>
      </c>
      <c r="M28" s="8">
        <v>13</v>
      </c>
      <c r="N28" s="8">
        <v>1915</v>
      </c>
      <c r="O28" s="8">
        <v>13</v>
      </c>
      <c r="P28" s="8">
        <v>1917</v>
      </c>
      <c r="Q28" s="8">
        <v>13</v>
      </c>
      <c r="R28" s="8">
        <v>1971</v>
      </c>
      <c r="S28" s="8">
        <v>15</v>
      </c>
      <c r="T28" s="102"/>
      <c r="U28" s="102"/>
      <c r="V28" s="102"/>
      <c r="W28" s="102"/>
      <c r="X28" s="102"/>
      <c r="Y28" s="102"/>
      <c r="Z28" s="102"/>
      <c r="AA28" s="102"/>
    </row>
    <row r="29" spans="2:27" ht="17" thickBot="1">
      <c r="B29" s="118"/>
      <c r="C29" s="101" t="s">
        <v>26</v>
      </c>
      <c r="D29" s="8">
        <v>1266</v>
      </c>
      <c r="E29" s="8">
        <v>24</v>
      </c>
      <c r="F29" s="8">
        <v>1282</v>
      </c>
      <c r="G29" s="8">
        <v>25</v>
      </c>
      <c r="H29" s="8">
        <v>1289</v>
      </c>
      <c r="I29" s="8">
        <v>25</v>
      </c>
      <c r="J29" s="8">
        <v>1294</v>
      </c>
      <c r="K29" s="8">
        <v>26</v>
      </c>
      <c r="L29" s="8">
        <v>1304</v>
      </c>
      <c r="M29" s="8">
        <v>26</v>
      </c>
      <c r="N29" s="8">
        <v>1312</v>
      </c>
      <c r="O29" s="8">
        <v>27</v>
      </c>
      <c r="P29" s="8">
        <v>1314</v>
      </c>
      <c r="Q29" s="8">
        <v>27</v>
      </c>
      <c r="R29" s="8">
        <v>1368</v>
      </c>
      <c r="S29" s="8">
        <v>38</v>
      </c>
      <c r="T29" s="102"/>
      <c r="U29" s="102"/>
      <c r="V29" s="102"/>
      <c r="W29" s="102"/>
      <c r="X29" s="102"/>
      <c r="Y29" s="102"/>
      <c r="Z29" s="102"/>
      <c r="AA29" s="102"/>
    </row>
    <row r="30" spans="2:27" ht="17" thickBot="1">
      <c r="B30" s="118"/>
      <c r="C30" s="101" t="s">
        <v>27</v>
      </c>
      <c r="D30" s="8">
        <v>668</v>
      </c>
      <c r="E30" s="8">
        <v>49</v>
      </c>
      <c r="F30" s="8">
        <v>678</v>
      </c>
      <c r="G30" s="8">
        <v>50</v>
      </c>
      <c r="H30" s="8">
        <v>681</v>
      </c>
      <c r="I30" s="8">
        <v>51</v>
      </c>
      <c r="J30" s="8">
        <v>686</v>
      </c>
      <c r="K30" s="8">
        <v>52</v>
      </c>
      <c r="L30" s="8">
        <v>689</v>
      </c>
      <c r="M30" s="8">
        <v>57</v>
      </c>
      <c r="N30" s="8">
        <v>692</v>
      </c>
      <c r="O30" s="8">
        <v>60</v>
      </c>
      <c r="P30" s="8">
        <v>692</v>
      </c>
      <c r="Q30" s="8">
        <v>60</v>
      </c>
      <c r="R30" s="8">
        <v>716</v>
      </c>
      <c r="S30" s="8">
        <v>78</v>
      </c>
      <c r="T30" s="102"/>
      <c r="U30" s="102"/>
      <c r="V30" s="102"/>
      <c r="W30" s="102"/>
      <c r="X30" s="102"/>
      <c r="Y30" s="102"/>
      <c r="Z30" s="102"/>
      <c r="AA30" s="102"/>
    </row>
    <row r="31" spans="2:27" ht="17" thickBot="1">
      <c r="B31" s="119"/>
      <c r="C31" s="101" t="s">
        <v>2</v>
      </c>
      <c r="D31" s="8">
        <v>456</v>
      </c>
      <c r="E31" s="8">
        <v>86</v>
      </c>
      <c r="F31" s="8">
        <v>461</v>
      </c>
      <c r="G31" s="8">
        <v>87</v>
      </c>
      <c r="H31" s="8">
        <v>462</v>
      </c>
      <c r="I31" s="8">
        <v>91</v>
      </c>
      <c r="J31" s="8">
        <v>465</v>
      </c>
      <c r="K31" s="8">
        <v>92</v>
      </c>
      <c r="L31" s="8">
        <v>466</v>
      </c>
      <c r="M31" s="8">
        <v>93</v>
      </c>
      <c r="N31" s="8">
        <v>470</v>
      </c>
      <c r="O31" s="8">
        <v>96</v>
      </c>
      <c r="P31" s="8">
        <v>473</v>
      </c>
      <c r="Q31" s="8">
        <v>100</v>
      </c>
      <c r="R31" s="8">
        <v>490</v>
      </c>
      <c r="S31" s="8">
        <v>127</v>
      </c>
    </row>
    <row r="32" spans="2:27" ht="17" thickBot="1">
      <c r="B32" s="129" t="s">
        <v>35</v>
      </c>
      <c r="C32" s="101" t="s">
        <v>7</v>
      </c>
      <c r="D32" s="8">
        <v>4013</v>
      </c>
      <c r="E32" s="8">
        <v>92</v>
      </c>
      <c r="F32" s="8">
        <v>4052</v>
      </c>
      <c r="G32" s="8">
        <v>94</v>
      </c>
      <c r="H32" s="8">
        <v>4098</v>
      </c>
      <c r="I32" s="8">
        <v>97</v>
      </c>
      <c r="J32" s="8">
        <v>4118</v>
      </c>
      <c r="K32" s="8">
        <v>98</v>
      </c>
      <c r="L32" s="8">
        <v>4138</v>
      </c>
      <c r="M32" s="8">
        <v>101</v>
      </c>
      <c r="N32" s="8">
        <v>4163</v>
      </c>
      <c r="O32" s="8">
        <v>106</v>
      </c>
      <c r="P32" s="8">
        <v>4185</v>
      </c>
      <c r="Q32" s="8">
        <v>107</v>
      </c>
      <c r="R32" s="8">
        <v>4569</v>
      </c>
      <c r="S32" s="8">
        <v>137</v>
      </c>
    </row>
    <row r="33" spans="2:19" ht="17" thickBot="1">
      <c r="B33" s="130"/>
      <c r="C33" s="101" t="s">
        <v>8</v>
      </c>
      <c r="D33" s="8">
        <v>6049</v>
      </c>
      <c r="E33" s="8">
        <v>82</v>
      </c>
      <c r="F33" s="8">
        <v>6104</v>
      </c>
      <c r="G33" s="8">
        <v>83</v>
      </c>
      <c r="H33" s="8">
        <v>6139</v>
      </c>
      <c r="I33" s="8">
        <v>86</v>
      </c>
      <c r="J33" s="8">
        <v>6166</v>
      </c>
      <c r="K33" s="8">
        <v>88</v>
      </c>
      <c r="L33" s="8">
        <v>6193</v>
      </c>
      <c r="M33" s="8">
        <v>91</v>
      </c>
      <c r="N33" s="8">
        <v>6221</v>
      </c>
      <c r="O33" s="8">
        <v>94</v>
      </c>
      <c r="P33" s="8">
        <v>6238</v>
      </c>
      <c r="Q33" s="8">
        <v>97</v>
      </c>
      <c r="R33" s="8">
        <v>6509</v>
      </c>
      <c r="S33" s="8">
        <v>126</v>
      </c>
    </row>
    <row r="36" spans="2:19" ht="62">
      <c r="B36" s="146" t="s">
        <v>167</v>
      </c>
      <c r="C36" s="102"/>
      <c r="D36" s="102"/>
      <c r="E36" s="102"/>
    </row>
    <row r="37" spans="2:19" ht="24" thickBot="1">
      <c r="B37" s="102"/>
      <c r="C37" s="102"/>
      <c r="D37" s="144" t="s">
        <v>165</v>
      </c>
      <c r="E37" s="120"/>
    </row>
    <row r="38" spans="2:19" ht="35" thickBot="1">
      <c r="B38" s="102"/>
      <c r="C38" s="102"/>
      <c r="D38" s="9" t="s">
        <v>10</v>
      </c>
      <c r="E38" s="9" t="s">
        <v>153</v>
      </c>
    </row>
    <row r="39" spans="2:19" ht="17" thickBot="1">
      <c r="B39" s="117" t="s">
        <v>1</v>
      </c>
      <c r="C39" s="101" t="s">
        <v>39</v>
      </c>
      <c r="D39" s="8">
        <v>1023</v>
      </c>
      <c r="E39" s="143">
        <v>1</v>
      </c>
    </row>
    <row r="40" spans="2:19" ht="17" thickBot="1">
      <c r="B40" s="118"/>
      <c r="C40" s="101" t="s">
        <v>20</v>
      </c>
      <c r="D40" s="8">
        <v>0</v>
      </c>
      <c r="E40" s="143">
        <f>D40/1023</f>
        <v>0</v>
      </c>
    </row>
    <row r="41" spans="2:19" ht="17" thickBot="1">
      <c r="B41" s="118"/>
      <c r="C41" s="10" t="s">
        <v>22</v>
      </c>
      <c r="D41" s="8">
        <v>1</v>
      </c>
      <c r="E41" s="143">
        <f t="shared" ref="E41:E48" si="12">D41/1023</f>
        <v>9.7751710654936461E-4</v>
      </c>
    </row>
    <row r="42" spans="2:19" ht="17" thickBot="1">
      <c r="B42" s="118"/>
      <c r="C42" s="101" t="s">
        <v>21</v>
      </c>
      <c r="D42" s="8">
        <v>7</v>
      </c>
      <c r="E42" s="143">
        <f t="shared" si="12"/>
        <v>6.8426197458455523E-3</v>
      </c>
    </row>
    <row r="43" spans="2:19" ht="17" thickBot="1">
      <c r="B43" s="118"/>
      <c r="C43" s="101" t="s">
        <v>23</v>
      </c>
      <c r="D43" s="8">
        <v>18</v>
      </c>
      <c r="E43" s="143">
        <f t="shared" si="12"/>
        <v>1.7595307917888565E-2</v>
      </c>
    </row>
    <row r="44" spans="2:19" ht="17" thickBot="1">
      <c r="B44" s="118"/>
      <c r="C44" s="101" t="s">
        <v>24</v>
      </c>
      <c r="D44" s="8">
        <v>38</v>
      </c>
      <c r="E44" s="143">
        <f t="shared" si="12"/>
        <v>3.7145650048875857E-2</v>
      </c>
    </row>
    <row r="45" spans="2:19" ht="17" thickBot="1">
      <c r="B45" s="118"/>
      <c r="C45" s="101" t="s">
        <v>25</v>
      </c>
      <c r="D45" s="8">
        <v>130</v>
      </c>
      <c r="E45" s="143">
        <f t="shared" si="12"/>
        <v>0.1270772238514174</v>
      </c>
    </row>
    <row r="46" spans="2:19" ht="17" thickBot="1">
      <c r="B46" s="118"/>
      <c r="C46" s="101" t="s">
        <v>26</v>
      </c>
      <c r="D46" s="8">
        <v>309</v>
      </c>
      <c r="E46" s="143">
        <f t="shared" si="12"/>
        <v>0.30205278592375367</v>
      </c>
    </row>
    <row r="47" spans="2:19" ht="17" thickBot="1">
      <c r="B47" s="118"/>
      <c r="C47" s="101" t="s">
        <v>27</v>
      </c>
      <c r="D47" s="8">
        <v>312</v>
      </c>
      <c r="E47" s="143">
        <f t="shared" si="12"/>
        <v>0.30498533724340177</v>
      </c>
    </row>
    <row r="48" spans="2:19" ht="17" thickBot="1">
      <c r="B48" s="119"/>
      <c r="C48" s="101" t="s">
        <v>2</v>
      </c>
      <c r="D48" s="8">
        <v>208</v>
      </c>
      <c r="E48" s="143">
        <f t="shared" si="12"/>
        <v>0.20332355816226785</v>
      </c>
    </row>
  </sheetData>
  <mergeCells count="25">
    <mergeCell ref="B22:B31"/>
    <mergeCell ref="B32:B33"/>
    <mergeCell ref="R20:S20"/>
    <mergeCell ref="D37:E37"/>
    <mergeCell ref="B39:B48"/>
    <mergeCell ref="C3:AA3"/>
    <mergeCell ref="D20:E20"/>
    <mergeCell ref="F20:G20"/>
    <mergeCell ref="H20:I20"/>
    <mergeCell ref="J20:K20"/>
    <mergeCell ref="L20:M20"/>
    <mergeCell ref="N20:O20"/>
    <mergeCell ref="P20:Q20"/>
    <mergeCell ref="P5:Q5"/>
    <mergeCell ref="R5:S5"/>
    <mergeCell ref="T5:U5"/>
    <mergeCell ref="V5:W5"/>
    <mergeCell ref="Z5:AA5"/>
    <mergeCell ref="B7:B16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0B2E-D480-A04E-B80D-12B36355844B}">
  <dimension ref="B1:N16"/>
  <sheetViews>
    <sheetView topLeftCell="E1" zoomScale="87" workbookViewId="0">
      <selection activeCell="O3" sqref="O3"/>
    </sheetView>
  </sheetViews>
  <sheetFormatPr baseColWidth="10" defaultRowHeight="16"/>
  <cols>
    <col min="5" max="5" width="11.1640625" bestFit="1" customWidth="1"/>
  </cols>
  <sheetData>
    <row r="1" spans="2:14" ht="17" thickBot="1">
      <c r="D1" s="2">
        <v>43927</v>
      </c>
      <c r="E1" s="2">
        <v>43928</v>
      </c>
      <c r="F1" s="2">
        <v>43929</v>
      </c>
      <c r="G1" s="2">
        <v>43930</v>
      </c>
      <c r="J1" s="2">
        <v>43969</v>
      </c>
    </row>
    <row r="2" spans="2:14" ht="40" thickBot="1">
      <c r="D2" s="9" t="s">
        <v>44</v>
      </c>
      <c r="E2" s="9" t="s">
        <v>44</v>
      </c>
      <c r="F2" s="9" t="s">
        <v>44</v>
      </c>
      <c r="G2" s="9" t="s">
        <v>44</v>
      </c>
      <c r="J2" s="104" t="s">
        <v>44</v>
      </c>
      <c r="K2" s="104" t="s">
        <v>0</v>
      </c>
    </row>
    <row r="3" spans="2:14" ht="17" thickBot="1">
      <c r="B3" s="121" t="s">
        <v>1</v>
      </c>
      <c r="C3" s="7" t="s">
        <v>39</v>
      </c>
      <c r="D3" s="8">
        <f>SUM(D4:D13)</f>
        <v>5755</v>
      </c>
      <c r="E3" s="8">
        <v>6083</v>
      </c>
      <c r="F3" s="8">
        <v>6046</v>
      </c>
      <c r="G3" s="8">
        <v>6218</v>
      </c>
      <c r="H3" s="14">
        <f>SUM(G4:G13)</f>
        <v>6160</v>
      </c>
      <c r="J3" s="23">
        <v>8249</v>
      </c>
      <c r="K3" s="23">
        <v>233</v>
      </c>
    </row>
    <row r="4" spans="2:14" ht="17" thickBot="1">
      <c r="B4" s="121"/>
      <c r="C4" s="7" t="s">
        <v>20</v>
      </c>
      <c r="D4" s="8">
        <v>61</v>
      </c>
      <c r="E4" s="8">
        <v>62</v>
      </c>
      <c r="F4" s="8">
        <v>62</v>
      </c>
      <c r="G4" s="8">
        <v>68</v>
      </c>
      <c r="H4">
        <f>G4/6160</f>
        <v>1.1038961038961039E-2</v>
      </c>
      <c r="J4" s="23">
        <v>144</v>
      </c>
      <c r="K4">
        <v>0</v>
      </c>
      <c r="L4">
        <f>J4/8249</f>
        <v>1.7456661413504666E-2</v>
      </c>
      <c r="M4">
        <f>K4/233</f>
        <v>0</v>
      </c>
    </row>
    <row r="5" spans="2:14" ht="17" thickBot="1">
      <c r="B5" s="121"/>
      <c r="C5" s="10" t="s">
        <v>22</v>
      </c>
      <c r="D5" s="8">
        <v>247</v>
      </c>
      <c r="E5" s="8">
        <v>250</v>
      </c>
      <c r="F5" s="8">
        <v>253</v>
      </c>
      <c r="G5" s="8">
        <v>257</v>
      </c>
      <c r="H5" s="49">
        <f t="shared" ref="H5:H11" si="0">G5/6160</f>
        <v>4.1720779220779221E-2</v>
      </c>
      <c r="J5" s="23">
        <v>451</v>
      </c>
      <c r="K5">
        <v>0</v>
      </c>
      <c r="L5" s="99">
        <f t="shared" ref="L5:L15" si="1">J5/8249</f>
        <v>5.4673293732573645E-2</v>
      </c>
      <c r="M5" s="99">
        <f t="shared" ref="M5:M15" si="2">K5/233</f>
        <v>0</v>
      </c>
    </row>
    <row r="6" spans="2:14" ht="17" thickBot="1">
      <c r="B6" s="121"/>
      <c r="C6" s="7" t="s">
        <v>21</v>
      </c>
      <c r="D6" s="8">
        <v>772</v>
      </c>
      <c r="E6" s="8">
        <v>795</v>
      </c>
      <c r="F6" s="8">
        <v>836</v>
      </c>
      <c r="G6" s="8">
        <v>871</v>
      </c>
      <c r="H6" s="49">
        <f t="shared" si="0"/>
        <v>0.14139610389610391</v>
      </c>
      <c r="J6" s="23">
        <v>1287</v>
      </c>
      <c r="K6">
        <v>0</v>
      </c>
      <c r="L6" s="99">
        <f t="shared" si="1"/>
        <v>0.15601891138319796</v>
      </c>
      <c r="M6" s="99">
        <f t="shared" si="2"/>
        <v>0</v>
      </c>
    </row>
    <row r="7" spans="2:14" ht="17" thickBot="1">
      <c r="B7" s="121"/>
      <c r="C7" s="7" t="s">
        <v>23</v>
      </c>
      <c r="D7" s="8">
        <v>933</v>
      </c>
      <c r="E7" s="8">
        <v>948</v>
      </c>
      <c r="F7" s="8">
        <v>964</v>
      </c>
      <c r="G7" s="8">
        <v>984</v>
      </c>
      <c r="H7" s="49">
        <f t="shared" si="0"/>
        <v>0.15974025974025974</v>
      </c>
      <c r="J7" s="23">
        <v>1378</v>
      </c>
      <c r="K7">
        <v>0</v>
      </c>
      <c r="L7" s="99">
        <f t="shared" si="1"/>
        <v>0.16705055158200993</v>
      </c>
      <c r="M7" s="99">
        <f t="shared" si="2"/>
        <v>0</v>
      </c>
    </row>
    <row r="8" spans="2:14" ht="17" thickBot="1">
      <c r="B8" s="121"/>
      <c r="C8" s="7" t="s">
        <v>24</v>
      </c>
      <c r="D8" s="8">
        <v>1087</v>
      </c>
      <c r="E8" s="8">
        <v>1109</v>
      </c>
      <c r="F8" s="8">
        <v>1134</v>
      </c>
      <c r="G8" s="8">
        <v>1156</v>
      </c>
      <c r="H8" s="49">
        <f t="shared" si="0"/>
        <v>0.18766233766233767</v>
      </c>
      <c r="J8" s="23">
        <v>1472</v>
      </c>
      <c r="K8">
        <v>4</v>
      </c>
      <c r="L8" s="99">
        <f t="shared" si="1"/>
        <v>0.17844587222693659</v>
      </c>
      <c r="M8" s="99">
        <f t="shared" si="2"/>
        <v>1.7167381974248927E-2</v>
      </c>
    </row>
    <row r="9" spans="2:14" ht="17" thickBot="1">
      <c r="B9" s="121"/>
      <c r="C9" s="7" t="s">
        <v>25</v>
      </c>
      <c r="D9" s="8">
        <v>1169</v>
      </c>
      <c r="E9" s="8">
        <v>1186</v>
      </c>
      <c r="F9" s="8">
        <v>1200</v>
      </c>
      <c r="G9" s="8">
        <v>1229</v>
      </c>
      <c r="H9" s="49">
        <f t="shared" si="0"/>
        <v>0.199512987012987</v>
      </c>
      <c r="J9" s="23">
        <v>1567</v>
      </c>
      <c r="K9">
        <v>6</v>
      </c>
      <c r="L9" s="99">
        <f t="shared" si="1"/>
        <v>0.18996241968723482</v>
      </c>
      <c r="M9" s="99">
        <f t="shared" si="2"/>
        <v>2.575107296137339E-2</v>
      </c>
    </row>
    <row r="10" spans="2:14" ht="17" thickBot="1">
      <c r="B10" s="121"/>
      <c r="C10" s="7" t="s">
        <v>26</v>
      </c>
      <c r="D10" s="8">
        <v>694</v>
      </c>
      <c r="E10" s="8">
        <v>702</v>
      </c>
      <c r="F10" s="8">
        <v>719</v>
      </c>
      <c r="G10" s="8">
        <v>730</v>
      </c>
      <c r="H10" s="49">
        <f t="shared" si="0"/>
        <v>0.1185064935064935</v>
      </c>
      <c r="J10" s="23">
        <v>876</v>
      </c>
      <c r="K10">
        <v>18</v>
      </c>
      <c r="L10" s="99">
        <f t="shared" si="1"/>
        <v>0.10619469026548672</v>
      </c>
      <c r="M10" s="99">
        <f t="shared" si="2"/>
        <v>7.7253218884120178E-2</v>
      </c>
    </row>
    <row r="11" spans="2:14" ht="17" thickBot="1">
      <c r="B11" s="121"/>
      <c r="C11" s="7" t="s">
        <v>27</v>
      </c>
      <c r="D11" s="8">
        <v>453</v>
      </c>
      <c r="E11" s="8">
        <v>465</v>
      </c>
      <c r="F11" s="8">
        <v>477</v>
      </c>
      <c r="G11" s="8">
        <v>491</v>
      </c>
      <c r="H11" s="49">
        <f t="shared" si="0"/>
        <v>7.9707792207792214E-2</v>
      </c>
      <c r="J11" s="23">
        <v>588</v>
      </c>
      <c r="K11">
        <v>53</v>
      </c>
      <c r="L11" s="99">
        <f t="shared" si="1"/>
        <v>7.1281367438477392E-2</v>
      </c>
      <c r="M11" s="99">
        <f t="shared" si="2"/>
        <v>0.22746781115879827</v>
      </c>
    </row>
    <row r="12" spans="2:14" ht="17" thickBot="1">
      <c r="B12" s="121"/>
      <c r="C12" s="7" t="s">
        <v>28</v>
      </c>
      <c r="D12" s="8">
        <v>262</v>
      </c>
      <c r="E12" s="8">
        <v>269</v>
      </c>
      <c r="F12" s="8">
        <v>281</v>
      </c>
      <c r="G12" s="8">
        <v>288</v>
      </c>
      <c r="H12" s="14">
        <f>SUM(G12:G13)</f>
        <v>374</v>
      </c>
      <c r="I12">
        <f>374/6160</f>
        <v>6.0714285714285714E-2</v>
      </c>
      <c r="J12" s="23">
        <v>367</v>
      </c>
      <c r="K12">
        <v>84</v>
      </c>
      <c r="L12" s="99">
        <f t="shared" si="1"/>
        <v>4.4490241241362589E-2</v>
      </c>
      <c r="M12" s="99">
        <f t="shared" si="2"/>
        <v>0.36051502145922748</v>
      </c>
      <c r="N12">
        <f>M12+M13</f>
        <v>0.65236051502145931</v>
      </c>
    </row>
    <row r="13" spans="2:14" ht="17" thickBot="1">
      <c r="B13" s="121"/>
      <c r="C13" s="7" t="s">
        <v>29</v>
      </c>
      <c r="D13" s="8">
        <v>77</v>
      </c>
      <c r="E13" s="8">
        <v>77</v>
      </c>
      <c r="F13" s="8">
        <v>84</v>
      </c>
      <c r="G13" s="8">
        <v>86</v>
      </c>
      <c r="J13" s="23">
        <v>119</v>
      </c>
      <c r="K13">
        <v>68</v>
      </c>
      <c r="L13" s="99">
        <f t="shared" si="1"/>
        <v>1.4425991029215662E-2</v>
      </c>
      <c r="M13" s="99">
        <f t="shared" si="2"/>
        <v>0.29184549356223177</v>
      </c>
    </row>
    <row r="14" spans="2:14" ht="17" thickBot="1">
      <c r="B14" s="132" t="s">
        <v>19</v>
      </c>
      <c r="C14" s="7" t="s">
        <v>8</v>
      </c>
      <c r="D14" s="8">
        <f>0.49*D3</f>
        <v>2819.95</v>
      </c>
      <c r="E14" s="8">
        <f>0.498*E3</f>
        <v>3029.3339999999998</v>
      </c>
      <c r="F14" s="8">
        <f>0.498*F3</f>
        <v>3010.9079999999999</v>
      </c>
      <c r="G14" s="8">
        <f>0.5*G3</f>
        <v>3109</v>
      </c>
      <c r="J14" s="23">
        <v>4099</v>
      </c>
      <c r="K14">
        <v>127</v>
      </c>
      <c r="L14" s="99">
        <f t="shared" si="1"/>
        <v>0.49690871620802524</v>
      </c>
      <c r="M14" s="99">
        <f t="shared" si="2"/>
        <v>0.54506437768240346</v>
      </c>
    </row>
    <row r="15" spans="2:14" ht="17" thickBot="1">
      <c r="B15" s="132"/>
      <c r="C15" s="7" t="s">
        <v>7</v>
      </c>
      <c r="D15" s="8">
        <f>D3-D14</f>
        <v>2935.05</v>
      </c>
      <c r="E15" s="8">
        <f>0.502*E3</f>
        <v>3053.6660000000002</v>
      </c>
      <c r="F15" s="8">
        <f>0.502*F3</f>
        <v>3035.0920000000001</v>
      </c>
      <c r="G15" s="8">
        <f>0.5*G3</f>
        <v>3109</v>
      </c>
      <c r="J15" s="23">
        <v>4150</v>
      </c>
      <c r="K15">
        <v>106</v>
      </c>
      <c r="L15" s="99">
        <f t="shared" si="1"/>
        <v>0.50309128379197476</v>
      </c>
      <c r="M15" s="99">
        <f t="shared" si="2"/>
        <v>0.45493562231759654</v>
      </c>
    </row>
    <row r="16" spans="2:14">
      <c r="L16">
        <f>L12+L13</f>
        <v>5.8916232270578253E-2</v>
      </c>
    </row>
  </sheetData>
  <mergeCells count="2">
    <mergeCell ref="B3:B13"/>
    <mergeCell ref="B14:B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3A56-CA06-9649-A3E5-FE6D1614F0D2}">
  <dimension ref="B1:O16"/>
  <sheetViews>
    <sheetView topLeftCell="J1" workbookViewId="0">
      <selection activeCell="O4" sqref="O4:O14"/>
    </sheetView>
  </sheetViews>
  <sheetFormatPr baseColWidth="10" defaultRowHeight="16"/>
  <sheetData>
    <row r="1" spans="2:15" ht="24" thickBot="1">
      <c r="D1" s="120" t="s">
        <v>57</v>
      </c>
      <c r="E1" s="120"/>
      <c r="F1" s="120" t="s">
        <v>98</v>
      </c>
      <c r="G1" s="120"/>
      <c r="H1" s="120" t="s">
        <v>123</v>
      </c>
      <c r="I1" s="120"/>
      <c r="J1" s="120" t="s">
        <v>124</v>
      </c>
      <c r="K1" s="120"/>
      <c r="L1" s="2">
        <v>43969</v>
      </c>
    </row>
    <row r="2" spans="2:15" ht="44" thickBot="1">
      <c r="D2" s="9" t="s">
        <v>30</v>
      </c>
      <c r="E2" s="9" t="s">
        <v>10</v>
      </c>
      <c r="F2" s="9" t="s">
        <v>30</v>
      </c>
      <c r="G2" s="9" t="s">
        <v>10</v>
      </c>
      <c r="H2" s="9" t="s">
        <v>30</v>
      </c>
      <c r="I2" s="9" t="s">
        <v>10</v>
      </c>
      <c r="J2" s="9" t="s">
        <v>30</v>
      </c>
      <c r="K2" s="9" t="s">
        <v>10</v>
      </c>
      <c r="L2" s="103" t="s">
        <v>44</v>
      </c>
      <c r="M2" s="103" t="s">
        <v>0</v>
      </c>
    </row>
    <row r="3" spans="2:15" ht="17" thickBot="1">
      <c r="B3" s="124" t="s">
        <v>1</v>
      </c>
      <c r="C3" s="19" t="s">
        <v>39</v>
      </c>
      <c r="D3" s="8">
        <v>88190</v>
      </c>
      <c r="E3" s="8">
        <v>4939</v>
      </c>
      <c r="F3" s="8">
        <v>88144</v>
      </c>
      <c r="G3" s="8">
        <v>4978</v>
      </c>
      <c r="H3" s="8">
        <v>100455</v>
      </c>
      <c r="I3" s="8">
        <v>5904</v>
      </c>
      <c r="J3" s="8">
        <v>106447</v>
      </c>
      <c r="K3" s="8">
        <v>6729</v>
      </c>
      <c r="L3" s="56">
        <v>239125</v>
      </c>
      <c r="M3" s="56">
        <v>19186</v>
      </c>
    </row>
    <row r="4" spans="2:15" ht="17" thickBot="1">
      <c r="B4" s="125"/>
      <c r="C4" s="20" t="s">
        <v>20</v>
      </c>
      <c r="D4" s="8">
        <v>250</v>
      </c>
      <c r="E4" s="8">
        <v>1</v>
      </c>
      <c r="F4" s="8">
        <v>247</v>
      </c>
      <c r="G4" s="8">
        <v>1</v>
      </c>
      <c r="H4" s="8">
        <v>287</v>
      </c>
      <c r="I4" s="8">
        <v>1</v>
      </c>
      <c r="J4" s="8">
        <v>285</v>
      </c>
      <c r="K4" s="8">
        <v>1</v>
      </c>
      <c r="L4" s="56">
        <v>877</v>
      </c>
      <c r="M4" s="56">
        <v>2</v>
      </c>
      <c r="N4">
        <f>L4/239125</f>
        <v>3.6675378985886044E-3</v>
      </c>
      <c r="O4">
        <f>M4/19186</f>
        <v>1.0424267695194412E-4</v>
      </c>
    </row>
    <row r="5" spans="2:15" ht="17" thickBot="1">
      <c r="B5" s="125"/>
      <c r="C5" s="21" t="s">
        <v>22</v>
      </c>
      <c r="D5" s="8">
        <v>491</v>
      </c>
      <c r="E5" s="8">
        <v>1</v>
      </c>
      <c r="F5" s="8">
        <v>489</v>
      </c>
      <c r="G5" s="8">
        <v>1</v>
      </c>
      <c r="H5" s="8">
        <v>553</v>
      </c>
      <c r="I5" s="8">
        <v>1</v>
      </c>
      <c r="J5" s="8">
        <v>588</v>
      </c>
      <c r="K5" s="8">
        <v>1</v>
      </c>
      <c r="L5" s="56">
        <v>1637</v>
      </c>
      <c r="M5" s="56">
        <v>5</v>
      </c>
      <c r="N5" s="99">
        <f t="shared" ref="N5:N14" si="0">L5/239125</f>
        <v>6.8457919498170414E-3</v>
      </c>
      <c r="O5" s="99">
        <f t="shared" ref="O5:O14" si="1">M5/19186</f>
        <v>2.6060669237986029E-4</v>
      </c>
    </row>
    <row r="6" spans="2:15" ht="17" thickBot="1">
      <c r="B6" s="125"/>
      <c r="C6" s="20" t="s">
        <v>21</v>
      </c>
      <c r="D6" s="8">
        <v>4629</v>
      </c>
      <c r="E6" s="8">
        <v>6</v>
      </c>
      <c r="F6" s="8">
        <v>4604</v>
      </c>
      <c r="G6" s="8">
        <v>7</v>
      </c>
      <c r="H6" s="8">
        <v>5113</v>
      </c>
      <c r="I6" s="8">
        <v>9</v>
      </c>
      <c r="J6" s="8">
        <v>5381</v>
      </c>
      <c r="K6" s="8">
        <v>11</v>
      </c>
      <c r="L6" s="56">
        <v>13461</v>
      </c>
      <c r="M6" s="56">
        <v>23</v>
      </c>
      <c r="N6" s="99">
        <f t="shared" si="0"/>
        <v>5.6292733925771041E-2</v>
      </c>
      <c r="O6" s="99">
        <f t="shared" si="1"/>
        <v>1.1987907849473575E-3</v>
      </c>
    </row>
    <row r="7" spans="2:15" ht="17" thickBot="1">
      <c r="B7" s="125"/>
      <c r="C7" s="20" t="s">
        <v>23</v>
      </c>
      <c r="D7" s="8">
        <v>8761</v>
      </c>
      <c r="E7" s="8">
        <v>20</v>
      </c>
      <c r="F7" s="8">
        <v>8745</v>
      </c>
      <c r="G7" s="8">
        <v>20</v>
      </c>
      <c r="H7" s="8">
        <v>9819</v>
      </c>
      <c r="I7" s="8">
        <v>23</v>
      </c>
      <c r="J7" s="8">
        <v>10341</v>
      </c>
      <c r="K7" s="8">
        <v>24</v>
      </c>
      <c r="L7" s="23">
        <v>22639</v>
      </c>
      <c r="M7" s="55">
        <v>63</v>
      </c>
      <c r="N7" s="99">
        <f t="shared" si="0"/>
        <v>9.4674333507579714E-2</v>
      </c>
      <c r="O7" s="99">
        <f t="shared" si="1"/>
        <v>3.2836443239862398E-3</v>
      </c>
    </row>
    <row r="8" spans="2:15" ht="17" thickBot="1">
      <c r="B8" s="125"/>
      <c r="C8" s="20" t="s">
        <v>24</v>
      </c>
      <c r="D8" s="8">
        <v>13421</v>
      </c>
      <c r="E8" s="8">
        <v>50</v>
      </c>
      <c r="F8" s="8">
        <v>13411</v>
      </c>
      <c r="G8" s="8">
        <v>50</v>
      </c>
      <c r="H8" s="8">
        <v>15256</v>
      </c>
      <c r="I8" s="8">
        <v>53</v>
      </c>
      <c r="J8" s="8">
        <v>16088</v>
      </c>
      <c r="K8" s="8">
        <v>61</v>
      </c>
      <c r="L8" s="23">
        <v>35135</v>
      </c>
      <c r="M8" s="55">
        <v>201</v>
      </c>
      <c r="N8" s="99">
        <f t="shared" si="0"/>
        <v>0.14693152117093569</v>
      </c>
      <c r="O8" s="99">
        <f t="shared" si="1"/>
        <v>1.0476389033670385E-2</v>
      </c>
    </row>
    <row r="9" spans="2:15" ht="17" thickBot="1">
      <c r="B9" s="125"/>
      <c r="C9" s="20" t="s">
        <v>25</v>
      </c>
      <c r="D9" s="8">
        <v>16577</v>
      </c>
      <c r="E9" s="8">
        <v>147</v>
      </c>
      <c r="F9" s="8">
        <v>16569</v>
      </c>
      <c r="G9" s="8">
        <v>147</v>
      </c>
      <c r="H9" s="8">
        <v>18790</v>
      </c>
      <c r="I9" s="8">
        <v>186</v>
      </c>
      <c r="J9" s="8">
        <v>19836</v>
      </c>
      <c r="K9" s="8">
        <v>197</v>
      </c>
      <c r="L9" s="23">
        <v>42794</v>
      </c>
      <c r="M9" s="55">
        <v>611</v>
      </c>
      <c r="N9" s="99">
        <f t="shared" si="0"/>
        <v>0.1789607945635128</v>
      </c>
      <c r="O9" s="99">
        <f t="shared" si="1"/>
        <v>3.1846137808818932E-2</v>
      </c>
    </row>
    <row r="10" spans="2:15" ht="17" thickBot="1">
      <c r="B10" s="125"/>
      <c r="C10" s="20" t="s">
        <v>26</v>
      </c>
      <c r="D10" s="8">
        <v>14933</v>
      </c>
      <c r="E10" s="8">
        <v>419</v>
      </c>
      <c r="F10" s="8">
        <v>14935</v>
      </c>
      <c r="G10" s="8">
        <v>420</v>
      </c>
      <c r="H10" s="8">
        <v>16793</v>
      </c>
      <c r="I10" s="8">
        <v>527</v>
      </c>
      <c r="J10" s="8">
        <v>17713</v>
      </c>
      <c r="K10" s="8">
        <v>597</v>
      </c>
      <c r="L10" s="23">
        <v>34360</v>
      </c>
      <c r="M10" s="55">
        <v>1695</v>
      </c>
      <c r="N10" s="99">
        <f t="shared" si="0"/>
        <v>0.14369053842132776</v>
      </c>
      <c r="O10" s="99">
        <f t="shared" si="1"/>
        <v>8.8345668716772643E-2</v>
      </c>
    </row>
    <row r="11" spans="2:15" ht="17" thickBot="1">
      <c r="B11" s="125"/>
      <c r="C11" s="20" t="s">
        <v>27</v>
      </c>
      <c r="D11" s="8">
        <v>14300</v>
      </c>
      <c r="E11" s="8">
        <v>1341</v>
      </c>
      <c r="F11" s="8">
        <v>14295</v>
      </c>
      <c r="G11" s="8">
        <v>1353</v>
      </c>
      <c r="H11" s="8">
        <v>16257</v>
      </c>
      <c r="I11" s="8">
        <v>1603</v>
      </c>
      <c r="J11" s="8">
        <v>16957</v>
      </c>
      <c r="K11" s="8">
        <v>1773</v>
      </c>
      <c r="L11" s="23">
        <v>32443</v>
      </c>
      <c r="M11" s="55">
        <v>4632</v>
      </c>
      <c r="N11" s="99">
        <f t="shared" si="0"/>
        <v>0.13567381076842655</v>
      </c>
      <c r="O11" s="99">
        <f t="shared" si="1"/>
        <v>0.2414260398207026</v>
      </c>
    </row>
    <row r="12" spans="2:15" ht="17" thickBot="1">
      <c r="B12" s="125"/>
      <c r="C12" s="20" t="s">
        <v>28</v>
      </c>
      <c r="D12" s="8">
        <v>11196</v>
      </c>
      <c r="E12" s="8">
        <v>2121</v>
      </c>
      <c r="F12" s="8">
        <v>11204</v>
      </c>
      <c r="G12" s="8">
        <v>2135</v>
      </c>
      <c r="H12" s="8">
        <v>13068</v>
      </c>
      <c r="I12" s="8">
        <v>2515</v>
      </c>
      <c r="J12" s="8">
        <v>14218</v>
      </c>
      <c r="K12" s="8">
        <v>2864</v>
      </c>
      <c r="L12" s="23">
        <v>55779</v>
      </c>
      <c r="M12" s="55">
        <v>11954</v>
      </c>
      <c r="N12" s="99">
        <f t="shared" si="0"/>
        <v>0.23326293779404078</v>
      </c>
      <c r="O12" s="99">
        <f t="shared" si="1"/>
        <v>0.62305848014177001</v>
      </c>
    </row>
    <row r="13" spans="2:15" ht="17" thickBot="1">
      <c r="B13" s="126"/>
      <c r="C13" s="20" t="s">
        <v>29</v>
      </c>
      <c r="D13" s="8">
        <v>3632</v>
      </c>
      <c r="E13" s="8">
        <v>833</v>
      </c>
      <c r="F13" s="8">
        <v>3645</v>
      </c>
      <c r="G13" s="8">
        <v>844</v>
      </c>
      <c r="H13" s="8">
        <v>4339</v>
      </c>
      <c r="I13" s="8">
        <v>986</v>
      </c>
      <c r="J13" s="8">
        <v>5040</v>
      </c>
      <c r="K13" s="8">
        <v>1200</v>
      </c>
      <c r="L13" s="23">
        <v>102983</v>
      </c>
      <c r="M13" s="55">
        <v>10946</v>
      </c>
      <c r="N13" s="99">
        <f t="shared" si="0"/>
        <v>0.43066596968112913</v>
      </c>
      <c r="O13" s="99">
        <f t="shared" si="1"/>
        <v>0.57052017095799024</v>
      </c>
    </row>
    <row r="14" spans="2:15" ht="17" thickBot="1">
      <c r="B14" s="127" t="s">
        <v>19</v>
      </c>
      <c r="C14" s="20" t="s">
        <v>8</v>
      </c>
      <c r="D14" s="8">
        <v>44925</v>
      </c>
      <c r="E14" s="8">
        <v>1809</v>
      </c>
      <c r="F14" s="8">
        <v>44920</v>
      </c>
      <c r="G14" s="8">
        <v>1827</v>
      </c>
      <c r="H14" s="8">
        <v>51740</v>
      </c>
      <c r="I14" s="8">
        <v>2229</v>
      </c>
      <c r="J14" s="8">
        <v>55450</v>
      </c>
      <c r="K14" s="8">
        <v>2652</v>
      </c>
      <c r="L14" s="23">
        <v>135909</v>
      </c>
      <c r="M14" s="55">
        <v>8240</v>
      </c>
      <c r="N14" s="99">
        <f t="shared" si="0"/>
        <v>0.56835964453737586</v>
      </c>
      <c r="O14" s="99">
        <f t="shared" si="1"/>
        <v>0.42947982904200982</v>
      </c>
    </row>
    <row r="15" spans="2:15" ht="17" thickBot="1">
      <c r="B15" s="128"/>
      <c r="C15" s="20" t="s">
        <v>7</v>
      </c>
      <c r="D15" s="8">
        <v>43247</v>
      </c>
      <c r="E15" s="8">
        <v>3130</v>
      </c>
      <c r="F15" s="8">
        <v>43212</v>
      </c>
      <c r="G15" s="8">
        <v>3151</v>
      </c>
      <c r="H15" s="8">
        <v>48684</v>
      </c>
      <c r="I15" s="8">
        <v>3675</v>
      </c>
      <c r="J15" s="8">
        <v>50977</v>
      </c>
      <c r="K15" s="8">
        <v>4103</v>
      </c>
    </row>
    <row r="16" spans="2:15">
      <c r="L16" s="14" t="e">
        <f>L12+#REF!</f>
        <v>#REF!</v>
      </c>
      <c r="M16" s="14"/>
    </row>
  </sheetData>
  <mergeCells count="6">
    <mergeCell ref="J1:K1"/>
    <mergeCell ref="B3:B13"/>
    <mergeCell ref="B14:B15"/>
    <mergeCell ref="D1:E1"/>
    <mergeCell ref="F1:G1"/>
    <mergeCell ref="H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C689-B20D-8E49-9DFB-6DC89180DAB5}">
  <dimension ref="B4:AJ25"/>
  <sheetViews>
    <sheetView topLeftCell="Z2" zoomScale="125" workbookViewId="0">
      <selection activeCell="AJ15" sqref="AJ15:AJ25"/>
    </sheetView>
  </sheetViews>
  <sheetFormatPr baseColWidth="10" defaultRowHeight="16"/>
  <cols>
    <col min="3" max="5" width="11.1640625" bestFit="1" customWidth="1"/>
    <col min="6" max="8" width="11" bestFit="1" customWidth="1"/>
  </cols>
  <sheetData>
    <row r="4" spans="2:36">
      <c r="B4" s="22"/>
    </row>
    <row r="5" spans="2:36">
      <c r="B5" s="22"/>
    </row>
    <row r="6" spans="2:36">
      <c r="B6" s="22"/>
    </row>
    <row r="7" spans="2:36">
      <c r="B7" s="22"/>
    </row>
    <row r="8" spans="2:36">
      <c r="B8" s="22"/>
    </row>
    <row r="9" spans="2:36">
      <c r="B9" s="22"/>
    </row>
    <row r="10" spans="2:36">
      <c r="B10" s="22"/>
    </row>
    <row r="13" spans="2:36" ht="17" thickBot="1">
      <c r="C13" s="133">
        <v>43927</v>
      </c>
      <c r="D13" s="133"/>
      <c r="E13" s="133"/>
      <c r="F13" s="133"/>
      <c r="G13" s="133"/>
      <c r="H13" s="133"/>
      <c r="I13" s="133">
        <v>43928</v>
      </c>
      <c r="J13" s="133"/>
      <c r="K13" s="133"/>
      <c r="L13" s="133"/>
      <c r="M13" s="133"/>
      <c r="N13" s="133"/>
      <c r="O13" s="133">
        <v>43929</v>
      </c>
      <c r="P13" s="133"/>
      <c r="Q13" s="133"/>
      <c r="R13" s="133"/>
      <c r="S13" s="133"/>
      <c r="T13" s="133"/>
      <c r="U13" s="133">
        <v>43930</v>
      </c>
      <c r="V13" s="133"/>
      <c r="W13" s="133"/>
      <c r="X13" s="133"/>
      <c r="Y13" s="133"/>
      <c r="Z13" s="133"/>
      <c r="AA13" s="133">
        <v>43938</v>
      </c>
      <c r="AB13" s="133"/>
      <c r="AC13" s="133"/>
      <c r="AD13" s="133"/>
      <c r="AE13" s="133"/>
      <c r="AF13" s="133"/>
      <c r="AG13" s="2">
        <v>43969</v>
      </c>
    </row>
    <row r="14" spans="2:36" ht="46" thickBot="1">
      <c r="B14" s="4" t="s">
        <v>63</v>
      </c>
      <c r="C14" s="9" t="s">
        <v>111</v>
      </c>
      <c r="D14" s="9" t="s">
        <v>110</v>
      </c>
      <c r="E14" s="9" t="s">
        <v>112</v>
      </c>
      <c r="F14" s="9" t="s">
        <v>64</v>
      </c>
      <c r="G14" s="9" t="s">
        <v>65</v>
      </c>
      <c r="H14" s="9" t="s">
        <v>33</v>
      </c>
      <c r="I14" s="9" t="s">
        <v>111</v>
      </c>
      <c r="J14" s="9" t="s">
        <v>110</v>
      </c>
      <c r="K14" s="9" t="s">
        <v>112</v>
      </c>
      <c r="L14" s="9" t="s">
        <v>64</v>
      </c>
      <c r="M14" s="9" t="s">
        <v>65</v>
      </c>
      <c r="N14" s="9" t="s">
        <v>33</v>
      </c>
      <c r="O14" s="9" t="s">
        <v>111</v>
      </c>
      <c r="P14" s="9" t="s">
        <v>110</v>
      </c>
      <c r="Q14" s="9" t="s">
        <v>112</v>
      </c>
      <c r="R14" s="9" t="s">
        <v>64</v>
      </c>
      <c r="S14" s="9" t="s">
        <v>65</v>
      </c>
      <c r="T14" s="9" t="s">
        <v>33</v>
      </c>
      <c r="U14" s="9" t="s">
        <v>111</v>
      </c>
      <c r="V14" s="9" t="s">
        <v>110</v>
      </c>
      <c r="W14" s="9" t="s">
        <v>112</v>
      </c>
      <c r="X14" s="9" t="s">
        <v>64</v>
      </c>
      <c r="Y14" s="9" t="s">
        <v>65</v>
      </c>
      <c r="Z14" s="9" t="s">
        <v>33</v>
      </c>
      <c r="AA14" s="9" t="s">
        <v>111</v>
      </c>
      <c r="AB14" s="9" t="s">
        <v>110</v>
      </c>
      <c r="AC14" s="9" t="s">
        <v>112</v>
      </c>
      <c r="AD14" s="9" t="s">
        <v>64</v>
      </c>
      <c r="AE14" s="9" t="s">
        <v>65</v>
      </c>
      <c r="AF14" s="9" t="s">
        <v>33</v>
      </c>
      <c r="AG14" s="103" t="s">
        <v>44</v>
      </c>
      <c r="AH14" s="103" t="s">
        <v>0</v>
      </c>
      <c r="AI14">
        <f>SUM(AG15:AG23)</f>
        <v>30543</v>
      </c>
      <c r="AJ14">
        <f>SUM(AH18:AH23)</f>
        <v>1603</v>
      </c>
    </row>
    <row r="15" spans="2:36" ht="17" thickBot="1">
      <c r="B15" s="7" t="s">
        <v>66</v>
      </c>
      <c r="C15" s="8">
        <v>46</v>
      </c>
      <c r="D15" s="8">
        <v>32</v>
      </c>
      <c r="E15" s="8">
        <v>78</v>
      </c>
      <c r="F15" s="8">
        <v>0</v>
      </c>
      <c r="G15" s="8">
        <v>0</v>
      </c>
      <c r="H15" s="8">
        <v>0</v>
      </c>
      <c r="I15" s="8">
        <v>47</v>
      </c>
      <c r="J15" s="8">
        <v>37</v>
      </c>
      <c r="K15" s="8">
        <v>84</v>
      </c>
      <c r="L15" s="8">
        <v>0</v>
      </c>
      <c r="M15" s="8">
        <v>0</v>
      </c>
      <c r="N15" s="8">
        <v>0</v>
      </c>
      <c r="O15" s="8">
        <v>47</v>
      </c>
      <c r="P15" s="8">
        <v>39</v>
      </c>
      <c r="Q15" s="8">
        <v>86</v>
      </c>
      <c r="R15" s="8">
        <v>0</v>
      </c>
      <c r="S15" s="8">
        <v>0</v>
      </c>
      <c r="T15" s="8">
        <v>0</v>
      </c>
      <c r="U15" s="8">
        <v>49</v>
      </c>
      <c r="V15" s="8">
        <v>39</v>
      </c>
      <c r="W15" s="8">
        <v>88</v>
      </c>
      <c r="X15" s="8">
        <v>0</v>
      </c>
      <c r="Y15" s="8">
        <v>0</v>
      </c>
      <c r="Z15" s="8">
        <v>0</v>
      </c>
      <c r="AA15" s="49">
        <v>56</v>
      </c>
      <c r="AB15" s="49">
        <v>48</v>
      </c>
      <c r="AC15" s="49">
        <v>106</v>
      </c>
      <c r="AG15" s="99">
        <v>157</v>
      </c>
      <c r="AH15">
        <v>0</v>
      </c>
      <c r="AI15">
        <f>AG15/30543</f>
        <v>5.1402940117211797E-3</v>
      </c>
      <c r="AJ15">
        <f>AH15/1603</f>
        <v>0</v>
      </c>
    </row>
    <row r="16" spans="2:36" ht="17" thickBot="1">
      <c r="B16" s="7" t="s">
        <v>67</v>
      </c>
      <c r="C16" s="8">
        <v>224</v>
      </c>
      <c r="D16" s="8">
        <v>308</v>
      </c>
      <c r="E16" s="8">
        <v>532</v>
      </c>
      <c r="F16" s="8">
        <v>0</v>
      </c>
      <c r="G16" s="8">
        <v>0</v>
      </c>
      <c r="H16" s="8">
        <v>0</v>
      </c>
      <c r="I16" s="8">
        <v>235</v>
      </c>
      <c r="J16" s="8">
        <v>323</v>
      </c>
      <c r="K16" s="8">
        <v>558</v>
      </c>
      <c r="L16" s="8">
        <v>0</v>
      </c>
      <c r="M16" s="8">
        <v>0</v>
      </c>
      <c r="N16" s="8">
        <v>0</v>
      </c>
      <c r="O16" s="8">
        <v>238</v>
      </c>
      <c r="P16" s="8">
        <v>327</v>
      </c>
      <c r="Q16" s="8">
        <v>565</v>
      </c>
      <c r="R16" s="8">
        <v>0</v>
      </c>
      <c r="S16" s="8">
        <v>0</v>
      </c>
      <c r="T16" s="8">
        <v>0</v>
      </c>
      <c r="U16" s="8">
        <v>253</v>
      </c>
      <c r="V16" s="8">
        <v>346</v>
      </c>
      <c r="W16" s="8">
        <v>599</v>
      </c>
      <c r="X16" s="8">
        <v>0</v>
      </c>
      <c r="Y16" s="8">
        <v>0</v>
      </c>
      <c r="Z16" s="8">
        <v>0</v>
      </c>
      <c r="AA16" s="49">
        <v>286</v>
      </c>
      <c r="AB16" s="49">
        <v>415</v>
      </c>
      <c r="AC16" s="49">
        <v>701</v>
      </c>
      <c r="AG16" s="99">
        <v>868</v>
      </c>
      <c r="AH16">
        <v>0</v>
      </c>
      <c r="AI16" s="99">
        <f t="shared" ref="AI16:AI23" si="0">AG16/30543</f>
        <v>2.8418950332318369E-2</v>
      </c>
      <c r="AJ16" s="99">
        <f t="shared" ref="AJ16:AJ23" si="1">AH16/1603</f>
        <v>0</v>
      </c>
    </row>
    <row r="17" spans="2:36" ht="17" thickBot="1">
      <c r="B17" s="7" t="s">
        <v>68</v>
      </c>
      <c r="C17" s="8">
        <v>953</v>
      </c>
      <c r="D17" s="8">
        <v>1450</v>
      </c>
      <c r="E17" s="8">
        <v>2403</v>
      </c>
      <c r="F17" s="8">
        <v>0</v>
      </c>
      <c r="G17" s="8">
        <v>0</v>
      </c>
      <c r="H17" s="8">
        <v>0</v>
      </c>
      <c r="I17" s="8">
        <v>990</v>
      </c>
      <c r="J17" s="8">
        <v>1507</v>
      </c>
      <c r="K17" s="8">
        <v>2497</v>
      </c>
      <c r="L17" s="8">
        <v>0</v>
      </c>
      <c r="M17" s="8">
        <v>0</v>
      </c>
      <c r="N17" s="8">
        <v>0</v>
      </c>
      <c r="O17" s="8">
        <v>1021</v>
      </c>
      <c r="P17" s="8">
        <v>1562</v>
      </c>
      <c r="Q17" s="8">
        <v>2583</v>
      </c>
      <c r="R17" s="8">
        <v>0</v>
      </c>
      <c r="S17" s="8">
        <v>0</v>
      </c>
      <c r="T17" s="8">
        <v>0</v>
      </c>
      <c r="U17" s="8">
        <v>1089</v>
      </c>
      <c r="V17" s="8">
        <v>1650</v>
      </c>
      <c r="W17" s="8">
        <v>2739</v>
      </c>
      <c r="X17" s="8">
        <v>0</v>
      </c>
      <c r="Y17" s="8">
        <v>0</v>
      </c>
      <c r="Z17" s="8">
        <v>0</v>
      </c>
      <c r="AA17" s="49">
        <v>1284</v>
      </c>
      <c r="AB17" s="49">
        <v>1950</v>
      </c>
      <c r="AC17" s="49">
        <v>3237</v>
      </c>
      <c r="AG17" s="99">
        <v>3812</v>
      </c>
      <c r="AH17">
        <v>0</v>
      </c>
      <c r="AI17" s="99">
        <f t="shared" si="0"/>
        <v>0.12480764823363782</v>
      </c>
      <c r="AJ17" s="99">
        <f t="shared" si="1"/>
        <v>0</v>
      </c>
    </row>
    <row r="18" spans="2:36" ht="17" thickBot="1">
      <c r="B18" s="7" t="s">
        <v>58</v>
      </c>
      <c r="C18" s="8">
        <v>1203</v>
      </c>
      <c r="D18" s="8">
        <v>1584</v>
      </c>
      <c r="E18" s="8">
        <v>2787</v>
      </c>
      <c r="F18" s="8">
        <v>1</v>
      </c>
      <c r="G18" s="8">
        <v>2</v>
      </c>
      <c r="H18" s="8">
        <v>3</v>
      </c>
      <c r="I18" s="8">
        <v>1243</v>
      </c>
      <c r="J18" s="8">
        <v>1636</v>
      </c>
      <c r="K18" s="8">
        <v>2879</v>
      </c>
      <c r="L18" s="8">
        <v>1</v>
      </c>
      <c r="M18" s="8">
        <v>2</v>
      </c>
      <c r="N18" s="8">
        <v>3</v>
      </c>
      <c r="O18" s="8">
        <v>1269</v>
      </c>
      <c r="P18" s="8">
        <v>1663</v>
      </c>
      <c r="Q18" s="8">
        <v>2932</v>
      </c>
      <c r="R18" s="8">
        <v>1</v>
      </c>
      <c r="S18" s="8">
        <v>2</v>
      </c>
      <c r="T18" s="8">
        <v>3</v>
      </c>
      <c r="U18" s="8">
        <v>1340</v>
      </c>
      <c r="V18" s="8">
        <v>1768</v>
      </c>
      <c r="W18" s="8">
        <v>3108</v>
      </c>
      <c r="X18" s="8">
        <v>2</v>
      </c>
      <c r="Y18" s="8">
        <v>2</v>
      </c>
      <c r="Z18" s="8">
        <v>4</v>
      </c>
      <c r="AA18" s="49">
        <v>1523</v>
      </c>
      <c r="AB18" s="49">
        <v>2041</v>
      </c>
      <c r="AC18" s="49">
        <v>3572</v>
      </c>
      <c r="AG18" s="99">
        <v>4119</v>
      </c>
      <c r="AH18" s="99">
        <v>5</v>
      </c>
      <c r="AI18" s="99">
        <f t="shared" si="0"/>
        <v>0.13485905117375505</v>
      </c>
      <c r="AJ18" s="99">
        <f t="shared" si="1"/>
        <v>3.1191515907673115E-3</v>
      </c>
    </row>
    <row r="19" spans="2:36" ht="17" thickBot="1">
      <c r="B19" s="7" t="s">
        <v>59</v>
      </c>
      <c r="C19" s="8">
        <v>1463</v>
      </c>
      <c r="D19" s="8">
        <v>1925</v>
      </c>
      <c r="E19" s="8">
        <v>3388</v>
      </c>
      <c r="F19" s="8">
        <v>1</v>
      </c>
      <c r="G19" s="8">
        <v>0</v>
      </c>
      <c r="H19" s="8">
        <v>1</v>
      </c>
      <c r="I19" s="8">
        <v>1507</v>
      </c>
      <c r="J19" s="8">
        <v>1981</v>
      </c>
      <c r="K19" s="8">
        <v>3488</v>
      </c>
      <c r="L19" s="8">
        <v>1</v>
      </c>
      <c r="M19" s="8">
        <v>0</v>
      </c>
      <c r="N19" s="8">
        <v>1</v>
      </c>
      <c r="O19" s="8">
        <v>1546</v>
      </c>
      <c r="P19" s="8">
        <v>2019</v>
      </c>
      <c r="Q19" s="8">
        <v>3565</v>
      </c>
      <c r="R19" s="8">
        <v>1</v>
      </c>
      <c r="S19" s="8">
        <v>0</v>
      </c>
      <c r="T19" s="8">
        <v>1</v>
      </c>
      <c r="U19" s="8">
        <v>1622</v>
      </c>
      <c r="V19" s="8">
        <v>2133</v>
      </c>
      <c r="W19" s="8">
        <v>3755</v>
      </c>
      <c r="X19" s="8">
        <v>1</v>
      </c>
      <c r="Y19" s="8">
        <v>0</v>
      </c>
      <c r="Z19" s="8">
        <v>1</v>
      </c>
      <c r="AA19" s="49">
        <v>1836</v>
      </c>
      <c r="AB19" s="49">
        <v>2447</v>
      </c>
      <c r="AC19" s="49">
        <v>4291</v>
      </c>
      <c r="AG19" s="99">
        <v>4781</v>
      </c>
      <c r="AH19" s="99">
        <v>4</v>
      </c>
      <c r="AI19" s="99">
        <f t="shared" si="0"/>
        <v>0.1565334119110762</v>
      </c>
      <c r="AJ19" s="99">
        <f t="shared" si="1"/>
        <v>2.495321272613849E-3</v>
      </c>
    </row>
    <row r="20" spans="2:36" ht="17" thickBot="1">
      <c r="B20" s="7" t="s">
        <v>60</v>
      </c>
      <c r="C20" s="8">
        <v>2230</v>
      </c>
      <c r="D20" s="8">
        <v>2301</v>
      </c>
      <c r="E20" s="8">
        <v>4531</v>
      </c>
      <c r="F20" s="8">
        <v>9</v>
      </c>
      <c r="G20" s="8">
        <v>5</v>
      </c>
      <c r="H20" s="8">
        <v>14</v>
      </c>
      <c r="I20" s="8">
        <v>2286</v>
      </c>
      <c r="J20" s="8">
        <v>2366</v>
      </c>
      <c r="K20" s="8">
        <v>4652</v>
      </c>
      <c r="L20" s="8">
        <v>9</v>
      </c>
      <c r="M20" s="8">
        <v>6</v>
      </c>
      <c r="N20" s="8">
        <v>15</v>
      </c>
      <c r="O20" s="8">
        <v>2339</v>
      </c>
      <c r="P20" s="8">
        <v>2426</v>
      </c>
      <c r="Q20" s="8">
        <v>4765</v>
      </c>
      <c r="R20" s="8">
        <v>10</v>
      </c>
      <c r="S20" s="8">
        <v>6</v>
      </c>
      <c r="T20" s="8">
        <v>16</v>
      </c>
      <c r="U20" s="8">
        <v>2429</v>
      </c>
      <c r="V20" s="8">
        <v>2543</v>
      </c>
      <c r="W20" s="8">
        <v>4972</v>
      </c>
      <c r="X20" s="8">
        <v>11</v>
      </c>
      <c r="Y20" s="8">
        <v>6</v>
      </c>
      <c r="Z20" s="8">
        <v>17</v>
      </c>
      <c r="AA20" s="49">
        <v>2704</v>
      </c>
      <c r="AB20" s="49">
        <v>2902</v>
      </c>
      <c r="AC20" s="49">
        <v>5612</v>
      </c>
      <c r="AG20" s="99">
        <v>6202</v>
      </c>
      <c r="AH20" s="99">
        <v>34</v>
      </c>
      <c r="AI20" s="99">
        <f t="shared" si="0"/>
        <v>0.20305798382608126</v>
      </c>
      <c r="AJ20" s="99">
        <f t="shared" si="1"/>
        <v>2.1210230817217717E-2</v>
      </c>
    </row>
    <row r="21" spans="2:36" ht="17" thickBot="1">
      <c r="B21" s="7" t="s">
        <v>61</v>
      </c>
      <c r="C21" s="8">
        <v>1592</v>
      </c>
      <c r="D21" s="8">
        <v>1190</v>
      </c>
      <c r="E21" s="8">
        <v>2782</v>
      </c>
      <c r="F21" s="8">
        <v>36</v>
      </c>
      <c r="G21" s="8">
        <v>10</v>
      </c>
      <c r="H21" s="8">
        <v>46</v>
      </c>
      <c r="I21" s="8">
        <v>1638</v>
      </c>
      <c r="J21" s="8">
        <v>1218</v>
      </c>
      <c r="K21" s="8">
        <v>2856</v>
      </c>
      <c r="L21" s="8">
        <v>37</v>
      </c>
      <c r="M21" s="8">
        <v>13</v>
      </c>
      <c r="N21" s="8">
        <v>50</v>
      </c>
      <c r="O21" s="8">
        <v>1666</v>
      </c>
      <c r="P21" s="8">
        <v>1235</v>
      </c>
      <c r="Q21" s="8">
        <v>2901</v>
      </c>
      <c r="R21" s="8">
        <v>40</v>
      </c>
      <c r="S21" s="8">
        <v>15</v>
      </c>
      <c r="T21" s="8">
        <v>55</v>
      </c>
      <c r="U21" s="8">
        <v>1730</v>
      </c>
      <c r="V21" s="8">
        <v>1293</v>
      </c>
      <c r="W21" s="8">
        <v>3023</v>
      </c>
      <c r="X21" s="8">
        <v>45</v>
      </c>
      <c r="Y21" s="8">
        <v>16</v>
      </c>
      <c r="Z21" s="8">
        <v>61</v>
      </c>
      <c r="AA21" s="49">
        <v>1892</v>
      </c>
      <c r="AB21" s="49">
        <v>1471</v>
      </c>
      <c r="AC21" s="49">
        <v>3370</v>
      </c>
      <c r="AG21" s="99">
        <v>3654</v>
      </c>
      <c r="AH21" s="99">
        <v>117</v>
      </c>
      <c r="AI21" s="99">
        <f t="shared" si="0"/>
        <v>0.11963461349572733</v>
      </c>
      <c r="AJ21" s="99">
        <f t="shared" si="1"/>
        <v>7.298814722395508E-2</v>
      </c>
    </row>
    <row r="22" spans="2:36" ht="17" thickBot="1">
      <c r="B22" s="7" t="s">
        <v>62</v>
      </c>
      <c r="C22" s="8">
        <v>1202</v>
      </c>
      <c r="D22" s="8">
        <v>970</v>
      </c>
      <c r="E22" s="8">
        <v>2172</v>
      </c>
      <c r="F22" s="8">
        <v>96</v>
      </c>
      <c r="G22" s="8">
        <v>42</v>
      </c>
      <c r="H22" s="8">
        <v>138</v>
      </c>
      <c r="I22" s="8">
        <v>1239</v>
      </c>
      <c r="J22" s="8">
        <v>999</v>
      </c>
      <c r="K22" s="8">
        <v>2238</v>
      </c>
      <c r="L22" s="8">
        <v>102</v>
      </c>
      <c r="M22" s="8">
        <v>46</v>
      </c>
      <c r="N22" s="8">
        <v>148</v>
      </c>
      <c r="O22" s="8">
        <v>1264</v>
      </c>
      <c r="P22" s="8">
        <v>1022</v>
      </c>
      <c r="Q22" s="8">
        <v>2286</v>
      </c>
      <c r="R22" s="8">
        <v>114</v>
      </c>
      <c r="S22" s="8">
        <v>48</v>
      </c>
      <c r="T22" s="8">
        <v>162</v>
      </c>
      <c r="U22" s="8">
        <v>1311</v>
      </c>
      <c r="V22" s="8">
        <v>1072</v>
      </c>
      <c r="W22" s="8">
        <v>2383</v>
      </c>
      <c r="X22" s="8">
        <v>123</v>
      </c>
      <c r="Y22" s="8">
        <v>49</v>
      </c>
      <c r="Z22" s="8">
        <v>172</v>
      </c>
      <c r="AA22" s="49">
        <v>1452</v>
      </c>
      <c r="AB22" s="49">
        <v>1219</v>
      </c>
      <c r="AC22" s="49">
        <v>2673</v>
      </c>
      <c r="AG22" s="99">
        <v>2885</v>
      </c>
      <c r="AH22" s="99">
        <v>327</v>
      </c>
      <c r="AI22" s="99">
        <f t="shared" si="0"/>
        <v>9.445699505615035E-2</v>
      </c>
      <c r="AJ22" s="99">
        <f t="shared" si="1"/>
        <v>0.20399251403618215</v>
      </c>
    </row>
    <row r="23" spans="2:36" ht="17" thickBot="1">
      <c r="B23" s="7" t="s">
        <v>2</v>
      </c>
      <c r="C23" s="8">
        <v>1060</v>
      </c>
      <c r="D23" s="8">
        <v>1441</v>
      </c>
      <c r="E23" s="8">
        <v>2501</v>
      </c>
      <c r="F23" s="8">
        <v>230</v>
      </c>
      <c r="G23" s="8">
        <v>151</v>
      </c>
      <c r="H23" s="8">
        <v>381</v>
      </c>
      <c r="I23" s="8">
        <v>1104</v>
      </c>
      <c r="J23" s="8">
        <v>1522</v>
      </c>
      <c r="K23" s="8">
        <v>2626</v>
      </c>
      <c r="L23" s="8">
        <v>248</v>
      </c>
      <c r="M23" s="8">
        <v>174</v>
      </c>
      <c r="N23" s="8">
        <v>422</v>
      </c>
      <c r="O23" s="8">
        <v>1131</v>
      </c>
      <c r="P23" s="8">
        <v>1561</v>
      </c>
      <c r="Q23" s="8">
        <v>2692</v>
      </c>
      <c r="R23" s="8">
        <v>275</v>
      </c>
      <c r="S23" s="8">
        <v>192</v>
      </c>
      <c r="T23" s="8">
        <v>467</v>
      </c>
      <c r="U23" s="8">
        <v>1173</v>
      </c>
      <c r="V23" s="8">
        <v>1647</v>
      </c>
      <c r="W23" s="8">
        <v>2820</v>
      </c>
      <c r="X23" s="8">
        <v>292</v>
      </c>
      <c r="Y23" s="8">
        <v>208</v>
      </c>
      <c r="Z23" s="8">
        <v>500</v>
      </c>
      <c r="AA23" s="49">
        <v>1399</v>
      </c>
      <c r="AB23" s="49">
        <v>2066</v>
      </c>
      <c r="AC23" s="49">
        <v>3466</v>
      </c>
      <c r="AG23" s="99">
        <v>4065</v>
      </c>
      <c r="AH23" s="99">
        <v>1116</v>
      </c>
      <c r="AI23" s="99">
        <f t="shared" si="0"/>
        <v>0.13309105195953247</v>
      </c>
      <c r="AJ23" s="99">
        <f t="shared" si="1"/>
        <v>0.69619463505926393</v>
      </c>
    </row>
    <row r="24" spans="2:36">
      <c r="U24" s="14">
        <f t="shared" ref="U24:V24" si="2">SUM(U15:U23)</f>
        <v>10996</v>
      </c>
      <c r="V24" s="14">
        <f t="shared" si="2"/>
        <v>12491</v>
      </c>
      <c r="W24" s="14">
        <f>SUM(W15:W23)</f>
        <v>23487</v>
      </c>
      <c r="X24" s="14">
        <f t="shared" ref="X24:Z24" si="3">SUM(X15:X23)</f>
        <v>474</v>
      </c>
      <c r="Y24" s="14">
        <f t="shared" si="3"/>
        <v>281</v>
      </c>
      <c r="Z24" s="14">
        <f t="shared" si="3"/>
        <v>755</v>
      </c>
      <c r="AC24" s="49"/>
      <c r="AG24" s="99"/>
      <c r="AI24">
        <v>0.45709</v>
      </c>
      <c r="AJ24">
        <v>0.57828999999999997</v>
      </c>
    </row>
    <row r="25" spans="2:36">
      <c r="AI25">
        <v>0.54290000000000005</v>
      </c>
      <c r="AJ25">
        <v>0.42358000000000001</v>
      </c>
    </row>
  </sheetData>
  <mergeCells count="5">
    <mergeCell ref="C13:H13"/>
    <mergeCell ref="I13:N13"/>
    <mergeCell ref="O13:T13"/>
    <mergeCell ref="U13:Z13"/>
    <mergeCell ref="AA13:AF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67BD-A921-E94A-B4B9-A406B80F2B56}">
  <dimension ref="A3:R28"/>
  <sheetViews>
    <sheetView topLeftCell="G2" zoomScale="75" workbookViewId="0">
      <selection activeCell="R6" sqref="R6:R16"/>
    </sheetView>
  </sheetViews>
  <sheetFormatPr baseColWidth="10" defaultRowHeight="16"/>
  <sheetData>
    <row r="3" spans="1:18" ht="17" thickBot="1">
      <c r="C3" t="s">
        <v>57</v>
      </c>
      <c r="E3" t="s">
        <v>98</v>
      </c>
      <c r="G3" s="4" t="s">
        <v>123</v>
      </c>
      <c r="H3" s="4"/>
      <c r="I3" s="4" t="s">
        <v>124</v>
      </c>
      <c r="J3" s="4"/>
      <c r="M3" s="2">
        <v>43969</v>
      </c>
    </row>
    <row r="4" spans="1:18" ht="46" customHeight="1" thickBot="1">
      <c r="C4" s="9" t="s">
        <v>44</v>
      </c>
      <c r="D4" s="9" t="s">
        <v>96</v>
      </c>
      <c r="E4" s="9" t="s">
        <v>44</v>
      </c>
      <c r="F4" s="9" t="s">
        <v>96</v>
      </c>
      <c r="G4" s="9" t="s">
        <v>44</v>
      </c>
      <c r="H4" s="9" t="s">
        <v>96</v>
      </c>
      <c r="I4" s="9" t="s">
        <v>44</v>
      </c>
      <c r="J4" s="9" t="s">
        <v>96</v>
      </c>
      <c r="M4" s="104" t="s">
        <v>44</v>
      </c>
      <c r="N4" s="104" t="s">
        <v>150</v>
      </c>
    </row>
    <row r="5" spans="1:18" ht="29" customHeight="1" thickBot="1">
      <c r="A5" s="134" t="s">
        <v>1</v>
      </c>
      <c r="B5" s="7" t="s">
        <v>39</v>
      </c>
      <c r="C5" s="8">
        <v>18803</v>
      </c>
      <c r="D5" s="8">
        <v>1867</v>
      </c>
      <c r="E5" s="8">
        <v>19580</v>
      </c>
      <c r="F5" s="8">
        <v>2101</v>
      </c>
      <c r="G5" s="8">
        <v>20549</v>
      </c>
      <c r="H5" s="8">
        <v>2248</v>
      </c>
      <c r="I5" s="8">
        <v>21762</v>
      </c>
      <c r="J5" s="8">
        <v>2396</v>
      </c>
      <c r="M5" s="23">
        <v>44141</v>
      </c>
      <c r="N5" s="23">
        <v>5694</v>
      </c>
      <c r="P5" s="14"/>
    </row>
    <row r="6" spans="1:18" ht="17" customHeight="1" thickBot="1">
      <c r="A6" s="135"/>
      <c r="B6" s="7" t="s">
        <v>76</v>
      </c>
      <c r="C6" s="8">
        <v>49</v>
      </c>
      <c r="D6" s="8">
        <v>0</v>
      </c>
      <c r="E6" s="8">
        <v>49</v>
      </c>
      <c r="F6" s="8">
        <v>0</v>
      </c>
      <c r="G6" s="8">
        <v>49</v>
      </c>
      <c r="H6" s="8">
        <v>0</v>
      </c>
      <c r="I6" s="8">
        <v>54</v>
      </c>
      <c r="J6" s="8">
        <v>0</v>
      </c>
      <c r="K6" s="14">
        <f>I6+I7</f>
        <v>63</v>
      </c>
      <c r="L6" s="14">
        <f>J6+J7</f>
        <v>0</v>
      </c>
      <c r="M6" s="23">
        <v>82</v>
      </c>
      <c r="N6" s="23">
        <v>0</v>
      </c>
      <c r="O6" s="14">
        <f>M6+M7</f>
        <v>105</v>
      </c>
      <c r="P6" s="14">
        <f>N6+N7</f>
        <v>0</v>
      </c>
      <c r="Q6">
        <f>O6/44141</f>
        <v>2.3787408531750526E-3</v>
      </c>
      <c r="R6">
        <f>P6/5694</f>
        <v>0</v>
      </c>
    </row>
    <row r="7" spans="1:18" ht="17" thickBot="1">
      <c r="A7" s="135"/>
      <c r="B7" s="10" t="s">
        <v>77</v>
      </c>
      <c r="C7" s="8">
        <v>9</v>
      </c>
      <c r="D7" s="8">
        <v>0</v>
      </c>
      <c r="E7" s="8">
        <v>9</v>
      </c>
      <c r="F7" s="8">
        <v>0</v>
      </c>
      <c r="G7" s="8">
        <v>9</v>
      </c>
      <c r="H7" s="8">
        <v>0</v>
      </c>
      <c r="I7" s="8">
        <v>9</v>
      </c>
      <c r="J7" s="8">
        <v>0</v>
      </c>
      <c r="K7" s="14">
        <f>I8+I9</f>
        <v>156</v>
      </c>
      <c r="L7" s="14">
        <f>J8+J9</f>
        <v>0</v>
      </c>
      <c r="M7" s="23">
        <v>23</v>
      </c>
      <c r="N7" s="23">
        <v>0</v>
      </c>
      <c r="O7" s="14">
        <f>M8+M9</f>
        <v>516</v>
      </c>
      <c r="P7" s="14">
        <f>N8+N9</f>
        <v>1</v>
      </c>
      <c r="Q7" s="99">
        <f t="shared" ref="Q7:Q16" si="0">O7/44141</f>
        <v>1.1689812192745973E-2</v>
      </c>
      <c r="R7" s="99">
        <f t="shared" ref="R7:R16" si="1">P7/5694</f>
        <v>1.7562346329469617E-4</v>
      </c>
    </row>
    <row r="8" spans="1:18" ht="17" thickBot="1">
      <c r="A8" s="135"/>
      <c r="B8" s="10" t="s">
        <v>78</v>
      </c>
      <c r="C8" s="8">
        <v>39</v>
      </c>
      <c r="D8" s="8">
        <v>0</v>
      </c>
      <c r="E8" s="8">
        <v>39</v>
      </c>
      <c r="F8" s="8">
        <v>0</v>
      </c>
      <c r="G8" s="8">
        <v>39</v>
      </c>
      <c r="H8" s="8">
        <v>0</v>
      </c>
      <c r="I8" s="8">
        <v>39</v>
      </c>
      <c r="J8" s="8">
        <v>0</v>
      </c>
      <c r="K8" s="14">
        <f>I10+I11</f>
        <v>1442</v>
      </c>
      <c r="L8" s="14">
        <f>J10+J11</f>
        <v>2</v>
      </c>
      <c r="M8" s="23">
        <v>62</v>
      </c>
      <c r="N8" s="23">
        <v>0</v>
      </c>
      <c r="O8" s="14">
        <f>M10+M11</f>
        <v>4013</v>
      </c>
      <c r="P8" s="14">
        <f>N10+N11</f>
        <v>3</v>
      </c>
      <c r="Q8" s="99">
        <f t="shared" si="0"/>
        <v>9.0913209940871292E-2</v>
      </c>
      <c r="R8" s="99">
        <f t="shared" si="1"/>
        <v>5.2687038988408848E-4</v>
      </c>
    </row>
    <row r="9" spans="1:18" ht="17" thickBot="1">
      <c r="A9" s="135"/>
      <c r="B9" s="7" t="s">
        <v>79</v>
      </c>
      <c r="C9" s="8">
        <v>100</v>
      </c>
      <c r="D9" s="8">
        <v>0</v>
      </c>
      <c r="E9" s="8">
        <v>105</v>
      </c>
      <c r="F9" s="8">
        <v>0</v>
      </c>
      <c r="G9" s="8">
        <v>108</v>
      </c>
      <c r="H9" s="8">
        <v>0</v>
      </c>
      <c r="I9" s="8">
        <v>117</v>
      </c>
      <c r="J9" s="8">
        <v>0</v>
      </c>
      <c r="K9" s="14">
        <f>I12+I13</f>
        <v>1686</v>
      </c>
      <c r="L9" s="14">
        <f>J12+J13</f>
        <v>3</v>
      </c>
      <c r="M9" s="23">
        <v>454</v>
      </c>
      <c r="N9" s="23">
        <v>1</v>
      </c>
      <c r="O9" s="14">
        <f>M12+M13</f>
        <v>3859</v>
      </c>
      <c r="P9" s="14">
        <f>N12+N13</f>
        <v>10</v>
      </c>
      <c r="Q9" s="99">
        <f t="shared" si="0"/>
        <v>8.7424390022881215E-2</v>
      </c>
      <c r="R9" s="99">
        <f t="shared" si="1"/>
        <v>1.7562346329469617E-3</v>
      </c>
    </row>
    <row r="10" spans="1:18" ht="17" thickBot="1">
      <c r="A10" s="135"/>
      <c r="B10" s="7" t="s">
        <v>80</v>
      </c>
      <c r="C10" s="8">
        <v>451</v>
      </c>
      <c r="D10" s="8">
        <v>0</v>
      </c>
      <c r="E10" s="8">
        <v>478</v>
      </c>
      <c r="F10" s="8">
        <v>0</v>
      </c>
      <c r="G10" s="8">
        <v>510</v>
      </c>
      <c r="H10" s="8">
        <v>0</v>
      </c>
      <c r="I10" s="8">
        <v>570</v>
      </c>
      <c r="J10" s="8">
        <v>0</v>
      </c>
      <c r="K10" s="14">
        <f>I14+I15</f>
        <v>2230</v>
      </c>
      <c r="L10" s="14">
        <f>J14+J15</f>
        <v>9</v>
      </c>
      <c r="M10" s="23">
        <v>1792</v>
      </c>
      <c r="N10" s="23">
        <v>0</v>
      </c>
      <c r="O10" s="14">
        <f>M14+M15</f>
        <v>5040</v>
      </c>
      <c r="P10" s="14">
        <f>N14+N15</f>
        <v>27</v>
      </c>
      <c r="Q10" s="99">
        <f t="shared" si="0"/>
        <v>0.11417956095240253</v>
      </c>
      <c r="R10" s="99">
        <f t="shared" si="1"/>
        <v>4.7418335089567968E-3</v>
      </c>
    </row>
    <row r="11" spans="1:18" ht="17" thickBot="1">
      <c r="A11" s="135"/>
      <c r="B11" s="7" t="s">
        <v>81</v>
      </c>
      <c r="C11" s="8">
        <v>744</v>
      </c>
      <c r="D11" s="8">
        <v>1</v>
      </c>
      <c r="E11" s="8">
        <v>781</v>
      </c>
      <c r="F11" s="8">
        <v>1</v>
      </c>
      <c r="G11" s="8">
        <v>820</v>
      </c>
      <c r="H11" s="8">
        <v>1</v>
      </c>
      <c r="I11" s="8">
        <v>872</v>
      </c>
      <c r="J11" s="8">
        <v>2</v>
      </c>
      <c r="K11" s="14">
        <f>I16+I17</f>
        <v>3726</v>
      </c>
      <c r="L11" s="14">
        <f>J16+J17</f>
        <v>52</v>
      </c>
      <c r="M11" s="23">
        <v>2221</v>
      </c>
      <c r="N11" s="23">
        <v>3</v>
      </c>
      <c r="O11" s="14">
        <f>M16+M17</f>
        <v>8108</v>
      </c>
      <c r="P11" s="14">
        <f>N16+N17</f>
        <v>136</v>
      </c>
      <c r="Q11" s="99">
        <f t="shared" si="0"/>
        <v>0.18368410321469836</v>
      </c>
      <c r="R11" s="99">
        <f t="shared" si="1"/>
        <v>2.3884791008078679E-2</v>
      </c>
    </row>
    <row r="12" spans="1:18" ht="17" thickBot="1">
      <c r="A12" s="135"/>
      <c r="B12" s="7" t="s">
        <v>82</v>
      </c>
      <c r="C12" s="8">
        <v>787</v>
      </c>
      <c r="D12" s="8">
        <v>0</v>
      </c>
      <c r="E12" s="8">
        <v>821</v>
      </c>
      <c r="F12" s="8">
        <v>1</v>
      </c>
      <c r="G12" s="8">
        <v>853</v>
      </c>
      <c r="H12" s="8">
        <v>1</v>
      </c>
      <c r="I12" s="8">
        <v>905</v>
      </c>
      <c r="J12" s="8">
        <v>1</v>
      </c>
      <c r="K12" s="14">
        <f>I18+I19</f>
        <v>3259</v>
      </c>
      <c r="L12" s="14">
        <f>J18+J19</f>
        <v>223</v>
      </c>
      <c r="M12" s="23">
        <v>2071</v>
      </c>
      <c r="N12" s="23">
        <v>3</v>
      </c>
      <c r="O12" s="14">
        <f>M18+M19</f>
        <v>5753</v>
      </c>
      <c r="P12" s="14">
        <f>N18+N19</f>
        <v>467</v>
      </c>
      <c r="Q12" s="99">
        <f t="shared" si="0"/>
        <v>0.13033234407920075</v>
      </c>
      <c r="R12" s="99">
        <f t="shared" si="1"/>
        <v>8.201615735862311E-2</v>
      </c>
    </row>
    <row r="13" spans="1:18" ht="17" thickBot="1">
      <c r="A13" s="135"/>
      <c r="B13" s="7" t="s">
        <v>83</v>
      </c>
      <c r="C13" s="8">
        <v>690</v>
      </c>
      <c r="D13" s="8">
        <v>1</v>
      </c>
      <c r="E13" s="8">
        <v>715</v>
      </c>
      <c r="F13" s="8">
        <v>1</v>
      </c>
      <c r="G13" s="8">
        <v>744</v>
      </c>
      <c r="H13" s="8">
        <v>1</v>
      </c>
      <c r="I13" s="8">
        <v>781</v>
      </c>
      <c r="J13" s="8">
        <v>2</v>
      </c>
      <c r="K13" s="14">
        <f>I20+I21</f>
        <v>4029</v>
      </c>
      <c r="L13" s="14">
        <f>J20+J21</f>
        <v>720</v>
      </c>
      <c r="M13" s="23">
        <v>1788</v>
      </c>
      <c r="N13" s="23">
        <v>7</v>
      </c>
      <c r="O13" s="14">
        <f>M20+M21</f>
        <v>6098</v>
      </c>
      <c r="P13" s="14">
        <f>N20+N21</f>
        <v>1553</v>
      </c>
      <c r="Q13" s="99">
        <f t="shared" si="0"/>
        <v>0.13814820688249022</v>
      </c>
      <c r="R13" s="99">
        <f t="shared" si="1"/>
        <v>0.27274323849666315</v>
      </c>
    </row>
    <row r="14" spans="1:18" ht="17" thickBot="1">
      <c r="A14" s="135"/>
      <c r="B14" s="7" t="s">
        <v>84</v>
      </c>
      <c r="C14" s="8">
        <v>763</v>
      </c>
      <c r="D14" s="8">
        <v>2</v>
      </c>
      <c r="E14" s="8">
        <v>780</v>
      </c>
      <c r="F14" s="8">
        <v>2</v>
      </c>
      <c r="G14" s="8">
        <v>828</v>
      </c>
      <c r="H14" s="8">
        <v>2</v>
      </c>
      <c r="I14" s="8">
        <v>897</v>
      </c>
      <c r="J14" s="8">
        <v>2</v>
      </c>
      <c r="K14" s="14">
        <f>I22+I23</f>
        <v>3850</v>
      </c>
      <c r="L14" s="14">
        <f>J22+J23</f>
        <v>1073</v>
      </c>
      <c r="M14" s="23">
        <v>2058</v>
      </c>
      <c r="N14" s="23">
        <v>5</v>
      </c>
      <c r="O14" s="14">
        <f>M22+M23+M24+M25</f>
        <v>10635</v>
      </c>
      <c r="P14" s="14">
        <f>N22+N23+N24+N25</f>
        <v>3497</v>
      </c>
      <c r="Q14" s="99">
        <f t="shared" si="0"/>
        <v>0.24093246641444463</v>
      </c>
      <c r="R14" s="99">
        <f t="shared" si="1"/>
        <v>0.61415525114155256</v>
      </c>
    </row>
    <row r="15" spans="1:18" ht="17" thickBot="1">
      <c r="A15" s="135"/>
      <c r="B15" s="7" t="s">
        <v>85</v>
      </c>
      <c r="C15" s="8">
        <v>1126</v>
      </c>
      <c r="D15" s="8">
        <v>5</v>
      </c>
      <c r="E15" s="8">
        <v>1182</v>
      </c>
      <c r="F15" s="8">
        <v>6</v>
      </c>
      <c r="G15" s="8">
        <v>1244</v>
      </c>
      <c r="H15" s="8">
        <v>6</v>
      </c>
      <c r="I15" s="8">
        <v>1333</v>
      </c>
      <c r="J15" s="8">
        <v>7</v>
      </c>
      <c r="K15" s="14">
        <f>I24+I25</f>
        <v>1287</v>
      </c>
      <c r="L15" s="14">
        <f>J24+J25</f>
        <v>312</v>
      </c>
      <c r="M15" s="23">
        <v>2982</v>
      </c>
      <c r="N15" s="23">
        <v>22</v>
      </c>
      <c r="O15" s="23">
        <v>16193</v>
      </c>
      <c r="P15" s="23">
        <v>3160</v>
      </c>
      <c r="Q15" s="99">
        <f t="shared" si="0"/>
        <v>0.36684714890917741</v>
      </c>
      <c r="R15" s="99">
        <f t="shared" si="1"/>
        <v>0.5549701440112399</v>
      </c>
    </row>
    <row r="16" spans="1:18" ht="17" thickBot="1">
      <c r="A16" s="135"/>
      <c r="B16" s="7" t="s">
        <v>86</v>
      </c>
      <c r="C16" s="8">
        <v>1492</v>
      </c>
      <c r="D16" s="8">
        <v>15</v>
      </c>
      <c r="E16" s="8">
        <v>1565</v>
      </c>
      <c r="F16" s="8">
        <v>17</v>
      </c>
      <c r="G16" s="8">
        <v>1652</v>
      </c>
      <c r="H16" s="8">
        <v>17</v>
      </c>
      <c r="I16" s="8">
        <v>1753</v>
      </c>
      <c r="J16" s="8">
        <v>17</v>
      </c>
      <c r="K16" s="8">
        <v>1467</v>
      </c>
      <c r="L16" s="8">
        <v>1467</v>
      </c>
      <c r="M16" s="23">
        <v>3845</v>
      </c>
      <c r="N16" s="23">
        <v>42</v>
      </c>
      <c r="O16" s="23">
        <v>27895</v>
      </c>
      <c r="P16" s="23">
        <v>2534</v>
      </c>
      <c r="Q16" s="99">
        <f t="shared" si="0"/>
        <v>0.63195215332683896</v>
      </c>
      <c r="R16" s="99">
        <f t="shared" si="1"/>
        <v>0.4450298559887601</v>
      </c>
    </row>
    <row r="17" spans="1:17" ht="17" thickBot="1">
      <c r="A17" s="135"/>
      <c r="B17" s="7" t="s">
        <v>87</v>
      </c>
      <c r="C17" s="8">
        <v>1696</v>
      </c>
      <c r="D17" s="8">
        <v>23</v>
      </c>
      <c r="E17" s="8">
        <v>1760</v>
      </c>
      <c r="F17" s="8">
        <v>31</v>
      </c>
      <c r="G17" s="8">
        <v>1859</v>
      </c>
      <c r="H17" s="8">
        <v>25</v>
      </c>
      <c r="I17" s="8">
        <v>1973</v>
      </c>
      <c r="J17" s="8">
        <v>35</v>
      </c>
      <c r="K17" s="8">
        <v>929</v>
      </c>
      <c r="L17" s="8">
        <v>929</v>
      </c>
      <c r="M17" s="23">
        <v>4263</v>
      </c>
      <c r="N17" s="23">
        <v>94</v>
      </c>
      <c r="O17" s="23"/>
      <c r="P17" s="23"/>
      <c r="Q17" s="99"/>
    </row>
    <row r="18" spans="1:17" ht="17" thickBot="1">
      <c r="A18" s="135"/>
      <c r="B18" s="7" t="s">
        <v>88</v>
      </c>
      <c r="C18" s="8">
        <v>1503</v>
      </c>
      <c r="D18" s="8">
        <v>58</v>
      </c>
      <c r="E18" s="8">
        <v>1587</v>
      </c>
      <c r="F18" s="8">
        <v>62</v>
      </c>
      <c r="G18" s="8">
        <v>1657</v>
      </c>
      <c r="H18" s="8">
        <v>64</v>
      </c>
      <c r="I18" s="8">
        <v>1745</v>
      </c>
      <c r="J18" s="8">
        <v>69</v>
      </c>
      <c r="L18" s="14"/>
      <c r="M18" s="23">
        <v>3474</v>
      </c>
      <c r="N18" s="23">
        <v>152</v>
      </c>
    </row>
    <row r="19" spans="1:17" ht="17" thickBot="1">
      <c r="A19" s="135"/>
      <c r="B19" s="7" t="s">
        <v>89</v>
      </c>
      <c r="C19" s="8">
        <v>1351</v>
      </c>
      <c r="D19" s="8">
        <v>118</v>
      </c>
      <c r="E19" s="8">
        <v>1403</v>
      </c>
      <c r="F19" s="8">
        <v>134</v>
      </c>
      <c r="G19" s="8">
        <v>1457</v>
      </c>
      <c r="H19" s="8">
        <v>142</v>
      </c>
      <c r="I19" s="8">
        <v>1514</v>
      </c>
      <c r="J19" s="8">
        <v>154</v>
      </c>
      <c r="L19" s="14"/>
      <c r="M19" s="23">
        <v>2279</v>
      </c>
      <c r="N19" s="23">
        <v>315</v>
      </c>
    </row>
    <row r="20" spans="1:17" ht="17" thickBot="1">
      <c r="A20" s="135"/>
      <c r="B20" s="7" t="s">
        <v>90</v>
      </c>
      <c r="C20" s="8">
        <v>1756</v>
      </c>
      <c r="D20" s="8">
        <v>201</v>
      </c>
      <c r="E20" s="8">
        <v>1816</v>
      </c>
      <c r="F20" s="8">
        <v>223</v>
      </c>
      <c r="G20" s="8">
        <v>1877</v>
      </c>
      <c r="H20" s="8">
        <v>244</v>
      </c>
      <c r="I20" s="8">
        <v>1953</v>
      </c>
      <c r="J20" s="8">
        <v>261</v>
      </c>
      <c r="L20" s="14"/>
      <c r="M20" s="23">
        <v>2842</v>
      </c>
      <c r="N20" s="23">
        <v>594</v>
      </c>
    </row>
    <row r="21" spans="1:17" ht="17" thickBot="1">
      <c r="A21" s="135"/>
      <c r="B21" s="7" t="s">
        <v>91</v>
      </c>
      <c r="C21" s="8">
        <v>1851</v>
      </c>
      <c r="D21" s="8">
        <v>377</v>
      </c>
      <c r="E21" s="8">
        <v>1900</v>
      </c>
      <c r="F21" s="8">
        <v>417</v>
      </c>
      <c r="G21" s="8">
        <v>1984</v>
      </c>
      <c r="H21" s="8">
        <v>434</v>
      </c>
      <c r="I21" s="8">
        <v>2076</v>
      </c>
      <c r="J21" s="8">
        <v>459</v>
      </c>
      <c r="L21" s="14"/>
      <c r="M21" s="23">
        <v>3256</v>
      </c>
      <c r="N21" s="23">
        <v>959</v>
      </c>
    </row>
    <row r="22" spans="1:17" ht="17" thickBot="1">
      <c r="A22" s="135"/>
      <c r="B22" s="7" t="s">
        <v>92</v>
      </c>
      <c r="C22" s="8">
        <v>1767</v>
      </c>
      <c r="D22" s="8">
        <v>447</v>
      </c>
      <c r="E22" s="8">
        <v>1840</v>
      </c>
      <c r="F22" s="8">
        <v>495</v>
      </c>
      <c r="G22" s="8">
        <v>1936</v>
      </c>
      <c r="H22" s="8">
        <v>526</v>
      </c>
      <c r="I22" s="8">
        <v>2035</v>
      </c>
      <c r="J22" s="8">
        <v>560</v>
      </c>
      <c r="M22" s="23">
        <v>3729</v>
      </c>
      <c r="N22" s="23">
        <v>1193</v>
      </c>
    </row>
    <row r="23" spans="1:17" ht="17" thickBot="1">
      <c r="A23" s="135"/>
      <c r="B23" s="7" t="s">
        <v>93</v>
      </c>
      <c r="C23" s="8">
        <v>1553</v>
      </c>
      <c r="D23" s="8">
        <v>387</v>
      </c>
      <c r="E23" s="8">
        <v>1617</v>
      </c>
      <c r="F23" s="8">
        <v>446</v>
      </c>
      <c r="G23" s="8">
        <v>1699</v>
      </c>
      <c r="H23" s="8">
        <v>482</v>
      </c>
      <c r="I23" s="8">
        <v>1815</v>
      </c>
      <c r="J23" s="8">
        <v>513</v>
      </c>
      <c r="M23" s="23">
        <v>3833</v>
      </c>
      <c r="N23" s="23">
        <v>1270</v>
      </c>
    </row>
    <row r="24" spans="1:17" ht="17" thickBot="1">
      <c r="A24" s="135"/>
      <c r="B24" s="7" t="s">
        <v>94</v>
      </c>
      <c r="C24" s="8">
        <v>804</v>
      </c>
      <c r="D24" s="8">
        <v>175</v>
      </c>
      <c r="E24" s="8">
        <v>841</v>
      </c>
      <c r="F24" s="8">
        <v>203</v>
      </c>
      <c r="G24" s="8">
        <v>907</v>
      </c>
      <c r="H24" s="8">
        <v>227</v>
      </c>
      <c r="I24" s="8">
        <v>981</v>
      </c>
      <c r="J24" s="8">
        <v>246</v>
      </c>
      <c r="M24" s="23">
        <v>2312</v>
      </c>
      <c r="N24" s="23">
        <v>756</v>
      </c>
    </row>
    <row r="25" spans="1:17" ht="17" thickBot="1">
      <c r="A25" s="135"/>
      <c r="B25" s="7" t="s">
        <v>95</v>
      </c>
      <c r="C25" s="8">
        <v>248</v>
      </c>
      <c r="D25" s="8">
        <v>56</v>
      </c>
      <c r="E25" s="8">
        <v>264</v>
      </c>
      <c r="F25" s="8">
        <v>60</v>
      </c>
      <c r="G25" s="8">
        <v>288</v>
      </c>
      <c r="H25" s="8">
        <v>64</v>
      </c>
      <c r="I25" s="8">
        <v>306</v>
      </c>
      <c r="J25" s="8">
        <v>66</v>
      </c>
      <c r="M25" s="23">
        <v>761</v>
      </c>
      <c r="N25" s="23">
        <v>278</v>
      </c>
    </row>
    <row r="26" spans="1:17" ht="17" thickBot="1">
      <c r="A26" s="135"/>
      <c r="B26" s="7" t="s">
        <v>54</v>
      </c>
      <c r="C26" s="8">
        <v>24</v>
      </c>
      <c r="D26" s="8">
        <v>1</v>
      </c>
      <c r="E26" s="8">
        <v>28</v>
      </c>
      <c r="F26" s="8">
        <v>2</v>
      </c>
      <c r="G26" s="8">
        <v>29</v>
      </c>
      <c r="H26" s="8">
        <v>2</v>
      </c>
      <c r="I26" s="8">
        <v>34</v>
      </c>
      <c r="J26" s="8">
        <v>2</v>
      </c>
      <c r="M26" s="23">
        <v>4</v>
      </c>
      <c r="N26" s="23">
        <v>0</v>
      </c>
    </row>
    <row r="27" spans="1:17" ht="17" thickBot="1">
      <c r="A27" s="127" t="s">
        <v>19</v>
      </c>
      <c r="B27" s="20" t="s">
        <v>8</v>
      </c>
      <c r="C27" s="8">
        <v>9892</v>
      </c>
      <c r="D27" s="8">
        <v>711</v>
      </c>
      <c r="E27" s="8">
        <v>10353</v>
      </c>
      <c r="F27" s="8">
        <v>812</v>
      </c>
      <c r="G27" s="8">
        <v>10954</v>
      </c>
      <c r="H27" s="8">
        <v>865</v>
      </c>
      <c r="I27" s="8">
        <v>11743</v>
      </c>
      <c r="J27" s="8">
        <v>1467</v>
      </c>
      <c r="M27" s="23">
        <v>16193</v>
      </c>
      <c r="N27" s="23">
        <v>3160</v>
      </c>
    </row>
    <row r="28" spans="1:17" ht="17" thickBot="1">
      <c r="A28" s="128"/>
      <c r="B28" s="20" t="s">
        <v>7</v>
      </c>
      <c r="C28" s="8">
        <v>8889</v>
      </c>
      <c r="D28" s="8">
        <v>1156</v>
      </c>
      <c r="E28" s="8">
        <v>9205</v>
      </c>
      <c r="F28" s="8">
        <v>1289</v>
      </c>
      <c r="G28" s="8">
        <v>9572</v>
      </c>
      <c r="H28" s="8">
        <v>1383</v>
      </c>
      <c r="I28" s="8">
        <v>9993</v>
      </c>
      <c r="J28" s="8">
        <v>929</v>
      </c>
      <c r="M28" s="23">
        <v>27895</v>
      </c>
      <c r="N28" s="23">
        <v>2534</v>
      </c>
    </row>
  </sheetData>
  <mergeCells count="2">
    <mergeCell ref="A5:A26"/>
    <mergeCell ref="A27:A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40E1-F17C-6340-BB56-C725A72BEB04}">
  <dimension ref="A1:S18"/>
  <sheetViews>
    <sheetView topLeftCell="I1" workbookViewId="0">
      <selection activeCell="T3" sqref="T3"/>
    </sheetView>
  </sheetViews>
  <sheetFormatPr baseColWidth="10" defaultRowHeight="16"/>
  <cols>
    <col min="2" max="2" width="11.33203125" bestFit="1" customWidth="1"/>
  </cols>
  <sheetData>
    <row r="1" spans="1:19" ht="17" thickBot="1"/>
    <row r="2" spans="1:19" ht="75" customHeight="1" thickBot="1">
      <c r="A2" s="3"/>
      <c r="C2" s="9" t="s">
        <v>40</v>
      </c>
      <c r="D2" s="9" t="s">
        <v>41</v>
      </c>
      <c r="E2" s="9" t="s">
        <v>42</v>
      </c>
      <c r="F2" s="9" t="s">
        <v>43</v>
      </c>
      <c r="G2" s="9" t="s">
        <v>56</v>
      </c>
      <c r="H2" s="9" t="s">
        <v>72</v>
      </c>
      <c r="I2" s="9" t="s">
        <v>101</v>
      </c>
      <c r="J2" s="9" t="s">
        <v>125</v>
      </c>
      <c r="K2" s="9" t="s">
        <v>126</v>
      </c>
      <c r="L2" s="9" t="s">
        <v>128</v>
      </c>
      <c r="M2" s="9" t="s">
        <v>129</v>
      </c>
    </row>
    <row r="3" spans="1:19" ht="33" customHeight="1" thickBot="1">
      <c r="A3" s="121" t="s">
        <v>1</v>
      </c>
      <c r="B3" s="7" t="s">
        <v>39</v>
      </c>
      <c r="C3" s="8">
        <v>11857</v>
      </c>
      <c r="D3" s="8">
        <v>12550</v>
      </c>
      <c r="E3" s="8">
        <v>13241</v>
      </c>
      <c r="F3" s="8">
        <v>13828</v>
      </c>
      <c r="G3" s="8">
        <v>14381</v>
      </c>
      <c r="H3" s="8">
        <v>14860</v>
      </c>
      <c r="I3" s="8">
        <v>15751</v>
      </c>
      <c r="J3" s="8">
        <v>16162</v>
      </c>
      <c r="K3" s="6">
        <v>12.3</v>
      </c>
      <c r="L3" s="8">
        <v>16654</v>
      </c>
      <c r="M3" s="4">
        <v>12.2</v>
      </c>
      <c r="N3" s="4">
        <v>136110</v>
      </c>
      <c r="O3">
        <f>SUM(N4:N13)</f>
        <v>133743.03784832152</v>
      </c>
      <c r="Q3">
        <f>SUM(Q4:Q13)</f>
        <v>30332</v>
      </c>
    </row>
    <row r="4" spans="1:19" ht="17" thickBot="1">
      <c r="A4" s="121"/>
      <c r="B4" s="7" t="s">
        <v>20</v>
      </c>
      <c r="C4" s="8">
        <v>0</v>
      </c>
      <c r="D4" s="8">
        <v>0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6">
        <v>0.1</v>
      </c>
      <c r="L4" s="8">
        <v>1</v>
      </c>
      <c r="M4" s="4">
        <v>0.1</v>
      </c>
      <c r="N4" s="4">
        <f t="shared" ref="N4:N13" si="0">L4*(100/M4)</f>
        <v>1000</v>
      </c>
      <c r="O4">
        <f>N4/133743</f>
        <v>7.4770268350493113E-3</v>
      </c>
      <c r="Q4" s="105">
        <v>4</v>
      </c>
      <c r="R4">
        <f>Q4/30332</f>
        <v>1.3187392852433074E-4</v>
      </c>
    </row>
    <row r="5" spans="1:19" ht="17" thickBot="1">
      <c r="A5" s="121"/>
      <c r="B5" s="10" t="s">
        <v>22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6">
        <v>0</v>
      </c>
      <c r="L5" s="8">
        <v>0</v>
      </c>
      <c r="M5" s="4">
        <v>0</v>
      </c>
      <c r="N5" s="4">
        <v>0</v>
      </c>
      <c r="O5" s="49">
        <f t="shared" ref="O5:O13" si="1">N5/133743</f>
        <v>0</v>
      </c>
      <c r="Q5" s="105">
        <v>0</v>
      </c>
      <c r="R5" s="99">
        <f t="shared" ref="R5:R13" si="2">Q5/30332</f>
        <v>0</v>
      </c>
    </row>
    <row r="6" spans="1:19" ht="17" thickBot="1">
      <c r="A6" s="121"/>
      <c r="B6" s="7" t="s">
        <v>21</v>
      </c>
      <c r="C6" s="8">
        <v>3</v>
      </c>
      <c r="D6" s="8">
        <v>6</v>
      </c>
      <c r="E6" s="8">
        <v>6</v>
      </c>
      <c r="F6" s="8">
        <v>6</v>
      </c>
      <c r="G6" s="8">
        <v>7</v>
      </c>
      <c r="H6" s="8">
        <v>7</v>
      </c>
      <c r="I6" s="8">
        <v>7</v>
      </c>
      <c r="J6" s="8">
        <v>6</v>
      </c>
      <c r="K6" s="6">
        <v>0.1</v>
      </c>
      <c r="L6" s="8">
        <v>7</v>
      </c>
      <c r="M6" s="4">
        <v>0.1</v>
      </c>
      <c r="N6" s="4">
        <f t="shared" si="0"/>
        <v>7000</v>
      </c>
      <c r="O6" s="49">
        <f t="shared" si="1"/>
        <v>5.2339187845345178E-2</v>
      </c>
      <c r="Q6" s="105">
        <v>12</v>
      </c>
      <c r="R6" s="99">
        <f t="shared" si="2"/>
        <v>3.9562178557299221E-4</v>
      </c>
    </row>
    <row r="7" spans="1:19" ht="17" thickBot="1">
      <c r="A7" s="121"/>
      <c r="B7" s="7" t="s">
        <v>23</v>
      </c>
      <c r="C7" s="8">
        <v>29</v>
      </c>
      <c r="D7" s="8">
        <v>29</v>
      </c>
      <c r="E7" s="8">
        <v>30</v>
      </c>
      <c r="F7" s="8">
        <v>31</v>
      </c>
      <c r="G7" s="8">
        <v>34</v>
      </c>
      <c r="H7" s="8">
        <v>34</v>
      </c>
      <c r="I7" s="8">
        <v>35</v>
      </c>
      <c r="J7" s="8">
        <v>35</v>
      </c>
      <c r="K7" s="6">
        <v>0.4</v>
      </c>
      <c r="L7" s="8">
        <v>36</v>
      </c>
      <c r="M7" s="4">
        <v>0.4</v>
      </c>
      <c r="N7" s="4">
        <f t="shared" si="0"/>
        <v>9000</v>
      </c>
      <c r="O7" s="49">
        <f t="shared" si="1"/>
        <v>6.7293241515443802E-2</v>
      </c>
      <c r="Q7" s="105">
        <v>60</v>
      </c>
      <c r="R7" s="99">
        <f t="shared" si="2"/>
        <v>1.9781089278649612E-3</v>
      </c>
    </row>
    <row r="8" spans="1:19" ht="17" thickBot="1">
      <c r="A8" s="121"/>
      <c r="B8" s="7" t="s">
        <v>24</v>
      </c>
      <c r="C8" s="8">
        <v>104</v>
      </c>
      <c r="D8" s="8">
        <v>110</v>
      </c>
      <c r="E8" s="8">
        <v>114</v>
      </c>
      <c r="F8" s="8">
        <v>122</v>
      </c>
      <c r="G8" s="8">
        <v>128</v>
      </c>
      <c r="H8" s="8">
        <v>136</v>
      </c>
      <c r="I8" s="8">
        <v>141</v>
      </c>
      <c r="J8" s="8">
        <v>146</v>
      </c>
      <c r="K8" s="6">
        <v>0.9</v>
      </c>
      <c r="L8" s="8">
        <v>153</v>
      </c>
      <c r="M8" s="4">
        <v>0.9</v>
      </c>
      <c r="N8" s="4">
        <f t="shared" si="0"/>
        <v>17000</v>
      </c>
      <c r="O8" s="49">
        <f t="shared" si="1"/>
        <v>0.1271094561958383</v>
      </c>
      <c r="Q8" s="105">
        <v>262</v>
      </c>
      <c r="R8" s="99">
        <f t="shared" si="2"/>
        <v>8.6377423183436643E-3</v>
      </c>
    </row>
    <row r="9" spans="1:19" ht="17" thickBot="1">
      <c r="A9" s="121"/>
      <c r="B9" s="7" t="s">
        <v>25</v>
      </c>
      <c r="C9" s="8">
        <v>455</v>
      </c>
      <c r="D9" s="8">
        <v>479</v>
      </c>
      <c r="E9" s="8">
        <v>506</v>
      </c>
      <c r="F9" s="8">
        <v>527</v>
      </c>
      <c r="G9" s="8">
        <v>549</v>
      </c>
      <c r="H9" s="8">
        <v>567</v>
      </c>
      <c r="I9" s="8">
        <v>591</v>
      </c>
      <c r="J9" s="8">
        <v>611</v>
      </c>
      <c r="K9" s="6">
        <v>0.5</v>
      </c>
      <c r="L9" s="8">
        <v>638</v>
      </c>
      <c r="M9" s="4">
        <v>2.4</v>
      </c>
      <c r="N9" s="4">
        <f t="shared" si="0"/>
        <v>26583.333333333336</v>
      </c>
      <c r="O9" s="49">
        <f t="shared" si="1"/>
        <v>0.19876429669839421</v>
      </c>
      <c r="Q9" s="105">
        <v>1081</v>
      </c>
      <c r="R9" s="99">
        <f t="shared" si="2"/>
        <v>3.5638929183700381E-2</v>
      </c>
    </row>
    <row r="10" spans="1:19" ht="17" thickBot="1">
      <c r="A10" s="121"/>
      <c r="B10" s="7" t="s">
        <v>26</v>
      </c>
      <c r="C10" s="8">
        <v>1367</v>
      </c>
      <c r="D10" s="8">
        <v>1448</v>
      </c>
      <c r="E10" s="8">
        <v>1520</v>
      </c>
      <c r="F10" s="8">
        <v>1616</v>
      </c>
      <c r="G10" s="8">
        <v>1682</v>
      </c>
      <c r="H10" s="8">
        <v>1724</v>
      </c>
      <c r="I10" s="8">
        <v>1821</v>
      </c>
      <c r="J10" s="8">
        <v>1905</v>
      </c>
      <c r="K10" s="6">
        <v>9</v>
      </c>
      <c r="L10" s="8">
        <v>1957</v>
      </c>
      <c r="M10" s="4">
        <v>9</v>
      </c>
      <c r="N10" s="4">
        <f t="shared" si="0"/>
        <v>21744.444444444445</v>
      </c>
      <c r="O10" s="49">
        <f t="shared" si="1"/>
        <v>0.16258379462435002</v>
      </c>
      <c r="Q10" s="105">
        <v>3174</v>
      </c>
      <c r="R10" s="99">
        <f t="shared" si="2"/>
        <v>0.10464196228405644</v>
      </c>
    </row>
    <row r="11" spans="1:19" ht="17" thickBot="1">
      <c r="A11" s="121"/>
      <c r="B11" s="7" t="s">
        <v>27</v>
      </c>
      <c r="C11" s="8">
        <v>4009</v>
      </c>
      <c r="D11" s="8">
        <v>4196</v>
      </c>
      <c r="E11" s="8">
        <v>4412</v>
      </c>
      <c r="F11" s="8">
        <v>4588</v>
      </c>
      <c r="G11" s="8">
        <v>4756</v>
      </c>
      <c r="H11" s="8">
        <v>4909</v>
      </c>
      <c r="I11" s="8">
        <v>5103</v>
      </c>
      <c r="J11" s="8">
        <v>5245</v>
      </c>
      <c r="K11" s="6">
        <v>23.4</v>
      </c>
      <c r="L11" s="8">
        <v>5366</v>
      </c>
      <c r="M11" s="4">
        <v>23.4</v>
      </c>
      <c r="N11" s="4">
        <f t="shared" si="0"/>
        <v>22931.62393162393</v>
      </c>
      <c r="O11" s="49">
        <f t="shared" si="1"/>
        <v>0.17146036750801111</v>
      </c>
      <c r="Q11" s="105">
        <v>8337</v>
      </c>
      <c r="R11" s="99">
        <f t="shared" si="2"/>
        <v>0.27485823552683636</v>
      </c>
    </row>
    <row r="12" spans="1:19" ht="17" thickBot="1">
      <c r="A12" s="121"/>
      <c r="B12" s="7" t="s">
        <v>28</v>
      </c>
      <c r="C12" s="8">
        <v>4743</v>
      </c>
      <c r="D12" s="8">
        <v>5029</v>
      </c>
      <c r="E12" s="8">
        <v>5304</v>
      </c>
      <c r="F12" s="8">
        <v>5528</v>
      </c>
      <c r="G12" s="8">
        <v>5754</v>
      </c>
      <c r="H12" s="8">
        <v>5956</v>
      </c>
      <c r="I12" s="8">
        <v>6254</v>
      </c>
      <c r="J12" s="8">
        <v>6496</v>
      </c>
      <c r="K12" s="6">
        <v>31.2</v>
      </c>
      <c r="L12" s="8">
        <v>6711</v>
      </c>
      <c r="M12" s="4">
        <v>31</v>
      </c>
      <c r="N12" s="4">
        <f t="shared" si="0"/>
        <v>21648.387096774193</v>
      </c>
      <c r="O12" s="49">
        <f t="shared" si="1"/>
        <v>0.16186557125811588</v>
      </c>
      <c r="P12">
        <f>O12+O13</f>
        <v>0.21297291177048358</v>
      </c>
      <c r="Q12" s="105">
        <v>12387</v>
      </c>
      <c r="R12" s="99">
        <f t="shared" si="2"/>
        <v>0.40838058815772121</v>
      </c>
      <c r="S12">
        <f>R12+R13</f>
        <v>0.57371752604510085</v>
      </c>
    </row>
    <row r="13" spans="1:19" ht="17" thickBot="1">
      <c r="A13" s="121"/>
      <c r="B13" s="7" t="s">
        <v>29</v>
      </c>
      <c r="C13" s="8">
        <v>1145</v>
      </c>
      <c r="D13" s="8">
        <v>1251</v>
      </c>
      <c r="E13" s="8">
        <v>1347</v>
      </c>
      <c r="F13" s="8">
        <v>1408</v>
      </c>
      <c r="G13" s="8">
        <v>1469</v>
      </c>
      <c r="H13" s="8">
        <v>1525</v>
      </c>
      <c r="I13" s="8">
        <v>1616</v>
      </c>
      <c r="J13" s="8">
        <v>1716</v>
      </c>
      <c r="K13" s="6">
        <v>26.7</v>
      </c>
      <c r="L13" s="8">
        <v>1784</v>
      </c>
      <c r="M13" s="4">
        <v>26.1</v>
      </c>
      <c r="N13" s="4">
        <f t="shared" si="0"/>
        <v>6835.2490421455941</v>
      </c>
      <c r="O13" s="49">
        <f t="shared" si="1"/>
        <v>5.1107340512367705E-2</v>
      </c>
      <c r="Q13" s="105">
        <v>5015</v>
      </c>
      <c r="R13" s="99">
        <f t="shared" si="2"/>
        <v>0.16533693788737966</v>
      </c>
    </row>
    <row r="14" spans="1:19">
      <c r="A14" s="136"/>
      <c r="B14" s="15" t="s">
        <v>44</v>
      </c>
      <c r="E14" s="14">
        <v>112401</v>
      </c>
      <c r="F14" s="14">
        <v>117050</v>
      </c>
      <c r="G14" s="14">
        <v>120290</v>
      </c>
      <c r="H14" t="s">
        <v>73</v>
      </c>
      <c r="I14" s="14">
        <v>127790</v>
      </c>
      <c r="J14" s="14">
        <v>131751</v>
      </c>
      <c r="M14" s="4"/>
    </row>
    <row r="15" spans="1:19">
      <c r="A15" s="136"/>
      <c r="B15" s="4"/>
    </row>
    <row r="18" spans="3:6">
      <c r="C18" s="16"/>
      <c r="D18" s="16"/>
      <c r="E18" s="16"/>
      <c r="F18" s="16"/>
    </row>
  </sheetData>
  <mergeCells count="2">
    <mergeCell ref="A3:A13"/>
    <mergeCell ref="A14:A15"/>
  </mergeCells>
  <phoneticPr fontId="7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7FAE-9930-3343-847F-BA8BCCC6383F}">
  <dimension ref="C6:D15"/>
  <sheetViews>
    <sheetView workbookViewId="0">
      <selection activeCell="D6" sqref="D6:D14"/>
    </sheetView>
  </sheetViews>
  <sheetFormatPr baseColWidth="10" defaultRowHeight="16"/>
  <sheetData>
    <row r="6" spans="3:4">
      <c r="C6">
        <v>480</v>
      </c>
      <c r="D6">
        <f>C6/9809</f>
        <v>4.8934651850341522E-2</v>
      </c>
    </row>
    <row r="7" spans="3:4">
      <c r="C7">
        <v>1205</v>
      </c>
      <c r="D7" s="49">
        <f t="shared" ref="D7:D14" si="0">C7/9809</f>
        <v>0.12284636558262819</v>
      </c>
    </row>
    <row r="8" spans="3:4">
      <c r="C8">
        <v>2267</v>
      </c>
      <c r="D8" s="49">
        <f t="shared" si="0"/>
        <v>0.23111428280150881</v>
      </c>
    </row>
    <row r="9" spans="3:4">
      <c r="C9">
        <v>1369</v>
      </c>
      <c r="D9" s="49">
        <f t="shared" si="0"/>
        <v>0.13956570496482823</v>
      </c>
    </row>
    <row r="10" spans="3:4">
      <c r="C10">
        <v>1310</v>
      </c>
      <c r="D10" s="49">
        <f t="shared" si="0"/>
        <v>0.13355082067489041</v>
      </c>
    </row>
    <row r="11" spans="3:4">
      <c r="C11">
        <v>1283</v>
      </c>
      <c r="D11" s="49">
        <f t="shared" si="0"/>
        <v>0.13079824650830871</v>
      </c>
    </row>
    <row r="12" spans="3:4">
      <c r="C12">
        <v>1030</v>
      </c>
      <c r="D12" s="49">
        <f t="shared" si="0"/>
        <v>0.10500560709552452</v>
      </c>
    </row>
    <row r="13" spans="3:4">
      <c r="C13">
        <v>518</v>
      </c>
      <c r="D13" s="49">
        <f t="shared" si="0"/>
        <v>5.2808645121826897E-2</v>
      </c>
    </row>
    <row r="14" spans="3:4">
      <c r="C14">
        <v>347</v>
      </c>
      <c r="D14" s="49">
        <f t="shared" si="0"/>
        <v>3.5375675400142727E-2</v>
      </c>
    </row>
    <row r="15" spans="3:4">
      <c r="C15">
        <f>SUM(C6:C14)</f>
        <v>9809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AB8F-BDD7-2847-98C8-9FBAAF1EA7F3}">
  <dimension ref="A3:X26"/>
  <sheetViews>
    <sheetView topLeftCell="N1" workbookViewId="0">
      <selection activeCell="X16" sqref="X16:X26"/>
    </sheetView>
  </sheetViews>
  <sheetFormatPr baseColWidth="10" defaultRowHeight="16"/>
  <sheetData>
    <row r="3" spans="1:24" ht="24" thickBot="1">
      <c r="C3" s="107">
        <v>43927</v>
      </c>
      <c r="D3" s="107"/>
      <c r="E3" s="107"/>
      <c r="F3" s="107"/>
      <c r="G3" s="107">
        <v>43928</v>
      </c>
      <c r="H3" s="107"/>
      <c r="I3" s="107"/>
      <c r="J3" s="107"/>
      <c r="K3" s="107">
        <v>43929</v>
      </c>
      <c r="L3" s="107"/>
      <c r="M3" s="107"/>
      <c r="N3" s="107"/>
      <c r="O3" s="107">
        <v>43930</v>
      </c>
      <c r="P3" s="107"/>
      <c r="Q3" s="107"/>
      <c r="R3" s="107"/>
      <c r="U3" s="2">
        <v>43969</v>
      </c>
    </row>
    <row r="4" spans="1:24" ht="46" thickBot="1">
      <c r="C4" s="9" t="s">
        <v>69</v>
      </c>
      <c r="D4" s="9" t="s">
        <v>71</v>
      </c>
      <c r="E4" s="9" t="s">
        <v>70</v>
      </c>
      <c r="F4" s="9" t="s">
        <v>97</v>
      </c>
      <c r="G4" s="9" t="s">
        <v>69</v>
      </c>
      <c r="H4" s="9" t="s">
        <v>71</v>
      </c>
      <c r="I4" s="9" t="s">
        <v>70</v>
      </c>
      <c r="J4" s="9" t="s">
        <v>97</v>
      </c>
      <c r="K4" s="9" t="s">
        <v>69</v>
      </c>
      <c r="L4" s="9" t="s">
        <v>71</v>
      </c>
      <c r="M4" s="9" t="s">
        <v>70</v>
      </c>
      <c r="N4" s="9" t="s">
        <v>97</v>
      </c>
      <c r="O4" s="9" t="s">
        <v>69</v>
      </c>
      <c r="P4" s="9" t="s">
        <v>71</v>
      </c>
      <c r="Q4" s="9" t="s">
        <v>70</v>
      </c>
      <c r="R4" s="9" t="s">
        <v>97</v>
      </c>
      <c r="U4" s="104" t="s">
        <v>146</v>
      </c>
      <c r="V4" s="104" t="s">
        <v>147</v>
      </c>
      <c r="W4" s="104" t="s">
        <v>148</v>
      </c>
      <c r="X4" s="104" t="s">
        <v>149</v>
      </c>
    </row>
    <row r="5" spans="1:24" ht="17" thickBot="1">
      <c r="A5" s="137" t="s">
        <v>1</v>
      </c>
      <c r="B5" s="19" t="s">
        <v>39</v>
      </c>
      <c r="C5" s="8">
        <f>SUM(C6:C14)</f>
        <v>5129</v>
      </c>
      <c r="D5" s="8">
        <f>SUM(D6:D14)</f>
        <v>174</v>
      </c>
      <c r="E5" s="8">
        <f>SUM(E6:E15)</f>
        <v>6601</v>
      </c>
      <c r="F5" s="8">
        <f>SUM(F6:F15)</f>
        <v>137</v>
      </c>
      <c r="G5" s="8">
        <f>SUM(G6:G14)</f>
        <v>5391</v>
      </c>
      <c r="H5" s="8">
        <f>SUM(H6:H14)</f>
        <v>188</v>
      </c>
      <c r="I5" s="8">
        <f>SUM(I6:I15)</f>
        <v>7051</v>
      </c>
      <c r="J5" s="8">
        <f>SUM(J6:J15)</f>
        <v>157</v>
      </c>
      <c r="K5" s="8">
        <v>5657</v>
      </c>
      <c r="L5" s="8">
        <v>204</v>
      </c>
      <c r="M5" s="8">
        <v>7494</v>
      </c>
      <c r="N5" s="8">
        <v>176</v>
      </c>
      <c r="O5" s="8">
        <v>5962</v>
      </c>
      <c r="P5" s="8">
        <v>219</v>
      </c>
      <c r="Q5" s="8">
        <v>7994</v>
      </c>
      <c r="R5" s="8">
        <v>190</v>
      </c>
      <c r="S5" s="14">
        <f>O5+Q5</f>
        <v>13956</v>
      </c>
      <c r="T5" s="14">
        <f>P5+R5</f>
        <v>409</v>
      </c>
      <c r="U5" s="23">
        <v>12114</v>
      </c>
      <c r="V5" s="23">
        <v>17095</v>
      </c>
      <c r="W5" s="23">
        <v>598</v>
      </c>
      <c r="X5" s="23">
        <v>633</v>
      </c>
    </row>
    <row r="6" spans="1:24" ht="17" thickBot="1">
      <c r="A6" s="138"/>
      <c r="B6" s="20" t="s">
        <v>20</v>
      </c>
      <c r="C6" s="8">
        <v>87</v>
      </c>
      <c r="D6" s="8">
        <v>0</v>
      </c>
      <c r="E6" s="8">
        <v>87</v>
      </c>
      <c r="F6" s="8">
        <v>0</v>
      </c>
      <c r="G6" s="8">
        <v>92</v>
      </c>
      <c r="H6" s="8">
        <v>0</v>
      </c>
      <c r="I6" s="8">
        <v>87</v>
      </c>
      <c r="J6" s="8">
        <v>0</v>
      </c>
      <c r="K6" s="8">
        <v>97</v>
      </c>
      <c r="L6" s="8">
        <v>0</v>
      </c>
      <c r="M6" s="8">
        <v>95</v>
      </c>
      <c r="N6" s="8">
        <v>0</v>
      </c>
      <c r="O6" s="8">
        <v>105</v>
      </c>
      <c r="P6" s="8">
        <v>0</v>
      </c>
      <c r="Q6" s="8">
        <v>101</v>
      </c>
      <c r="R6" s="8">
        <v>0</v>
      </c>
      <c r="S6" s="14">
        <f t="shared" ref="S6:S14" si="0">O6+Q6</f>
        <v>206</v>
      </c>
      <c r="T6" s="14">
        <f t="shared" ref="T6:T13" si="1">P6+R6</f>
        <v>0</v>
      </c>
      <c r="U6" s="23">
        <v>269</v>
      </c>
      <c r="V6" s="23">
        <v>259</v>
      </c>
      <c r="W6" s="23">
        <v>0</v>
      </c>
      <c r="X6" s="23">
        <v>0</v>
      </c>
    </row>
    <row r="7" spans="1:24" ht="23" customHeight="1" thickBot="1">
      <c r="A7" s="138"/>
      <c r="B7" s="21" t="s">
        <v>22</v>
      </c>
      <c r="C7" s="8">
        <v>130</v>
      </c>
      <c r="D7" s="8">
        <v>0</v>
      </c>
      <c r="E7" s="8">
        <v>155</v>
      </c>
      <c r="F7" s="8">
        <v>0</v>
      </c>
      <c r="G7" s="8">
        <v>140</v>
      </c>
      <c r="H7" s="8">
        <v>0</v>
      </c>
      <c r="I7" s="8">
        <v>166</v>
      </c>
      <c r="J7" s="8">
        <v>0</v>
      </c>
      <c r="K7" s="8">
        <v>148</v>
      </c>
      <c r="L7" s="8">
        <v>0</v>
      </c>
      <c r="M7" s="8">
        <v>175</v>
      </c>
      <c r="N7" s="8">
        <v>0</v>
      </c>
      <c r="O7" s="8">
        <v>161</v>
      </c>
      <c r="P7" s="8">
        <v>0</v>
      </c>
      <c r="Q7" s="8">
        <v>190</v>
      </c>
      <c r="R7" s="8">
        <v>0</v>
      </c>
      <c r="S7" s="14">
        <f t="shared" si="0"/>
        <v>351</v>
      </c>
      <c r="T7" s="14">
        <f t="shared" si="1"/>
        <v>0</v>
      </c>
      <c r="U7" s="23">
        <v>429</v>
      </c>
      <c r="V7" s="23">
        <v>493</v>
      </c>
      <c r="W7" s="23">
        <v>0</v>
      </c>
      <c r="X7" s="23">
        <v>0</v>
      </c>
    </row>
    <row r="8" spans="1:24" ht="17" thickBot="1">
      <c r="A8" s="138"/>
      <c r="B8" s="20" t="s">
        <v>21</v>
      </c>
      <c r="C8" s="8">
        <v>507</v>
      </c>
      <c r="D8" s="8">
        <v>0</v>
      </c>
      <c r="E8" s="8">
        <v>708</v>
      </c>
      <c r="F8" s="8">
        <v>0</v>
      </c>
      <c r="G8" s="8">
        <v>538</v>
      </c>
      <c r="H8" s="8">
        <v>0</v>
      </c>
      <c r="I8" s="8">
        <v>756</v>
      </c>
      <c r="J8" s="8">
        <v>0</v>
      </c>
      <c r="K8" s="8">
        <v>567</v>
      </c>
      <c r="L8" s="8">
        <v>0</v>
      </c>
      <c r="M8" s="8">
        <v>796</v>
      </c>
      <c r="N8" s="8">
        <v>0</v>
      </c>
      <c r="O8" s="8">
        <v>598</v>
      </c>
      <c r="P8" s="8">
        <v>0</v>
      </c>
      <c r="Q8" s="8">
        <v>846</v>
      </c>
      <c r="R8" s="8">
        <v>0</v>
      </c>
      <c r="S8" s="14">
        <f t="shared" si="0"/>
        <v>1444</v>
      </c>
      <c r="T8" s="14">
        <f t="shared" si="1"/>
        <v>0</v>
      </c>
      <c r="U8" s="23">
        <v>1600</v>
      </c>
      <c r="V8" s="23">
        <v>2027</v>
      </c>
      <c r="W8" s="23">
        <v>1</v>
      </c>
      <c r="X8" s="23">
        <v>0</v>
      </c>
    </row>
    <row r="9" spans="1:24" ht="17" thickBot="1">
      <c r="A9" s="138"/>
      <c r="B9" s="20" t="s">
        <v>23</v>
      </c>
      <c r="C9" s="8">
        <v>768</v>
      </c>
      <c r="D9" s="8">
        <v>0</v>
      </c>
      <c r="E9" s="8">
        <v>963</v>
      </c>
      <c r="F9" s="8">
        <v>0</v>
      </c>
      <c r="G9" s="8">
        <v>797</v>
      </c>
      <c r="H9" s="8">
        <v>0</v>
      </c>
      <c r="I9" s="8">
        <v>1021</v>
      </c>
      <c r="J9" s="8">
        <v>0</v>
      </c>
      <c r="K9" s="8">
        <v>831</v>
      </c>
      <c r="L9" s="8">
        <v>0</v>
      </c>
      <c r="M9" s="8">
        <v>1093</v>
      </c>
      <c r="N9" s="8">
        <v>0</v>
      </c>
      <c r="O9" s="8">
        <v>872</v>
      </c>
      <c r="P9" s="8">
        <v>0</v>
      </c>
      <c r="Q9" s="8">
        <v>1141</v>
      </c>
      <c r="R9" s="8">
        <v>0</v>
      </c>
      <c r="S9" s="14">
        <f t="shared" si="0"/>
        <v>2013</v>
      </c>
      <c r="T9" s="14">
        <f t="shared" si="1"/>
        <v>0</v>
      </c>
      <c r="U9" s="23">
        <v>1832</v>
      </c>
      <c r="V9" s="23">
        <v>2431</v>
      </c>
      <c r="W9" s="23">
        <v>0</v>
      </c>
      <c r="X9" s="23">
        <v>0</v>
      </c>
    </row>
    <row r="10" spans="1:24" ht="17" thickBot="1">
      <c r="A10" s="138"/>
      <c r="B10" s="20" t="s">
        <v>24</v>
      </c>
      <c r="C10" s="8">
        <v>860</v>
      </c>
      <c r="D10" s="8">
        <v>1</v>
      </c>
      <c r="E10" s="8">
        <v>1269</v>
      </c>
      <c r="F10" s="8">
        <v>3</v>
      </c>
      <c r="G10" s="8">
        <v>901</v>
      </c>
      <c r="H10" s="8">
        <v>1</v>
      </c>
      <c r="I10" s="8">
        <v>1338</v>
      </c>
      <c r="J10" s="8">
        <v>3</v>
      </c>
      <c r="K10" s="8">
        <v>957</v>
      </c>
      <c r="L10" s="8">
        <v>1</v>
      </c>
      <c r="M10" s="8">
        <v>1423</v>
      </c>
      <c r="N10" s="8">
        <v>3</v>
      </c>
      <c r="O10" s="8">
        <v>1000</v>
      </c>
      <c r="P10" s="8">
        <v>1</v>
      </c>
      <c r="Q10" s="8">
        <v>1483</v>
      </c>
      <c r="R10" s="8">
        <v>3</v>
      </c>
      <c r="S10" s="14">
        <f t="shared" si="0"/>
        <v>2483</v>
      </c>
      <c r="T10" s="14">
        <f t="shared" si="1"/>
        <v>4</v>
      </c>
      <c r="U10" s="23">
        <v>1977</v>
      </c>
      <c r="V10" s="23">
        <v>2930</v>
      </c>
      <c r="W10" s="23">
        <v>7</v>
      </c>
      <c r="X10" s="23">
        <v>6</v>
      </c>
    </row>
    <row r="11" spans="1:24" ht="17" thickBot="1">
      <c r="A11" s="138"/>
      <c r="B11" s="20" t="s">
        <v>25</v>
      </c>
      <c r="C11" s="8">
        <v>883</v>
      </c>
      <c r="D11" s="8">
        <v>6</v>
      </c>
      <c r="E11" s="8">
        <v>1217</v>
      </c>
      <c r="F11" s="8">
        <v>2</v>
      </c>
      <c r="G11" s="8">
        <v>920</v>
      </c>
      <c r="H11" s="8">
        <v>7</v>
      </c>
      <c r="I11" s="8">
        <v>1296</v>
      </c>
      <c r="J11" s="8">
        <v>2</v>
      </c>
      <c r="K11" s="8">
        <v>966</v>
      </c>
      <c r="L11" s="8">
        <v>8</v>
      </c>
      <c r="M11" s="8">
        <v>1386</v>
      </c>
      <c r="N11" s="8">
        <v>2</v>
      </c>
      <c r="O11" s="8">
        <v>1005</v>
      </c>
      <c r="P11" s="8">
        <v>8</v>
      </c>
      <c r="Q11" s="8">
        <v>1452</v>
      </c>
      <c r="R11" s="8">
        <v>2</v>
      </c>
      <c r="S11" s="14">
        <f t="shared" si="0"/>
        <v>2457</v>
      </c>
      <c r="T11" s="14">
        <f t="shared" si="1"/>
        <v>10</v>
      </c>
      <c r="U11" s="23">
        <v>1957</v>
      </c>
      <c r="V11" s="23">
        <v>2985</v>
      </c>
      <c r="W11" s="23">
        <v>28</v>
      </c>
      <c r="X11" s="23">
        <v>12</v>
      </c>
    </row>
    <row r="12" spans="1:24" ht="17" thickBot="1">
      <c r="A12" s="138"/>
      <c r="B12" s="20" t="s">
        <v>26</v>
      </c>
      <c r="C12" s="8">
        <v>733</v>
      </c>
      <c r="D12" s="8">
        <v>22</v>
      </c>
      <c r="E12" s="8">
        <v>802</v>
      </c>
      <c r="F12" s="8">
        <v>7</v>
      </c>
      <c r="G12" s="8">
        <v>769</v>
      </c>
      <c r="H12" s="8">
        <v>25</v>
      </c>
      <c r="I12" s="8">
        <v>845</v>
      </c>
      <c r="J12" s="8">
        <v>10</v>
      </c>
      <c r="K12" s="8">
        <v>814</v>
      </c>
      <c r="L12" s="8">
        <v>26</v>
      </c>
      <c r="M12" s="8">
        <v>896</v>
      </c>
      <c r="N12" s="8">
        <v>12</v>
      </c>
      <c r="O12" s="8">
        <v>842</v>
      </c>
      <c r="P12" s="8">
        <v>30</v>
      </c>
      <c r="Q12" s="8">
        <v>938</v>
      </c>
      <c r="R12" s="8">
        <v>12</v>
      </c>
      <c r="S12" s="14">
        <f t="shared" si="0"/>
        <v>1780</v>
      </c>
      <c r="T12" s="14">
        <f t="shared" si="1"/>
        <v>42</v>
      </c>
      <c r="U12" s="23">
        <v>1509</v>
      </c>
      <c r="V12" s="23">
        <v>1741</v>
      </c>
      <c r="W12" s="23">
        <v>73</v>
      </c>
      <c r="X12" s="23">
        <v>38</v>
      </c>
    </row>
    <row r="13" spans="1:24" ht="17" thickBot="1">
      <c r="A13" s="138"/>
      <c r="B13" s="20" t="s">
        <v>27</v>
      </c>
      <c r="C13" s="8">
        <v>599</v>
      </c>
      <c r="D13" s="8">
        <v>45</v>
      </c>
      <c r="E13" s="8">
        <v>503</v>
      </c>
      <c r="F13" s="8">
        <v>26</v>
      </c>
      <c r="G13" s="8">
        <v>629</v>
      </c>
      <c r="H13" s="8">
        <v>50</v>
      </c>
      <c r="I13" s="8">
        <v>530</v>
      </c>
      <c r="J13" s="8">
        <v>28</v>
      </c>
      <c r="K13" s="8">
        <v>658</v>
      </c>
      <c r="L13" s="8">
        <v>53</v>
      </c>
      <c r="M13" s="8">
        <v>568</v>
      </c>
      <c r="N13" s="8">
        <v>34</v>
      </c>
      <c r="O13" s="8">
        <v>676</v>
      </c>
      <c r="P13" s="8">
        <v>54</v>
      </c>
      <c r="Q13" s="8">
        <v>608</v>
      </c>
      <c r="R13" s="8">
        <v>34</v>
      </c>
      <c r="S13" s="14">
        <f t="shared" si="0"/>
        <v>1284</v>
      </c>
      <c r="T13" s="14">
        <f t="shared" si="1"/>
        <v>88</v>
      </c>
      <c r="U13" s="23">
        <v>1132</v>
      </c>
      <c r="V13" s="23">
        <v>1287</v>
      </c>
      <c r="W13" s="23">
        <v>140</v>
      </c>
      <c r="X13" s="23">
        <v>102</v>
      </c>
    </row>
    <row r="14" spans="1:24" ht="17" thickBot="1">
      <c r="A14" s="139"/>
      <c r="B14" s="20" t="s">
        <v>2</v>
      </c>
      <c r="C14" s="8">
        <v>562</v>
      </c>
      <c r="D14" s="8">
        <v>100</v>
      </c>
      <c r="E14" s="8">
        <v>897</v>
      </c>
      <c r="F14" s="8">
        <v>99</v>
      </c>
      <c r="G14" s="8">
        <v>605</v>
      </c>
      <c r="H14" s="8">
        <v>105</v>
      </c>
      <c r="I14" s="8">
        <v>1012</v>
      </c>
      <c r="J14" s="8">
        <v>114</v>
      </c>
      <c r="K14" s="8">
        <v>619</v>
      </c>
      <c r="L14" s="8">
        <v>116</v>
      </c>
      <c r="M14" s="8">
        <v>1052</v>
      </c>
      <c r="N14" s="8">
        <v>125</v>
      </c>
      <c r="O14" s="8">
        <v>703</v>
      </c>
      <c r="P14" s="8">
        <v>126</v>
      </c>
      <c r="Q14" s="8">
        <v>1235</v>
      </c>
      <c r="R14" s="8">
        <v>139</v>
      </c>
      <c r="S14" s="14">
        <f t="shared" si="0"/>
        <v>1938</v>
      </c>
      <c r="T14" s="14">
        <f>P14+R14</f>
        <v>265</v>
      </c>
      <c r="U14" s="23">
        <v>1409</v>
      </c>
      <c r="V14" s="23">
        <v>2942</v>
      </c>
      <c r="W14" s="23">
        <v>349</v>
      </c>
      <c r="X14" s="23">
        <v>475</v>
      </c>
    </row>
    <row r="15" spans="1:24">
      <c r="O15" s="14">
        <f>O5+Q5</f>
        <v>13956</v>
      </c>
      <c r="U15" s="14">
        <f>SUM(U16:U24)</f>
        <v>29209</v>
      </c>
      <c r="W15" s="14">
        <f>SUM(W16:W24)</f>
        <v>1231</v>
      </c>
    </row>
    <row r="16" spans="1:24">
      <c r="U16" s="14">
        <f>SUM(U6:V6)</f>
        <v>528</v>
      </c>
      <c r="V16">
        <f>U16/29209</f>
        <v>1.8076620219795267E-2</v>
      </c>
      <c r="W16" s="14">
        <f>SUM(W6:X6)</f>
        <v>0</v>
      </c>
      <c r="X16">
        <f>W16/1231</f>
        <v>0</v>
      </c>
    </row>
    <row r="17" spans="21:24">
      <c r="U17" s="14">
        <f>SUM(U7:V7)</f>
        <v>922</v>
      </c>
      <c r="V17" s="99">
        <f t="shared" ref="V17:V24" si="2">U17/29209</f>
        <v>3.1565613338354614E-2</v>
      </c>
      <c r="W17" s="14">
        <f t="shared" ref="W17:W24" si="3">SUM(W7:X7)</f>
        <v>0</v>
      </c>
      <c r="X17" s="99">
        <f t="shared" ref="X17:X24" si="4">W17/1231</f>
        <v>0</v>
      </c>
    </row>
    <row r="18" spans="21:24">
      <c r="U18" s="14">
        <f>SUM(U8:V8)</f>
        <v>3627</v>
      </c>
      <c r="V18" s="99">
        <f t="shared" si="2"/>
        <v>0.12417405594166182</v>
      </c>
      <c r="W18" s="14">
        <f t="shared" si="3"/>
        <v>1</v>
      </c>
      <c r="X18" s="99">
        <f t="shared" si="4"/>
        <v>8.1234768480909826E-4</v>
      </c>
    </row>
    <row r="19" spans="21:24">
      <c r="U19" s="14">
        <f t="shared" ref="U19:U23" si="5">SUM(U9:V9)</f>
        <v>4263</v>
      </c>
      <c r="V19" s="99">
        <f t="shared" si="2"/>
        <v>0.14594816666096067</v>
      </c>
      <c r="W19" s="14">
        <f t="shared" si="3"/>
        <v>0</v>
      </c>
      <c r="X19" s="99">
        <f t="shared" si="4"/>
        <v>0</v>
      </c>
    </row>
    <row r="20" spans="21:24">
      <c r="U20" s="14">
        <f t="shared" si="5"/>
        <v>4907</v>
      </c>
      <c r="V20" s="99">
        <f t="shared" si="2"/>
        <v>0.16799616556540792</v>
      </c>
      <c r="W20" s="14">
        <f t="shared" si="3"/>
        <v>13</v>
      </c>
      <c r="X20" s="99">
        <f t="shared" si="4"/>
        <v>1.0560519902518278E-2</v>
      </c>
    </row>
    <row r="21" spans="21:24">
      <c r="U21" s="14">
        <f t="shared" si="5"/>
        <v>4942</v>
      </c>
      <c r="V21" s="99">
        <f t="shared" si="2"/>
        <v>0.16919442637543222</v>
      </c>
      <c r="W21" s="14">
        <f t="shared" si="3"/>
        <v>40</v>
      </c>
      <c r="X21" s="99">
        <f t="shared" si="4"/>
        <v>3.2493907392363928E-2</v>
      </c>
    </row>
    <row r="22" spans="21:24">
      <c r="U22" s="14">
        <f t="shared" si="5"/>
        <v>3250</v>
      </c>
      <c r="V22" s="99">
        <f t="shared" si="2"/>
        <v>0.11126707521654285</v>
      </c>
      <c r="W22" s="14">
        <f t="shared" si="3"/>
        <v>111</v>
      </c>
      <c r="X22" s="99">
        <f t="shared" si="4"/>
        <v>9.0170593013809905E-2</v>
      </c>
    </row>
    <row r="23" spans="21:24">
      <c r="U23" s="14">
        <f t="shared" si="5"/>
        <v>2419</v>
      </c>
      <c r="V23" s="99">
        <f t="shared" si="2"/>
        <v>8.2816939984251423E-2</v>
      </c>
      <c r="W23" s="14">
        <f t="shared" si="3"/>
        <v>242</v>
      </c>
      <c r="X23" s="99">
        <f t="shared" si="4"/>
        <v>0.19658813972380179</v>
      </c>
    </row>
    <row r="24" spans="21:24">
      <c r="U24" s="14">
        <f>SUM(U14:V14)</f>
        <v>4351</v>
      </c>
      <c r="V24" s="99">
        <f t="shared" si="2"/>
        <v>0.14896093669759322</v>
      </c>
      <c r="W24" s="14">
        <f t="shared" si="3"/>
        <v>824</v>
      </c>
      <c r="X24" s="99">
        <f t="shared" si="4"/>
        <v>0.66937449228269696</v>
      </c>
    </row>
    <row r="25" spans="21:24">
      <c r="U25" s="14"/>
      <c r="V25">
        <v>0.41473500000000002</v>
      </c>
      <c r="X25">
        <v>0.48577999999999999</v>
      </c>
    </row>
    <row r="26" spans="21:24">
      <c r="V26">
        <v>0.58526</v>
      </c>
      <c r="X26">
        <v>0.51419999999999999</v>
      </c>
    </row>
  </sheetData>
  <mergeCells count="5">
    <mergeCell ref="G3:J3"/>
    <mergeCell ref="K3:N3"/>
    <mergeCell ref="O3:R3"/>
    <mergeCell ref="A5:A14"/>
    <mergeCell ref="C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0023-E420-F848-B894-6CA2E2004D2A}">
  <dimension ref="B1:L14"/>
  <sheetViews>
    <sheetView topLeftCell="E2" zoomScale="75" workbookViewId="0">
      <selection activeCell="L3" sqref="L3:L13"/>
    </sheetView>
  </sheetViews>
  <sheetFormatPr baseColWidth="10" defaultRowHeight="16"/>
  <sheetData>
    <row r="1" spans="2:12">
      <c r="B1" s="4"/>
      <c r="C1" s="2">
        <v>43933</v>
      </c>
      <c r="D1" s="4"/>
      <c r="E1" s="4"/>
      <c r="F1" s="4"/>
      <c r="G1" s="4"/>
      <c r="H1" s="4"/>
      <c r="I1" s="4"/>
    </row>
    <row r="2" spans="2:12">
      <c r="C2" s="57" t="s">
        <v>138</v>
      </c>
      <c r="D2" s="58" t="s">
        <v>139</v>
      </c>
      <c r="E2" s="59" t="s">
        <v>140</v>
      </c>
      <c r="F2" s="58" t="s">
        <v>139</v>
      </c>
      <c r="G2" s="59" t="s">
        <v>18</v>
      </c>
      <c r="H2" s="59" t="s">
        <v>141</v>
      </c>
      <c r="I2" s="60" t="s">
        <v>139</v>
      </c>
    </row>
    <row r="3" spans="2:12" ht="17" thickBot="1">
      <c r="B3" s="20" t="s">
        <v>20</v>
      </c>
      <c r="C3" s="61">
        <v>0</v>
      </c>
      <c r="D3" s="62">
        <v>0</v>
      </c>
      <c r="E3" s="63">
        <v>1</v>
      </c>
      <c r="F3" s="62">
        <v>2.8003360403248391E-2</v>
      </c>
      <c r="G3" s="63">
        <v>0</v>
      </c>
      <c r="H3" s="63">
        <v>1</v>
      </c>
      <c r="I3" s="64">
        <v>1.0886131069018071E-2</v>
      </c>
      <c r="K3" s="63">
        <v>3</v>
      </c>
      <c r="L3">
        <f>K3/17589</f>
        <v>1.7056114617090227E-4</v>
      </c>
    </row>
    <row r="4" spans="2:12" ht="17" thickBot="1">
      <c r="B4" s="21" t="s">
        <v>22</v>
      </c>
      <c r="C4" s="61">
        <v>0</v>
      </c>
      <c r="D4" s="62">
        <v>0</v>
      </c>
      <c r="E4" s="65">
        <v>1</v>
      </c>
      <c r="F4" s="62">
        <v>2.8003360403248391E-2</v>
      </c>
      <c r="G4" s="66">
        <v>0</v>
      </c>
      <c r="H4" s="65">
        <v>1</v>
      </c>
      <c r="I4" s="64">
        <v>1.0886131069018071E-2</v>
      </c>
      <c r="K4" s="65">
        <v>3</v>
      </c>
      <c r="L4" s="99">
        <f t="shared" ref="L4:L13" si="0">K4/17589</f>
        <v>1.7056114617090227E-4</v>
      </c>
    </row>
    <row r="5" spans="2:12" ht="17" thickBot="1">
      <c r="B5" s="20" t="s">
        <v>21</v>
      </c>
      <c r="C5" s="67">
        <v>6</v>
      </c>
      <c r="D5" s="62">
        <v>0.10814708002883922</v>
      </c>
      <c r="E5" s="65">
        <v>6</v>
      </c>
      <c r="F5" s="62">
        <v>0.16802016241949033</v>
      </c>
      <c r="G5" s="66">
        <v>0</v>
      </c>
      <c r="H5" s="65">
        <v>12</v>
      </c>
      <c r="I5" s="64">
        <v>0.13063357282821686</v>
      </c>
      <c r="K5" s="65">
        <v>20</v>
      </c>
      <c r="L5" s="99">
        <f t="shared" si="0"/>
        <v>1.1370743078060151E-3</v>
      </c>
    </row>
    <row r="6" spans="2:12" ht="17" thickBot="1">
      <c r="B6" s="20" t="s">
        <v>23</v>
      </c>
      <c r="C6" s="67">
        <v>30</v>
      </c>
      <c r="D6" s="62">
        <v>0.54073540014419608</v>
      </c>
      <c r="E6" s="65">
        <v>19</v>
      </c>
      <c r="F6" s="62">
        <v>0.53206384766171944</v>
      </c>
      <c r="G6" s="66">
        <v>0</v>
      </c>
      <c r="H6" s="65">
        <v>49</v>
      </c>
      <c r="I6" s="64">
        <v>0.53342042238188547</v>
      </c>
      <c r="K6" s="65">
        <v>79</v>
      </c>
      <c r="L6" s="99">
        <f t="shared" si="0"/>
        <v>4.4914435158337597E-3</v>
      </c>
    </row>
    <row r="7" spans="2:12" ht="17" thickBot="1">
      <c r="B7" s="20" t="s">
        <v>24</v>
      </c>
      <c r="C7" s="67">
        <v>85</v>
      </c>
      <c r="D7" s="62">
        <v>1.5320836337418888</v>
      </c>
      <c r="E7" s="65">
        <v>42</v>
      </c>
      <c r="F7" s="62">
        <v>1.1761411369364323</v>
      </c>
      <c r="G7" s="66">
        <v>2</v>
      </c>
      <c r="H7" s="65">
        <v>129</v>
      </c>
      <c r="I7" s="64">
        <v>1.4043109079033311</v>
      </c>
      <c r="K7" s="65">
        <v>219</v>
      </c>
      <c r="L7" s="99">
        <f t="shared" si="0"/>
        <v>1.2450963670475866E-2</v>
      </c>
    </row>
    <row r="8" spans="2:12" ht="17" thickBot="1">
      <c r="B8" s="20" t="s">
        <v>25</v>
      </c>
      <c r="C8" s="67">
        <v>303</v>
      </c>
      <c r="D8" s="62">
        <v>5.4614275414563807</v>
      </c>
      <c r="E8" s="65">
        <v>135</v>
      </c>
      <c r="F8" s="62">
        <v>3.7804536544385328</v>
      </c>
      <c r="G8" s="66">
        <v>3</v>
      </c>
      <c r="H8" s="65">
        <v>441</v>
      </c>
      <c r="I8" s="64">
        <v>4.8007838014369693</v>
      </c>
      <c r="K8" s="65">
        <v>806</v>
      </c>
      <c r="L8" s="99">
        <f t="shared" si="0"/>
        <v>4.5824094604582408E-2</v>
      </c>
    </row>
    <row r="9" spans="2:12" ht="17" thickBot="1">
      <c r="B9" s="20" t="s">
        <v>26</v>
      </c>
      <c r="C9" s="67">
        <v>743</v>
      </c>
      <c r="D9" s="62">
        <v>13.392213410237924</v>
      </c>
      <c r="E9" s="65">
        <v>305</v>
      </c>
      <c r="F9" s="62">
        <v>8.5410249229907578</v>
      </c>
      <c r="G9" s="66">
        <v>7</v>
      </c>
      <c r="H9" s="65">
        <v>1055</v>
      </c>
      <c r="I9" s="64">
        <v>11.484868277814064</v>
      </c>
      <c r="K9" s="65">
        <v>2091</v>
      </c>
      <c r="L9" s="99">
        <f t="shared" si="0"/>
        <v>0.11888111888111888</v>
      </c>
    </row>
    <row r="10" spans="2:12" ht="17" thickBot="1">
      <c r="B10" s="20" t="s">
        <v>27</v>
      </c>
      <c r="C10" s="67">
        <v>1552</v>
      </c>
      <c r="D10" s="62">
        <v>27.974044700793076</v>
      </c>
      <c r="E10" s="65">
        <v>657</v>
      </c>
      <c r="F10" s="62">
        <v>18.398207784934193</v>
      </c>
      <c r="G10" s="66">
        <v>17</v>
      </c>
      <c r="H10" s="65">
        <v>2226</v>
      </c>
      <c r="I10" s="64">
        <v>24.232527759634227</v>
      </c>
      <c r="K10" s="65">
        <v>3966</v>
      </c>
      <c r="L10" s="99">
        <f t="shared" si="0"/>
        <v>0.2254818352379328</v>
      </c>
    </row>
    <row r="11" spans="2:12" ht="17" thickBot="1">
      <c r="B11" s="20" t="s">
        <v>2</v>
      </c>
      <c r="C11" s="67">
        <v>2085</v>
      </c>
      <c r="D11" s="62">
        <v>37.581110310021629</v>
      </c>
      <c r="E11" s="65">
        <v>1471</v>
      </c>
      <c r="F11" s="62">
        <v>41.192943153178376</v>
      </c>
      <c r="G11" s="66">
        <v>26</v>
      </c>
      <c r="H11" s="65">
        <v>3582</v>
      </c>
      <c r="I11" s="64">
        <v>38.994121489222735</v>
      </c>
      <c r="J11">
        <v>57.4</v>
      </c>
      <c r="K11" s="65">
        <v>10301</v>
      </c>
      <c r="L11" s="99">
        <f t="shared" si="0"/>
        <v>0.58565012223548807</v>
      </c>
    </row>
    <row r="12" spans="2:12">
      <c r="B12" s="76" t="s">
        <v>53</v>
      </c>
      <c r="C12" s="67">
        <v>744</v>
      </c>
      <c r="D12" s="62">
        <v>13.410237923576062</v>
      </c>
      <c r="E12" s="65">
        <v>934</v>
      </c>
      <c r="F12" s="62">
        <v>26.155138616633995</v>
      </c>
      <c r="G12" s="66">
        <v>12</v>
      </c>
      <c r="H12" s="65">
        <v>1690</v>
      </c>
      <c r="I12" s="64">
        <v>18.397561506640539</v>
      </c>
      <c r="J12" t="s">
        <v>151</v>
      </c>
      <c r="K12" s="65">
        <v>10317</v>
      </c>
      <c r="L12" s="99">
        <f t="shared" si="0"/>
        <v>0.58655978168173295</v>
      </c>
    </row>
    <row r="13" spans="2:12" ht="17" thickBot="1">
      <c r="C13" s="67"/>
      <c r="D13" s="68"/>
      <c r="E13" s="65"/>
      <c r="F13" s="68"/>
      <c r="G13" s="66"/>
      <c r="H13" s="65"/>
      <c r="I13" s="69"/>
      <c r="J13" t="s">
        <v>152</v>
      </c>
      <c r="K13" s="65">
        <v>7116</v>
      </c>
      <c r="L13" s="99">
        <f t="shared" si="0"/>
        <v>0.4045710387173802</v>
      </c>
    </row>
    <row r="14" spans="2:12" ht="17" thickBot="1">
      <c r="B14" s="19" t="s">
        <v>39</v>
      </c>
      <c r="C14" s="70">
        <v>5548</v>
      </c>
      <c r="D14" s="71">
        <v>100</v>
      </c>
      <c r="E14" s="72">
        <v>3571</v>
      </c>
      <c r="F14" s="73">
        <v>99.999999999999986</v>
      </c>
      <c r="G14" s="74">
        <v>67</v>
      </c>
      <c r="H14" s="72">
        <v>9186</v>
      </c>
      <c r="I14" s="75">
        <v>100.00000000000001</v>
      </c>
      <c r="K14" s="65">
        <v>17589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83E0-12EC-C944-AECB-DDFD18798206}">
  <dimension ref="B2:F13"/>
  <sheetViews>
    <sheetView workbookViewId="0">
      <selection activeCell="C4" sqref="C4:C10"/>
    </sheetView>
  </sheetViews>
  <sheetFormatPr baseColWidth="10" defaultRowHeight="16"/>
  <sheetData>
    <row r="2" spans="2:6" ht="17" thickBot="1"/>
    <row r="3" spans="2:6" ht="30" thickBot="1">
      <c r="D3" s="9" t="s">
        <v>99</v>
      </c>
      <c r="E3" s="9" t="s">
        <v>122</v>
      </c>
      <c r="F3" s="9" t="s">
        <v>127</v>
      </c>
    </row>
    <row r="4" spans="2:6" ht="16" customHeight="1" thickBot="1">
      <c r="B4" s="121" t="s">
        <v>1</v>
      </c>
      <c r="C4" s="7" t="s">
        <v>102</v>
      </c>
      <c r="D4" s="8">
        <v>57</v>
      </c>
      <c r="E4" s="8">
        <v>59</v>
      </c>
      <c r="F4" s="8">
        <v>66</v>
      </c>
    </row>
    <row r="5" spans="2:6" ht="17" thickBot="1">
      <c r="B5" s="121"/>
      <c r="C5" s="10" t="s">
        <v>109</v>
      </c>
      <c r="D5" s="8">
        <v>286</v>
      </c>
      <c r="E5" s="8">
        <v>293</v>
      </c>
      <c r="F5" s="8">
        <v>298</v>
      </c>
    </row>
    <row r="6" spans="2:6" ht="17" thickBot="1">
      <c r="B6" s="121"/>
      <c r="C6" s="7" t="s">
        <v>103</v>
      </c>
      <c r="D6" s="8">
        <v>1174</v>
      </c>
      <c r="E6" s="8">
        <v>1202</v>
      </c>
      <c r="F6" s="8">
        <v>1235</v>
      </c>
    </row>
    <row r="7" spans="2:6" ht="17" thickBot="1">
      <c r="B7" s="121"/>
      <c r="C7" s="7" t="s">
        <v>104</v>
      </c>
      <c r="D7" s="8">
        <v>1790</v>
      </c>
      <c r="E7" s="8">
        <v>1831</v>
      </c>
      <c r="F7" s="8">
        <v>1871</v>
      </c>
    </row>
    <row r="8" spans="2:6" ht="17" thickBot="1">
      <c r="B8" s="121"/>
      <c r="C8" s="7" t="s">
        <v>105</v>
      </c>
      <c r="D8" s="8">
        <v>1807</v>
      </c>
      <c r="E8" s="8">
        <v>1844</v>
      </c>
      <c r="F8" s="8">
        <v>1880</v>
      </c>
    </row>
    <row r="9" spans="2:6" ht="17" thickBot="1">
      <c r="B9" s="121"/>
      <c r="C9" s="7" t="s">
        <v>106</v>
      </c>
      <c r="D9" s="8">
        <v>2679</v>
      </c>
      <c r="E9" s="8">
        <v>2754</v>
      </c>
      <c r="F9" s="8">
        <v>2815</v>
      </c>
    </row>
    <row r="10" spans="2:6" ht="17" thickBot="1">
      <c r="B10" s="121"/>
      <c r="C10" s="7" t="s">
        <v>107</v>
      </c>
      <c r="D10" s="8">
        <v>2151</v>
      </c>
      <c r="E10" s="8">
        <v>2188</v>
      </c>
      <c r="F10" s="8">
        <v>2238</v>
      </c>
    </row>
    <row r="11" spans="2:6" ht="17" thickBot="1">
      <c r="B11" s="121"/>
      <c r="C11" s="7" t="s">
        <v>108</v>
      </c>
      <c r="D11" s="8">
        <v>2696</v>
      </c>
      <c r="E11" s="8">
        <v>2771</v>
      </c>
      <c r="F11" s="8">
        <v>2845</v>
      </c>
    </row>
    <row r="12" spans="2:6">
      <c r="B12" s="4"/>
    </row>
    <row r="13" spans="2:6">
      <c r="B13" s="4"/>
    </row>
  </sheetData>
  <mergeCells count="1">
    <mergeCell ref="B4:B11"/>
  </mergeCells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E8A1-985E-D447-A1BC-CA0F99A558FA}">
  <dimension ref="B1:AE14"/>
  <sheetViews>
    <sheetView topLeftCell="U1" zoomScale="77" workbookViewId="0">
      <selection activeCell="AE3" sqref="AE3:AE13"/>
    </sheetView>
  </sheetViews>
  <sheetFormatPr baseColWidth="10" defaultRowHeight="16"/>
  <sheetData>
    <row r="1" spans="2:31" ht="17" thickBot="1">
      <c r="D1" s="140">
        <v>43928</v>
      </c>
      <c r="E1" s="140"/>
      <c r="F1" s="140"/>
      <c r="G1" s="140"/>
      <c r="H1" s="140"/>
      <c r="I1" s="140"/>
      <c r="J1" s="140">
        <v>43929</v>
      </c>
      <c r="K1" s="140"/>
      <c r="L1" s="140"/>
      <c r="M1" s="140"/>
      <c r="N1" s="140"/>
      <c r="O1" s="140"/>
      <c r="P1" s="140">
        <v>43930</v>
      </c>
      <c r="Q1" s="140"/>
      <c r="R1" s="140"/>
      <c r="S1" s="140"/>
      <c r="T1" s="140"/>
      <c r="U1" s="140"/>
      <c r="V1" s="140">
        <v>43932</v>
      </c>
      <c r="W1" s="140"/>
      <c r="X1" s="140"/>
      <c r="Y1" s="140"/>
      <c r="Z1" s="140"/>
      <c r="AA1" s="140"/>
      <c r="AB1" s="2">
        <v>43969</v>
      </c>
    </row>
    <row r="2" spans="2:31" ht="46" thickBot="1">
      <c r="D2" s="9" t="s">
        <v>111</v>
      </c>
      <c r="E2" s="9" t="s">
        <v>110</v>
      </c>
      <c r="F2" s="9" t="s">
        <v>112</v>
      </c>
      <c r="G2" s="9" t="s">
        <v>64</v>
      </c>
      <c r="H2" s="9" t="s">
        <v>65</v>
      </c>
      <c r="I2" s="9" t="s">
        <v>113</v>
      </c>
      <c r="J2" s="9" t="s">
        <v>111</v>
      </c>
      <c r="K2" s="9" t="s">
        <v>110</v>
      </c>
      <c r="L2" s="9" t="s">
        <v>112</v>
      </c>
      <c r="M2" s="9" t="s">
        <v>64</v>
      </c>
      <c r="N2" s="9" t="s">
        <v>65</v>
      </c>
      <c r="O2" s="9" t="s">
        <v>113</v>
      </c>
      <c r="P2" s="9" t="s">
        <v>111</v>
      </c>
      <c r="Q2" s="9" t="s">
        <v>110</v>
      </c>
      <c r="R2" s="9" t="s">
        <v>112</v>
      </c>
      <c r="S2" s="9" t="s">
        <v>64</v>
      </c>
      <c r="T2" s="9" t="s">
        <v>65</v>
      </c>
      <c r="U2" s="9" t="s">
        <v>113</v>
      </c>
      <c r="V2" s="9" t="s">
        <v>111</v>
      </c>
      <c r="W2" s="9" t="s">
        <v>110</v>
      </c>
      <c r="X2" s="9" t="s">
        <v>112</v>
      </c>
      <c r="Y2" s="9" t="s">
        <v>64</v>
      </c>
      <c r="Z2" s="9" t="s">
        <v>65</v>
      </c>
      <c r="AA2" s="9" t="s">
        <v>113</v>
      </c>
      <c r="AB2" s="103" t="s">
        <v>44</v>
      </c>
      <c r="AC2" s="103" t="s">
        <v>0</v>
      </c>
    </row>
    <row r="3" spans="2:31" ht="17" thickBot="1">
      <c r="B3" s="121" t="s">
        <v>1</v>
      </c>
      <c r="C3" s="7" t="s">
        <v>39</v>
      </c>
      <c r="D3" s="8">
        <v>2297</v>
      </c>
      <c r="E3" s="8">
        <v>2681</v>
      </c>
      <c r="F3" s="8">
        <v>4978</v>
      </c>
      <c r="G3" s="8">
        <v>130</v>
      </c>
      <c r="H3" s="8">
        <v>73</v>
      </c>
      <c r="I3" s="8">
        <v>203</v>
      </c>
      <c r="J3" s="8">
        <v>2453</v>
      </c>
      <c r="K3" s="8">
        <v>2933</v>
      </c>
      <c r="L3" s="8">
        <v>5386</v>
      </c>
      <c r="M3" s="8">
        <v>136</v>
      </c>
      <c r="N3" s="8">
        <v>82</v>
      </c>
      <c r="O3" s="8">
        <v>218</v>
      </c>
      <c r="P3" s="8">
        <v>2559</v>
      </c>
      <c r="Q3" s="8">
        <v>3076</v>
      </c>
      <c r="R3" s="8">
        <v>5635</v>
      </c>
      <c r="S3" s="8">
        <v>513</v>
      </c>
      <c r="T3" s="8">
        <v>245</v>
      </c>
      <c r="U3" s="8">
        <v>758</v>
      </c>
      <c r="V3" s="56">
        <v>3318</v>
      </c>
      <c r="W3" s="55">
        <v>2678</v>
      </c>
      <c r="X3" s="14">
        <f>SUM(V3:W3)</f>
        <v>5996</v>
      </c>
      <c r="Y3" s="23">
        <v>158</v>
      </c>
      <c r="Z3" s="23">
        <v>102</v>
      </c>
      <c r="AA3">
        <v>260</v>
      </c>
      <c r="AB3" s="23">
        <v>10968</v>
      </c>
      <c r="AC3">
        <v>548</v>
      </c>
      <c r="AD3">
        <f>AB4/10968</f>
        <v>2.1425966447848287E-2</v>
      </c>
      <c r="AE3">
        <f>AC4/548</f>
        <v>0</v>
      </c>
    </row>
    <row r="4" spans="2:31" ht="17" thickBot="1">
      <c r="B4" s="121"/>
      <c r="C4" s="7" t="s">
        <v>20</v>
      </c>
      <c r="D4" s="8">
        <v>19</v>
      </c>
      <c r="E4" s="8">
        <v>19</v>
      </c>
      <c r="F4" s="8">
        <v>38</v>
      </c>
      <c r="G4" s="8">
        <v>0</v>
      </c>
      <c r="H4" s="8">
        <v>0</v>
      </c>
      <c r="I4" s="8">
        <v>0</v>
      </c>
      <c r="J4" s="8">
        <v>25</v>
      </c>
      <c r="K4" s="8">
        <v>22</v>
      </c>
      <c r="L4" s="8">
        <v>47</v>
      </c>
      <c r="M4" s="8">
        <v>0</v>
      </c>
      <c r="N4" s="8">
        <v>0</v>
      </c>
      <c r="O4" s="8">
        <v>0</v>
      </c>
      <c r="P4" s="8">
        <v>31</v>
      </c>
      <c r="Q4" s="8">
        <v>27</v>
      </c>
      <c r="R4" s="8">
        <v>58</v>
      </c>
      <c r="S4" s="8">
        <v>1</v>
      </c>
      <c r="T4" s="8">
        <v>8</v>
      </c>
      <c r="U4" s="8">
        <v>9</v>
      </c>
      <c r="V4" s="56">
        <v>30</v>
      </c>
      <c r="W4" s="55">
        <v>22</v>
      </c>
      <c r="X4" s="14">
        <f t="shared" ref="X4:X13" si="0">SUM(V4:W4)</f>
        <v>52</v>
      </c>
      <c r="Y4" s="23"/>
      <c r="AB4" s="23">
        <v>235</v>
      </c>
      <c r="AC4">
        <v>0</v>
      </c>
      <c r="AD4" s="99">
        <f t="shared" ref="AD4:AD14" si="1">AB5/10968</f>
        <v>4.4037199124726478E-2</v>
      </c>
      <c r="AE4" s="99">
        <f t="shared" ref="AE4:AE13" si="2">AC5/548</f>
        <v>0</v>
      </c>
    </row>
    <row r="5" spans="2:31" ht="17" thickBot="1">
      <c r="B5" s="121"/>
      <c r="C5" s="10" t="s">
        <v>22</v>
      </c>
      <c r="D5" s="8">
        <v>46</v>
      </c>
      <c r="E5" s="8">
        <v>56</v>
      </c>
      <c r="F5" s="8">
        <v>102</v>
      </c>
      <c r="G5" s="8">
        <v>0</v>
      </c>
      <c r="H5" s="8">
        <v>0</v>
      </c>
      <c r="I5" s="8">
        <v>0</v>
      </c>
      <c r="J5" s="8">
        <v>52</v>
      </c>
      <c r="K5" s="8">
        <v>62</v>
      </c>
      <c r="L5" s="8">
        <v>114</v>
      </c>
      <c r="M5" s="8">
        <v>0</v>
      </c>
      <c r="N5" s="8">
        <v>0</v>
      </c>
      <c r="O5" s="8">
        <v>0</v>
      </c>
      <c r="P5" s="8">
        <v>59</v>
      </c>
      <c r="Q5" s="8">
        <v>70</v>
      </c>
      <c r="R5" s="8">
        <v>129</v>
      </c>
      <c r="S5" s="8">
        <v>11</v>
      </c>
      <c r="T5" s="8">
        <v>19</v>
      </c>
      <c r="U5" s="8">
        <v>30</v>
      </c>
      <c r="V5" s="56">
        <v>83</v>
      </c>
      <c r="W5" s="55">
        <v>67</v>
      </c>
      <c r="X5" s="14">
        <f t="shared" si="0"/>
        <v>150</v>
      </c>
      <c r="AB5">
        <v>483</v>
      </c>
      <c r="AC5">
        <v>0</v>
      </c>
      <c r="AD5" s="99">
        <f t="shared" si="1"/>
        <v>0.13575857038657915</v>
      </c>
      <c r="AE5" s="99">
        <f t="shared" si="2"/>
        <v>0</v>
      </c>
    </row>
    <row r="6" spans="2:31" ht="17" thickBot="1">
      <c r="B6" s="121"/>
      <c r="C6" s="7" t="s">
        <v>21</v>
      </c>
      <c r="D6" s="8">
        <v>186</v>
      </c>
      <c r="E6" s="8">
        <v>324</v>
      </c>
      <c r="F6" s="8">
        <v>510</v>
      </c>
      <c r="G6" s="8">
        <v>0</v>
      </c>
      <c r="H6" s="8">
        <v>0</v>
      </c>
      <c r="I6" s="8">
        <v>0</v>
      </c>
      <c r="J6" s="8">
        <v>210</v>
      </c>
      <c r="K6" s="8">
        <v>372</v>
      </c>
      <c r="L6" s="8">
        <v>582</v>
      </c>
      <c r="M6" s="8">
        <v>0</v>
      </c>
      <c r="N6" s="8">
        <v>0</v>
      </c>
      <c r="O6" s="8">
        <v>0</v>
      </c>
      <c r="P6" s="8">
        <v>219</v>
      </c>
      <c r="Q6" s="8">
        <v>388</v>
      </c>
      <c r="R6" s="8">
        <v>607</v>
      </c>
      <c r="S6" s="8">
        <v>74</v>
      </c>
      <c r="T6" s="8">
        <v>54</v>
      </c>
      <c r="U6" s="8">
        <v>128</v>
      </c>
      <c r="V6" s="56">
        <v>436</v>
      </c>
      <c r="W6" s="55">
        <v>242</v>
      </c>
      <c r="X6" s="14">
        <f t="shared" si="0"/>
        <v>678</v>
      </c>
      <c r="AB6">
        <v>1489</v>
      </c>
      <c r="AC6">
        <v>0</v>
      </c>
      <c r="AD6" s="99">
        <f t="shared" si="1"/>
        <v>0.14241429613420861</v>
      </c>
      <c r="AE6" s="99">
        <f t="shared" si="2"/>
        <v>0</v>
      </c>
    </row>
    <row r="7" spans="2:31" ht="17" thickBot="1">
      <c r="B7" s="121"/>
      <c r="C7" s="7" t="s">
        <v>23</v>
      </c>
      <c r="D7" s="8">
        <v>252</v>
      </c>
      <c r="E7" s="8">
        <v>391</v>
      </c>
      <c r="F7" s="8">
        <v>643</v>
      </c>
      <c r="G7" s="8">
        <v>0</v>
      </c>
      <c r="H7" s="8">
        <v>0</v>
      </c>
      <c r="I7" s="8">
        <v>0</v>
      </c>
      <c r="J7" s="8">
        <v>277</v>
      </c>
      <c r="K7" s="8">
        <v>431</v>
      </c>
      <c r="L7" s="8">
        <v>708</v>
      </c>
      <c r="M7" s="8">
        <v>0</v>
      </c>
      <c r="N7" s="8">
        <v>0</v>
      </c>
      <c r="O7" s="8">
        <v>0</v>
      </c>
      <c r="P7" s="8">
        <v>294</v>
      </c>
      <c r="Q7" s="8">
        <v>451</v>
      </c>
      <c r="R7" s="8">
        <v>745</v>
      </c>
      <c r="S7" s="8">
        <v>85</v>
      </c>
      <c r="T7" s="8">
        <v>48</v>
      </c>
      <c r="U7" s="8">
        <v>133</v>
      </c>
      <c r="V7" s="56">
        <v>485</v>
      </c>
      <c r="W7" s="55">
        <v>303</v>
      </c>
      <c r="X7" s="14">
        <f t="shared" si="0"/>
        <v>788</v>
      </c>
      <c r="AB7">
        <v>1562</v>
      </c>
      <c r="AC7">
        <v>0</v>
      </c>
      <c r="AD7" s="99">
        <f t="shared" si="1"/>
        <v>0.17778993435448578</v>
      </c>
      <c r="AE7" s="99">
        <f t="shared" si="2"/>
        <v>0</v>
      </c>
    </row>
    <row r="8" spans="2:31" ht="17" thickBot="1">
      <c r="B8" s="121"/>
      <c r="C8" s="7" t="s">
        <v>24</v>
      </c>
      <c r="D8" s="8">
        <v>451</v>
      </c>
      <c r="E8" s="8">
        <v>551</v>
      </c>
      <c r="F8" s="8">
        <v>1002</v>
      </c>
      <c r="G8" s="8">
        <v>0</v>
      </c>
      <c r="H8" s="8">
        <v>0</v>
      </c>
      <c r="I8" s="8">
        <v>0</v>
      </c>
      <c r="J8" s="8">
        <v>478</v>
      </c>
      <c r="K8" s="8">
        <v>584</v>
      </c>
      <c r="L8" s="8">
        <v>1062</v>
      </c>
      <c r="M8" s="8">
        <v>0</v>
      </c>
      <c r="N8" s="8">
        <v>0</v>
      </c>
      <c r="O8" s="8">
        <v>0</v>
      </c>
      <c r="P8" s="8">
        <v>496</v>
      </c>
      <c r="Q8" s="8">
        <v>609</v>
      </c>
      <c r="R8" s="8">
        <v>1105</v>
      </c>
      <c r="S8" s="8">
        <v>194</v>
      </c>
      <c r="T8" s="8">
        <v>52</v>
      </c>
      <c r="U8" s="8">
        <v>246</v>
      </c>
      <c r="V8" s="56">
        <v>657</v>
      </c>
      <c r="W8" s="55">
        <v>508</v>
      </c>
      <c r="X8" s="14">
        <f t="shared" si="0"/>
        <v>1165</v>
      </c>
      <c r="AB8">
        <v>1950</v>
      </c>
      <c r="AC8">
        <v>0</v>
      </c>
      <c r="AD8" s="99">
        <f t="shared" si="1"/>
        <v>0.18417213712618527</v>
      </c>
      <c r="AE8" s="99">
        <f t="shared" si="2"/>
        <v>2.9197080291970802E-2</v>
      </c>
    </row>
    <row r="9" spans="2:31" ht="17" thickBot="1">
      <c r="B9" s="121"/>
      <c r="C9" s="7" t="s">
        <v>25</v>
      </c>
      <c r="D9" s="8">
        <v>460</v>
      </c>
      <c r="E9" s="8">
        <v>529</v>
      </c>
      <c r="F9" s="8">
        <v>989</v>
      </c>
      <c r="G9" s="8">
        <v>6</v>
      </c>
      <c r="H9" s="8">
        <v>1</v>
      </c>
      <c r="I9" s="8">
        <v>7</v>
      </c>
      <c r="J9" s="8">
        <v>483</v>
      </c>
      <c r="K9" s="8">
        <v>590</v>
      </c>
      <c r="L9" s="8">
        <v>1073</v>
      </c>
      <c r="M9" s="8">
        <v>6</v>
      </c>
      <c r="N9" s="8">
        <v>1</v>
      </c>
      <c r="O9" s="8">
        <v>7</v>
      </c>
      <c r="P9" s="8">
        <v>499</v>
      </c>
      <c r="Q9" s="8">
        <v>626</v>
      </c>
      <c r="R9" s="8">
        <v>1125</v>
      </c>
      <c r="S9" s="8">
        <v>110</v>
      </c>
      <c r="T9" s="8">
        <v>47</v>
      </c>
      <c r="U9" s="8">
        <v>157</v>
      </c>
      <c r="V9" s="56">
        <v>664</v>
      </c>
      <c r="W9" s="55">
        <v>523</v>
      </c>
      <c r="X9" s="14">
        <f t="shared" si="0"/>
        <v>1187</v>
      </c>
      <c r="Y9" s="23">
        <v>6</v>
      </c>
      <c r="Z9" s="23">
        <v>1</v>
      </c>
      <c r="AA9">
        <v>7</v>
      </c>
      <c r="AB9">
        <v>2020</v>
      </c>
      <c r="AC9">
        <v>16</v>
      </c>
      <c r="AD9" s="99">
        <f t="shared" si="1"/>
        <v>0.1175237053245806</v>
      </c>
      <c r="AE9" s="99">
        <f t="shared" si="2"/>
        <v>9.6715328467153291E-2</v>
      </c>
    </row>
    <row r="10" spans="2:31" ht="17" thickBot="1">
      <c r="B10" s="121"/>
      <c r="C10" s="7" t="s">
        <v>26</v>
      </c>
      <c r="D10" s="8">
        <v>355</v>
      </c>
      <c r="E10" s="8">
        <v>301</v>
      </c>
      <c r="F10" s="8">
        <v>656</v>
      </c>
      <c r="G10" s="8">
        <v>14</v>
      </c>
      <c r="H10" s="8">
        <v>9</v>
      </c>
      <c r="I10" s="8">
        <v>23</v>
      </c>
      <c r="J10" s="8">
        <v>376</v>
      </c>
      <c r="K10" s="8">
        <v>335</v>
      </c>
      <c r="L10" s="8">
        <v>711</v>
      </c>
      <c r="M10" s="8">
        <v>14</v>
      </c>
      <c r="N10" s="8">
        <v>10</v>
      </c>
      <c r="O10" s="8">
        <v>24</v>
      </c>
      <c r="P10" s="8">
        <v>393</v>
      </c>
      <c r="Q10" s="8">
        <v>345</v>
      </c>
      <c r="R10" s="8">
        <v>738</v>
      </c>
      <c r="S10" s="8">
        <v>33</v>
      </c>
      <c r="T10" s="8">
        <v>12</v>
      </c>
      <c r="U10" s="8">
        <v>45</v>
      </c>
      <c r="V10" s="56">
        <v>370</v>
      </c>
      <c r="W10" s="55">
        <v>411</v>
      </c>
      <c r="X10" s="14">
        <f t="shared" si="0"/>
        <v>781</v>
      </c>
      <c r="Y10" s="23">
        <v>18</v>
      </c>
      <c r="Z10" s="23">
        <v>14</v>
      </c>
      <c r="AA10">
        <v>32</v>
      </c>
      <c r="AB10" s="23">
        <v>1289</v>
      </c>
      <c r="AC10" s="23">
        <v>53</v>
      </c>
      <c r="AD10" s="99">
        <f t="shared" si="1"/>
        <v>8.5977388767323124E-2</v>
      </c>
      <c r="AE10" s="99">
        <f t="shared" si="2"/>
        <v>0.28467153284671531</v>
      </c>
    </row>
    <row r="11" spans="2:31" ht="17" thickBot="1">
      <c r="B11" s="121"/>
      <c r="C11" s="7" t="s">
        <v>27</v>
      </c>
      <c r="D11" s="8">
        <v>322</v>
      </c>
      <c r="E11" s="8">
        <v>238</v>
      </c>
      <c r="F11" s="8">
        <v>560</v>
      </c>
      <c r="G11" s="8">
        <v>44</v>
      </c>
      <c r="H11" s="8">
        <v>21</v>
      </c>
      <c r="I11" s="8">
        <v>65</v>
      </c>
      <c r="J11" s="8">
        <v>340</v>
      </c>
      <c r="K11" s="8">
        <v>246</v>
      </c>
      <c r="L11" s="8">
        <v>586</v>
      </c>
      <c r="M11" s="8">
        <v>46</v>
      </c>
      <c r="N11" s="8">
        <v>24</v>
      </c>
      <c r="O11" s="8">
        <v>70</v>
      </c>
      <c r="P11" s="8">
        <v>349</v>
      </c>
      <c r="Q11" s="8">
        <v>258</v>
      </c>
      <c r="R11" s="8">
        <v>607</v>
      </c>
      <c r="S11" s="8">
        <v>2</v>
      </c>
      <c r="T11" s="8">
        <v>2</v>
      </c>
      <c r="U11" s="8">
        <v>4</v>
      </c>
      <c r="V11" s="56">
        <v>266</v>
      </c>
      <c r="W11" s="55">
        <v>362</v>
      </c>
      <c r="X11" s="14">
        <f t="shared" si="0"/>
        <v>628</v>
      </c>
      <c r="Y11" s="23">
        <v>55</v>
      </c>
      <c r="Z11" s="23">
        <v>27</v>
      </c>
      <c r="AA11">
        <v>82</v>
      </c>
      <c r="AB11" s="23">
        <v>943</v>
      </c>
      <c r="AC11" s="23">
        <v>156</v>
      </c>
      <c r="AD11" s="99">
        <f t="shared" si="1"/>
        <v>9.0900802334062725E-2</v>
      </c>
      <c r="AE11" s="99">
        <f t="shared" si="2"/>
        <v>0.58941605839416056</v>
      </c>
    </row>
    <row r="12" spans="2:31" ht="17" thickBot="1">
      <c r="B12" s="121"/>
      <c r="C12" s="7" t="s">
        <v>28</v>
      </c>
      <c r="D12" s="8">
        <v>178</v>
      </c>
      <c r="E12" s="8">
        <v>198</v>
      </c>
      <c r="F12" s="8">
        <v>376</v>
      </c>
      <c r="G12" s="8">
        <v>49</v>
      </c>
      <c r="H12" s="8">
        <v>26</v>
      </c>
      <c r="I12" s="8">
        <v>75</v>
      </c>
      <c r="J12" s="8">
        <v>182</v>
      </c>
      <c r="K12" s="8">
        <v>213</v>
      </c>
      <c r="L12" s="8">
        <v>295</v>
      </c>
      <c r="M12" s="8">
        <v>53</v>
      </c>
      <c r="N12" s="8">
        <v>29</v>
      </c>
      <c r="O12" s="8">
        <v>82</v>
      </c>
      <c r="P12" s="8">
        <v>188</v>
      </c>
      <c r="Q12" s="8">
        <v>221</v>
      </c>
      <c r="R12" s="8">
        <v>409</v>
      </c>
      <c r="S12" s="8">
        <v>2</v>
      </c>
      <c r="T12" s="8">
        <v>2</v>
      </c>
      <c r="U12" s="8">
        <v>4</v>
      </c>
      <c r="V12" s="56">
        <v>238</v>
      </c>
      <c r="W12" s="55">
        <v>194</v>
      </c>
      <c r="X12" s="14">
        <f t="shared" si="0"/>
        <v>432</v>
      </c>
      <c r="Y12" s="23">
        <v>58</v>
      </c>
      <c r="Z12" s="23">
        <v>34</v>
      </c>
      <c r="AA12">
        <v>92</v>
      </c>
      <c r="AB12" s="23">
        <v>997</v>
      </c>
      <c r="AC12" s="23">
        <v>323</v>
      </c>
      <c r="AD12" s="99">
        <f t="shared" si="1"/>
        <v>0.42314004376367614</v>
      </c>
      <c r="AE12" s="99">
        <f t="shared" si="2"/>
        <v>0.56934306569343063</v>
      </c>
    </row>
    <row r="13" spans="2:31" ht="17" thickBot="1">
      <c r="B13" s="121"/>
      <c r="C13" s="7" t="s">
        <v>29</v>
      </c>
      <c r="D13" s="8">
        <v>28</v>
      </c>
      <c r="E13" s="8">
        <v>74</v>
      </c>
      <c r="F13" s="8">
        <v>102</v>
      </c>
      <c r="G13" s="8">
        <v>17</v>
      </c>
      <c r="H13" s="8">
        <v>16</v>
      </c>
      <c r="I13" s="8">
        <v>33</v>
      </c>
      <c r="J13" s="8">
        <v>30</v>
      </c>
      <c r="K13" s="8">
        <v>78</v>
      </c>
      <c r="L13" s="8">
        <v>108</v>
      </c>
      <c r="M13" s="8">
        <v>17</v>
      </c>
      <c r="N13" s="8">
        <v>18</v>
      </c>
      <c r="O13" s="8">
        <v>35</v>
      </c>
      <c r="P13" s="8">
        <v>31</v>
      </c>
      <c r="Q13" s="8">
        <v>81</v>
      </c>
      <c r="R13" s="8">
        <v>112</v>
      </c>
      <c r="S13" s="8">
        <v>1</v>
      </c>
      <c r="T13" s="8">
        <v>1</v>
      </c>
      <c r="U13" s="8">
        <v>2</v>
      </c>
      <c r="V13" s="56">
        <v>89</v>
      </c>
      <c r="W13" s="55">
        <v>35</v>
      </c>
      <c r="X13" s="14">
        <f t="shared" si="0"/>
        <v>124</v>
      </c>
      <c r="Y13" s="23">
        <v>21</v>
      </c>
      <c r="Z13">
        <v>26</v>
      </c>
      <c r="AA13">
        <v>47</v>
      </c>
      <c r="AB13" s="23">
        <v>4641</v>
      </c>
      <c r="AC13" s="23">
        <v>312</v>
      </c>
      <c r="AD13" s="99">
        <f t="shared" si="1"/>
        <v>0.5768599562363238</v>
      </c>
      <c r="AE13" s="99">
        <f t="shared" si="2"/>
        <v>0.43065693430656932</v>
      </c>
    </row>
    <row r="14" spans="2:31">
      <c r="V14" s="14">
        <f>SUM(V12:V13)</f>
        <v>327</v>
      </c>
      <c r="W14" s="14">
        <f t="shared" ref="W14:AA14" si="3">SUM(W12:W13)</f>
        <v>229</v>
      </c>
      <c r="X14" s="14">
        <f t="shared" si="3"/>
        <v>556</v>
      </c>
      <c r="Y14" s="14">
        <f t="shared" si="3"/>
        <v>79</v>
      </c>
      <c r="Z14" s="14">
        <f t="shared" si="3"/>
        <v>60</v>
      </c>
      <c r="AA14" s="14">
        <f t="shared" si="3"/>
        <v>139</v>
      </c>
      <c r="AB14" s="14">
        <v>6327</v>
      </c>
      <c r="AC14" s="14">
        <v>236</v>
      </c>
      <c r="AD14" s="99">
        <f t="shared" si="1"/>
        <v>0</v>
      </c>
    </row>
  </sheetData>
  <mergeCells count="5">
    <mergeCell ref="V1:AA1"/>
    <mergeCell ref="B3:B13"/>
    <mergeCell ref="D1:I1"/>
    <mergeCell ref="J1:O1"/>
    <mergeCell ref="P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9529-E5B9-2245-A62D-215B89CA23BD}">
  <dimension ref="A1:R16"/>
  <sheetViews>
    <sheetView zoomScale="114" workbookViewId="0">
      <selection activeCell="R4" sqref="R4"/>
    </sheetView>
  </sheetViews>
  <sheetFormatPr baseColWidth="10" defaultRowHeight="16"/>
  <sheetData>
    <row r="1" spans="1:18" ht="23">
      <c r="A1" s="3"/>
      <c r="B1" s="1"/>
    </row>
    <row r="2" spans="1:18" ht="23">
      <c r="A2" s="3"/>
      <c r="B2" s="113" t="s">
        <v>11</v>
      </c>
      <c r="C2" s="113"/>
      <c r="D2" s="113"/>
      <c r="E2" s="113"/>
      <c r="F2" s="113"/>
      <c r="G2" s="113"/>
    </row>
    <row r="3" spans="1:18" ht="24" thickBot="1">
      <c r="A3" s="3"/>
      <c r="B3" s="12"/>
      <c r="C3" s="107" t="s">
        <v>36</v>
      </c>
      <c r="D3" s="107"/>
      <c r="E3" s="107" t="s">
        <v>31</v>
      </c>
      <c r="F3" s="107"/>
      <c r="G3" s="107" t="s">
        <v>38</v>
      </c>
      <c r="H3" s="107"/>
      <c r="I3" s="107" t="s">
        <v>57</v>
      </c>
      <c r="J3" s="107"/>
      <c r="K3" s="107" t="s">
        <v>98</v>
      </c>
      <c r="L3" s="107"/>
      <c r="M3" s="107" t="s">
        <v>123</v>
      </c>
      <c r="N3" s="107"/>
      <c r="O3" s="107" t="s">
        <v>124</v>
      </c>
      <c r="P3" s="107"/>
    </row>
    <row r="4" spans="1:18" ht="45" customHeight="1" thickBot="1">
      <c r="A4" s="3"/>
      <c r="C4" s="9" t="s">
        <v>32</v>
      </c>
      <c r="D4" s="9" t="s">
        <v>30</v>
      </c>
      <c r="E4" s="9" t="s">
        <v>32</v>
      </c>
      <c r="F4" s="9" t="s">
        <v>30</v>
      </c>
      <c r="G4" s="9" t="s">
        <v>32</v>
      </c>
      <c r="H4" s="9" t="s">
        <v>30</v>
      </c>
      <c r="I4" s="9" t="s">
        <v>32</v>
      </c>
      <c r="J4" s="9" t="s">
        <v>30</v>
      </c>
      <c r="K4" s="9" t="s">
        <v>32</v>
      </c>
      <c r="L4" s="9" t="s">
        <v>30</v>
      </c>
      <c r="M4" s="9" t="s">
        <v>32</v>
      </c>
      <c r="N4" s="9" t="s">
        <v>30</v>
      </c>
      <c r="O4" s="9" t="s">
        <v>32</v>
      </c>
      <c r="P4" s="9" t="s">
        <v>30</v>
      </c>
    </row>
    <row r="5" spans="1:18" ht="45" customHeight="1" thickBot="1">
      <c r="A5" s="108" t="s">
        <v>1</v>
      </c>
      <c r="B5" s="5" t="s">
        <v>3</v>
      </c>
      <c r="C5" s="8">
        <v>1</v>
      </c>
      <c r="D5" s="8">
        <v>988</v>
      </c>
      <c r="E5" s="8">
        <v>2</v>
      </c>
      <c r="F5" s="8">
        <v>1077</v>
      </c>
      <c r="G5" s="8">
        <v>2</v>
      </c>
      <c r="H5" s="8">
        <v>1135</v>
      </c>
      <c r="I5" s="8">
        <v>2</v>
      </c>
      <c r="J5" s="8">
        <v>1204</v>
      </c>
      <c r="K5" s="8">
        <v>2</v>
      </c>
      <c r="L5" s="8">
        <v>1374</v>
      </c>
      <c r="M5" s="8">
        <v>3</v>
      </c>
      <c r="N5" s="8">
        <v>1523</v>
      </c>
      <c r="O5" s="8">
        <v>3</v>
      </c>
      <c r="P5" s="8">
        <v>1726</v>
      </c>
      <c r="Q5" s="26">
        <f>O5/4778</f>
        <v>6.2787777312683132E-4</v>
      </c>
      <c r="R5" s="26">
        <f>P5/87725</f>
        <v>1.9675121117127388E-2</v>
      </c>
    </row>
    <row r="6" spans="1:18" ht="17" thickBot="1">
      <c r="A6" s="109"/>
      <c r="B6" s="5" t="s">
        <v>4</v>
      </c>
      <c r="C6" s="8">
        <v>110</v>
      </c>
      <c r="D6" s="8">
        <v>22434</v>
      </c>
      <c r="E6" s="8">
        <v>132</v>
      </c>
      <c r="F6" s="8">
        <v>23952</v>
      </c>
      <c r="G6" s="8">
        <v>140</v>
      </c>
      <c r="H6" s="8">
        <v>25383</v>
      </c>
      <c r="I6" s="8">
        <v>148</v>
      </c>
      <c r="J6" s="8">
        <v>26716</v>
      </c>
      <c r="K6" s="8">
        <v>201</v>
      </c>
      <c r="L6" s="8">
        <v>28830</v>
      </c>
      <c r="M6" s="8">
        <v>209</v>
      </c>
      <c r="N6" s="8">
        <v>30877</v>
      </c>
      <c r="O6" s="8">
        <v>241</v>
      </c>
      <c r="P6" s="8">
        <v>33906</v>
      </c>
      <c r="Q6" s="26">
        <f>O6/4778</f>
        <v>5.0439514441188785E-2</v>
      </c>
      <c r="R6" s="26">
        <f t="shared" ref="R6:R14" si="0">P6/87725</f>
        <v>0.38650327728697637</v>
      </c>
    </row>
    <row r="7" spans="1:18" ht="17" thickBot="1">
      <c r="A7" s="109"/>
      <c r="B7" s="5" t="s">
        <v>5</v>
      </c>
      <c r="C7" s="8">
        <v>442</v>
      </c>
      <c r="D7" s="8">
        <v>19971</v>
      </c>
      <c r="E7" s="8">
        <v>535</v>
      </c>
      <c r="F7" s="8">
        <v>21644</v>
      </c>
      <c r="G7" s="8">
        <v>587</v>
      </c>
      <c r="H7" s="8">
        <v>23135</v>
      </c>
      <c r="I7" s="8">
        <v>652</v>
      </c>
      <c r="J7" s="8">
        <v>24627</v>
      </c>
      <c r="K7" s="8">
        <v>853</v>
      </c>
      <c r="L7" s="8">
        <v>26755</v>
      </c>
      <c r="M7" s="8">
        <v>1020</v>
      </c>
      <c r="N7" s="8">
        <v>28700</v>
      </c>
      <c r="O7" s="8">
        <v>1143</v>
      </c>
      <c r="P7" s="8">
        <v>31472</v>
      </c>
      <c r="Q7" s="26">
        <f t="shared" ref="Q7:Q14" si="1">O7/4778</f>
        <v>0.23922143156132272</v>
      </c>
      <c r="R7" s="26">
        <f t="shared" si="0"/>
        <v>0.35875748076375036</v>
      </c>
    </row>
    <row r="8" spans="1:18" ht="17" thickBot="1">
      <c r="A8" s="109"/>
      <c r="B8" s="5" t="s">
        <v>9</v>
      </c>
      <c r="C8" s="8">
        <v>461</v>
      </c>
      <c r="D8" s="8">
        <v>7064</v>
      </c>
      <c r="E8" s="8">
        <v>557</v>
      </c>
      <c r="F8" s="8">
        <v>7716</v>
      </c>
      <c r="G8" s="8">
        <v>612</v>
      </c>
      <c r="H8" s="8">
        <v>8260</v>
      </c>
      <c r="I8" s="8">
        <v>686</v>
      </c>
      <c r="J8" s="8">
        <v>8749</v>
      </c>
      <c r="K8" s="8">
        <v>879</v>
      </c>
      <c r="L8" s="8">
        <v>9472</v>
      </c>
      <c r="M8" s="8">
        <v>1064</v>
      </c>
      <c r="N8" s="8">
        <v>10219</v>
      </c>
      <c r="O8" s="8">
        <v>1187</v>
      </c>
      <c r="P8" s="8">
        <v>10990</v>
      </c>
      <c r="Q8" s="26">
        <f t="shared" si="1"/>
        <v>0.24843030556718293</v>
      </c>
      <c r="R8" s="26">
        <f t="shared" si="0"/>
        <v>0.12527785693929894</v>
      </c>
    </row>
    <row r="9" spans="1:18" ht="17" thickBot="1">
      <c r="A9" s="109"/>
      <c r="B9" s="5" t="s">
        <v>6</v>
      </c>
      <c r="C9" s="8">
        <v>853</v>
      </c>
      <c r="D9" s="8">
        <v>5709</v>
      </c>
      <c r="E9" s="8">
        <v>1028</v>
      </c>
      <c r="F9" s="8">
        <v>6337</v>
      </c>
      <c r="G9" s="8">
        <v>1131</v>
      </c>
      <c r="H9" s="8">
        <v>6905</v>
      </c>
      <c r="I9" s="8">
        <v>1250</v>
      </c>
      <c r="J9" s="8">
        <v>7345</v>
      </c>
      <c r="K9" s="8">
        <v>1609</v>
      </c>
      <c r="L9" s="8">
        <v>8007</v>
      </c>
      <c r="M9" s="8">
        <v>1952</v>
      </c>
      <c r="N9" s="8">
        <v>8713</v>
      </c>
      <c r="O9" s="8">
        <v>2204</v>
      </c>
      <c r="P9" s="8">
        <v>9424</v>
      </c>
      <c r="Q9" s="26">
        <f t="shared" si="1"/>
        <v>0.46128087065717871</v>
      </c>
      <c r="R9" s="26">
        <f t="shared" si="0"/>
        <v>0.10742661726987746</v>
      </c>
    </row>
    <row r="10" spans="1:18" ht="17" thickBot="1">
      <c r="A10" s="109"/>
      <c r="B10" s="5" t="s">
        <v>18</v>
      </c>
      <c r="C10" s="8"/>
      <c r="D10" s="8">
        <v>123</v>
      </c>
      <c r="E10" s="8"/>
      <c r="F10" s="8">
        <v>124</v>
      </c>
      <c r="G10" s="8"/>
      <c r="H10" s="8">
        <v>127</v>
      </c>
      <c r="I10" s="8">
        <v>0</v>
      </c>
      <c r="J10" s="8">
        <v>135</v>
      </c>
      <c r="K10" s="8">
        <v>0</v>
      </c>
      <c r="L10" s="8">
        <v>163</v>
      </c>
      <c r="M10" s="8">
        <v>0</v>
      </c>
      <c r="N10" s="8">
        <v>172</v>
      </c>
      <c r="O10" s="8">
        <v>0</v>
      </c>
      <c r="P10" s="8">
        <v>207</v>
      </c>
      <c r="Q10" s="26">
        <f t="shared" si="1"/>
        <v>0</v>
      </c>
      <c r="R10" s="26">
        <f t="shared" si="0"/>
        <v>2.3596466229695071E-3</v>
      </c>
    </row>
    <row r="11" spans="1:18" ht="17" thickBot="1">
      <c r="A11" s="109"/>
      <c r="B11" s="5" t="s">
        <v>39</v>
      </c>
      <c r="C11" s="8">
        <v>1867</v>
      </c>
      <c r="D11" s="8">
        <v>56289</v>
      </c>
      <c r="E11" s="8">
        <v>2254</v>
      </c>
      <c r="F11" s="8">
        <v>60850</v>
      </c>
      <c r="G11" s="8">
        <v>2472</v>
      </c>
      <c r="H11" s="8">
        <v>64955</v>
      </c>
      <c r="I11" s="8">
        <v>2738</v>
      </c>
      <c r="J11" s="8">
        <v>68776</v>
      </c>
      <c r="K11" s="8">
        <v>3544</v>
      </c>
      <c r="L11" s="8">
        <v>74601</v>
      </c>
      <c r="M11" s="8">
        <v>4260</v>
      </c>
      <c r="N11" s="8">
        <v>80204</v>
      </c>
      <c r="O11" s="8">
        <v>4778</v>
      </c>
      <c r="P11" s="8">
        <v>87725</v>
      </c>
      <c r="Q11" s="26">
        <f t="shared" si="1"/>
        <v>1</v>
      </c>
      <c r="R11" s="26">
        <f t="shared" si="0"/>
        <v>1</v>
      </c>
    </row>
    <row r="12" spans="1:18" ht="18" customHeight="1" thickBot="1">
      <c r="A12" s="110" t="s">
        <v>35</v>
      </c>
      <c r="B12" s="5" t="s">
        <v>8</v>
      </c>
      <c r="C12" s="8">
        <v>706</v>
      </c>
      <c r="D12" s="8">
        <v>30672</v>
      </c>
      <c r="E12" s="8">
        <v>836</v>
      </c>
      <c r="F12" s="8">
        <v>27660</v>
      </c>
      <c r="G12" s="8">
        <v>920</v>
      </c>
      <c r="H12" s="8">
        <v>29607</v>
      </c>
      <c r="I12" s="8">
        <v>1017</v>
      </c>
      <c r="J12" s="8">
        <v>31319</v>
      </c>
      <c r="K12" s="8">
        <v>1309</v>
      </c>
      <c r="L12" s="8">
        <v>34118</v>
      </c>
      <c r="M12" s="8">
        <v>1526</v>
      </c>
      <c r="N12" s="8">
        <v>36580</v>
      </c>
      <c r="O12" s="8">
        <v>1724</v>
      </c>
      <c r="P12" s="8">
        <v>40135</v>
      </c>
      <c r="Q12" s="26">
        <f t="shared" si="1"/>
        <v>0.36082042695688571</v>
      </c>
      <c r="R12" s="26">
        <f>P12/87725</f>
        <v>0.45750926189797664</v>
      </c>
    </row>
    <row r="13" spans="1:18" ht="17" thickBot="1">
      <c r="A13" s="111"/>
      <c r="B13" s="5" t="s">
        <v>7</v>
      </c>
      <c r="C13" s="8">
        <v>1159</v>
      </c>
      <c r="D13" s="8">
        <v>25536</v>
      </c>
      <c r="E13" s="8">
        <v>1416</v>
      </c>
      <c r="F13" s="8">
        <v>30198</v>
      </c>
      <c r="G13" s="8">
        <v>1550</v>
      </c>
      <c r="H13" s="8">
        <v>35256</v>
      </c>
      <c r="I13" s="8">
        <v>1719</v>
      </c>
      <c r="J13" s="8">
        <v>33773</v>
      </c>
      <c r="K13" s="8">
        <v>2232</v>
      </c>
      <c r="L13" s="8">
        <v>40323</v>
      </c>
      <c r="M13" s="8">
        <v>2527</v>
      </c>
      <c r="N13" s="8">
        <v>43241</v>
      </c>
      <c r="O13" s="8">
        <v>2848</v>
      </c>
      <c r="P13" s="8">
        <v>43124</v>
      </c>
      <c r="Q13" s="26">
        <f t="shared" si="1"/>
        <v>0.59606529928840524</v>
      </c>
      <c r="R13" s="26">
        <f t="shared" si="0"/>
        <v>0.49158164719293246</v>
      </c>
    </row>
    <row r="14" spans="1:18" ht="17" thickBot="1">
      <c r="A14" s="112"/>
      <c r="B14" s="5" t="s">
        <v>18</v>
      </c>
      <c r="C14" s="8">
        <v>2</v>
      </c>
      <c r="D14" s="8">
        <v>81</v>
      </c>
      <c r="E14" s="8">
        <v>2</v>
      </c>
      <c r="F14" s="8">
        <v>90</v>
      </c>
      <c r="G14" s="8">
        <v>2</v>
      </c>
      <c r="H14" s="8">
        <v>92</v>
      </c>
      <c r="I14" s="8">
        <v>2</v>
      </c>
      <c r="J14" s="8">
        <v>96</v>
      </c>
      <c r="K14" s="8">
        <v>3</v>
      </c>
      <c r="L14" s="8">
        <v>160</v>
      </c>
      <c r="M14" s="8">
        <v>207</v>
      </c>
      <c r="N14" s="8">
        <v>383</v>
      </c>
      <c r="O14" s="8">
        <v>206</v>
      </c>
      <c r="P14" s="8">
        <v>397</v>
      </c>
      <c r="Q14" s="26">
        <f t="shared" si="1"/>
        <v>4.3114273754709082E-2</v>
      </c>
      <c r="R14" s="26">
        <f t="shared" si="0"/>
        <v>4.5255058421202624E-3</v>
      </c>
    </row>
    <row r="15" spans="1:18">
      <c r="A15" s="3"/>
      <c r="K15" s="4"/>
      <c r="L15" s="4"/>
    </row>
    <row r="16" spans="1:18">
      <c r="A16" s="3"/>
    </row>
  </sheetData>
  <mergeCells count="10">
    <mergeCell ref="A12:A14"/>
    <mergeCell ref="E3:F3"/>
    <mergeCell ref="G3:H3"/>
    <mergeCell ref="B2:G2"/>
    <mergeCell ref="I3:J3"/>
    <mergeCell ref="K3:L3"/>
    <mergeCell ref="M3:N3"/>
    <mergeCell ref="O3:P3"/>
    <mergeCell ref="C3:D3"/>
    <mergeCell ref="A5:A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ABCB-8B0B-0949-B9CE-1E4FB5AD00DC}">
  <dimension ref="B1:H13"/>
  <sheetViews>
    <sheetView workbookViewId="0">
      <selection activeCell="H4" sqref="H4:H12"/>
    </sheetView>
  </sheetViews>
  <sheetFormatPr baseColWidth="10" defaultRowHeight="16"/>
  <sheetData>
    <row r="1" spans="2:8" ht="17" thickBot="1">
      <c r="D1" s="2">
        <v>43929</v>
      </c>
      <c r="F1" s="2"/>
      <c r="H1" s="2"/>
    </row>
    <row r="2" spans="2:8" ht="46" thickBot="1">
      <c r="D2" s="9" t="s">
        <v>69</v>
      </c>
      <c r="E2" s="9" t="s">
        <v>70</v>
      </c>
      <c r="F2" s="4" t="s">
        <v>30</v>
      </c>
      <c r="G2" s="106" t="s">
        <v>44</v>
      </c>
      <c r="H2" s="106" t="s">
        <v>0</v>
      </c>
    </row>
    <row r="3" spans="2:8" ht="17" thickBot="1">
      <c r="B3" s="121" t="s">
        <v>1</v>
      </c>
      <c r="C3" s="7" t="s">
        <v>39</v>
      </c>
      <c r="D3" s="8">
        <f>SUM(D4:D13)</f>
        <v>10337</v>
      </c>
      <c r="E3" s="8">
        <f>SUM(E4:E13)</f>
        <v>12945</v>
      </c>
      <c r="F3" s="14">
        <f>D3+E3</f>
        <v>23282</v>
      </c>
      <c r="G3">
        <f>SUM(G4:G12)</f>
        <v>55522</v>
      </c>
    </row>
    <row r="4" spans="2:8" ht="17" thickBot="1">
      <c r="B4" s="121"/>
      <c r="C4" s="7" t="s">
        <v>20</v>
      </c>
      <c r="D4" s="8">
        <v>82</v>
      </c>
      <c r="E4" s="8">
        <v>64</v>
      </c>
      <c r="F4" s="14">
        <f t="shared" ref="F4:F11" si="0">D4+E4</f>
        <v>146</v>
      </c>
      <c r="G4">
        <v>333</v>
      </c>
      <c r="H4">
        <f>G4/55522</f>
        <v>5.9976225640286729E-3</v>
      </c>
    </row>
    <row r="5" spans="2:8" ht="17" thickBot="1">
      <c r="B5" s="121"/>
      <c r="C5" s="10" t="s">
        <v>22</v>
      </c>
      <c r="D5" s="8">
        <v>96</v>
      </c>
      <c r="E5" s="8">
        <v>121</v>
      </c>
      <c r="F5" s="14">
        <f t="shared" si="0"/>
        <v>217</v>
      </c>
      <c r="G5">
        <v>613</v>
      </c>
      <c r="H5" s="99">
        <f t="shared" ref="H5:H12" si="1">G5/55522</f>
        <v>1.1040668563812544E-2</v>
      </c>
    </row>
    <row r="6" spans="2:8" ht="17" thickBot="1">
      <c r="B6" s="121"/>
      <c r="C6" s="7" t="s">
        <v>21</v>
      </c>
      <c r="D6" s="8">
        <v>580</v>
      </c>
      <c r="E6" s="8">
        <v>1342</v>
      </c>
      <c r="F6" s="14">
        <f t="shared" si="0"/>
        <v>1922</v>
      </c>
      <c r="G6">
        <v>4952</v>
      </c>
      <c r="H6" s="99">
        <f t="shared" si="1"/>
        <v>8.9189870681891867E-2</v>
      </c>
    </row>
    <row r="7" spans="2:8" ht="17" thickBot="1">
      <c r="B7" s="121"/>
      <c r="C7" s="7" t="s">
        <v>23</v>
      </c>
      <c r="D7" s="8">
        <v>820</v>
      </c>
      <c r="E7" s="8">
        <v>1689</v>
      </c>
      <c r="F7" s="14">
        <f t="shared" si="0"/>
        <v>2509</v>
      </c>
      <c r="G7">
        <v>5737</v>
      </c>
      <c r="H7" s="99">
        <f t="shared" si="1"/>
        <v>0.10332841035985735</v>
      </c>
    </row>
    <row r="8" spans="2:8" ht="17" thickBot="1">
      <c r="B8" s="121"/>
      <c r="C8" s="7" t="s">
        <v>24</v>
      </c>
      <c r="D8" s="8">
        <v>1321</v>
      </c>
      <c r="E8" s="8">
        <v>2064</v>
      </c>
      <c r="F8" s="14">
        <f t="shared" si="0"/>
        <v>3385</v>
      </c>
      <c r="G8">
        <v>7030</v>
      </c>
      <c r="H8" s="99">
        <f t="shared" si="1"/>
        <v>0.12661647635171644</v>
      </c>
    </row>
    <row r="9" spans="2:8" ht="17" thickBot="1">
      <c r="B9" s="121"/>
      <c r="C9" s="7" t="s">
        <v>25</v>
      </c>
      <c r="D9" s="8">
        <v>1914</v>
      </c>
      <c r="E9" s="8">
        <v>2229</v>
      </c>
      <c r="F9" s="14">
        <f t="shared" si="0"/>
        <v>4143</v>
      </c>
      <c r="G9">
        <v>8204</v>
      </c>
      <c r="H9" s="99">
        <f t="shared" si="1"/>
        <v>0.14776124779366737</v>
      </c>
    </row>
    <row r="10" spans="2:8" ht="17" thickBot="1">
      <c r="B10" s="121"/>
      <c r="C10" s="7" t="s">
        <v>26</v>
      </c>
      <c r="D10" s="8">
        <v>1797</v>
      </c>
      <c r="E10" s="8">
        <v>1207</v>
      </c>
      <c r="F10" s="14">
        <f t="shared" si="0"/>
        <v>3004</v>
      </c>
      <c r="G10">
        <v>5453</v>
      </c>
      <c r="H10" s="99">
        <f t="shared" si="1"/>
        <v>9.8213320845790861E-2</v>
      </c>
    </row>
    <row r="11" spans="2:8" ht="17" thickBot="1">
      <c r="B11" s="121"/>
      <c r="C11" s="7" t="s">
        <v>27</v>
      </c>
      <c r="D11" s="8">
        <v>1698</v>
      </c>
      <c r="E11" s="8">
        <v>1324</v>
      </c>
      <c r="F11" s="14">
        <f t="shared" si="0"/>
        <v>3022</v>
      </c>
      <c r="G11">
        <v>6262</v>
      </c>
      <c r="H11" s="99">
        <f t="shared" si="1"/>
        <v>0.11278412160945211</v>
      </c>
    </row>
    <row r="12" spans="2:8" ht="17" thickBot="1">
      <c r="B12" s="121"/>
      <c r="C12" s="7" t="s">
        <v>28</v>
      </c>
      <c r="D12" s="8">
        <v>1581</v>
      </c>
      <c r="E12" s="8">
        <v>2009</v>
      </c>
      <c r="F12" s="14">
        <f>4934</f>
        <v>4934</v>
      </c>
      <c r="G12">
        <v>16938</v>
      </c>
      <c r="H12" s="99">
        <f t="shared" si="1"/>
        <v>0.30506826122978281</v>
      </c>
    </row>
    <row r="13" spans="2:8" ht="17" thickBot="1">
      <c r="B13" s="121"/>
      <c r="C13" s="7" t="s">
        <v>29</v>
      </c>
      <c r="D13" s="8">
        <v>448</v>
      </c>
      <c r="E13" s="8">
        <v>896</v>
      </c>
      <c r="F13" s="14"/>
    </row>
  </sheetData>
  <mergeCells count="1">
    <mergeCell ref="B3:B1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3672-1375-764F-AC3D-A60B72ACAF3C}">
  <dimension ref="A4:E12"/>
  <sheetViews>
    <sheetView workbookViewId="0">
      <selection activeCell="D18" sqref="D18:E19"/>
    </sheetView>
  </sheetViews>
  <sheetFormatPr baseColWidth="10" defaultRowHeight="16"/>
  <sheetData>
    <row r="4" spans="1:5" ht="28">
      <c r="A4" s="39" t="s">
        <v>116</v>
      </c>
      <c r="B4" s="40"/>
      <c r="C4" s="28">
        <v>43928</v>
      </c>
      <c r="D4" s="27" t="s">
        <v>115</v>
      </c>
    </row>
    <row r="5" spans="1:5">
      <c r="A5" s="141" t="s">
        <v>33</v>
      </c>
      <c r="B5" s="142"/>
      <c r="C5" s="29">
        <v>135</v>
      </c>
      <c r="D5" s="34">
        <v>828</v>
      </c>
    </row>
    <row r="6" spans="1:5">
      <c r="A6" s="41"/>
      <c r="B6" s="41"/>
      <c r="C6" s="30" t="s">
        <v>114</v>
      </c>
      <c r="D6" s="35"/>
    </row>
    <row r="7" spans="1:5">
      <c r="A7" s="42" t="s">
        <v>117</v>
      </c>
      <c r="B7" s="43"/>
      <c r="C7" s="31">
        <v>0</v>
      </c>
      <c r="D7" s="36">
        <v>0</v>
      </c>
      <c r="E7">
        <f>D7/828</f>
        <v>0</v>
      </c>
    </row>
    <row r="8" spans="1:5">
      <c r="A8" s="44" t="s">
        <v>118</v>
      </c>
      <c r="B8" s="45"/>
      <c r="C8" s="32">
        <v>0</v>
      </c>
      <c r="D8" s="37">
        <v>4</v>
      </c>
      <c r="E8" s="4">
        <f t="shared" ref="E8:E12" si="0">D8/828</f>
        <v>4.830917874396135E-3</v>
      </c>
    </row>
    <row r="9" spans="1:5">
      <c r="A9" s="44" t="s">
        <v>119</v>
      </c>
      <c r="B9" s="45"/>
      <c r="C9" s="32">
        <v>10</v>
      </c>
      <c r="D9" s="37">
        <v>61</v>
      </c>
      <c r="E9" s="4">
        <f t="shared" si="0"/>
        <v>7.3671497584541057E-2</v>
      </c>
    </row>
    <row r="10" spans="1:5">
      <c r="A10" s="44" t="s">
        <v>120</v>
      </c>
      <c r="B10" s="45"/>
      <c r="C10" s="32">
        <v>56</v>
      </c>
      <c r="D10" s="37">
        <v>317</v>
      </c>
      <c r="E10" s="4">
        <f t="shared" si="0"/>
        <v>0.3828502415458937</v>
      </c>
    </row>
    <row r="11" spans="1:5">
      <c r="A11" s="44" t="s">
        <v>2</v>
      </c>
      <c r="B11" s="45"/>
      <c r="C11" s="32">
        <v>69</v>
      </c>
      <c r="D11" s="37">
        <v>446</v>
      </c>
      <c r="E11" s="4">
        <f t="shared" si="0"/>
        <v>0.53864734299516903</v>
      </c>
    </row>
    <row r="12" spans="1:5">
      <c r="A12" s="46" t="s">
        <v>121</v>
      </c>
      <c r="B12" s="47"/>
      <c r="C12" s="33">
        <v>0</v>
      </c>
      <c r="D12" s="38">
        <v>0</v>
      </c>
      <c r="E12" s="4">
        <f t="shared" si="0"/>
        <v>0</v>
      </c>
    </row>
  </sheetData>
  <mergeCells count="1">
    <mergeCell ref="A5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9BE4-48C6-694D-8BF4-C12C0CD88307}">
  <dimension ref="A3:C18"/>
  <sheetViews>
    <sheetView workbookViewId="0">
      <selection activeCell="E10" sqref="E10"/>
    </sheetView>
  </sheetViews>
  <sheetFormatPr baseColWidth="10" defaultRowHeight="16"/>
  <sheetData>
    <row r="3" spans="1:3">
      <c r="C3" s="2">
        <v>43931</v>
      </c>
    </row>
    <row r="4" spans="1:3" ht="17" thickBot="1">
      <c r="C4" t="s">
        <v>0</v>
      </c>
    </row>
    <row r="5" spans="1:3" ht="17" thickBot="1">
      <c r="A5" s="4"/>
      <c r="B5" s="11" t="s">
        <v>39</v>
      </c>
      <c r="C5" s="51">
        <v>4984</v>
      </c>
    </row>
    <row r="6" spans="1:3" ht="17" thickBot="1">
      <c r="A6" s="4"/>
      <c r="B6" s="11" t="s">
        <v>134</v>
      </c>
      <c r="C6" s="50">
        <v>0</v>
      </c>
    </row>
    <row r="7" spans="1:3" ht="17" thickBot="1">
      <c r="A7" s="4"/>
      <c r="B7" s="10" t="s">
        <v>133</v>
      </c>
      <c r="C7" s="50">
        <v>1</v>
      </c>
    </row>
    <row r="8" spans="1:3" ht="17" thickBot="1">
      <c r="A8" s="4"/>
      <c r="B8" s="10" t="s">
        <v>109</v>
      </c>
      <c r="C8" s="50">
        <v>1</v>
      </c>
    </row>
    <row r="9" spans="1:3" ht="17" thickBot="1">
      <c r="A9" s="4"/>
      <c r="B9" s="11" t="s">
        <v>103</v>
      </c>
      <c r="C9" s="50">
        <v>6</v>
      </c>
    </row>
    <row r="10" spans="1:3" ht="17" thickBot="1">
      <c r="A10" s="4"/>
      <c r="B10" s="11" t="s">
        <v>104</v>
      </c>
      <c r="C10" s="50">
        <v>46</v>
      </c>
    </row>
    <row r="11" spans="1:3" ht="17" thickBot="1">
      <c r="A11" s="4"/>
      <c r="B11" s="11" t="s">
        <v>105</v>
      </c>
      <c r="C11" s="50">
        <v>129</v>
      </c>
    </row>
    <row r="12" spans="1:3" ht="17" thickBot="1">
      <c r="A12" s="4"/>
      <c r="B12" s="11" t="s">
        <v>106</v>
      </c>
      <c r="C12" s="50">
        <v>291</v>
      </c>
    </row>
    <row r="13" spans="1:3" ht="17" thickBot="1">
      <c r="A13" s="4"/>
      <c r="B13" s="11" t="s">
        <v>107</v>
      </c>
      <c r="C13" s="50">
        <v>624</v>
      </c>
    </row>
    <row r="14" spans="1:3" ht="17" thickBot="1">
      <c r="A14" s="4"/>
      <c r="B14" s="11" t="s">
        <v>130</v>
      </c>
      <c r="C14" s="51">
        <v>1085</v>
      </c>
    </row>
    <row r="15" spans="1:3" ht="17" thickBot="1">
      <c r="A15" s="4"/>
      <c r="B15" s="11" t="s">
        <v>131</v>
      </c>
      <c r="C15" s="51">
        <v>1372</v>
      </c>
    </row>
    <row r="16" spans="1:3" ht="17" thickBot="1">
      <c r="A16" s="4"/>
      <c r="B16" s="11" t="s">
        <v>132</v>
      </c>
      <c r="C16" s="51">
        <v>1429</v>
      </c>
    </row>
    <row r="17" spans="2:3" ht="18" thickBot="1">
      <c r="B17" s="11" t="s">
        <v>7</v>
      </c>
      <c r="C17" s="52">
        <v>2993</v>
      </c>
    </row>
    <row r="18" spans="2:3" ht="18" thickBot="1">
      <c r="B18" s="11" t="s">
        <v>8</v>
      </c>
      <c r="C18" s="52">
        <v>1991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F9FA-1B19-194D-8FD4-A88E19AE1695}">
  <dimension ref="B3:D24"/>
  <sheetViews>
    <sheetView workbookViewId="0">
      <selection activeCell="B6" sqref="B6:B15"/>
    </sheetView>
  </sheetViews>
  <sheetFormatPr baseColWidth="10" defaultRowHeight="16"/>
  <sheetData>
    <row r="3" spans="2:4">
      <c r="C3" s="2">
        <v>43934</v>
      </c>
    </row>
    <row r="4" spans="2:4" ht="17" thickBot="1">
      <c r="C4" t="s">
        <v>44</v>
      </c>
      <c r="D4" t="s">
        <v>0</v>
      </c>
    </row>
    <row r="5" spans="2:4" ht="17" thickBot="1">
      <c r="B5" s="93" t="s">
        <v>39</v>
      </c>
      <c r="C5" s="14">
        <v>20394</v>
      </c>
      <c r="D5">
        <v>499</v>
      </c>
    </row>
    <row r="6" spans="2:4" ht="17" thickBot="1">
      <c r="B6" s="94" t="s">
        <v>76</v>
      </c>
      <c r="C6">
        <v>87</v>
      </c>
      <c r="D6">
        <v>0</v>
      </c>
    </row>
    <row r="7" spans="2:4" ht="17" thickBot="1">
      <c r="B7" s="94" t="s">
        <v>103</v>
      </c>
      <c r="C7">
        <v>167</v>
      </c>
      <c r="D7">
        <v>0</v>
      </c>
    </row>
    <row r="8" spans="2:4" ht="17" thickBot="1">
      <c r="B8" s="95" t="s">
        <v>103</v>
      </c>
      <c r="C8">
        <v>1467</v>
      </c>
      <c r="D8">
        <v>0</v>
      </c>
    </row>
    <row r="9" spans="2:4" ht="17" thickBot="1">
      <c r="B9" s="95" t="s">
        <v>104</v>
      </c>
      <c r="C9">
        <v>3097</v>
      </c>
      <c r="D9">
        <v>5</v>
      </c>
    </row>
    <row r="10" spans="2:4" ht="17" thickBot="1">
      <c r="B10" s="95" t="s">
        <v>105</v>
      </c>
      <c r="C10">
        <v>3140</v>
      </c>
      <c r="D10">
        <v>12</v>
      </c>
    </row>
    <row r="11" spans="2:4" ht="17" thickBot="1">
      <c r="B11" s="95" t="s">
        <v>106</v>
      </c>
      <c r="C11">
        <v>3818</v>
      </c>
      <c r="D11">
        <v>20</v>
      </c>
    </row>
    <row r="12" spans="2:4" ht="17" thickBot="1">
      <c r="B12" s="95" t="s">
        <v>107</v>
      </c>
      <c r="C12">
        <v>3575</v>
      </c>
      <c r="D12">
        <v>53</v>
      </c>
    </row>
    <row r="13" spans="2:4">
      <c r="B13" s="96" t="s">
        <v>130</v>
      </c>
      <c r="C13">
        <v>2729</v>
      </c>
      <c r="D13">
        <v>107</v>
      </c>
    </row>
    <row r="14" spans="2:4">
      <c r="B14" s="96" t="s">
        <v>131</v>
      </c>
      <c r="C14">
        <v>1563</v>
      </c>
      <c r="D14">
        <v>170</v>
      </c>
    </row>
    <row r="15" spans="2:4">
      <c r="B15" s="96" t="s">
        <v>132</v>
      </c>
      <c r="C15">
        <v>724</v>
      </c>
      <c r="D15">
        <v>132</v>
      </c>
    </row>
    <row r="16" spans="2:4">
      <c r="B16" s="49"/>
    </row>
    <row r="17" spans="2:2">
      <c r="B17" s="49"/>
    </row>
    <row r="18" spans="2:2">
      <c r="B18" s="49"/>
    </row>
    <row r="19" spans="2:2">
      <c r="B19" s="49"/>
    </row>
    <row r="20" spans="2:2">
      <c r="B20" s="49"/>
    </row>
    <row r="21" spans="2:2">
      <c r="B21" s="49"/>
    </row>
    <row r="22" spans="2:2">
      <c r="B22" s="49"/>
    </row>
    <row r="23" spans="2:2">
      <c r="B23" s="49"/>
    </row>
    <row r="24" spans="2:2">
      <c r="B24" s="49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9F07-4A64-824F-9A66-9731D2065CC4}">
  <dimension ref="B1:G12"/>
  <sheetViews>
    <sheetView workbookViewId="0">
      <selection activeCell="G4" sqref="G4:G12"/>
    </sheetView>
  </sheetViews>
  <sheetFormatPr baseColWidth="10" defaultRowHeight="16"/>
  <sheetData>
    <row r="1" spans="2:7">
      <c r="D1" s="2">
        <v>43935</v>
      </c>
    </row>
    <row r="2" spans="2:7" ht="17" thickBot="1">
      <c r="D2" t="s">
        <v>44</v>
      </c>
      <c r="E2" t="s">
        <v>0</v>
      </c>
    </row>
    <row r="3" spans="2:7" ht="17" thickBot="1">
      <c r="B3" s="137" t="s">
        <v>1</v>
      </c>
      <c r="C3" s="19" t="s">
        <v>39</v>
      </c>
      <c r="D3">
        <v>13989</v>
      </c>
      <c r="E3">
        <v>671</v>
      </c>
    </row>
    <row r="4" spans="2:7" ht="17" thickBot="1">
      <c r="B4" s="138"/>
      <c r="C4" s="20" t="s">
        <v>20</v>
      </c>
      <c r="D4">
        <v>100</v>
      </c>
      <c r="E4">
        <v>1</v>
      </c>
      <c r="F4">
        <f>D4/13761</f>
        <v>7.266913741733886E-3</v>
      </c>
      <c r="G4">
        <f>E4/698</f>
        <v>1.4326647564469914E-3</v>
      </c>
    </row>
    <row r="5" spans="2:7" ht="17" thickBot="1">
      <c r="B5" s="138"/>
      <c r="C5" s="21" t="s">
        <v>22</v>
      </c>
      <c r="D5">
        <v>281</v>
      </c>
      <c r="E5">
        <v>0</v>
      </c>
      <c r="F5" s="49">
        <f t="shared" ref="F5:F12" si="0">D5/13761</f>
        <v>2.042002761427222E-2</v>
      </c>
      <c r="G5" s="49">
        <f t="shared" ref="G5:G12" si="1">E5/698</f>
        <v>0</v>
      </c>
    </row>
    <row r="6" spans="2:7" ht="17" thickBot="1">
      <c r="B6" s="138"/>
      <c r="C6" s="20" t="s">
        <v>21</v>
      </c>
      <c r="D6">
        <v>1489</v>
      </c>
      <c r="E6">
        <v>1</v>
      </c>
      <c r="F6" s="49">
        <f t="shared" si="0"/>
        <v>0.10820434561441755</v>
      </c>
      <c r="G6" s="49">
        <f t="shared" si="1"/>
        <v>1.4326647564469914E-3</v>
      </c>
    </row>
    <row r="7" spans="2:7" ht="17" thickBot="1">
      <c r="B7" s="138"/>
      <c r="C7" s="20" t="s">
        <v>23</v>
      </c>
      <c r="D7">
        <v>2013</v>
      </c>
      <c r="E7">
        <v>8</v>
      </c>
      <c r="F7" s="49">
        <f t="shared" si="0"/>
        <v>0.14628297362110312</v>
      </c>
      <c r="G7" s="49">
        <f t="shared" si="1"/>
        <v>1.1461318051575931E-2</v>
      </c>
    </row>
    <row r="8" spans="2:7" ht="17" thickBot="1">
      <c r="B8" s="138"/>
      <c r="C8" s="20" t="s">
        <v>24</v>
      </c>
      <c r="D8">
        <v>2256</v>
      </c>
      <c r="E8">
        <v>14</v>
      </c>
      <c r="F8" s="49">
        <f t="shared" si="0"/>
        <v>0.16394157401351647</v>
      </c>
      <c r="G8" s="49">
        <f t="shared" si="1"/>
        <v>2.0057306590257881E-2</v>
      </c>
    </row>
    <row r="9" spans="2:7" ht="17" thickBot="1">
      <c r="B9" s="138"/>
      <c r="C9" s="20" t="s">
        <v>25</v>
      </c>
      <c r="D9">
        <v>2715</v>
      </c>
      <c r="E9">
        <v>32</v>
      </c>
      <c r="F9" s="49">
        <f t="shared" si="0"/>
        <v>0.19729670808807501</v>
      </c>
      <c r="G9" s="49">
        <f t="shared" si="1"/>
        <v>4.5845272206303724E-2</v>
      </c>
    </row>
    <row r="10" spans="2:7" ht="17" thickBot="1">
      <c r="B10" s="138"/>
      <c r="C10" s="20" t="s">
        <v>26</v>
      </c>
      <c r="D10">
        <v>2245</v>
      </c>
      <c r="E10">
        <v>96</v>
      </c>
      <c r="F10" s="49">
        <f t="shared" si="0"/>
        <v>0.16314221350192573</v>
      </c>
      <c r="G10" s="49">
        <f t="shared" si="1"/>
        <v>0.13753581661891118</v>
      </c>
    </row>
    <row r="11" spans="2:7" ht="17" thickBot="1">
      <c r="B11" s="138"/>
      <c r="C11" s="20" t="s">
        <v>27</v>
      </c>
      <c r="D11">
        <v>1266</v>
      </c>
      <c r="E11">
        <v>150</v>
      </c>
      <c r="F11" s="49">
        <f t="shared" si="0"/>
        <v>9.1999127970350994E-2</v>
      </c>
      <c r="G11" s="49">
        <f t="shared" si="1"/>
        <v>0.2148997134670487</v>
      </c>
    </row>
    <row r="12" spans="2:7" ht="17" thickBot="1">
      <c r="B12" s="139"/>
      <c r="C12" s="20" t="s">
        <v>2</v>
      </c>
      <c r="D12">
        <v>1396</v>
      </c>
      <c r="E12">
        <v>396</v>
      </c>
      <c r="F12" s="49">
        <f t="shared" si="0"/>
        <v>0.10144611583460504</v>
      </c>
      <c r="G12" s="49">
        <f t="shared" si="1"/>
        <v>0.56733524355300857</v>
      </c>
    </row>
  </sheetData>
  <mergeCells count="1">
    <mergeCell ref="B3:B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9C48-1DEB-014F-8FAA-FF670C97A2C3}">
  <dimension ref="B1:D11"/>
  <sheetViews>
    <sheetView workbookViewId="0">
      <selection activeCell="C4" sqref="C4:C8"/>
    </sheetView>
  </sheetViews>
  <sheetFormatPr baseColWidth="10" defaultRowHeight="16"/>
  <sheetData>
    <row r="1" spans="2:4" ht="17" thickBot="1">
      <c r="C1" s="2">
        <v>43930</v>
      </c>
    </row>
    <row r="2" spans="2:4" ht="32" thickBot="1">
      <c r="C2" s="9" t="s">
        <v>44</v>
      </c>
      <c r="D2" s="9" t="s">
        <v>0</v>
      </c>
    </row>
    <row r="3" spans="2:4" ht="17" thickBot="1">
      <c r="B3" s="11" t="s">
        <v>39</v>
      </c>
      <c r="C3">
        <f>SUM(C4:C8)</f>
        <v>100</v>
      </c>
      <c r="D3">
        <f>SUM(D4:D9)</f>
        <v>143</v>
      </c>
    </row>
    <row r="4" spans="2:4" ht="17" thickBot="1">
      <c r="B4" s="11" t="s">
        <v>117</v>
      </c>
      <c r="C4">
        <v>3</v>
      </c>
      <c r="D4">
        <v>0</v>
      </c>
    </row>
    <row r="5" spans="2:4" ht="17" thickBot="1">
      <c r="B5" s="11" t="s">
        <v>118</v>
      </c>
      <c r="C5">
        <v>27</v>
      </c>
      <c r="D5">
        <v>0</v>
      </c>
    </row>
    <row r="6" spans="2:4" ht="17" thickBot="1">
      <c r="B6" s="11" t="s">
        <v>119</v>
      </c>
      <c r="C6">
        <v>35</v>
      </c>
      <c r="D6">
        <v>8</v>
      </c>
    </row>
    <row r="7" spans="2:4" ht="17" thickBot="1">
      <c r="B7" s="11" t="s">
        <v>120</v>
      </c>
      <c r="C7">
        <v>25</v>
      </c>
      <c r="D7">
        <v>37</v>
      </c>
    </row>
    <row r="8" spans="2:4" ht="17" thickBot="1">
      <c r="B8" s="11" t="s">
        <v>2</v>
      </c>
      <c r="C8">
        <v>10</v>
      </c>
      <c r="D8">
        <v>55</v>
      </c>
    </row>
    <row r="9" spans="2:4" ht="17" thickBot="1">
      <c r="B9" s="11" t="s">
        <v>8</v>
      </c>
      <c r="C9">
        <v>51</v>
      </c>
      <c r="D9">
        <v>43</v>
      </c>
    </row>
    <row r="10" spans="2:4" ht="17" thickBot="1">
      <c r="B10" s="11" t="s">
        <v>7</v>
      </c>
      <c r="C10">
        <v>44</v>
      </c>
      <c r="D10">
        <v>57</v>
      </c>
    </row>
    <row r="11" spans="2:4" ht="17" thickBot="1">
      <c r="B11" s="11" t="s">
        <v>18</v>
      </c>
      <c r="C11">
        <v>5</v>
      </c>
      <c r="D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764F-5D86-C14F-B9CE-1DA95A912AF2}">
  <dimension ref="B2:D12"/>
  <sheetViews>
    <sheetView workbookViewId="0">
      <selection activeCell="B3" sqref="B3:B12"/>
    </sheetView>
  </sheetViews>
  <sheetFormatPr baseColWidth="10" defaultRowHeight="16"/>
  <sheetData>
    <row r="2" spans="2:4" ht="17" thickBot="1">
      <c r="C2" t="s">
        <v>44</v>
      </c>
      <c r="D2" t="s">
        <v>0</v>
      </c>
    </row>
    <row r="3" spans="2:4" ht="17" thickBot="1">
      <c r="B3" s="11" t="s">
        <v>39</v>
      </c>
      <c r="C3">
        <f>SUM(C4:C12)</f>
        <v>619</v>
      </c>
      <c r="D3">
        <v>7</v>
      </c>
    </row>
    <row r="4" spans="2:4" ht="17" thickBot="1">
      <c r="B4" s="11" t="s">
        <v>20</v>
      </c>
      <c r="C4">
        <v>1</v>
      </c>
      <c r="D4">
        <v>0</v>
      </c>
    </row>
    <row r="5" spans="2:4" ht="17" thickBot="1">
      <c r="B5" s="10" t="s">
        <v>22</v>
      </c>
      <c r="C5">
        <v>5</v>
      </c>
      <c r="D5">
        <v>0</v>
      </c>
    </row>
    <row r="6" spans="2:4" ht="17" thickBot="1">
      <c r="B6" s="11" t="s">
        <v>21</v>
      </c>
      <c r="C6">
        <v>28</v>
      </c>
      <c r="D6">
        <v>0</v>
      </c>
    </row>
    <row r="7" spans="2:4" ht="17" thickBot="1">
      <c r="B7" s="11" t="s">
        <v>23</v>
      </c>
      <c r="C7">
        <v>34</v>
      </c>
      <c r="D7">
        <v>0</v>
      </c>
    </row>
    <row r="8" spans="2:4" ht="17" thickBot="1">
      <c r="B8" s="11" t="s">
        <v>24</v>
      </c>
      <c r="C8">
        <v>27</v>
      </c>
      <c r="D8">
        <v>0</v>
      </c>
    </row>
    <row r="9" spans="2:4" ht="17" thickBot="1">
      <c r="B9" s="11" t="s">
        <v>25</v>
      </c>
      <c r="C9">
        <v>59</v>
      </c>
      <c r="D9">
        <v>0</v>
      </c>
    </row>
    <row r="10" spans="2:4" ht="17" thickBot="1">
      <c r="B10" s="11" t="s">
        <v>26</v>
      </c>
      <c r="C10">
        <v>177</v>
      </c>
      <c r="D10">
        <v>0</v>
      </c>
    </row>
    <row r="11" spans="2:4" ht="17" thickBot="1">
      <c r="B11" s="11" t="s">
        <v>27</v>
      </c>
      <c r="C11">
        <v>234</v>
      </c>
      <c r="D11">
        <v>6</v>
      </c>
    </row>
    <row r="12" spans="2:4" ht="17" thickBot="1">
      <c r="B12" s="11" t="s">
        <v>28</v>
      </c>
      <c r="C12">
        <v>54</v>
      </c>
      <c r="D12">
        <v>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5E90-11E8-5845-A45B-36A1131704F9}">
  <dimension ref="B3:K33"/>
  <sheetViews>
    <sheetView topLeftCell="A3" zoomScale="88" workbookViewId="0">
      <selection activeCell="J31" sqref="J31"/>
    </sheetView>
  </sheetViews>
  <sheetFormatPr baseColWidth="10" defaultRowHeight="16"/>
  <sheetData>
    <row r="3" spans="2:11" ht="17" thickBot="1">
      <c r="C3" s="2">
        <v>43932</v>
      </c>
    </row>
    <row r="4" spans="2:11" ht="24" thickBot="1">
      <c r="C4" s="9" t="s">
        <v>44</v>
      </c>
    </row>
    <row r="5" spans="2:11" ht="17" thickBot="1">
      <c r="B5" s="11" t="s">
        <v>102</v>
      </c>
      <c r="C5" s="8">
        <v>919</v>
      </c>
      <c r="D5" s="53">
        <f>C5/117456</f>
        <v>7.8242065113744725E-3</v>
      </c>
    </row>
    <row r="6" spans="2:11" ht="17" thickBot="1">
      <c r="B6" s="10" t="s">
        <v>109</v>
      </c>
      <c r="C6" s="8">
        <v>2311</v>
      </c>
      <c r="D6" s="53">
        <f t="shared" ref="D6:D9" si="0">C6/117456</f>
        <v>1.9675452935567363E-2</v>
      </c>
    </row>
    <row r="7" spans="2:11" ht="17" thickBot="1">
      <c r="B7" s="11" t="s">
        <v>135</v>
      </c>
      <c r="C7" s="8">
        <v>80723</v>
      </c>
      <c r="D7" s="53">
        <f t="shared" si="0"/>
        <v>0.68726161285928344</v>
      </c>
    </row>
    <row r="8" spans="2:11" ht="17" thickBot="1">
      <c r="B8" s="11" t="s">
        <v>136</v>
      </c>
      <c r="C8" s="8">
        <v>22791</v>
      </c>
      <c r="D8" s="53">
        <f t="shared" si="0"/>
        <v>0.19403861871679606</v>
      </c>
    </row>
    <row r="9" spans="2:11" ht="17" thickBot="1">
      <c r="B9" s="11" t="s">
        <v>2</v>
      </c>
      <c r="C9" s="8">
        <v>10712</v>
      </c>
      <c r="D9" s="53">
        <f t="shared" si="0"/>
        <v>9.1200108976978611E-2</v>
      </c>
    </row>
    <row r="10" spans="2:11">
      <c r="C10">
        <f>SUM(C5:C9)</f>
        <v>117456</v>
      </c>
    </row>
    <row r="12" spans="2:11" ht="17" thickBot="1">
      <c r="E12" s="77"/>
      <c r="F12" s="78"/>
      <c r="G12" s="78"/>
      <c r="H12" s="79">
        <v>43933</v>
      </c>
      <c r="I12" s="78"/>
      <c r="J12" s="78"/>
      <c r="K12" s="80"/>
    </row>
    <row r="13" spans="2:11" ht="32" thickBot="1">
      <c r="C13" s="9" t="s">
        <v>0</v>
      </c>
      <c r="E13" s="81" t="s">
        <v>7</v>
      </c>
      <c r="F13" s="58" t="s">
        <v>139</v>
      </c>
      <c r="G13" s="82" t="s">
        <v>8</v>
      </c>
      <c r="H13" s="58" t="s">
        <v>139</v>
      </c>
      <c r="I13" s="82" t="s">
        <v>18</v>
      </c>
      <c r="J13" s="82" t="s">
        <v>141</v>
      </c>
      <c r="K13" s="60" t="s">
        <v>139</v>
      </c>
    </row>
    <row r="14" spans="2:11" ht="17" thickBot="1">
      <c r="B14" s="11" t="s">
        <v>137</v>
      </c>
      <c r="C14" s="8">
        <v>124</v>
      </c>
      <c r="D14" s="54">
        <f>C14/2540</f>
        <v>4.8818897637795275E-2</v>
      </c>
      <c r="E14" s="83">
        <v>97</v>
      </c>
      <c r="F14" s="84">
        <f>E14/E$15*100</f>
        <v>55.113636363636367</v>
      </c>
      <c r="G14" s="83">
        <v>31</v>
      </c>
      <c r="H14" s="84">
        <f>G14/G$15*100</f>
        <v>50</v>
      </c>
      <c r="I14" s="83"/>
      <c r="J14" s="83">
        <f>SUM(E14+G14+I14)</f>
        <v>128</v>
      </c>
      <c r="K14" s="85">
        <f>J14/J$15*100</f>
        <v>53.781512605042018</v>
      </c>
    </row>
    <row r="15" spans="2:11" ht="17" thickBot="1">
      <c r="B15" s="11" t="s">
        <v>26</v>
      </c>
      <c r="C15" s="8">
        <v>227</v>
      </c>
      <c r="D15" s="54">
        <f t="shared" ref="D15:D18" si="1">C15/2540</f>
        <v>8.9370078740157483E-2</v>
      </c>
      <c r="E15" s="83">
        <v>176</v>
      </c>
      <c r="F15" s="84">
        <f>E15/E$15*100</f>
        <v>100</v>
      </c>
      <c r="G15" s="83">
        <v>62</v>
      </c>
      <c r="H15" s="84">
        <f t="shared" ref="H15:H16" si="2">G15/G$15*100</f>
        <v>100</v>
      </c>
      <c r="I15" s="83"/>
      <c r="J15" s="83">
        <f t="shared" ref="J15:J18" si="3">SUM(E15+G15+I15)</f>
        <v>238</v>
      </c>
      <c r="K15" s="85">
        <f t="shared" ref="K15:K16" si="4">J15/J$15*100</f>
        <v>100</v>
      </c>
    </row>
    <row r="16" spans="2:11" ht="17" thickBot="1">
      <c r="B16" s="11" t="s">
        <v>27</v>
      </c>
      <c r="C16" s="8">
        <v>614</v>
      </c>
      <c r="D16" s="54">
        <f t="shared" si="1"/>
        <v>0.24173228346456693</v>
      </c>
      <c r="E16" s="83">
        <v>445</v>
      </c>
      <c r="F16" s="84">
        <f t="shared" ref="F16" si="5">E16/E$15*100</f>
        <v>252.84090909090909</v>
      </c>
      <c r="G16" s="83">
        <v>196</v>
      </c>
      <c r="H16" s="84">
        <f t="shared" si="2"/>
        <v>316.12903225806451</v>
      </c>
      <c r="I16" s="83"/>
      <c r="J16" s="83">
        <f t="shared" si="3"/>
        <v>641</v>
      </c>
      <c r="K16" s="85">
        <f t="shared" si="4"/>
        <v>269.32773109243698</v>
      </c>
    </row>
    <row r="17" spans="2:11" ht="17" thickBot="1">
      <c r="B17" s="11" t="s">
        <v>28</v>
      </c>
      <c r="C17" s="8">
        <v>1157</v>
      </c>
      <c r="D17" s="54">
        <f t="shared" si="1"/>
        <v>0.45551181102362204</v>
      </c>
      <c r="E17" s="83">
        <v>689</v>
      </c>
      <c r="F17" s="84">
        <f>E17/E$15*100</f>
        <v>391.47727272727269</v>
      </c>
      <c r="G17" s="83">
        <v>530</v>
      </c>
      <c r="H17" s="84">
        <f>G17/G$15*100</f>
        <v>854.83870967741939</v>
      </c>
      <c r="I17" s="83"/>
      <c r="J17" s="83">
        <f t="shared" si="3"/>
        <v>1219</v>
      </c>
      <c r="K17" s="85">
        <f>J17/J$15*100</f>
        <v>512.18487394957981</v>
      </c>
    </row>
    <row r="18" spans="2:11" ht="17" thickBot="1">
      <c r="B18" s="11" t="s">
        <v>29</v>
      </c>
      <c r="C18" s="8">
        <v>418</v>
      </c>
      <c r="D18" s="54">
        <f t="shared" si="1"/>
        <v>0.16456692913385826</v>
      </c>
      <c r="E18" s="83">
        <v>185</v>
      </c>
      <c r="F18" s="84">
        <f>E18/E$15*100</f>
        <v>105.11363636363636</v>
      </c>
      <c r="G18" s="83">
        <v>257</v>
      </c>
      <c r="H18" s="84">
        <f t="shared" ref="H18" si="6">G18/G$15*100</f>
        <v>414.51612903225811</v>
      </c>
      <c r="I18" s="83"/>
      <c r="J18" s="83">
        <f t="shared" si="3"/>
        <v>442</v>
      </c>
      <c r="K18" s="85">
        <f t="shared" ref="K18" si="7">J18/J$15*100</f>
        <v>185.71428571428572</v>
      </c>
    </row>
    <row r="19" spans="2:11">
      <c r="C19">
        <f>SUM(C14:C18)</f>
        <v>2540</v>
      </c>
      <c r="E19" s="83"/>
      <c r="F19" s="86"/>
      <c r="G19" s="83"/>
      <c r="H19" s="86"/>
      <c r="I19" s="83"/>
      <c r="J19" s="83"/>
      <c r="K19" s="87"/>
    </row>
    <row r="20" spans="2:11">
      <c r="E20" s="88">
        <f>SUM(E14:E18)</f>
        <v>1592</v>
      </c>
      <c r="F20" s="89">
        <f>SUM(F14:F18)</f>
        <v>904.54545454545462</v>
      </c>
      <c r="G20" s="88">
        <f t="shared" ref="G20:K20" si="8">SUM(G14:G18)</f>
        <v>1076</v>
      </c>
      <c r="H20" s="90">
        <f t="shared" si="8"/>
        <v>1735.483870967742</v>
      </c>
      <c r="I20" s="88">
        <f t="shared" si="8"/>
        <v>0</v>
      </c>
      <c r="J20" s="88">
        <f t="shared" si="8"/>
        <v>2668</v>
      </c>
      <c r="K20" s="91">
        <f t="shared" si="8"/>
        <v>1121.0084033613446</v>
      </c>
    </row>
    <row r="22" spans="2:11">
      <c r="D22">
        <v>6472</v>
      </c>
      <c r="H22" s="2">
        <v>43969</v>
      </c>
      <c r="I22">
        <f>SUM(H23:H33)</f>
        <v>7930</v>
      </c>
    </row>
    <row r="23" spans="2:11">
      <c r="C23">
        <v>1</v>
      </c>
      <c r="D23" s="92">
        <v>1</v>
      </c>
      <c r="E23">
        <f>$D23/6472</f>
        <v>1.5451174289245981E-4</v>
      </c>
      <c r="H23">
        <v>1</v>
      </c>
      <c r="I23">
        <f>H23/7930</f>
        <v>1.2610340479192938E-4</v>
      </c>
    </row>
    <row r="24" spans="2:11">
      <c r="C24">
        <v>1</v>
      </c>
      <c r="D24" s="92">
        <v>1</v>
      </c>
      <c r="E24" s="92">
        <f t="shared" ref="E24:E31" si="9">$D24/6472</f>
        <v>1.5451174289245981E-4</v>
      </c>
      <c r="H24">
        <v>2</v>
      </c>
      <c r="I24" s="99">
        <f t="shared" ref="I24:I33" si="10">H24/7930</f>
        <v>2.5220680958385876E-4</v>
      </c>
    </row>
    <row r="25" spans="2:11">
      <c r="C25">
        <v>6</v>
      </c>
      <c r="D25" s="92">
        <v>6</v>
      </c>
      <c r="E25" s="92">
        <f t="shared" si="9"/>
        <v>9.2707045735475899E-4</v>
      </c>
      <c r="H25">
        <v>8</v>
      </c>
      <c r="I25" s="99">
        <f t="shared" si="10"/>
        <v>1.0088272383354351E-3</v>
      </c>
    </row>
    <row r="26" spans="2:11">
      <c r="C26">
        <v>14</v>
      </c>
      <c r="D26" s="92">
        <v>14</v>
      </c>
      <c r="E26" s="92">
        <f t="shared" si="9"/>
        <v>2.1631644004944375E-3</v>
      </c>
      <c r="H26">
        <v>19</v>
      </c>
      <c r="I26" s="99">
        <f t="shared" si="10"/>
        <v>2.3959646910466583E-3</v>
      </c>
    </row>
    <row r="27" spans="2:11">
      <c r="C27">
        <v>47</v>
      </c>
      <c r="D27" s="92">
        <v>47</v>
      </c>
      <c r="E27" s="92">
        <f t="shared" si="9"/>
        <v>7.2620519159456122E-3</v>
      </c>
      <c r="H27">
        <v>56</v>
      </c>
      <c r="I27" s="99">
        <f t="shared" si="10"/>
        <v>7.0617906683480454E-3</v>
      </c>
    </row>
    <row r="28" spans="2:11">
      <c r="C28">
        <v>211</v>
      </c>
      <c r="D28" s="92">
        <v>211</v>
      </c>
      <c r="E28" s="92">
        <f t="shared" si="9"/>
        <v>3.2601977750309021E-2</v>
      </c>
      <c r="H28">
        <v>270</v>
      </c>
      <c r="I28" s="99">
        <f t="shared" si="10"/>
        <v>3.4047919293820936E-2</v>
      </c>
    </row>
    <row r="29" spans="2:11">
      <c r="C29">
        <v>580</v>
      </c>
      <c r="D29" s="92">
        <v>580</v>
      </c>
      <c r="E29" s="92">
        <f t="shared" si="9"/>
        <v>8.9616810877626699E-2</v>
      </c>
      <c r="H29">
        <v>729</v>
      </c>
      <c r="I29" s="99">
        <f t="shared" si="10"/>
        <v>9.1929382093316525E-2</v>
      </c>
    </row>
    <row r="30" spans="2:11">
      <c r="C30">
        <v>1467</v>
      </c>
      <c r="D30" s="92">
        <v>1467</v>
      </c>
      <c r="E30" s="92">
        <f t="shared" si="9"/>
        <v>0.22666872682323858</v>
      </c>
      <c r="H30">
        <v>1779</v>
      </c>
      <c r="I30" s="99">
        <f t="shared" si="10"/>
        <v>0.22433795712484236</v>
      </c>
    </row>
    <row r="31" spans="2:11">
      <c r="C31">
        <v>2946</v>
      </c>
      <c r="D31">
        <f>SUM(C31:C33)</f>
        <v>4145</v>
      </c>
      <c r="E31" s="92">
        <f t="shared" si="9"/>
        <v>0.64045117428924603</v>
      </c>
      <c r="H31">
        <v>3566</v>
      </c>
      <c r="I31" s="99">
        <f t="shared" si="10"/>
        <v>0.44968474148802018</v>
      </c>
      <c r="J31">
        <f>I31+I32+I33</f>
        <v>0.63883984867591415</v>
      </c>
    </row>
    <row r="32" spans="2:11">
      <c r="C32">
        <v>1159</v>
      </c>
      <c r="H32">
        <v>1450</v>
      </c>
      <c r="I32" s="99">
        <f t="shared" si="10"/>
        <v>0.1828499369482976</v>
      </c>
    </row>
    <row r="33" spans="3:9">
      <c r="C33">
        <v>40</v>
      </c>
      <c r="H33">
        <v>50</v>
      </c>
      <c r="I33" s="99">
        <f t="shared" si="10"/>
        <v>6.3051702395964691E-3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FBB-2231-D942-B95F-338D8E71E7EE}">
  <dimension ref="B2:F14"/>
  <sheetViews>
    <sheetView workbookViewId="0">
      <selection activeCell="F4" sqref="F4:F14"/>
    </sheetView>
  </sheetViews>
  <sheetFormatPr baseColWidth="10" defaultRowHeight="16"/>
  <sheetData>
    <row r="2" spans="2:6" ht="17" thickBot="1">
      <c r="C2" t="s">
        <v>145</v>
      </c>
    </row>
    <row r="3" spans="2:6" ht="17" thickBot="1">
      <c r="B3" s="98" t="s">
        <v>39</v>
      </c>
      <c r="C3">
        <v>6380</v>
      </c>
      <c r="D3">
        <f>SUM(D4:D12)</f>
        <v>264</v>
      </c>
    </row>
    <row r="4" spans="2:6" ht="17" thickBot="1">
      <c r="B4" s="98" t="s">
        <v>20</v>
      </c>
      <c r="C4">
        <v>167</v>
      </c>
      <c r="D4">
        <v>0</v>
      </c>
      <c r="E4">
        <f>C4/6380</f>
        <v>2.6175548589341693E-2</v>
      </c>
      <c r="F4">
        <f>D4/264</f>
        <v>0</v>
      </c>
    </row>
    <row r="5" spans="2:6" ht="17" thickBot="1">
      <c r="B5" s="10" t="s">
        <v>22</v>
      </c>
      <c r="C5">
        <v>346</v>
      </c>
      <c r="D5">
        <v>0</v>
      </c>
      <c r="E5" s="99">
        <f t="shared" ref="E5:E14" si="0">C5/6380</f>
        <v>5.4231974921630094E-2</v>
      </c>
      <c r="F5" s="99">
        <f t="shared" ref="F5:F12" si="1">D5/264</f>
        <v>0</v>
      </c>
    </row>
    <row r="6" spans="2:6" ht="17" thickBot="1">
      <c r="B6" s="98" t="s">
        <v>21</v>
      </c>
      <c r="C6">
        <v>1131</v>
      </c>
      <c r="D6">
        <v>0</v>
      </c>
      <c r="E6" s="99">
        <f t="shared" si="0"/>
        <v>0.17727272727272728</v>
      </c>
      <c r="F6" s="99">
        <f t="shared" si="1"/>
        <v>0</v>
      </c>
    </row>
    <row r="7" spans="2:6" ht="17" thickBot="1">
      <c r="B7" s="98" t="s">
        <v>23</v>
      </c>
      <c r="C7">
        <v>1136</v>
      </c>
      <c r="D7">
        <v>2</v>
      </c>
      <c r="E7" s="99">
        <f t="shared" si="0"/>
        <v>0.17805642633228841</v>
      </c>
      <c r="F7" s="99">
        <f t="shared" si="1"/>
        <v>7.575757575757576E-3</v>
      </c>
    </row>
    <row r="8" spans="2:6" ht="17" thickBot="1">
      <c r="B8" s="98" t="s">
        <v>24</v>
      </c>
      <c r="C8">
        <v>1033</v>
      </c>
      <c r="D8">
        <v>3</v>
      </c>
      <c r="E8" s="99">
        <f t="shared" si="0"/>
        <v>0.16191222570532915</v>
      </c>
      <c r="F8" s="99">
        <f t="shared" si="1"/>
        <v>1.1363636363636364E-2</v>
      </c>
    </row>
    <row r="9" spans="2:6" ht="17" thickBot="1">
      <c r="B9" s="98" t="s">
        <v>25</v>
      </c>
      <c r="C9">
        <v>1183</v>
      </c>
      <c r="D9">
        <v>7</v>
      </c>
      <c r="E9" s="99">
        <f t="shared" si="0"/>
        <v>0.18542319749216302</v>
      </c>
      <c r="F9" s="99">
        <f t="shared" si="1"/>
        <v>2.6515151515151516E-2</v>
      </c>
    </row>
    <row r="10" spans="2:6" ht="17" thickBot="1">
      <c r="B10" s="98" t="s">
        <v>26</v>
      </c>
      <c r="C10">
        <v>593</v>
      </c>
      <c r="D10">
        <v>19</v>
      </c>
      <c r="E10" s="99">
        <f t="shared" si="0"/>
        <v>9.294670846394984E-2</v>
      </c>
      <c r="F10" s="99">
        <f t="shared" si="1"/>
        <v>7.1969696969696975E-2</v>
      </c>
    </row>
    <row r="11" spans="2:6" ht="17" thickBot="1">
      <c r="B11" s="98" t="s">
        <v>27</v>
      </c>
      <c r="C11">
        <v>311</v>
      </c>
      <c r="D11">
        <v>49</v>
      </c>
      <c r="E11" s="99">
        <f t="shared" si="0"/>
        <v>4.8746081504702193E-2</v>
      </c>
      <c r="F11" s="99">
        <f t="shared" si="1"/>
        <v>0.18560606060606061</v>
      </c>
    </row>
    <row r="12" spans="2:6" ht="17" thickBot="1">
      <c r="B12" s="98" t="s">
        <v>28</v>
      </c>
      <c r="C12">
        <v>480</v>
      </c>
      <c r="D12">
        <v>184</v>
      </c>
      <c r="E12" s="99">
        <f t="shared" si="0"/>
        <v>7.5235109717868343E-2</v>
      </c>
      <c r="F12" s="99">
        <f t="shared" si="1"/>
        <v>0.69696969696969702</v>
      </c>
    </row>
    <row r="13" spans="2:6">
      <c r="B13" s="15" t="s">
        <v>7</v>
      </c>
      <c r="C13">
        <v>3151</v>
      </c>
      <c r="E13" s="99">
        <f t="shared" si="0"/>
        <v>0.49388714733542322</v>
      </c>
      <c r="F13">
        <v>0.47</v>
      </c>
    </row>
    <row r="14" spans="2:6">
      <c r="B14" s="15" t="s">
        <v>8</v>
      </c>
      <c r="C14">
        <v>3229</v>
      </c>
      <c r="E14" s="99">
        <f t="shared" si="0"/>
        <v>0.50611285266457684</v>
      </c>
      <c r="F14">
        <v>0.53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39D3-845A-BB4A-9876-7E3235091B83}">
  <dimension ref="A1:M11"/>
  <sheetViews>
    <sheetView workbookViewId="0">
      <selection activeCell="M3" sqref="M3:M7"/>
    </sheetView>
  </sheetViews>
  <sheetFormatPr baseColWidth="10" defaultRowHeight="16"/>
  <sheetData>
    <row r="1" spans="1:13" ht="24" thickBot="1">
      <c r="B1" s="13"/>
      <c r="C1" s="13" t="s">
        <v>12</v>
      </c>
      <c r="D1" s="13"/>
    </row>
    <row r="2" spans="1:13" ht="41" thickBot="1">
      <c r="A2" s="3"/>
      <c r="C2" s="9" t="s">
        <v>17</v>
      </c>
      <c r="D2" s="9" t="s">
        <v>34</v>
      </c>
      <c r="E2" s="9" t="s">
        <v>55</v>
      </c>
      <c r="F2" s="9" t="s">
        <v>75</v>
      </c>
      <c r="G2" s="9" t="s">
        <v>99</v>
      </c>
      <c r="H2" s="9" t="s">
        <v>122</v>
      </c>
      <c r="I2" s="9" t="s">
        <v>127</v>
      </c>
      <c r="J2" s="9" t="s">
        <v>142</v>
      </c>
      <c r="L2" s="9" t="s">
        <v>144</v>
      </c>
      <c r="M2" s="14">
        <f>SUM(L3:L6)</f>
        <v>43824</v>
      </c>
    </row>
    <row r="3" spans="1:13" ht="45" customHeight="1" thickBot="1">
      <c r="A3" s="117" t="s">
        <v>1</v>
      </c>
      <c r="B3" s="7" t="s">
        <v>13</v>
      </c>
      <c r="C3" s="8">
        <v>120</v>
      </c>
      <c r="D3" s="8">
        <v>137</v>
      </c>
      <c r="E3" s="8">
        <v>160</v>
      </c>
      <c r="F3" s="8">
        <v>173</v>
      </c>
      <c r="G3" s="8">
        <v>197</v>
      </c>
      <c r="H3" s="8">
        <v>222</v>
      </c>
      <c r="I3" s="8">
        <v>252</v>
      </c>
      <c r="J3" s="56">
        <v>337</v>
      </c>
      <c r="K3">
        <f>J3/22348</f>
        <v>1.507964918560945E-2</v>
      </c>
      <c r="L3" s="55">
        <v>3355</v>
      </c>
      <c r="M3">
        <f>L3/43824</f>
        <v>7.6556224899598388E-2</v>
      </c>
    </row>
    <row r="4" spans="1:13" ht="17" thickBot="1">
      <c r="A4" s="118"/>
      <c r="B4" s="7" t="s">
        <v>14</v>
      </c>
      <c r="C4" s="8">
        <v>5302</v>
      </c>
      <c r="D4" s="8">
        <v>5917</v>
      </c>
      <c r="E4" s="8">
        <v>6610</v>
      </c>
      <c r="F4" s="8">
        <v>7099</v>
      </c>
      <c r="G4" s="8">
        <v>7753</v>
      </c>
      <c r="H4" s="8">
        <v>8289</v>
      </c>
      <c r="I4" s="8">
        <v>8939</v>
      </c>
      <c r="J4" s="56">
        <v>10838</v>
      </c>
      <c r="K4" s="49">
        <f t="shared" ref="K4:K10" si="0">J4/22348</f>
        <v>0.48496509754787903</v>
      </c>
      <c r="L4" s="55">
        <v>4039</v>
      </c>
      <c r="M4" s="99">
        <f t="shared" ref="M4:M7" si="1">L4/43824</f>
        <v>9.2164110989412198E-2</v>
      </c>
    </row>
    <row r="5" spans="1:13" ht="17" thickBot="1">
      <c r="A5" s="118"/>
      <c r="B5" s="7" t="s">
        <v>15</v>
      </c>
      <c r="C5" s="8">
        <v>2879</v>
      </c>
      <c r="D5" s="8">
        <v>3253</v>
      </c>
      <c r="E5" s="8">
        <v>3653</v>
      </c>
      <c r="F5" s="8">
        <v>3884</v>
      </c>
      <c r="G5" s="8">
        <v>4344</v>
      </c>
      <c r="H5" s="8">
        <v>4639</v>
      </c>
      <c r="I5" s="8">
        <v>5003</v>
      </c>
      <c r="J5" s="56">
        <v>6079</v>
      </c>
      <c r="K5" s="49">
        <f t="shared" si="0"/>
        <v>0.27201539287632004</v>
      </c>
      <c r="L5" s="55">
        <v>19703</v>
      </c>
      <c r="M5" s="99">
        <f t="shared" si="1"/>
        <v>0.4495938298649142</v>
      </c>
    </row>
    <row r="6" spans="1:13" ht="17" thickBot="1">
      <c r="A6" s="118"/>
      <c r="B6" s="7" t="s">
        <v>16</v>
      </c>
      <c r="C6" s="8">
        <v>2342</v>
      </c>
      <c r="D6" s="8">
        <v>2660</v>
      </c>
      <c r="E6" s="8">
        <v>2966</v>
      </c>
      <c r="F6" s="8">
        <v>3129</v>
      </c>
      <c r="G6" s="8">
        <v>3516</v>
      </c>
      <c r="H6" s="8">
        <v>3751</v>
      </c>
      <c r="I6" s="8">
        <v>4056</v>
      </c>
      <c r="J6" s="23">
        <v>5036</v>
      </c>
      <c r="K6" s="49">
        <f t="shared" si="0"/>
        <v>0.22534454984786112</v>
      </c>
      <c r="L6" s="23">
        <v>16727</v>
      </c>
      <c r="M6" s="99">
        <f t="shared" si="1"/>
        <v>0.38168583424607522</v>
      </c>
    </row>
    <row r="7" spans="1:13" ht="17" thickBot="1">
      <c r="A7" s="119"/>
      <c r="B7" s="7" t="s">
        <v>18</v>
      </c>
      <c r="C7" s="8">
        <v>58</v>
      </c>
      <c r="D7" s="8">
        <v>59</v>
      </c>
      <c r="E7" s="8">
        <v>49</v>
      </c>
      <c r="F7" s="8">
        <v>51</v>
      </c>
      <c r="G7" s="8">
        <v>55</v>
      </c>
      <c r="H7" s="8">
        <v>56</v>
      </c>
      <c r="I7" s="8">
        <v>59</v>
      </c>
      <c r="J7" s="23">
        <v>58</v>
      </c>
      <c r="K7" s="49">
        <f t="shared" si="0"/>
        <v>2.5953105423304097E-3</v>
      </c>
      <c r="L7" s="23">
        <v>106</v>
      </c>
      <c r="M7" s="99">
        <f t="shared" si="1"/>
        <v>2.4187659729828404E-3</v>
      </c>
    </row>
    <row r="8" spans="1:13" ht="17" thickBot="1">
      <c r="A8" s="114" t="s">
        <v>37</v>
      </c>
      <c r="B8" s="7" t="s">
        <v>7</v>
      </c>
      <c r="C8" s="8">
        <v>5015</v>
      </c>
      <c r="D8" s="8">
        <v>5674</v>
      </c>
      <c r="E8" s="8">
        <v>6876</v>
      </c>
      <c r="F8" s="8">
        <v>7269</v>
      </c>
      <c r="G8" s="8">
        <v>7957</v>
      </c>
      <c r="H8" s="8">
        <v>8488</v>
      </c>
      <c r="I8" s="8">
        <v>8776</v>
      </c>
      <c r="J8" s="23">
        <v>10877</v>
      </c>
      <c r="K8" s="49">
        <f t="shared" si="0"/>
        <v>0.48671022015392879</v>
      </c>
      <c r="L8" s="23">
        <v>39425</v>
      </c>
    </row>
    <row r="9" spans="1:13" ht="17" thickBot="1">
      <c r="A9" s="115"/>
      <c r="B9" s="7" t="s">
        <v>8</v>
      </c>
      <c r="C9" s="8">
        <v>5547</v>
      </c>
      <c r="D9" s="8">
        <v>6202</v>
      </c>
      <c r="E9" s="8">
        <v>6349</v>
      </c>
      <c r="F9" s="8">
        <v>6740</v>
      </c>
      <c r="G9" s="8">
        <v>7600</v>
      </c>
      <c r="H9" s="8">
        <v>8108</v>
      </c>
      <c r="I9" s="8">
        <v>9130</v>
      </c>
      <c r="J9" s="23">
        <v>11256</v>
      </c>
      <c r="K9" s="49">
        <f t="shared" si="0"/>
        <v>0.5036692321460533</v>
      </c>
      <c r="L9" s="23">
        <v>40533</v>
      </c>
    </row>
    <row r="10" spans="1:13" ht="17" thickBot="1">
      <c r="A10" s="116"/>
      <c r="B10" s="7" t="s">
        <v>18</v>
      </c>
      <c r="C10" s="8">
        <v>139</v>
      </c>
      <c r="D10" s="8">
        <v>150</v>
      </c>
      <c r="E10" s="8">
        <v>213</v>
      </c>
      <c r="F10" s="8">
        <v>300</v>
      </c>
      <c r="G10" s="8">
        <v>309</v>
      </c>
      <c r="H10" s="8">
        <v>361</v>
      </c>
      <c r="I10" s="8">
        <v>403</v>
      </c>
      <c r="J10" s="23">
        <v>215</v>
      </c>
      <c r="K10" s="49">
        <f t="shared" si="0"/>
        <v>9.6205477000178979E-3</v>
      </c>
      <c r="L10" s="23">
        <v>472</v>
      </c>
    </row>
    <row r="11" spans="1:13">
      <c r="G11" t="s">
        <v>100</v>
      </c>
      <c r="H11" s="23">
        <v>442</v>
      </c>
      <c r="I11" s="23">
        <v>492</v>
      </c>
      <c r="J11" s="23">
        <v>22348</v>
      </c>
    </row>
  </sheetData>
  <mergeCells count="2">
    <mergeCell ref="A8:A10"/>
    <mergeCell ref="A3:A7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E664-7928-4743-AED1-C6C654B09C5E}">
  <dimension ref="A3:C17"/>
  <sheetViews>
    <sheetView workbookViewId="0">
      <selection activeCell="C16" sqref="C16"/>
    </sheetView>
  </sheetViews>
  <sheetFormatPr baseColWidth="10" defaultRowHeight="16"/>
  <sheetData>
    <row r="3" spans="1:3" ht="17" thickBot="1">
      <c r="A3" s="49"/>
      <c r="B3" s="2">
        <v>43934</v>
      </c>
    </row>
    <row r="4" spans="1:3" ht="17" thickBot="1">
      <c r="A4" s="48" t="s">
        <v>33</v>
      </c>
      <c r="B4">
        <v>26867</v>
      </c>
    </row>
    <row r="5" spans="1:3" ht="17" thickBot="1">
      <c r="A5" s="48" t="s">
        <v>143</v>
      </c>
      <c r="B5">
        <v>593</v>
      </c>
      <c r="C5">
        <f>B5/26867</f>
        <v>2.2071686455503035E-2</v>
      </c>
    </row>
    <row r="6" spans="1:3" ht="17" thickBot="1">
      <c r="A6" s="48" t="s">
        <v>21</v>
      </c>
      <c r="B6">
        <v>3262</v>
      </c>
      <c r="C6" s="49">
        <f t="shared" ref="C6:C15" si="0">B6/26867</f>
        <v>0.12141288569620724</v>
      </c>
    </row>
    <row r="7" spans="1:3" ht="17" thickBot="1">
      <c r="A7" s="48" t="s">
        <v>23</v>
      </c>
      <c r="B7">
        <v>3993</v>
      </c>
      <c r="C7" s="49">
        <f t="shared" si="0"/>
        <v>0.14862098485130457</v>
      </c>
    </row>
    <row r="8" spans="1:3" ht="17" thickBot="1">
      <c r="A8" s="48" t="s">
        <v>24</v>
      </c>
      <c r="B8">
        <v>4002</v>
      </c>
      <c r="C8" s="49">
        <f t="shared" si="0"/>
        <v>0.14895596828823462</v>
      </c>
    </row>
    <row r="9" spans="1:3" ht="17" thickBot="1">
      <c r="A9" s="48" t="s">
        <v>25</v>
      </c>
      <c r="B9">
        <v>4896</v>
      </c>
      <c r="C9" s="49">
        <f t="shared" si="0"/>
        <v>0.18223098968995421</v>
      </c>
    </row>
    <row r="10" spans="1:3" ht="17" thickBot="1">
      <c r="A10" s="48" t="s">
        <v>26</v>
      </c>
      <c r="B10">
        <v>3778</v>
      </c>
      <c r="C10" s="49">
        <f t="shared" si="0"/>
        <v>0.14061860274686419</v>
      </c>
    </row>
    <row r="11" spans="1:3" ht="17" thickBot="1">
      <c r="A11" s="48" t="s">
        <v>27</v>
      </c>
      <c r="B11">
        <v>2580</v>
      </c>
      <c r="C11" s="49">
        <f t="shared" si="0"/>
        <v>9.6028585253284698E-2</v>
      </c>
    </row>
    <row r="12" spans="1:3" ht="17" thickBot="1">
      <c r="A12" s="48" t="s">
        <v>2</v>
      </c>
      <c r="B12">
        <v>3558</v>
      </c>
      <c r="C12" s="49">
        <f t="shared" si="0"/>
        <v>0.13243011873301819</v>
      </c>
    </row>
    <row r="13" spans="1:3" ht="17" thickBot="1">
      <c r="A13" s="48" t="s">
        <v>18</v>
      </c>
      <c r="B13">
        <v>205</v>
      </c>
      <c r="C13" s="49">
        <f t="shared" si="0"/>
        <v>7.6301782856292109E-3</v>
      </c>
    </row>
    <row r="14" spans="1:3" ht="17" thickBot="1">
      <c r="A14" s="48" t="s">
        <v>8</v>
      </c>
      <c r="B14">
        <v>14038</v>
      </c>
      <c r="C14" s="49">
        <f t="shared" si="0"/>
        <v>0.52249972084713592</v>
      </c>
    </row>
    <row r="15" spans="1:3" ht="17" thickBot="1">
      <c r="A15" s="48" t="s">
        <v>7</v>
      </c>
      <c r="B15">
        <v>11954</v>
      </c>
      <c r="C15" s="49">
        <f t="shared" si="0"/>
        <v>0.44493244500688578</v>
      </c>
    </row>
    <row r="16" spans="1:3" ht="17" thickBot="1">
      <c r="A16" s="48" t="s">
        <v>18</v>
      </c>
      <c r="B16">
        <v>875</v>
      </c>
      <c r="C16" s="49">
        <f>B16/26867</f>
        <v>3.2567834145978337E-2</v>
      </c>
    </row>
    <row r="17" spans="1:1">
      <c r="A17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1C5F-7B05-F049-AE05-66BDB7F3C35F}">
  <dimension ref="B1:O18"/>
  <sheetViews>
    <sheetView topLeftCell="E1" workbookViewId="0">
      <selection activeCell="N10" sqref="N10"/>
    </sheetView>
  </sheetViews>
  <sheetFormatPr baseColWidth="10" defaultRowHeight="16"/>
  <cols>
    <col min="10" max="10" width="11.1640625" bestFit="1" customWidth="1"/>
    <col min="11" max="11" width="11" bestFit="1" customWidth="1"/>
  </cols>
  <sheetData>
    <row r="1" spans="2:15" ht="8" customHeight="1"/>
    <row r="2" spans="2:15" ht="39" customHeight="1" thickBot="1">
      <c r="D2" s="120">
        <v>43925</v>
      </c>
      <c r="E2" s="120"/>
      <c r="F2" s="120">
        <v>43926</v>
      </c>
      <c r="G2" s="120"/>
      <c r="H2" s="120">
        <v>43927</v>
      </c>
      <c r="I2" s="120"/>
      <c r="J2" s="120">
        <v>43928</v>
      </c>
      <c r="K2" s="120"/>
      <c r="L2" s="120">
        <v>43929</v>
      </c>
      <c r="M2" s="120"/>
      <c r="N2" s="120">
        <v>43930</v>
      </c>
      <c r="O2" s="120"/>
    </row>
    <row r="3" spans="2:15" ht="48" customHeight="1" thickBot="1">
      <c r="D3" s="9" t="s">
        <v>44</v>
      </c>
      <c r="E3" s="9" t="s">
        <v>0</v>
      </c>
      <c r="F3" s="9" t="s">
        <v>44</v>
      </c>
      <c r="G3" s="9" t="s">
        <v>0</v>
      </c>
      <c r="H3" s="9" t="s">
        <v>44</v>
      </c>
      <c r="I3" s="9" t="s">
        <v>0</v>
      </c>
      <c r="J3" s="9" t="s">
        <v>44</v>
      </c>
      <c r="K3" s="9" t="s">
        <v>0</v>
      </c>
      <c r="L3" s="9" t="s">
        <v>44</v>
      </c>
      <c r="M3" s="9" t="s">
        <v>0</v>
      </c>
      <c r="N3" s="9" t="s">
        <v>44</v>
      </c>
      <c r="O3" s="9" t="s">
        <v>0</v>
      </c>
    </row>
    <row r="4" spans="2:15" ht="17" customHeight="1" thickBot="1">
      <c r="B4" s="121" t="s">
        <v>1</v>
      </c>
      <c r="C4" s="7" t="s">
        <v>33</v>
      </c>
      <c r="D4" s="17">
        <v>1148</v>
      </c>
      <c r="E4" s="17">
        <v>39</v>
      </c>
      <c r="F4" s="17">
        <v>1207</v>
      </c>
      <c r="G4" s="17">
        <v>39</v>
      </c>
      <c r="H4" s="25">
        <v>1224</v>
      </c>
      <c r="I4" s="25">
        <v>42</v>
      </c>
      <c r="J4" s="8">
        <v>1285</v>
      </c>
      <c r="K4" s="8">
        <v>43</v>
      </c>
      <c r="L4" s="25">
        <v>1380</v>
      </c>
      <c r="M4" s="25">
        <v>46</v>
      </c>
      <c r="N4" s="25">
        <v>1442</v>
      </c>
      <c r="O4" s="25">
        <v>47</v>
      </c>
    </row>
    <row r="5" spans="2:15" ht="17" thickBot="1">
      <c r="B5" s="121"/>
      <c r="C5" s="7" t="s">
        <v>45</v>
      </c>
      <c r="D5" s="18">
        <v>2.9600000000000001E-2</v>
      </c>
      <c r="E5" s="17">
        <v>0</v>
      </c>
      <c r="F5" s="17">
        <v>2.98</v>
      </c>
      <c r="G5" s="17">
        <v>0</v>
      </c>
      <c r="H5" s="26">
        <v>2.9399999999999999E-2</v>
      </c>
      <c r="I5" s="26">
        <v>0</v>
      </c>
      <c r="J5" s="26">
        <v>3.04E-2</v>
      </c>
      <c r="K5" s="26">
        <v>0</v>
      </c>
      <c r="L5" s="26">
        <v>3.1200000000000002E-2</v>
      </c>
      <c r="M5" s="26">
        <v>0</v>
      </c>
      <c r="N5" s="26">
        <v>3.1199999999999999E-2</v>
      </c>
      <c r="O5" s="26">
        <v>0</v>
      </c>
    </row>
    <row r="6" spans="2:15" ht="17" thickBot="1">
      <c r="B6" s="121"/>
      <c r="C6" s="7" t="s">
        <v>46</v>
      </c>
      <c r="D6" s="18">
        <v>0.1202</v>
      </c>
      <c r="E6" s="18">
        <v>2.5600000000000001E-2</v>
      </c>
      <c r="F6" s="17">
        <v>12.43</v>
      </c>
      <c r="G6" s="18">
        <v>2.5600000000000001E-2</v>
      </c>
      <c r="H6" s="26">
        <v>0.1193</v>
      </c>
      <c r="I6" s="26">
        <v>2.3800000000000002E-2</v>
      </c>
      <c r="J6" s="26">
        <v>0.1206</v>
      </c>
      <c r="K6" s="26">
        <v>2.3300000000000001E-2</v>
      </c>
      <c r="L6" s="26">
        <v>0.1232</v>
      </c>
      <c r="M6" s="26">
        <v>2.1700000000000001E-2</v>
      </c>
      <c r="N6" s="26">
        <v>0.12210000000000001</v>
      </c>
      <c r="O6" s="26">
        <v>2.1299999999999999E-2</v>
      </c>
    </row>
    <row r="7" spans="2:15" ht="17" thickBot="1">
      <c r="B7" s="121"/>
      <c r="C7" s="7" t="s">
        <v>47</v>
      </c>
      <c r="D7" s="18">
        <v>0.1855</v>
      </c>
      <c r="E7" s="17">
        <v>0</v>
      </c>
      <c r="F7" s="17">
        <v>18.559999999999999</v>
      </c>
      <c r="G7" s="17">
        <v>0</v>
      </c>
      <c r="H7" s="26">
        <v>0.18459999999999999</v>
      </c>
      <c r="I7" s="26">
        <v>2.3800000000000002E-2</v>
      </c>
      <c r="J7" s="26">
        <v>0.1852</v>
      </c>
      <c r="K7" s="26">
        <v>2.3300000000000001E-2</v>
      </c>
      <c r="L7" s="26">
        <v>0.18260000000000001</v>
      </c>
      <c r="M7" s="26">
        <v>2.1700000000000001E-2</v>
      </c>
      <c r="N7" s="26">
        <v>0.18100000000000002</v>
      </c>
      <c r="O7" s="26">
        <v>2.1299999999999999E-2</v>
      </c>
    </row>
    <row r="8" spans="2:15" ht="17" thickBot="1">
      <c r="B8" s="121"/>
      <c r="C8" s="7" t="s">
        <v>48</v>
      </c>
      <c r="D8" s="18">
        <v>0.1908</v>
      </c>
      <c r="E8" s="18">
        <v>0.1026</v>
      </c>
      <c r="F8" s="17">
        <v>18.809999999999999</v>
      </c>
      <c r="G8" s="18">
        <v>0.1026</v>
      </c>
      <c r="H8" s="26">
        <v>0.1855</v>
      </c>
      <c r="I8" s="26">
        <v>9.5200000000000007E-2</v>
      </c>
      <c r="J8" s="26">
        <v>0.186</v>
      </c>
      <c r="K8" s="26">
        <v>9.2999999999999999E-2</v>
      </c>
      <c r="L8" s="26">
        <v>0.1862</v>
      </c>
      <c r="M8" s="26">
        <v>8.6999999999999994E-2</v>
      </c>
      <c r="N8" s="26">
        <v>0.18170000000000003</v>
      </c>
      <c r="O8" s="26">
        <v>8.5099999999999995E-2</v>
      </c>
    </row>
    <row r="9" spans="2:15" ht="17" thickBot="1">
      <c r="B9" s="121"/>
      <c r="C9" s="7" t="s">
        <v>49</v>
      </c>
      <c r="D9" s="18">
        <v>0.18990000000000001</v>
      </c>
      <c r="E9" s="18">
        <v>0.12820000000000001</v>
      </c>
      <c r="F9" s="17">
        <v>18.64</v>
      </c>
      <c r="G9" s="18">
        <v>0.12820000000000001</v>
      </c>
      <c r="H9" s="26">
        <v>0.18870000000000001</v>
      </c>
      <c r="I9" s="26">
        <v>0.11899999999999999</v>
      </c>
      <c r="J9" s="26">
        <v>0.18440000000000001</v>
      </c>
      <c r="K9" s="26">
        <v>0.1163</v>
      </c>
      <c r="L9" s="26">
        <v>0.18190000000000001</v>
      </c>
      <c r="M9" s="26">
        <v>0.10869999999999999</v>
      </c>
      <c r="N9" s="26">
        <v>0.18239999999999998</v>
      </c>
      <c r="O9" s="26">
        <v>0.12770000000000001</v>
      </c>
    </row>
    <row r="10" spans="2:15" ht="17" thickBot="1">
      <c r="B10" s="121"/>
      <c r="C10" s="7" t="s">
        <v>50</v>
      </c>
      <c r="D10" s="18">
        <v>0.1333</v>
      </c>
      <c r="E10" s="18">
        <v>0.12820000000000001</v>
      </c>
      <c r="F10" s="17">
        <v>13.34</v>
      </c>
      <c r="G10" s="18">
        <v>0.12820000000000001</v>
      </c>
      <c r="H10" s="26">
        <v>0.1356</v>
      </c>
      <c r="I10" s="26">
        <v>0.11899999999999999</v>
      </c>
      <c r="J10" s="26">
        <v>0.13619999999999999</v>
      </c>
      <c r="K10" s="26">
        <v>0.13950000000000001</v>
      </c>
      <c r="L10" s="26">
        <v>0.1326</v>
      </c>
      <c r="M10" s="26">
        <v>0.1522</v>
      </c>
      <c r="N10" s="26">
        <v>0.13109999999999999</v>
      </c>
      <c r="O10" s="26">
        <v>0.1489</v>
      </c>
    </row>
    <row r="11" spans="2:15" ht="17" thickBot="1">
      <c r="B11" s="121"/>
      <c r="C11" s="7" t="s">
        <v>51</v>
      </c>
      <c r="D11" s="18">
        <v>8.7999999999999995E-2</v>
      </c>
      <c r="E11" s="18">
        <v>0.30769999999999997</v>
      </c>
      <c r="F11" s="17">
        <v>8.6199999999999992</v>
      </c>
      <c r="G11" s="18">
        <v>0.30769999999999997</v>
      </c>
      <c r="H11" s="26">
        <v>8.6599999999999996E-2</v>
      </c>
      <c r="I11" s="26">
        <v>0.28570000000000001</v>
      </c>
      <c r="J11" s="26">
        <v>8.8700000000000001E-2</v>
      </c>
      <c r="K11" s="26">
        <v>0.27910000000000001</v>
      </c>
      <c r="L11" s="26">
        <v>8.9900000000000008E-2</v>
      </c>
      <c r="M11" s="26">
        <v>0.28260000000000002</v>
      </c>
      <c r="N11" s="26">
        <v>9.0800000000000006E-2</v>
      </c>
      <c r="O11" s="26">
        <v>0.27660000000000001</v>
      </c>
    </row>
    <row r="12" spans="2:15" ht="17" thickBot="1">
      <c r="B12" s="121"/>
      <c r="C12" s="7" t="s">
        <v>52</v>
      </c>
      <c r="D12" s="18">
        <v>4.0899999999999999E-2</v>
      </c>
      <c r="E12" s="18">
        <v>0.28210000000000002</v>
      </c>
      <c r="F12" s="17">
        <v>4.0599999999999996</v>
      </c>
      <c r="G12" s="18">
        <v>0.28210000000000002</v>
      </c>
      <c r="H12" s="26">
        <v>4.3299999999999998E-2</v>
      </c>
      <c r="I12" s="26">
        <v>0.3095</v>
      </c>
      <c r="J12" s="26">
        <v>4.2000000000000003E-2</v>
      </c>
      <c r="K12" s="26">
        <v>0.30230000000000001</v>
      </c>
      <c r="L12" s="26">
        <v>4.4199999999999996E-2</v>
      </c>
      <c r="M12" s="26">
        <v>0.28260000000000002</v>
      </c>
      <c r="N12" s="26">
        <v>4.8499999999999995E-2</v>
      </c>
      <c r="O12" s="26">
        <v>0.27660000000000001</v>
      </c>
    </row>
    <row r="13" spans="2:15" ht="17" thickBot="1">
      <c r="B13" s="121"/>
      <c r="C13" s="7" t="s">
        <v>53</v>
      </c>
      <c r="D13" s="18">
        <v>1.2200000000000001E-2</v>
      </c>
      <c r="E13" s="18">
        <v>2.5600000000000001E-2</v>
      </c>
      <c r="F13" s="17">
        <v>1.57</v>
      </c>
      <c r="G13" s="18">
        <v>2.5600000000000001E-2</v>
      </c>
      <c r="H13" s="26">
        <v>1.72E-2</v>
      </c>
      <c r="I13" s="26">
        <v>2.3800000000000002E-2</v>
      </c>
      <c r="J13" s="26">
        <v>1.7100000000000001E-2</v>
      </c>
      <c r="K13" s="26">
        <v>2.3300000000000001E-2</v>
      </c>
      <c r="L13" s="26">
        <v>1.9599999999999999E-2</v>
      </c>
      <c r="M13" s="26">
        <v>4.3499999999999997E-2</v>
      </c>
      <c r="N13" s="26">
        <v>2.29E-2</v>
      </c>
      <c r="O13" s="26">
        <v>4.2599999999999999E-2</v>
      </c>
    </row>
    <row r="14" spans="2:15" ht="17" thickBot="1">
      <c r="B14" s="121"/>
      <c r="C14" s="7" t="s">
        <v>18</v>
      </c>
      <c r="D14" s="18">
        <v>9.5999999999999992E-3</v>
      </c>
      <c r="E14" s="17">
        <v>0</v>
      </c>
      <c r="F14" s="17">
        <v>0.99</v>
      </c>
      <c r="G14" s="17">
        <v>0</v>
      </c>
      <c r="H14" s="26">
        <v>9.7999999999999997E-3</v>
      </c>
      <c r="I14" s="26">
        <v>0</v>
      </c>
      <c r="J14" s="26">
        <v>9.2999999999999992E-3</v>
      </c>
      <c r="K14" s="26">
        <v>0</v>
      </c>
      <c r="L14" s="26">
        <v>8.6999999999999994E-3</v>
      </c>
      <c r="M14" s="26">
        <v>0</v>
      </c>
      <c r="N14" s="26">
        <v>8.3000000000000001E-3</v>
      </c>
      <c r="O14" s="26">
        <v>0</v>
      </c>
    </row>
    <row r="15" spans="2:15" ht="17" thickBot="1">
      <c r="B15" s="122" t="s">
        <v>37</v>
      </c>
      <c r="C15" s="7" t="s">
        <v>8</v>
      </c>
      <c r="D15" s="18">
        <v>0.4713</v>
      </c>
      <c r="E15" s="18">
        <v>0.30769999999999997</v>
      </c>
      <c r="F15" s="17">
        <v>47.47</v>
      </c>
      <c r="G15" s="18">
        <v>0.30769999999999997</v>
      </c>
      <c r="H15" s="26">
        <v>0.47549999999999998</v>
      </c>
      <c r="I15" s="26">
        <v>0.3095</v>
      </c>
      <c r="J15" s="26">
        <v>0.47699999999999998</v>
      </c>
      <c r="K15" s="26">
        <v>0.3256</v>
      </c>
      <c r="L15" s="26">
        <v>0.47899999999999998</v>
      </c>
      <c r="M15" s="26">
        <v>0.30430000000000001</v>
      </c>
      <c r="N15" s="26">
        <v>0.47849999999999998</v>
      </c>
      <c r="O15" s="26">
        <v>0.2979</v>
      </c>
    </row>
    <row r="16" spans="2:15" ht="17" thickBot="1">
      <c r="B16" s="123"/>
      <c r="C16" s="7" t="s">
        <v>7</v>
      </c>
      <c r="D16" s="18">
        <v>0.52180000000000004</v>
      </c>
      <c r="E16" s="18">
        <v>0.69230000000000003</v>
      </c>
      <c r="F16" s="17">
        <v>51.86</v>
      </c>
      <c r="G16" s="18">
        <v>0.69230000000000003</v>
      </c>
      <c r="H16" s="26">
        <v>0.51800000000000002</v>
      </c>
      <c r="I16" s="26">
        <v>0.66669999999999996</v>
      </c>
      <c r="J16" s="26">
        <v>0.51600000000000001</v>
      </c>
      <c r="K16" s="26">
        <v>0.6744</v>
      </c>
      <c r="L16" s="26">
        <v>0.51229999999999998</v>
      </c>
      <c r="M16" s="26">
        <v>0.69569999999999999</v>
      </c>
      <c r="N16" s="26">
        <v>0.51180000000000003</v>
      </c>
      <c r="O16" s="26">
        <v>0.70209999999999995</v>
      </c>
    </row>
    <row r="17" spans="2:15" ht="17" thickBot="1">
      <c r="B17" s="123"/>
      <c r="C17" s="7" t="s">
        <v>54</v>
      </c>
      <c r="D17" s="18">
        <v>2.5999999999999999E-3</v>
      </c>
      <c r="E17" s="18">
        <v>0</v>
      </c>
      <c r="F17" s="17">
        <v>0.25</v>
      </c>
      <c r="G17" s="18">
        <v>0</v>
      </c>
      <c r="H17" s="26">
        <v>1.6000000000000001E-3</v>
      </c>
      <c r="I17" s="26">
        <v>2.3800000000000002E-2</v>
      </c>
      <c r="J17" s="26">
        <v>1.6000000000000001E-3</v>
      </c>
      <c r="K17" s="26">
        <v>0</v>
      </c>
      <c r="L17" s="26">
        <v>1.4E-3</v>
      </c>
      <c r="M17" s="26">
        <v>0</v>
      </c>
      <c r="N17" s="26">
        <v>1.4E-3</v>
      </c>
      <c r="O17" s="26">
        <v>0</v>
      </c>
    </row>
    <row r="18" spans="2:15" ht="17" thickBot="1">
      <c r="B18" s="123"/>
      <c r="C18" s="7" t="s">
        <v>18</v>
      </c>
      <c r="D18" s="18">
        <v>4.4000000000000003E-3</v>
      </c>
      <c r="E18" s="18">
        <v>0</v>
      </c>
      <c r="F18" s="17">
        <v>0.41</v>
      </c>
      <c r="G18" s="18">
        <v>0</v>
      </c>
      <c r="H18" s="26">
        <v>4.8999999999999998E-3</v>
      </c>
      <c r="I18" s="26">
        <v>0</v>
      </c>
      <c r="J18" s="26">
        <v>5.4000000000000003E-3</v>
      </c>
      <c r="K18" s="26">
        <v>0</v>
      </c>
      <c r="L18" s="26">
        <v>7.1999999999999998E-3</v>
      </c>
      <c r="M18" s="26">
        <v>0</v>
      </c>
      <c r="N18" s="26">
        <v>8.3000000000000001E-3</v>
      </c>
      <c r="O18" s="26">
        <v>0</v>
      </c>
    </row>
  </sheetData>
  <mergeCells count="8">
    <mergeCell ref="N2:O2"/>
    <mergeCell ref="D2:E2"/>
    <mergeCell ref="F2:G2"/>
    <mergeCell ref="B4:B14"/>
    <mergeCell ref="B15:B18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6644-24D6-AA43-8AD3-248E99C8F7E5}">
  <dimension ref="A1:E15"/>
  <sheetViews>
    <sheetView workbookViewId="0">
      <selection activeCell="E13" sqref="E13"/>
    </sheetView>
  </sheetViews>
  <sheetFormatPr baseColWidth="10" defaultRowHeight="16"/>
  <cols>
    <col min="4" max="4" width="11.1640625" bestFit="1" customWidth="1"/>
  </cols>
  <sheetData>
    <row r="1" spans="1:5">
      <c r="C1" s="2">
        <v>43935</v>
      </c>
    </row>
    <row r="2" spans="1:5" ht="17" thickBot="1">
      <c r="C2" t="s">
        <v>0</v>
      </c>
    </row>
    <row r="3" spans="1:5" ht="17" thickBot="1">
      <c r="A3" s="124" t="s">
        <v>1</v>
      </c>
      <c r="B3" s="19" t="s">
        <v>39</v>
      </c>
      <c r="C3">
        <v>10834</v>
      </c>
      <c r="D3">
        <f>SUM(C4:C13)</f>
        <v>10834</v>
      </c>
    </row>
    <row r="4" spans="1:5" ht="17" thickBot="1">
      <c r="A4" s="125"/>
      <c r="B4" s="20" t="s">
        <v>20</v>
      </c>
      <c r="C4">
        <v>1</v>
      </c>
      <c r="D4">
        <f>C4/10834</f>
        <v>9.2302012183865609E-5</v>
      </c>
    </row>
    <row r="5" spans="1:5" ht="17" thickBot="1">
      <c r="A5" s="125"/>
      <c r="B5" s="97">
        <v>44123</v>
      </c>
      <c r="C5">
        <v>6</v>
      </c>
      <c r="D5" s="49">
        <f t="shared" ref="D5:D13" si="0">C5/10834</f>
        <v>5.5381207310319363E-4</v>
      </c>
    </row>
    <row r="6" spans="1:5" ht="17" thickBot="1">
      <c r="A6" s="125"/>
      <c r="B6" s="20" t="s">
        <v>21</v>
      </c>
      <c r="C6">
        <v>48</v>
      </c>
      <c r="D6" s="49">
        <f t="shared" si="0"/>
        <v>4.430496584825549E-3</v>
      </c>
    </row>
    <row r="7" spans="1:5" ht="17" thickBot="1">
      <c r="A7" s="125"/>
      <c r="B7" s="20" t="s">
        <v>23</v>
      </c>
      <c r="C7">
        <v>169</v>
      </c>
      <c r="D7" s="49">
        <f t="shared" si="0"/>
        <v>1.5599040059073288E-2</v>
      </c>
    </row>
    <row r="8" spans="1:5" ht="17" thickBot="1">
      <c r="A8" s="125"/>
      <c r="B8" s="20" t="s">
        <v>24</v>
      </c>
      <c r="C8">
        <v>418</v>
      </c>
      <c r="D8" s="49">
        <f t="shared" si="0"/>
        <v>3.8582241092855823E-2</v>
      </c>
    </row>
    <row r="9" spans="1:5" ht="17" thickBot="1">
      <c r="A9" s="125"/>
      <c r="B9" s="20" t="s">
        <v>25</v>
      </c>
      <c r="C9">
        <v>1065</v>
      </c>
      <c r="D9" s="49">
        <f t="shared" si="0"/>
        <v>9.8301642975816866E-2</v>
      </c>
    </row>
    <row r="10" spans="1:5" ht="17" thickBot="1">
      <c r="A10" s="125"/>
      <c r="B10" s="20" t="s">
        <v>26</v>
      </c>
      <c r="C10">
        <v>2109</v>
      </c>
      <c r="D10" s="49">
        <f t="shared" si="0"/>
        <v>0.19466494369577256</v>
      </c>
    </row>
    <row r="11" spans="1:5" ht="17" thickBot="1">
      <c r="A11" s="125"/>
      <c r="B11" s="20" t="s">
        <v>27</v>
      </c>
      <c r="C11">
        <v>2888</v>
      </c>
      <c r="D11" s="49">
        <f t="shared" si="0"/>
        <v>0.26656821118700386</v>
      </c>
    </row>
    <row r="12" spans="1:5" ht="17" thickBot="1">
      <c r="A12" s="125"/>
      <c r="B12" s="20" t="s">
        <v>28</v>
      </c>
      <c r="C12">
        <v>2755</v>
      </c>
      <c r="D12" s="49">
        <f t="shared" si="0"/>
        <v>0.25429204356654977</v>
      </c>
      <c r="E12">
        <f>D12+D13</f>
        <v>0.38120731031936494</v>
      </c>
    </row>
    <row r="13" spans="1:5" ht="17" thickBot="1">
      <c r="A13" s="126"/>
      <c r="B13" s="20" t="s">
        <v>29</v>
      </c>
      <c r="C13">
        <v>1375</v>
      </c>
      <c r="D13" s="49">
        <f t="shared" si="0"/>
        <v>0.1269152667528152</v>
      </c>
    </row>
    <row r="14" spans="1:5" ht="17" thickBot="1">
      <c r="A14" s="127" t="s">
        <v>19</v>
      </c>
      <c r="B14" s="20" t="s">
        <v>8</v>
      </c>
      <c r="C14">
        <v>4364</v>
      </c>
    </row>
    <row r="15" spans="1:5" ht="17" thickBot="1">
      <c r="A15" s="128"/>
      <c r="B15" s="20" t="s">
        <v>7</v>
      </c>
      <c r="C15">
        <v>6461</v>
      </c>
    </row>
  </sheetData>
  <mergeCells count="2">
    <mergeCell ref="A3:A13"/>
    <mergeCell ref="A14:A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6EB8-7C89-5649-880C-96DDAF557D57}">
  <dimension ref="A2:D16"/>
  <sheetViews>
    <sheetView workbookViewId="0">
      <selection activeCell="C14" sqref="C14:C15"/>
    </sheetView>
  </sheetViews>
  <sheetFormatPr baseColWidth="10" defaultRowHeight="16"/>
  <sheetData>
    <row r="2" spans="1:4">
      <c r="C2" s="2">
        <v>43935</v>
      </c>
    </row>
    <row r="3" spans="1:4" ht="17" thickBot="1">
      <c r="C3" t="s">
        <v>44</v>
      </c>
    </row>
    <row r="4" spans="1:4" ht="17" thickBot="1">
      <c r="A4" s="117" t="s">
        <v>1</v>
      </c>
      <c r="B4" s="48" t="s">
        <v>39</v>
      </c>
      <c r="C4">
        <v>14624</v>
      </c>
    </row>
    <row r="5" spans="1:4" ht="17" thickBot="1">
      <c r="A5" s="118"/>
      <c r="B5" s="48" t="s">
        <v>20</v>
      </c>
      <c r="C5">
        <v>18</v>
      </c>
      <c r="D5">
        <f>C5/2103</f>
        <v>8.5592011412268191E-3</v>
      </c>
    </row>
    <row r="6" spans="1:4" ht="17" thickBot="1">
      <c r="A6" s="118"/>
      <c r="B6" s="10" t="s">
        <v>22</v>
      </c>
      <c r="C6">
        <v>46</v>
      </c>
      <c r="D6" s="49">
        <f t="shared" ref="D6:D13" si="0">C6/2103</f>
        <v>2.1873514027579647E-2</v>
      </c>
    </row>
    <row r="7" spans="1:4" ht="17" thickBot="1">
      <c r="A7" s="118"/>
      <c r="B7" s="48" t="s">
        <v>21</v>
      </c>
      <c r="C7">
        <v>282</v>
      </c>
      <c r="D7" s="49">
        <f t="shared" si="0"/>
        <v>0.1340941512125535</v>
      </c>
    </row>
    <row r="8" spans="1:4" ht="17" thickBot="1">
      <c r="A8" s="118"/>
      <c r="B8" s="48" t="s">
        <v>23</v>
      </c>
      <c r="C8">
        <v>353</v>
      </c>
      <c r="D8" s="49">
        <f t="shared" si="0"/>
        <v>0.16785544460294816</v>
      </c>
    </row>
    <row r="9" spans="1:4" ht="17" thickBot="1">
      <c r="A9" s="118"/>
      <c r="B9" s="48" t="s">
        <v>24</v>
      </c>
      <c r="C9">
        <v>409</v>
      </c>
      <c r="D9" s="49">
        <f t="shared" si="0"/>
        <v>0.19448407037565382</v>
      </c>
    </row>
    <row r="10" spans="1:4" ht="17" thickBot="1">
      <c r="A10" s="118"/>
      <c r="B10" s="48" t="s">
        <v>25</v>
      </c>
      <c r="C10">
        <v>398</v>
      </c>
      <c r="D10" s="49">
        <f t="shared" si="0"/>
        <v>0.18925344745601522</v>
      </c>
    </row>
    <row r="11" spans="1:4" ht="17" thickBot="1">
      <c r="A11" s="118"/>
      <c r="B11" s="48" t="s">
        <v>26</v>
      </c>
      <c r="C11">
        <v>337</v>
      </c>
      <c r="D11" s="49">
        <f t="shared" si="0"/>
        <v>0.16024726581074655</v>
      </c>
    </row>
    <row r="12" spans="1:4" ht="17" thickBot="1">
      <c r="A12" s="118"/>
      <c r="B12" s="48" t="s">
        <v>27</v>
      </c>
      <c r="C12">
        <v>165</v>
      </c>
      <c r="D12" s="49">
        <f t="shared" si="0"/>
        <v>7.8459343794579167E-2</v>
      </c>
    </row>
    <row r="13" spans="1:4" ht="17" thickBot="1">
      <c r="A13" s="119"/>
      <c r="B13" s="48" t="s">
        <v>2</v>
      </c>
      <c r="C13">
        <v>90</v>
      </c>
      <c r="D13" s="49">
        <f t="shared" si="0"/>
        <v>4.2796005706134094E-2</v>
      </c>
    </row>
    <row r="14" spans="1:4" ht="17" thickBot="1">
      <c r="A14" s="129" t="s">
        <v>35</v>
      </c>
      <c r="B14" s="48" t="s">
        <v>7</v>
      </c>
      <c r="C14">
        <v>0.49199999999999999</v>
      </c>
    </row>
    <row r="15" spans="1:4" ht="17" thickBot="1">
      <c r="A15" s="130"/>
      <c r="B15" s="48" t="s">
        <v>8</v>
      </c>
      <c r="C15">
        <v>0.47599999999999998</v>
      </c>
    </row>
    <row r="16" spans="1:4">
      <c r="C16">
        <v>3.2000000000000001E-2</v>
      </c>
    </row>
  </sheetData>
  <mergeCells count="2">
    <mergeCell ref="A4:A13"/>
    <mergeCell ref="A14:A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AF50-6A7A-C443-AE49-311D0F6E6F67}">
  <dimension ref="A2:AC44"/>
  <sheetViews>
    <sheetView zoomScale="50" workbookViewId="0">
      <selection activeCell="A2" sqref="A2:R15"/>
    </sheetView>
  </sheetViews>
  <sheetFormatPr baseColWidth="10" defaultRowHeight="16"/>
  <cols>
    <col min="1" max="1" width="13.83203125" customWidth="1"/>
    <col min="2" max="2" width="7.5" customWidth="1"/>
    <col min="11" max="11" width="12.1640625" bestFit="1" customWidth="1"/>
    <col min="12" max="12" width="11" bestFit="1" customWidth="1"/>
  </cols>
  <sheetData>
    <row r="2" spans="1:20" ht="24" thickBot="1">
      <c r="A2" s="3"/>
      <c r="B2" s="13"/>
      <c r="C2" s="120" t="s">
        <v>36</v>
      </c>
      <c r="D2" s="120"/>
      <c r="E2" s="120" t="s">
        <v>31</v>
      </c>
      <c r="F2" s="120"/>
      <c r="G2" s="120" t="s">
        <v>38</v>
      </c>
      <c r="H2" s="120"/>
      <c r="I2" s="120" t="s">
        <v>57</v>
      </c>
      <c r="J2" s="120"/>
      <c r="K2" s="120" t="s">
        <v>98</v>
      </c>
      <c r="L2" s="120"/>
      <c r="M2" s="120" t="s">
        <v>123</v>
      </c>
      <c r="N2" s="120"/>
      <c r="O2" s="120" t="s">
        <v>124</v>
      </c>
      <c r="P2" s="120"/>
      <c r="Q2" s="2">
        <v>43969</v>
      </c>
    </row>
    <row r="3" spans="1:20" ht="44" thickBot="1">
      <c r="A3" s="3"/>
      <c r="B3" s="3"/>
      <c r="C3" s="9" t="s">
        <v>30</v>
      </c>
      <c r="D3" s="9" t="s">
        <v>10</v>
      </c>
      <c r="E3" s="9" t="s">
        <v>30</v>
      </c>
      <c r="F3" s="9" t="s">
        <v>10</v>
      </c>
      <c r="G3" s="9" t="s">
        <v>30</v>
      </c>
      <c r="H3" s="9" t="s">
        <v>10</v>
      </c>
      <c r="I3" s="9" t="s">
        <v>30</v>
      </c>
      <c r="J3" s="9" t="s">
        <v>10</v>
      </c>
      <c r="K3" s="9" t="s">
        <v>30</v>
      </c>
      <c r="L3" s="9" t="s">
        <v>10</v>
      </c>
      <c r="M3" s="9" t="s">
        <v>30</v>
      </c>
      <c r="N3" s="9" t="s">
        <v>10</v>
      </c>
      <c r="O3" s="9" t="s">
        <v>30</v>
      </c>
      <c r="P3" s="9" t="s">
        <v>10</v>
      </c>
      <c r="Q3" s="9" t="s">
        <v>30</v>
      </c>
      <c r="R3" s="9" t="s">
        <v>10</v>
      </c>
    </row>
    <row r="4" spans="1:20" ht="29" customHeight="1" thickBot="1">
      <c r="A4" s="117" t="s">
        <v>1</v>
      </c>
      <c r="B4" s="7" t="s">
        <v>39</v>
      </c>
      <c r="C4" s="8">
        <v>10062</v>
      </c>
      <c r="D4" s="8">
        <v>174</v>
      </c>
      <c r="E4" s="8">
        <v>10156</v>
      </c>
      <c r="F4" s="8">
        <v>177</v>
      </c>
      <c r="G4" s="8">
        <v>10237</v>
      </c>
      <c r="H4" s="8">
        <v>183</v>
      </c>
      <c r="I4" s="8">
        <v>10284</v>
      </c>
      <c r="J4" s="8">
        <v>186</v>
      </c>
      <c r="K4" s="8">
        <v>10331</v>
      </c>
      <c r="L4" s="8">
        <v>192</v>
      </c>
      <c r="M4" s="8">
        <v>10384</v>
      </c>
      <c r="N4" s="8">
        <v>200</v>
      </c>
      <c r="O4" s="8">
        <v>10423</v>
      </c>
      <c r="P4" s="8">
        <v>204</v>
      </c>
      <c r="Q4" s="56">
        <v>11078</v>
      </c>
      <c r="R4" s="56">
        <v>263</v>
      </c>
    </row>
    <row r="5" spans="1:20" ht="17" customHeight="1" thickBot="1">
      <c r="A5" s="118"/>
      <c r="B5" s="7" t="s">
        <v>20</v>
      </c>
      <c r="C5" s="8">
        <v>121</v>
      </c>
      <c r="D5" s="8">
        <v>0</v>
      </c>
      <c r="E5" s="8">
        <v>122</v>
      </c>
      <c r="F5" s="8">
        <v>0</v>
      </c>
      <c r="G5" s="8">
        <v>124</v>
      </c>
      <c r="H5" s="8">
        <v>0</v>
      </c>
      <c r="I5" s="8">
        <v>126</v>
      </c>
      <c r="J5" s="8">
        <v>0</v>
      </c>
      <c r="K5" s="8">
        <v>126</v>
      </c>
      <c r="L5" s="8">
        <v>0</v>
      </c>
      <c r="M5" s="8">
        <v>126</v>
      </c>
      <c r="N5" s="8">
        <v>0</v>
      </c>
      <c r="O5" s="8">
        <v>128</v>
      </c>
      <c r="P5" s="8">
        <v>0</v>
      </c>
      <c r="Q5" s="56">
        <v>148</v>
      </c>
      <c r="R5" s="56">
        <v>0</v>
      </c>
      <c r="S5">
        <f>Q5/11078</f>
        <v>1.335981224047662E-2</v>
      </c>
      <c r="T5">
        <f>R5/263</f>
        <v>0</v>
      </c>
    </row>
    <row r="6" spans="1:20" ht="17" thickBot="1">
      <c r="A6" s="118"/>
      <c r="B6" s="10" t="s">
        <v>22</v>
      </c>
      <c r="C6" s="8">
        <v>528</v>
      </c>
      <c r="D6" s="8">
        <v>0</v>
      </c>
      <c r="E6" s="8">
        <v>530</v>
      </c>
      <c r="F6" s="8">
        <v>0</v>
      </c>
      <c r="G6" s="8">
        <v>535</v>
      </c>
      <c r="H6" s="8">
        <v>0</v>
      </c>
      <c r="I6" s="24" t="s">
        <v>74</v>
      </c>
      <c r="J6" s="8">
        <v>0</v>
      </c>
      <c r="K6" s="8">
        <v>544</v>
      </c>
      <c r="L6" s="8">
        <v>0</v>
      </c>
      <c r="M6" s="8">
        <v>548</v>
      </c>
      <c r="N6" s="8">
        <v>0</v>
      </c>
      <c r="O6" s="8">
        <v>552</v>
      </c>
      <c r="P6" s="8">
        <v>0</v>
      </c>
      <c r="Q6" s="56">
        <v>621</v>
      </c>
      <c r="R6" s="56">
        <v>0</v>
      </c>
      <c r="S6" s="99">
        <f t="shared" ref="S6:S15" si="0">Q6/11078</f>
        <v>5.6057050009026901E-2</v>
      </c>
      <c r="T6" s="99">
        <f t="shared" ref="T6:T15" si="1">R6/263</f>
        <v>0</v>
      </c>
    </row>
    <row r="7" spans="1:20" ht="17" thickBot="1">
      <c r="A7" s="118"/>
      <c r="B7" s="7" t="s">
        <v>21</v>
      </c>
      <c r="C7" s="8">
        <v>2743</v>
      </c>
      <c r="D7" s="8">
        <v>0</v>
      </c>
      <c r="E7" s="8">
        <v>2761</v>
      </c>
      <c r="F7" s="8">
        <v>0</v>
      </c>
      <c r="G7" s="8">
        <v>2789</v>
      </c>
      <c r="H7" s="8">
        <v>0</v>
      </c>
      <c r="I7" s="8">
        <v>2804</v>
      </c>
      <c r="J7" s="8">
        <v>0</v>
      </c>
      <c r="K7" s="8">
        <v>2819</v>
      </c>
      <c r="L7" s="8">
        <v>0</v>
      </c>
      <c r="M7" s="8">
        <v>2832</v>
      </c>
      <c r="N7" s="8">
        <v>0</v>
      </c>
      <c r="O7" s="8">
        <v>2844</v>
      </c>
      <c r="P7" s="8">
        <v>0</v>
      </c>
      <c r="Q7" s="23">
        <v>3087</v>
      </c>
      <c r="R7" s="23">
        <v>0</v>
      </c>
      <c r="S7" s="99">
        <f t="shared" si="0"/>
        <v>0.27866040801588732</v>
      </c>
      <c r="T7" s="99">
        <f t="shared" si="1"/>
        <v>0</v>
      </c>
    </row>
    <row r="8" spans="1:20" ht="17" thickBot="1">
      <c r="A8" s="118"/>
      <c r="B8" s="7" t="s">
        <v>23</v>
      </c>
      <c r="C8" s="8">
        <v>1052</v>
      </c>
      <c r="D8" s="8">
        <v>1</v>
      </c>
      <c r="E8" s="8">
        <v>1066</v>
      </c>
      <c r="F8" s="8">
        <v>1</v>
      </c>
      <c r="G8" s="8">
        <v>1083</v>
      </c>
      <c r="H8" s="8">
        <v>1</v>
      </c>
      <c r="I8" s="8">
        <v>1086</v>
      </c>
      <c r="J8" s="8">
        <v>1</v>
      </c>
      <c r="K8" s="8">
        <v>1092</v>
      </c>
      <c r="L8" s="8">
        <v>1</v>
      </c>
      <c r="M8" s="8">
        <v>1102</v>
      </c>
      <c r="N8" s="8">
        <v>1</v>
      </c>
      <c r="O8" s="8">
        <v>1109</v>
      </c>
      <c r="P8" s="8">
        <v>1</v>
      </c>
      <c r="Q8" s="23">
        <v>1215</v>
      </c>
      <c r="R8" s="23">
        <v>2</v>
      </c>
      <c r="S8" s="99">
        <f t="shared" si="0"/>
        <v>0.10967683697418307</v>
      </c>
      <c r="T8" s="99">
        <f t="shared" si="1"/>
        <v>7.6045627376425855E-3</v>
      </c>
    </row>
    <row r="9" spans="1:20" ht="17" thickBot="1">
      <c r="A9" s="118"/>
      <c r="B9" s="7" t="s">
        <v>24</v>
      </c>
      <c r="C9" s="8">
        <v>1350</v>
      </c>
      <c r="D9" s="8">
        <v>2</v>
      </c>
      <c r="E9" s="8">
        <v>1358</v>
      </c>
      <c r="F9" s="8">
        <v>2</v>
      </c>
      <c r="G9" s="8">
        <v>1370</v>
      </c>
      <c r="H9" s="8">
        <v>2</v>
      </c>
      <c r="I9" s="8">
        <v>1375</v>
      </c>
      <c r="J9" s="8">
        <v>2</v>
      </c>
      <c r="K9" s="8">
        <v>1382</v>
      </c>
      <c r="L9" s="8">
        <v>2</v>
      </c>
      <c r="M9" s="8">
        <v>1387</v>
      </c>
      <c r="N9" s="8">
        <v>3</v>
      </c>
      <c r="O9" s="8">
        <v>1394</v>
      </c>
      <c r="P9" s="8">
        <v>3</v>
      </c>
      <c r="Q9" s="23">
        <v>1462</v>
      </c>
      <c r="R9" s="23">
        <v>3</v>
      </c>
      <c r="S9" s="99">
        <f t="shared" si="0"/>
        <v>0.13197328037551906</v>
      </c>
      <c r="T9" s="99">
        <f t="shared" si="1"/>
        <v>1.1406844106463879E-2</v>
      </c>
    </row>
    <row r="10" spans="1:20" ht="17" thickBot="1">
      <c r="A10" s="118"/>
      <c r="B10" s="7" t="s">
        <v>25</v>
      </c>
      <c r="C10" s="8">
        <v>1887</v>
      </c>
      <c r="D10" s="8">
        <v>12</v>
      </c>
      <c r="E10" s="8">
        <v>1898</v>
      </c>
      <c r="F10" s="8">
        <v>12</v>
      </c>
      <c r="G10" s="8">
        <v>1904</v>
      </c>
      <c r="H10" s="8">
        <v>13</v>
      </c>
      <c r="I10" s="8">
        <v>1906</v>
      </c>
      <c r="J10" s="8">
        <v>13</v>
      </c>
      <c r="K10" s="8">
        <v>1909</v>
      </c>
      <c r="L10" s="8">
        <v>13</v>
      </c>
      <c r="M10" s="8">
        <v>1915</v>
      </c>
      <c r="N10" s="8">
        <v>13</v>
      </c>
      <c r="O10" s="8">
        <v>1917</v>
      </c>
      <c r="P10" s="8">
        <v>13</v>
      </c>
      <c r="Q10" s="23">
        <v>1971</v>
      </c>
      <c r="R10" s="23">
        <v>15</v>
      </c>
      <c r="S10" s="99">
        <f t="shared" si="0"/>
        <v>0.17792020220256363</v>
      </c>
      <c r="T10" s="99">
        <f t="shared" si="1"/>
        <v>5.7034220532319393E-2</v>
      </c>
    </row>
    <row r="11" spans="1:20" ht="17" thickBot="1">
      <c r="A11" s="118"/>
      <c r="B11" s="7" t="s">
        <v>26</v>
      </c>
      <c r="C11" s="8">
        <v>1266</v>
      </c>
      <c r="D11" s="8">
        <v>24</v>
      </c>
      <c r="E11" s="8">
        <v>1282</v>
      </c>
      <c r="F11" s="8">
        <v>25</v>
      </c>
      <c r="G11" s="8">
        <v>1289</v>
      </c>
      <c r="H11" s="8">
        <v>25</v>
      </c>
      <c r="I11" s="8">
        <v>1294</v>
      </c>
      <c r="J11" s="8">
        <v>26</v>
      </c>
      <c r="K11" s="8">
        <v>1304</v>
      </c>
      <c r="L11" s="8">
        <v>26</v>
      </c>
      <c r="M11" s="8">
        <v>1312</v>
      </c>
      <c r="N11" s="8">
        <v>27</v>
      </c>
      <c r="O11" s="8">
        <v>1314</v>
      </c>
      <c r="P11" s="8">
        <v>27</v>
      </c>
      <c r="Q11" s="23">
        <v>1368</v>
      </c>
      <c r="R11" s="23">
        <v>38</v>
      </c>
      <c r="S11" s="99">
        <f t="shared" si="0"/>
        <v>0.12348799422278389</v>
      </c>
      <c r="T11" s="99">
        <f t="shared" si="1"/>
        <v>0.14448669201520911</v>
      </c>
    </row>
    <row r="12" spans="1:20" ht="17" thickBot="1">
      <c r="A12" s="118"/>
      <c r="B12" s="7" t="s">
        <v>27</v>
      </c>
      <c r="C12" s="8">
        <v>668</v>
      </c>
      <c r="D12" s="8">
        <v>49</v>
      </c>
      <c r="E12" s="8">
        <v>678</v>
      </c>
      <c r="F12" s="8">
        <v>50</v>
      </c>
      <c r="G12" s="8">
        <v>681</v>
      </c>
      <c r="H12" s="8">
        <v>51</v>
      </c>
      <c r="I12" s="8">
        <v>686</v>
      </c>
      <c r="J12" s="8">
        <v>52</v>
      </c>
      <c r="K12" s="8">
        <v>689</v>
      </c>
      <c r="L12" s="8">
        <v>57</v>
      </c>
      <c r="M12" s="8">
        <v>692</v>
      </c>
      <c r="N12" s="8">
        <v>60</v>
      </c>
      <c r="O12" s="8">
        <v>692</v>
      </c>
      <c r="P12" s="8">
        <v>60</v>
      </c>
      <c r="Q12" s="23">
        <v>716</v>
      </c>
      <c r="R12" s="23">
        <v>78</v>
      </c>
      <c r="S12" s="99">
        <f t="shared" si="0"/>
        <v>6.4632605163386897E-2</v>
      </c>
      <c r="T12" s="99">
        <f t="shared" si="1"/>
        <v>0.29657794676806082</v>
      </c>
    </row>
    <row r="13" spans="1:20" ht="17" thickBot="1">
      <c r="A13" s="119"/>
      <c r="B13" s="7" t="s">
        <v>2</v>
      </c>
      <c r="C13" s="8">
        <v>456</v>
      </c>
      <c r="D13" s="8">
        <v>86</v>
      </c>
      <c r="E13" s="8">
        <v>461</v>
      </c>
      <c r="F13" s="8">
        <v>87</v>
      </c>
      <c r="G13" s="8">
        <v>462</v>
      </c>
      <c r="H13" s="8">
        <v>91</v>
      </c>
      <c r="I13" s="8">
        <v>465</v>
      </c>
      <c r="J13" s="8">
        <v>92</v>
      </c>
      <c r="K13" s="8">
        <v>466</v>
      </c>
      <c r="L13" s="8">
        <v>93</v>
      </c>
      <c r="M13" s="8">
        <v>470</v>
      </c>
      <c r="N13" s="8">
        <v>96</v>
      </c>
      <c r="O13" s="8">
        <v>473</v>
      </c>
      <c r="P13" s="8">
        <v>100</v>
      </c>
      <c r="Q13" s="23">
        <v>490</v>
      </c>
      <c r="R13" s="23">
        <v>127</v>
      </c>
      <c r="S13" s="99">
        <f t="shared" si="0"/>
        <v>4.4231810796172596E-2</v>
      </c>
      <c r="T13" s="99">
        <f t="shared" si="1"/>
        <v>0.4828897338403042</v>
      </c>
    </row>
    <row r="14" spans="1:20" ht="17" thickBot="1">
      <c r="A14" s="129" t="s">
        <v>35</v>
      </c>
      <c r="B14" s="7" t="s">
        <v>7</v>
      </c>
      <c r="C14" s="8">
        <v>4013</v>
      </c>
      <c r="D14" s="8">
        <v>92</v>
      </c>
      <c r="E14" s="8">
        <v>4052</v>
      </c>
      <c r="F14" s="8">
        <v>94</v>
      </c>
      <c r="G14" s="8">
        <v>4098</v>
      </c>
      <c r="H14" s="8">
        <v>97</v>
      </c>
      <c r="I14" s="8">
        <v>4118</v>
      </c>
      <c r="J14" s="8">
        <v>98</v>
      </c>
      <c r="K14" s="8">
        <v>4138</v>
      </c>
      <c r="L14" s="8">
        <v>101</v>
      </c>
      <c r="M14" s="8">
        <v>4163</v>
      </c>
      <c r="N14" s="8">
        <v>106</v>
      </c>
      <c r="O14" s="8">
        <v>4185</v>
      </c>
      <c r="P14" s="8">
        <v>107</v>
      </c>
      <c r="Q14" s="23">
        <v>4569</v>
      </c>
      <c r="R14" s="23">
        <v>137</v>
      </c>
      <c r="S14" s="99">
        <f t="shared" si="0"/>
        <v>0.41243906842390321</v>
      </c>
      <c r="T14" s="99">
        <f t="shared" si="1"/>
        <v>0.52091254752851712</v>
      </c>
    </row>
    <row r="15" spans="1:20" ht="17" thickBot="1">
      <c r="A15" s="130"/>
      <c r="B15" s="7" t="s">
        <v>8</v>
      </c>
      <c r="C15" s="8">
        <v>6049</v>
      </c>
      <c r="D15" s="8">
        <v>82</v>
      </c>
      <c r="E15" s="8">
        <v>6104</v>
      </c>
      <c r="F15" s="8">
        <v>83</v>
      </c>
      <c r="G15" s="8">
        <v>6139</v>
      </c>
      <c r="H15" s="8">
        <v>86</v>
      </c>
      <c r="I15" s="8">
        <v>6166</v>
      </c>
      <c r="J15" s="8">
        <v>88</v>
      </c>
      <c r="K15" s="8">
        <v>6193</v>
      </c>
      <c r="L15" s="8">
        <v>91</v>
      </c>
      <c r="M15" s="8">
        <v>6221</v>
      </c>
      <c r="N15" s="8">
        <v>94</v>
      </c>
      <c r="O15" s="8">
        <v>6238</v>
      </c>
      <c r="P15" s="8">
        <v>97</v>
      </c>
      <c r="Q15" s="23">
        <v>6509</v>
      </c>
      <c r="R15" s="23">
        <v>126</v>
      </c>
      <c r="S15" s="99">
        <f t="shared" si="0"/>
        <v>0.58756093157609679</v>
      </c>
      <c r="T15" s="99">
        <f t="shared" si="1"/>
        <v>0.47908745247148288</v>
      </c>
    </row>
    <row r="16" spans="1:20">
      <c r="A16" s="3"/>
    </row>
    <row r="17" spans="1:29">
      <c r="A17" s="3"/>
    </row>
    <row r="19" spans="1:29" ht="24" thickBot="1">
      <c r="D19" s="120" t="s">
        <v>154</v>
      </c>
      <c r="E19" s="120"/>
      <c r="F19" s="120" t="s">
        <v>155</v>
      </c>
      <c r="G19" s="120"/>
      <c r="H19" s="120" t="s">
        <v>156</v>
      </c>
      <c r="I19" s="120"/>
      <c r="J19" s="120" t="s">
        <v>157</v>
      </c>
      <c r="K19" s="120"/>
      <c r="L19" s="120" t="s">
        <v>158</v>
      </c>
      <c r="M19" s="120"/>
      <c r="N19" s="120" t="s">
        <v>57</v>
      </c>
      <c r="O19" s="120"/>
      <c r="P19" s="120" t="s">
        <v>159</v>
      </c>
      <c r="Q19" s="120"/>
      <c r="R19" s="120" t="s">
        <v>160</v>
      </c>
      <c r="S19" s="120"/>
      <c r="T19" s="120" t="s">
        <v>161</v>
      </c>
      <c r="U19" s="120"/>
      <c r="V19" s="120" t="s">
        <v>162</v>
      </c>
      <c r="W19" s="120"/>
      <c r="X19" s="100" t="s">
        <v>164</v>
      </c>
      <c r="Y19" s="100"/>
      <c r="Z19" s="120" t="s">
        <v>163</v>
      </c>
      <c r="AA19" s="120"/>
      <c r="AB19" s="136"/>
      <c r="AC19" s="136"/>
    </row>
    <row r="20" spans="1:29" ht="48" thickBot="1">
      <c r="B20" s="102"/>
      <c r="C20" s="102"/>
      <c r="D20" s="9" t="s">
        <v>10</v>
      </c>
      <c r="E20" s="9" t="s">
        <v>153</v>
      </c>
      <c r="F20" s="9" t="s">
        <v>10</v>
      </c>
      <c r="G20" s="9" t="s">
        <v>153</v>
      </c>
      <c r="H20" s="9" t="s">
        <v>10</v>
      </c>
      <c r="I20" s="9" t="s">
        <v>153</v>
      </c>
      <c r="J20" s="9" t="s">
        <v>10</v>
      </c>
      <c r="K20" s="9" t="s">
        <v>153</v>
      </c>
      <c r="L20" s="9" t="s">
        <v>10</v>
      </c>
      <c r="M20" s="9" t="s">
        <v>153</v>
      </c>
      <c r="N20" s="9" t="s">
        <v>10</v>
      </c>
      <c r="O20" s="9" t="s">
        <v>153</v>
      </c>
      <c r="P20" s="9" t="s">
        <v>10</v>
      </c>
      <c r="Q20" s="9" t="s">
        <v>153</v>
      </c>
      <c r="R20" s="9" t="s">
        <v>10</v>
      </c>
      <c r="S20" s="9" t="s">
        <v>153</v>
      </c>
      <c r="T20" s="9" t="s">
        <v>10</v>
      </c>
      <c r="U20" s="9" t="s">
        <v>153</v>
      </c>
      <c r="V20" s="9" t="s">
        <v>10</v>
      </c>
      <c r="W20" s="9" t="s">
        <v>153</v>
      </c>
      <c r="X20" s="9" t="s">
        <v>10</v>
      </c>
      <c r="Y20" s="9" t="s">
        <v>153</v>
      </c>
      <c r="Z20" s="9" t="s">
        <v>10</v>
      </c>
      <c r="AA20" s="9" t="s">
        <v>153</v>
      </c>
      <c r="AB20" s="102"/>
      <c r="AC20" s="102"/>
    </row>
    <row r="21" spans="1:29" ht="17" thickBot="1">
      <c r="B21" s="117" t="s">
        <v>1</v>
      </c>
      <c r="C21" s="101" t="s">
        <v>39</v>
      </c>
      <c r="D21" s="8">
        <v>28</v>
      </c>
      <c r="E21" s="143">
        <f>D21/28</f>
        <v>1</v>
      </c>
      <c r="F21" s="8">
        <v>54</v>
      </c>
      <c r="G21" s="143">
        <f>F21/54</f>
        <v>1</v>
      </c>
      <c r="H21" s="8">
        <v>81</v>
      </c>
      <c r="I21" s="143">
        <f>H21/81</f>
        <v>1</v>
      </c>
      <c r="J21" s="8">
        <v>120</v>
      </c>
      <c r="K21" s="143">
        <f>J21/120</f>
        <v>1</v>
      </c>
      <c r="L21" s="8">
        <v>162</v>
      </c>
      <c r="M21" s="143">
        <f>L21/162</f>
        <v>1</v>
      </c>
      <c r="N21" s="8">
        <v>186</v>
      </c>
      <c r="O21" s="143">
        <f>N21/186</f>
        <v>1</v>
      </c>
      <c r="P21" s="8">
        <v>217</v>
      </c>
      <c r="Q21" s="143">
        <f>P21/217</f>
        <v>1</v>
      </c>
      <c r="R21" s="8">
        <v>236</v>
      </c>
      <c r="S21" s="143">
        <f>R21/236</f>
        <v>1</v>
      </c>
      <c r="T21" s="8">
        <v>243</v>
      </c>
      <c r="U21" s="143">
        <f>T21/243</f>
        <v>1</v>
      </c>
      <c r="V21" s="8">
        <v>252</v>
      </c>
      <c r="W21" s="143">
        <f>V21/252</f>
        <v>1</v>
      </c>
      <c r="X21" s="8">
        <v>256</v>
      </c>
      <c r="Y21" s="143">
        <f>X21/256</f>
        <v>1</v>
      </c>
      <c r="Z21" s="8">
        <v>263</v>
      </c>
      <c r="AA21" s="143">
        <f>Z21/263</f>
        <v>1</v>
      </c>
      <c r="AB21" s="102"/>
      <c r="AC21" s="102"/>
    </row>
    <row r="22" spans="1:29" ht="17" thickBot="1">
      <c r="B22" s="118"/>
      <c r="C22" s="101" t="s">
        <v>20</v>
      </c>
      <c r="D22" s="8">
        <v>0</v>
      </c>
      <c r="E22" s="143">
        <f t="shared" ref="E22:G30" si="2">D22/28</f>
        <v>0</v>
      </c>
      <c r="F22" s="8">
        <v>0</v>
      </c>
      <c r="G22" s="143">
        <f t="shared" ref="G22:I30" si="3">F22/54</f>
        <v>0</v>
      </c>
      <c r="H22" s="8">
        <v>0</v>
      </c>
      <c r="I22" s="143">
        <f t="shared" ref="I22:K30" si="4">H22/81</f>
        <v>0</v>
      </c>
      <c r="J22" s="8">
        <v>0</v>
      </c>
      <c r="K22" s="143">
        <f t="shared" ref="K22:M30" si="5">J22/120</f>
        <v>0</v>
      </c>
      <c r="L22" s="8">
        <v>0</v>
      </c>
      <c r="M22" s="143">
        <f t="shared" ref="M22:O30" si="6">L22/162</f>
        <v>0</v>
      </c>
      <c r="N22" s="8">
        <v>0</v>
      </c>
      <c r="O22" s="143">
        <f t="shared" ref="O22:Q30" si="7">N22/186</f>
        <v>0</v>
      </c>
      <c r="P22" s="8">
        <v>0</v>
      </c>
      <c r="Q22" s="143">
        <f t="shared" ref="Q22:S30" si="8">P22/217</f>
        <v>0</v>
      </c>
      <c r="R22" s="8">
        <v>0</v>
      </c>
      <c r="S22" s="143">
        <f t="shared" ref="S22:U29" si="9">R22/236</f>
        <v>0</v>
      </c>
      <c r="T22" s="8">
        <v>0</v>
      </c>
      <c r="U22" s="143">
        <f t="shared" ref="U22:U30" si="10">T22/243</f>
        <v>0</v>
      </c>
      <c r="V22" s="8">
        <v>0</v>
      </c>
      <c r="W22" s="143">
        <f t="shared" ref="W22:Y30" si="11">V22/252</f>
        <v>0</v>
      </c>
      <c r="X22" s="8">
        <v>0</v>
      </c>
      <c r="Y22" s="143">
        <f t="shared" ref="Y22:AA30" si="12">X22/256</f>
        <v>0</v>
      </c>
      <c r="Z22" s="8">
        <v>0</v>
      </c>
      <c r="AA22" s="143">
        <f t="shared" ref="AA22:AC30" si="13">Z22/263</f>
        <v>0</v>
      </c>
      <c r="AB22" s="102"/>
      <c r="AC22" s="102"/>
    </row>
    <row r="23" spans="1:29" ht="17" thickBot="1">
      <c r="B23" s="118"/>
      <c r="C23" s="10" t="s">
        <v>22</v>
      </c>
      <c r="D23" s="8">
        <v>0</v>
      </c>
      <c r="E23" s="143">
        <f t="shared" si="2"/>
        <v>0</v>
      </c>
      <c r="F23" s="8">
        <v>0</v>
      </c>
      <c r="G23" s="143">
        <f t="shared" si="3"/>
        <v>0</v>
      </c>
      <c r="H23" s="8">
        <v>0</v>
      </c>
      <c r="I23" s="143">
        <f t="shared" si="4"/>
        <v>0</v>
      </c>
      <c r="J23" s="8">
        <v>0</v>
      </c>
      <c r="K23" s="143">
        <f t="shared" si="5"/>
        <v>0</v>
      </c>
      <c r="L23" s="8">
        <v>0</v>
      </c>
      <c r="M23" s="143">
        <f t="shared" si="6"/>
        <v>0</v>
      </c>
      <c r="N23" s="8">
        <v>0</v>
      </c>
      <c r="O23" s="143">
        <f t="shared" si="7"/>
        <v>0</v>
      </c>
      <c r="P23" s="8">
        <v>0</v>
      </c>
      <c r="Q23" s="143">
        <f t="shared" si="8"/>
        <v>0</v>
      </c>
      <c r="R23" s="8">
        <v>0</v>
      </c>
      <c r="S23" s="143">
        <f t="shared" si="9"/>
        <v>0</v>
      </c>
      <c r="T23" s="8">
        <v>0</v>
      </c>
      <c r="U23" s="143">
        <f t="shared" si="10"/>
        <v>0</v>
      </c>
      <c r="V23" s="8">
        <v>0</v>
      </c>
      <c r="W23" s="143">
        <f t="shared" si="11"/>
        <v>0</v>
      </c>
      <c r="X23" s="8">
        <v>0</v>
      </c>
      <c r="Y23" s="143">
        <f t="shared" si="12"/>
        <v>0</v>
      </c>
      <c r="Z23" s="8">
        <v>0</v>
      </c>
      <c r="AA23" s="143">
        <f t="shared" si="13"/>
        <v>0</v>
      </c>
      <c r="AB23" s="102"/>
      <c r="AC23" s="102"/>
    </row>
    <row r="24" spans="1:29" ht="17" thickBot="1">
      <c r="B24" s="118"/>
      <c r="C24" s="101" t="s">
        <v>21</v>
      </c>
      <c r="D24" s="8">
        <v>0</v>
      </c>
      <c r="E24" s="143">
        <f t="shared" si="2"/>
        <v>0</v>
      </c>
      <c r="F24" s="8">
        <v>0</v>
      </c>
      <c r="G24" s="143">
        <f t="shared" si="3"/>
        <v>0</v>
      </c>
      <c r="H24" s="8">
        <v>0</v>
      </c>
      <c r="I24" s="143">
        <f t="shared" si="4"/>
        <v>0</v>
      </c>
      <c r="J24" s="8">
        <v>0</v>
      </c>
      <c r="K24" s="143">
        <f t="shared" si="5"/>
        <v>0</v>
      </c>
      <c r="L24" s="8">
        <v>0</v>
      </c>
      <c r="M24" s="143">
        <f t="shared" si="6"/>
        <v>0</v>
      </c>
      <c r="N24" s="8">
        <v>0</v>
      </c>
      <c r="O24" s="143">
        <f t="shared" si="7"/>
        <v>0</v>
      </c>
      <c r="P24" s="8">
        <v>0</v>
      </c>
      <c r="Q24" s="143">
        <f t="shared" si="8"/>
        <v>0</v>
      </c>
      <c r="R24" s="8">
        <v>0</v>
      </c>
      <c r="S24" s="143">
        <f t="shared" si="9"/>
        <v>0</v>
      </c>
      <c r="T24" s="8">
        <v>0</v>
      </c>
      <c r="U24" s="143">
        <f t="shared" si="10"/>
        <v>0</v>
      </c>
      <c r="V24" s="8">
        <v>0</v>
      </c>
      <c r="W24" s="143">
        <f t="shared" si="11"/>
        <v>0</v>
      </c>
      <c r="X24" s="8">
        <v>0</v>
      </c>
      <c r="Y24" s="143">
        <f t="shared" si="12"/>
        <v>0</v>
      </c>
      <c r="Z24" s="8">
        <v>0</v>
      </c>
      <c r="AA24" s="143">
        <f t="shared" si="13"/>
        <v>0</v>
      </c>
      <c r="AB24" s="102"/>
      <c r="AC24" s="102"/>
    </row>
    <row r="25" spans="1:29" ht="17" thickBot="1">
      <c r="B25" s="118"/>
      <c r="C25" s="101" t="s">
        <v>23</v>
      </c>
      <c r="D25" s="8">
        <v>1</v>
      </c>
      <c r="E25" s="143">
        <f t="shared" si="2"/>
        <v>3.5714285714285712E-2</v>
      </c>
      <c r="F25" s="8">
        <v>1</v>
      </c>
      <c r="G25" s="143">
        <f t="shared" si="3"/>
        <v>1.8518518518518517E-2</v>
      </c>
      <c r="H25" s="8">
        <v>1</v>
      </c>
      <c r="I25" s="143">
        <f t="shared" si="4"/>
        <v>1.2345679012345678E-2</v>
      </c>
      <c r="J25" s="8">
        <v>1</v>
      </c>
      <c r="K25" s="143">
        <f t="shared" si="5"/>
        <v>8.3333333333333332E-3</v>
      </c>
      <c r="L25" s="8">
        <v>1</v>
      </c>
      <c r="M25" s="143">
        <f t="shared" si="6"/>
        <v>6.1728395061728392E-3</v>
      </c>
      <c r="N25" s="8">
        <v>1</v>
      </c>
      <c r="O25" s="143">
        <f t="shared" si="7"/>
        <v>5.3763440860215058E-3</v>
      </c>
      <c r="P25" s="8">
        <v>1</v>
      </c>
      <c r="Q25" s="143">
        <f t="shared" si="8"/>
        <v>4.608294930875576E-3</v>
      </c>
      <c r="R25" s="8">
        <v>2</v>
      </c>
      <c r="S25" s="143">
        <f t="shared" si="9"/>
        <v>8.4745762711864406E-3</v>
      </c>
      <c r="T25" s="8">
        <v>2</v>
      </c>
      <c r="U25" s="143">
        <f t="shared" si="10"/>
        <v>8.23045267489712E-3</v>
      </c>
      <c r="V25" s="8">
        <v>2</v>
      </c>
      <c r="W25" s="143">
        <f t="shared" si="11"/>
        <v>7.9365079365079361E-3</v>
      </c>
      <c r="X25" s="8">
        <v>2</v>
      </c>
      <c r="Y25" s="143">
        <f t="shared" si="12"/>
        <v>7.8125E-3</v>
      </c>
      <c r="Z25" s="8">
        <v>2</v>
      </c>
      <c r="AA25" s="143">
        <f t="shared" si="13"/>
        <v>7.6045627376425855E-3</v>
      </c>
      <c r="AB25" s="102"/>
      <c r="AC25" s="102"/>
    </row>
    <row r="26" spans="1:29" ht="17" thickBot="1">
      <c r="B26" s="118"/>
      <c r="C26" s="101" t="s">
        <v>24</v>
      </c>
      <c r="D26" s="8">
        <v>1</v>
      </c>
      <c r="E26" s="143">
        <f t="shared" si="2"/>
        <v>3.5714285714285712E-2</v>
      </c>
      <c r="F26" s="8">
        <v>1</v>
      </c>
      <c r="G26" s="143">
        <f t="shared" si="3"/>
        <v>1.8518518518518517E-2</v>
      </c>
      <c r="H26" s="8">
        <v>1</v>
      </c>
      <c r="I26" s="143">
        <f t="shared" si="4"/>
        <v>1.2345679012345678E-2</v>
      </c>
      <c r="J26" s="8">
        <v>1</v>
      </c>
      <c r="K26" s="143">
        <f t="shared" si="5"/>
        <v>8.3333333333333332E-3</v>
      </c>
      <c r="L26" s="8">
        <v>1</v>
      </c>
      <c r="M26" s="143">
        <f t="shared" si="6"/>
        <v>6.1728395061728392E-3</v>
      </c>
      <c r="N26" s="8">
        <v>2</v>
      </c>
      <c r="O26" s="143">
        <f t="shared" si="7"/>
        <v>1.0752688172043012E-2</v>
      </c>
      <c r="P26" s="8">
        <v>3</v>
      </c>
      <c r="Q26" s="143">
        <f t="shared" si="8"/>
        <v>1.3824884792626729E-2</v>
      </c>
      <c r="R26" s="8">
        <v>3</v>
      </c>
      <c r="S26" s="143">
        <f t="shared" si="9"/>
        <v>1.2711864406779662E-2</v>
      </c>
      <c r="T26" s="8">
        <v>3</v>
      </c>
      <c r="U26" s="143">
        <f t="shared" si="10"/>
        <v>1.2345679012345678E-2</v>
      </c>
      <c r="V26" s="8">
        <v>3</v>
      </c>
      <c r="W26" s="143">
        <f t="shared" si="11"/>
        <v>1.1904761904761904E-2</v>
      </c>
      <c r="X26" s="8">
        <v>3</v>
      </c>
      <c r="Y26" s="143">
        <f t="shared" si="12"/>
        <v>1.171875E-2</v>
      </c>
      <c r="Z26" s="8">
        <v>3</v>
      </c>
      <c r="AA26" s="143">
        <f t="shared" si="13"/>
        <v>1.1406844106463879E-2</v>
      </c>
      <c r="AB26" s="102"/>
      <c r="AC26" s="102"/>
    </row>
    <row r="27" spans="1:29" ht="17" thickBot="1">
      <c r="B27" s="118"/>
      <c r="C27" s="101" t="s">
        <v>25</v>
      </c>
      <c r="D27" s="8">
        <v>5</v>
      </c>
      <c r="E27" s="143">
        <f t="shared" si="2"/>
        <v>0.17857142857142858</v>
      </c>
      <c r="F27" s="8">
        <v>5</v>
      </c>
      <c r="G27" s="143">
        <f t="shared" si="3"/>
        <v>9.2592592592592587E-2</v>
      </c>
      <c r="H27" s="8">
        <v>6</v>
      </c>
      <c r="I27" s="143">
        <f t="shared" si="4"/>
        <v>7.407407407407407E-2</v>
      </c>
      <c r="J27" s="8">
        <v>8</v>
      </c>
      <c r="K27" s="143">
        <f t="shared" si="5"/>
        <v>6.6666666666666666E-2</v>
      </c>
      <c r="L27" s="8">
        <v>10</v>
      </c>
      <c r="M27" s="143">
        <f t="shared" si="6"/>
        <v>6.1728395061728392E-2</v>
      </c>
      <c r="N27" s="8">
        <v>13</v>
      </c>
      <c r="O27" s="143">
        <f t="shared" si="7"/>
        <v>6.9892473118279563E-2</v>
      </c>
      <c r="P27" s="8">
        <v>14</v>
      </c>
      <c r="Q27" s="143">
        <f t="shared" si="8"/>
        <v>6.4516129032258063E-2</v>
      </c>
      <c r="R27" s="8">
        <v>15</v>
      </c>
      <c r="S27" s="143">
        <f t="shared" si="9"/>
        <v>6.3559322033898302E-2</v>
      </c>
      <c r="T27" s="8">
        <v>15</v>
      </c>
      <c r="U27" s="143">
        <f t="shared" si="10"/>
        <v>6.1728395061728392E-2</v>
      </c>
      <c r="V27" s="8">
        <v>15</v>
      </c>
      <c r="W27" s="143">
        <f t="shared" si="11"/>
        <v>5.9523809523809521E-2</v>
      </c>
      <c r="X27" s="8">
        <v>15</v>
      </c>
      <c r="Y27" s="143">
        <f t="shared" si="12"/>
        <v>5.859375E-2</v>
      </c>
      <c r="Z27" s="8">
        <v>15</v>
      </c>
      <c r="AA27" s="143">
        <f t="shared" si="13"/>
        <v>5.7034220532319393E-2</v>
      </c>
      <c r="AB27" s="102"/>
      <c r="AC27" s="102"/>
    </row>
    <row r="28" spans="1:29" ht="17" thickBot="1">
      <c r="B28" s="118"/>
      <c r="C28" s="101" t="s">
        <v>26</v>
      </c>
      <c r="D28" s="8">
        <v>7</v>
      </c>
      <c r="E28" s="143">
        <f t="shared" si="2"/>
        <v>0.25</v>
      </c>
      <c r="F28" s="8">
        <v>13</v>
      </c>
      <c r="G28" s="143">
        <f t="shared" si="3"/>
        <v>0.24074074074074073</v>
      </c>
      <c r="H28" s="8">
        <v>16</v>
      </c>
      <c r="I28" s="143">
        <f t="shared" si="4"/>
        <v>0.19753086419753085</v>
      </c>
      <c r="J28" s="8">
        <v>20</v>
      </c>
      <c r="K28" s="143">
        <f t="shared" si="5"/>
        <v>0.16666666666666666</v>
      </c>
      <c r="L28" s="8">
        <v>22</v>
      </c>
      <c r="M28" s="143">
        <f t="shared" si="6"/>
        <v>0.13580246913580246</v>
      </c>
      <c r="N28" s="8">
        <v>26</v>
      </c>
      <c r="O28" s="143">
        <f t="shared" si="7"/>
        <v>0.13978494623655913</v>
      </c>
      <c r="P28" s="8">
        <v>32</v>
      </c>
      <c r="Q28" s="143">
        <f t="shared" si="8"/>
        <v>0.14746543778801843</v>
      </c>
      <c r="R28" s="8">
        <v>34</v>
      </c>
      <c r="S28" s="143">
        <f t="shared" si="9"/>
        <v>0.1440677966101695</v>
      </c>
      <c r="T28" s="8">
        <v>35</v>
      </c>
      <c r="U28" s="143">
        <f t="shared" si="10"/>
        <v>0.1440329218106996</v>
      </c>
      <c r="V28" s="8">
        <v>36</v>
      </c>
      <c r="W28" s="143">
        <f t="shared" si="11"/>
        <v>0.14285714285714285</v>
      </c>
      <c r="X28" s="8">
        <v>37</v>
      </c>
      <c r="Y28" s="143">
        <f t="shared" si="12"/>
        <v>0.14453125</v>
      </c>
      <c r="Z28" s="8">
        <v>38</v>
      </c>
      <c r="AA28" s="143">
        <f t="shared" si="13"/>
        <v>0.14448669201520911</v>
      </c>
      <c r="AB28" s="102"/>
      <c r="AC28" s="102"/>
    </row>
    <row r="29" spans="1:29" ht="17" thickBot="1">
      <c r="B29" s="118"/>
      <c r="C29" s="101" t="s">
        <v>27</v>
      </c>
      <c r="D29" s="8">
        <v>9</v>
      </c>
      <c r="E29" s="143">
        <f t="shared" si="2"/>
        <v>0.32142857142857145</v>
      </c>
      <c r="F29" s="8">
        <v>19</v>
      </c>
      <c r="G29" s="143">
        <f t="shared" si="3"/>
        <v>0.35185185185185186</v>
      </c>
      <c r="H29" s="8">
        <v>29</v>
      </c>
      <c r="I29" s="143">
        <f t="shared" si="4"/>
        <v>0.35802469135802467</v>
      </c>
      <c r="J29" s="8">
        <v>29</v>
      </c>
      <c r="K29" s="143">
        <f t="shared" si="5"/>
        <v>0.24166666666666667</v>
      </c>
      <c r="L29" s="8">
        <v>46</v>
      </c>
      <c r="M29" s="143">
        <f t="shared" si="6"/>
        <v>0.2839506172839506</v>
      </c>
      <c r="N29" s="8">
        <v>52</v>
      </c>
      <c r="O29" s="143">
        <f t="shared" si="7"/>
        <v>0.27956989247311825</v>
      </c>
      <c r="P29" s="8">
        <v>64</v>
      </c>
      <c r="Q29" s="143">
        <f t="shared" si="8"/>
        <v>0.29493087557603687</v>
      </c>
      <c r="R29" s="8">
        <v>69</v>
      </c>
      <c r="S29" s="143">
        <f t="shared" si="9"/>
        <v>0.2923728813559322</v>
      </c>
      <c r="T29" s="8">
        <v>72</v>
      </c>
      <c r="U29" s="143">
        <f t="shared" si="10"/>
        <v>0.29629629629629628</v>
      </c>
      <c r="V29" s="8">
        <v>76</v>
      </c>
      <c r="W29" s="143">
        <f t="shared" si="11"/>
        <v>0.30158730158730157</v>
      </c>
      <c r="X29" s="8">
        <v>77</v>
      </c>
      <c r="Y29" s="143">
        <f t="shared" si="12"/>
        <v>0.30078125</v>
      </c>
      <c r="Z29" s="8">
        <v>78</v>
      </c>
      <c r="AA29" s="143">
        <f t="shared" si="13"/>
        <v>0.29657794676806082</v>
      </c>
      <c r="AB29" s="102"/>
      <c r="AC29" s="102"/>
    </row>
    <row r="30" spans="1:29" ht="17" thickBot="1">
      <c r="B30" s="119"/>
      <c r="C30" s="101" t="s">
        <v>2</v>
      </c>
      <c r="D30" s="8">
        <v>5</v>
      </c>
      <c r="E30" s="143">
        <f t="shared" si="2"/>
        <v>0.17857142857142858</v>
      </c>
      <c r="F30" s="8">
        <v>15</v>
      </c>
      <c r="G30" s="143">
        <f t="shared" si="3"/>
        <v>0.27777777777777779</v>
      </c>
      <c r="H30" s="8">
        <v>28</v>
      </c>
      <c r="I30" s="143">
        <f t="shared" si="4"/>
        <v>0.34567901234567899</v>
      </c>
      <c r="J30" s="8">
        <v>52</v>
      </c>
      <c r="K30" s="143">
        <f t="shared" si="5"/>
        <v>0.43333333333333335</v>
      </c>
      <c r="L30" s="8">
        <v>82</v>
      </c>
      <c r="M30" s="143">
        <f t="shared" si="6"/>
        <v>0.50617283950617287</v>
      </c>
      <c r="N30" s="8">
        <v>92</v>
      </c>
      <c r="O30" s="143">
        <f t="shared" si="7"/>
        <v>0.4946236559139785</v>
      </c>
      <c r="P30" s="8">
        <v>103</v>
      </c>
      <c r="Q30" s="143">
        <f t="shared" si="8"/>
        <v>0.47465437788018433</v>
      </c>
      <c r="R30" s="8">
        <v>113</v>
      </c>
      <c r="S30" s="143">
        <f>R30/236</f>
        <v>0.4788135593220339</v>
      </c>
      <c r="T30" s="8">
        <v>116</v>
      </c>
      <c r="U30" s="143">
        <f t="shared" si="10"/>
        <v>0.47736625514403291</v>
      </c>
      <c r="V30" s="8">
        <v>120</v>
      </c>
      <c r="W30" s="143">
        <f t="shared" si="11"/>
        <v>0.47619047619047616</v>
      </c>
      <c r="X30" s="8">
        <v>122</v>
      </c>
      <c r="Y30" s="143">
        <f t="shared" si="12"/>
        <v>0.4765625</v>
      </c>
      <c r="Z30" s="8">
        <v>127</v>
      </c>
      <c r="AA30" s="143">
        <f t="shared" si="13"/>
        <v>0.4828897338403042</v>
      </c>
      <c r="AB30" s="102"/>
      <c r="AC30" s="102"/>
    </row>
    <row r="31" spans="1:29" ht="15" customHeight="1">
      <c r="X31" s="102"/>
      <c r="Y31" s="102"/>
      <c r="Z31" s="102"/>
      <c r="AA31" s="102"/>
    </row>
    <row r="32" spans="1:29" ht="6" hidden="1" customHeight="1"/>
    <row r="33" spans="2:5" ht="25" customHeight="1" thickBot="1">
      <c r="D33" s="144" t="s">
        <v>165</v>
      </c>
      <c r="E33" s="120"/>
    </row>
    <row r="34" spans="2:5" ht="45" customHeight="1" thickBot="1">
      <c r="D34" s="9" t="s">
        <v>10</v>
      </c>
      <c r="E34" s="9" t="s">
        <v>153</v>
      </c>
    </row>
    <row r="35" spans="2:5" ht="17" thickBot="1">
      <c r="B35" s="117" t="s">
        <v>1</v>
      </c>
      <c r="C35" s="101" t="s">
        <v>39</v>
      </c>
      <c r="D35" s="8">
        <v>1023</v>
      </c>
      <c r="E35" s="143">
        <v>1</v>
      </c>
    </row>
    <row r="36" spans="2:5" ht="17" thickBot="1">
      <c r="B36" s="118"/>
      <c r="C36" s="101" t="s">
        <v>20</v>
      </c>
      <c r="D36" s="8">
        <v>0</v>
      </c>
      <c r="E36" s="143">
        <f>D36/1023</f>
        <v>0</v>
      </c>
    </row>
    <row r="37" spans="2:5" ht="17" thickBot="1">
      <c r="B37" s="118"/>
      <c r="C37" s="10" t="s">
        <v>22</v>
      </c>
      <c r="D37" s="8">
        <v>1</v>
      </c>
      <c r="E37" s="143">
        <f t="shared" ref="E37:E44" si="14">D37/1023</f>
        <v>9.7751710654936461E-4</v>
      </c>
    </row>
    <row r="38" spans="2:5" ht="17" thickBot="1">
      <c r="B38" s="118"/>
      <c r="C38" s="101" t="s">
        <v>21</v>
      </c>
      <c r="D38" s="8">
        <v>7</v>
      </c>
      <c r="E38" s="143">
        <f t="shared" si="14"/>
        <v>6.8426197458455523E-3</v>
      </c>
    </row>
    <row r="39" spans="2:5" ht="17" thickBot="1">
      <c r="B39" s="118"/>
      <c r="C39" s="101" t="s">
        <v>23</v>
      </c>
      <c r="D39" s="8">
        <v>18</v>
      </c>
      <c r="E39" s="143">
        <f t="shared" si="14"/>
        <v>1.7595307917888565E-2</v>
      </c>
    </row>
    <row r="40" spans="2:5" ht="17" thickBot="1">
      <c r="B40" s="118"/>
      <c r="C40" s="101" t="s">
        <v>24</v>
      </c>
      <c r="D40" s="8">
        <v>38</v>
      </c>
      <c r="E40" s="143">
        <f t="shared" si="14"/>
        <v>3.7145650048875857E-2</v>
      </c>
    </row>
    <row r="41" spans="2:5" ht="17" thickBot="1">
      <c r="B41" s="118"/>
      <c r="C41" s="101" t="s">
        <v>25</v>
      </c>
      <c r="D41" s="8">
        <v>130</v>
      </c>
      <c r="E41" s="143">
        <f t="shared" si="14"/>
        <v>0.1270772238514174</v>
      </c>
    </row>
    <row r="42" spans="2:5" ht="17" thickBot="1">
      <c r="B42" s="118"/>
      <c r="C42" s="101" t="s">
        <v>26</v>
      </c>
      <c r="D42" s="8">
        <v>309</v>
      </c>
      <c r="E42" s="143">
        <f t="shared" si="14"/>
        <v>0.30205278592375367</v>
      </c>
    </row>
    <row r="43" spans="2:5" ht="17" thickBot="1">
      <c r="B43" s="118"/>
      <c r="C43" s="101" t="s">
        <v>27</v>
      </c>
      <c r="D43" s="8">
        <v>312</v>
      </c>
      <c r="E43" s="143">
        <f t="shared" si="14"/>
        <v>0.30498533724340177</v>
      </c>
    </row>
    <row r="44" spans="2:5" ht="17" thickBot="1">
      <c r="B44" s="119"/>
      <c r="C44" s="101" t="s">
        <v>2</v>
      </c>
      <c r="D44" s="8">
        <v>208</v>
      </c>
      <c r="E44" s="143">
        <f t="shared" si="14"/>
        <v>0.20332355816226785</v>
      </c>
    </row>
  </sheetData>
  <mergeCells count="24">
    <mergeCell ref="V19:W19"/>
    <mergeCell ref="Z19:AA19"/>
    <mergeCell ref="AB19:AC19"/>
    <mergeCell ref="B35:B44"/>
    <mergeCell ref="D33:E33"/>
    <mergeCell ref="L19:M19"/>
    <mergeCell ref="N19:O19"/>
    <mergeCell ref="P19:Q19"/>
    <mergeCell ref="R19:S19"/>
    <mergeCell ref="T19:U19"/>
    <mergeCell ref="B21:B30"/>
    <mergeCell ref="D19:E19"/>
    <mergeCell ref="F19:G19"/>
    <mergeCell ref="H19:I19"/>
    <mergeCell ref="J19:K19"/>
    <mergeCell ref="O2:P2"/>
    <mergeCell ref="C2:D2"/>
    <mergeCell ref="A4:A13"/>
    <mergeCell ref="A14:A15"/>
    <mergeCell ref="E2:F2"/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1855-0C1B-1C4F-AE58-7DB68FBDB92A}">
  <dimension ref="A1:V16"/>
  <sheetViews>
    <sheetView topLeftCell="C1" zoomScale="57" workbookViewId="0">
      <selection activeCell="R3" sqref="R3"/>
    </sheetView>
  </sheetViews>
  <sheetFormatPr baseColWidth="10" defaultRowHeight="16"/>
  <sheetData>
    <row r="1" spans="1:22" ht="24" thickBot="1">
      <c r="B1" s="13"/>
      <c r="C1" s="120" t="s">
        <v>31</v>
      </c>
      <c r="D1" s="120"/>
      <c r="E1" s="120" t="s">
        <v>38</v>
      </c>
      <c r="F1" s="120"/>
      <c r="G1" s="120" t="s">
        <v>57</v>
      </c>
      <c r="H1" s="120"/>
      <c r="I1" s="120" t="s">
        <v>98</v>
      </c>
      <c r="J1" s="120"/>
      <c r="K1" s="120" t="s">
        <v>123</v>
      </c>
      <c r="L1" s="120"/>
      <c r="M1" s="120" t="s">
        <v>124</v>
      </c>
      <c r="N1" s="120"/>
      <c r="Q1" s="2">
        <v>43969</v>
      </c>
    </row>
    <row r="2" spans="1:22" ht="44" thickBot="1">
      <c r="A2" s="3"/>
      <c r="C2" s="9" t="s">
        <v>30</v>
      </c>
      <c r="D2" s="9" t="s">
        <v>10</v>
      </c>
      <c r="E2" s="9" t="s">
        <v>30</v>
      </c>
      <c r="F2" s="9" t="s">
        <v>10</v>
      </c>
      <c r="G2" s="9" t="s">
        <v>30</v>
      </c>
      <c r="H2" s="9" t="s">
        <v>10</v>
      </c>
      <c r="I2" s="9" t="s">
        <v>30</v>
      </c>
      <c r="J2" s="9" t="s">
        <v>10</v>
      </c>
      <c r="K2" s="9" t="s">
        <v>30</v>
      </c>
      <c r="L2" s="9" t="s">
        <v>10</v>
      </c>
      <c r="M2" s="9" t="s">
        <v>30</v>
      </c>
      <c r="N2" s="9" t="s">
        <v>10</v>
      </c>
      <c r="Q2" s="104" t="s">
        <v>30</v>
      </c>
      <c r="R2" s="104" t="s">
        <v>10</v>
      </c>
    </row>
    <row r="3" spans="1:22" ht="45" customHeight="1" thickBot="1">
      <c r="A3" s="121" t="s">
        <v>1</v>
      </c>
      <c r="B3" s="7" t="s">
        <v>39</v>
      </c>
      <c r="C3" s="8">
        <f>SUM(C4:C13)</f>
        <v>6458</v>
      </c>
      <c r="D3" s="8">
        <f>SUM(D4:D13)</f>
        <v>374</v>
      </c>
      <c r="E3" s="8">
        <v>6830</v>
      </c>
      <c r="F3" s="8">
        <v>401</v>
      </c>
      <c r="G3" s="8">
        <v>7206</v>
      </c>
      <c r="H3" s="8">
        <v>477</v>
      </c>
      <c r="I3" s="8">
        <v>7693</v>
      </c>
      <c r="J3" s="8">
        <v>591</v>
      </c>
      <c r="K3" s="8">
        <v>8410</v>
      </c>
      <c r="L3" s="8">
        <v>687</v>
      </c>
      <c r="M3" s="8">
        <v>9141</v>
      </c>
      <c r="N3" s="8">
        <v>793</v>
      </c>
      <c r="O3" s="14">
        <v>9224</v>
      </c>
      <c r="Q3" s="14">
        <f>SUM(Q4:Q13)</f>
        <v>30372</v>
      </c>
      <c r="R3" s="14">
        <f>SUM(R4:R13)</f>
        <v>3681</v>
      </c>
    </row>
    <row r="4" spans="1:22" ht="17" thickBot="1">
      <c r="A4" s="121"/>
      <c r="B4" s="7" t="s">
        <v>20</v>
      </c>
      <c r="C4" s="8">
        <v>36</v>
      </c>
      <c r="D4" s="8">
        <v>0</v>
      </c>
      <c r="E4" s="8">
        <v>40</v>
      </c>
      <c r="F4" s="8">
        <v>0</v>
      </c>
      <c r="G4" s="8">
        <v>43</v>
      </c>
      <c r="H4" s="8">
        <v>0</v>
      </c>
      <c r="I4" s="8">
        <v>46</v>
      </c>
      <c r="J4" s="8">
        <v>0</v>
      </c>
      <c r="K4" s="8">
        <v>49</v>
      </c>
      <c r="L4" s="8">
        <v>0</v>
      </c>
      <c r="M4" s="8">
        <v>53</v>
      </c>
      <c r="N4" s="8">
        <v>0</v>
      </c>
      <c r="O4" s="49">
        <f>M4/9224</f>
        <v>5.7458803122289676E-3</v>
      </c>
      <c r="Q4" s="23">
        <v>145</v>
      </c>
      <c r="R4" s="23">
        <v>0</v>
      </c>
      <c r="S4">
        <f>Q4/30372</f>
        <v>4.7741340708547346E-3</v>
      </c>
      <c r="U4">
        <f>R4/3681</f>
        <v>0</v>
      </c>
    </row>
    <row r="5" spans="1:22" ht="17" thickBot="1">
      <c r="A5" s="121"/>
      <c r="B5" s="10" t="s">
        <v>22</v>
      </c>
      <c r="C5" s="8">
        <v>139</v>
      </c>
      <c r="D5" s="8">
        <v>0</v>
      </c>
      <c r="E5" s="8">
        <v>143</v>
      </c>
      <c r="F5" s="8">
        <v>0</v>
      </c>
      <c r="G5" s="8">
        <v>143</v>
      </c>
      <c r="H5" s="8">
        <v>0</v>
      </c>
      <c r="I5" s="8">
        <v>147</v>
      </c>
      <c r="J5" s="8">
        <v>0</v>
      </c>
      <c r="K5" s="8">
        <v>149</v>
      </c>
      <c r="L5" s="8">
        <v>0</v>
      </c>
      <c r="M5" s="8">
        <v>153</v>
      </c>
      <c r="N5" s="8">
        <v>0</v>
      </c>
      <c r="O5">
        <f>M5/9224</f>
        <v>1.6587163920208151E-2</v>
      </c>
      <c r="P5" s="49"/>
      <c r="Q5" s="23">
        <v>349</v>
      </c>
      <c r="R5" s="23">
        <v>0</v>
      </c>
      <c r="S5" s="99">
        <f t="shared" ref="S5:S15" si="0">Q5/30372</f>
        <v>1.1490846832608983E-2</v>
      </c>
      <c r="U5" s="99">
        <f t="shared" ref="U5:U15" si="1">R5/3681</f>
        <v>0</v>
      </c>
    </row>
    <row r="6" spans="1:22" ht="17" thickBot="1">
      <c r="A6" s="121"/>
      <c r="B6" s="7" t="s">
        <v>21</v>
      </c>
      <c r="C6" s="8">
        <v>452</v>
      </c>
      <c r="D6" s="8">
        <v>3</v>
      </c>
      <c r="E6" s="8">
        <v>481</v>
      </c>
      <c r="F6" s="8">
        <v>3</v>
      </c>
      <c r="G6" s="8">
        <v>503</v>
      </c>
      <c r="H6" s="8">
        <v>3</v>
      </c>
      <c r="I6" s="8">
        <v>547</v>
      </c>
      <c r="J6" s="8">
        <v>3</v>
      </c>
      <c r="K6" s="8">
        <v>606</v>
      </c>
      <c r="L6" s="8">
        <v>3</v>
      </c>
      <c r="M6" s="8">
        <v>666</v>
      </c>
      <c r="N6" s="8">
        <v>3</v>
      </c>
      <c r="O6" s="49">
        <f t="shared" ref="O6:O13" si="2">M6/9224</f>
        <v>7.220294882914137E-2</v>
      </c>
      <c r="P6" s="49"/>
      <c r="Q6" s="23">
        <v>2641</v>
      </c>
      <c r="R6" s="8">
        <v>3</v>
      </c>
      <c r="S6" s="99">
        <f t="shared" si="0"/>
        <v>8.6955090214671404E-2</v>
      </c>
      <c r="U6" s="99">
        <f t="shared" si="1"/>
        <v>8.1499592502037486E-4</v>
      </c>
    </row>
    <row r="7" spans="1:22" ht="17" thickBot="1">
      <c r="A7" s="121"/>
      <c r="B7" s="7" t="s">
        <v>23</v>
      </c>
      <c r="C7" s="8">
        <v>582</v>
      </c>
      <c r="D7" s="8">
        <v>1</v>
      </c>
      <c r="E7" s="8">
        <v>623</v>
      </c>
      <c r="F7" s="8">
        <v>1</v>
      </c>
      <c r="G7" s="8">
        <v>651</v>
      </c>
      <c r="H7" s="8">
        <v>1</v>
      </c>
      <c r="I7" s="8">
        <v>689</v>
      </c>
      <c r="J7" s="8">
        <v>1</v>
      </c>
      <c r="K7" s="8">
        <v>771</v>
      </c>
      <c r="L7" s="8">
        <v>1</v>
      </c>
      <c r="M7" s="8">
        <v>848</v>
      </c>
      <c r="N7" s="8">
        <v>1</v>
      </c>
      <c r="O7" s="49">
        <f t="shared" si="2"/>
        <v>9.1934084995663481E-2</v>
      </c>
      <c r="P7" s="49"/>
      <c r="Q7" s="23">
        <v>3487</v>
      </c>
      <c r="R7" s="8">
        <v>1</v>
      </c>
      <c r="S7" s="99">
        <f t="shared" si="0"/>
        <v>0.11480969313841696</v>
      </c>
      <c r="U7" s="99">
        <f t="shared" si="1"/>
        <v>2.7166530834012495E-4</v>
      </c>
    </row>
    <row r="8" spans="1:22" ht="17" thickBot="1">
      <c r="A8" s="121"/>
      <c r="B8" s="7" t="s">
        <v>24</v>
      </c>
      <c r="C8" s="8">
        <v>838</v>
      </c>
      <c r="D8" s="8">
        <v>1</v>
      </c>
      <c r="E8" s="8">
        <v>883</v>
      </c>
      <c r="F8" s="8">
        <v>1</v>
      </c>
      <c r="G8" s="8">
        <v>935</v>
      </c>
      <c r="H8" s="8">
        <v>1</v>
      </c>
      <c r="I8" s="8">
        <v>999</v>
      </c>
      <c r="J8" s="8">
        <v>2</v>
      </c>
      <c r="K8" s="8">
        <v>1100</v>
      </c>
      <c r="L8" s="8">
        <v>2</v>
      </c>
      <c r="M8" s="8">
        <v>1200</v>
      </c>
      <c r="N8" s="8">
        <v>4</v>
      </c>
      <c r="O8" s="49">
        <f t="shared" si="2"/>
        <v>0.13009540329575023</v>
      </c>
      <c r="P8" s="49"/>
      <c r="Q8" s="23">
        <v>4289</v>
      </c>
      <c r="R8" s="23">
        <v>37</v>
      </c>
      <c r="S8" s="99">
        <f t="shared" si="0"/>
        <v>0.1412155933096273</v>
      </c>
      <c r="U8" s="99">
        <f t="shared" si="1"/>
        <v>1.0051616408584624E-2</v>
      </c>
    </row>
    <row r="9" spans="1:22" ht="17" thickBot="1">
      <c r="A9" s="121"/>
      <c r="B9" s="7" t="s">
        <v>25</v>
      </c>
      <c r="C9" s="8">
        <v>1200</v>
      </c>
      <c r="D9" s="8">
        <v>15</v>
      </c>
      <c r="E9" s="8">
        <v>1200</v>
      </c>
      <c r="F9" s="8">
        <v>17</v>
      </c>
      <c r="G9" s="8">
        <v>1300</v>
      </c>
      <c r="H9" s="8">
        <v>22</v>
      </c>
      <c r="I9" s="8">
        <v>1400</v>
      </c>
      <c r="J9" s="8">
        <v>26</v>
      </c>
      <c r="K9" s="8">
        <v>1500</v>
      </c>
      <c r="L9" s="8">
        <v>28</v>
      </c>
      <c r="M9" s="8">
        <v>1600</v>
      </c>
      <c r="N9" s="8">
        <v>31</v>
      </c>
      <c r="O9" s="49">
        <f t="shared" si="2"/>
        <v>0.17346053772766695</v>
      </c>
      <c r="P9" s="49"/>
      <c r="Q9" s="23">
        <v>5410</v>
      </c>
      <c r="R9" s="23">
        <v>115</v>
      </c>
      <c r="S9" s="99">
        <f t="shared" si="0"/>
        <v>0.17812458843671802</v>
      </c>
      <c r="U9" s="99">
        <f t="shared" si="1"/>
        <v>3.1241510459114372E-2</v>
      </c>
    </row>
    <row r="10" spans="1:22" ht="17" thickBot="1">
      <c r="A10" s="121"/>
      <c r="B10" s="7" t="s">
        <v>26</v>
      </c>
      <c r="C10" s="8">
        <v>913</v>
      </c>
      <c r="D10" s="8">
        <v>26</v>
      </c>
      <c r="E10" s="8">
        <v>964</v>
      </c>
      <c r="F10" s="8">
        <v>27</v>
      </c>
      <c r="G10" s="8">
        <v>1000</v>
      </c>
      <c r="H10" s="8">
        <v>32</v>
      </c>
      <c r="I10" s="8">
        <v>1100</v>
      </c>
      <c r="J10" s="8">
        <v>41</v>
      </c>
      <c r="K10" s="8">
        <v>1200</v>
      </c>
      <c r="L10" s="8">
        <v>49</v>
      </c>
      <c r="M10" s="8">
        <v>1300</v>
      </c>
      <c r="N10" s="8">
        <v>57</v>
      </c>
      <c r="O10" s="49">
        <f t="shared" si="2"/>
        <v>0.1409366869037294</v>
      </c>
      <c r="P10" s="49"/>
      <c r="Q10" s="23">
        <v>3733</v>
      </c>
      <c r="R10" s="23">
        <v>269</v>
      </c>
      <c r="S10" s="99">
        <f t="shared" si="0"/>
        <v>0.1229092585275912</v>
      </c>
      <c r="U10" s="99">
        <f t="shared" si="1"/>
        <v>7.307796794349361E-2</v>
      </c>
    </row>
    <row r="11" spans="1:22" ht="17" thickBot="1">
      <c r="A11" s="121"/>
      <c r="B11" s="7" t="s">
        <v>27</v>
      </c>
      <c r="C11" s="8">
        <v>932</v>
      </c>
      <c r="D11" s="8">
        <v>101</v>
      </c>
      <c r="E11" s="8">
        <v>994</v>
      </c>
      <c r="F11" s="8">
        <v>106</v>
      </c>
      <c r="G11" s="8">
        <v>1000</v>
      </c>
      <c r="H11" s="8">
        <v>126</v>
      </c>
      <c r="I11" s="8">
        <v>1100</v>
      </c>
      <c r="J11" s="8">
        <v>156</v>
      </c>
      <c r="K11" s="8">
        <v>1200</v>
      </c>
      <c r="L11" s="8">
        <v>182</v>
      </c>
      <c r="M11" s="8">
        <v>1300</v>
      </c>
      <c r="N11" s="8">
        <v>203</v>
      </c>
      <c r="O11" s="49">
        <f t="shared" si="2"/>
        <v>0.1409366869037294</v>
      </c>
      <c r="P11" s="49"/>
      <c r="Q11" s="23">
        <v>3533</v>
      </c>
      <c r="R11" s="23">
        <v>823</v>
      </c>
      <c r="S11" s="99">
        <f t="shared" si="0"/>
        <v>0.11632424601606743</v>
      </c>
      <c r="U11" s="99">
        <f t="shared" si="1"/>
        <v>0.22358054876392286</v>
      </c>
    </row>
    <row r="12" spans="1:22" ht="17" thickBot="1">
      <c r="A12" s="121"/>
      <c r="B12" s="7" t="s">
        <v>28</v>
      </c>
      <c r="C12" s="8">
        <v>942</v>
      </c>
      <c r="D12" s="8">
        <v>157</v>
      </c>
      <c r="E12" s="8">
        <v>1000</v>
      </c>
      <c r="F12" s="8">
        <v>170</v>
      </c>
      <c r="G12" s="8">
        <v>1100</v>
      </c>
      <c r="H12" s="8">
        <v>196</v>
      </c>
      <c r="I12" s="8">
        <v>1100</v>
      </c>
      <c r="J12" s="8">
        <v>237</v>
      </c>
      <c r="K12" s="8">
        <v>1300</v>
      </c>
      <c r="L12" s="8">
        <v>280</v>
      </c>
      <c r="M12" s="8">
        <v>1400</v>
      </c>
      <c r="N12" s="8">
        <v>325</v>
      </c>
      <c r="O12" s="49">
        <f t="shared" si="2"/>
        <v>0.15177797051170858</v>
      </c>
      <c r="P12" s="49">
        <f>O12+O13</f>
        <v>0.22810060711188204</v>
      </c>
      <c r="Q12" s="23">
        <v>4386</v>
      </c>
      <c r="R12" s="23">
        <v>1518</v>
      </c>
      <c r="S12" s="99">
        <f t="shared" si="0"/>
        <v>0.14440932437771631</v>
      </c>
      <c r="U12" s="99">
        <f t="shared" si="1"/>
        <v>0.41238793806030971</v>
      </c>
    </row>
    <row r="13" spans="1:22" ht="17" thickBot="1">
      <c r="A13" s="121"/>
      <c r="B13" s="7" t="s">
        <v>29</v>
      </c>
      <c r="C13" s="8">
        <v>424</v>
      </c>
      <c r="D13" s="8">
        <v>70</v>
      </c>
      <c r="E13" s="8">
        <v>462</v>
      </c>
      <c r="F13" s="8">
        <v>76</v>
      </c>
      <c r="G13" s="8">
        <v>501</v>
      </c>
      <c r="H13" s="8">
        <v>96</v>
      </c>
      <c r="I13" s="8">
        <v>557</v>
      </c>
      <c r="J13" s="8">
        <v>125</v>
      </c>
      <c r="K13" s="8">
        <v>637</v>
      </c>
      <c r="L13" s="8">
        <v>142</v>
      </c>
      <c r="M13" s="8">
        <v>704</v>
      </c>
      <c r="N13" s="8">
        <v>169</v>
      </c>
      <c r="O13" s="49">
        <f t="shared" si="2"/>
        <v>7.6322636600173466E-2</v>
      </c>
      <c r="P13" s="49"/>
      <c r="Q13" s="23">
        <v>2399</v>
      </c>
      <c r="R13" s="23">
        <v>915</v>
      </c>
      <c r="S13" s="99">
        <f t="shared" si="0"/>
        <v>7.8987225075727641E-2</v>
      </c>
      <c r="T13">
        <f>S12+S13</f>
        <v>0.22339654945344395</v>
      </c>
      <c r="U13" s="99">
        <v>0.66096169519152403</v>
      </c>
      <c r="V13">
        <f>U13+U12</f>
        <v>1.0733496332518337</v>
      </c>
    </row>
    <row r="14" spans="1:22" ht="17" thickBot="1">
      <c r="A14" s="131" t="s">
        <v>19</v>
      </c>
      <c r="B14" s="7" t="s">
        <v>8</v>
      </c>
      <c r="C14" s="8">
        <v>3180</v>
      </c>
      <c r="D14" s="8">
        <v>154</v>
      </c>
      <c r="E14" s="8">
        <v>3381</v>
      </c>
      <c r="F14" s="8">
        <v>167</v>
      </c>
      <c r="G14" s="8">
        <v>3587</v>
      </c>
      <c r="H14" s="8">
        <v>195</v>
      </c>
      <c r="I14" s="8">
        <v>3883</v>
      </c>
      <c r="J14" s="8">
        <v>234</v>
      </c>
      <c r="K14" s="8">
        <v>4235</v>
      </c>
      <c r="L14" s="8">
        <v>281</v>
      </c>
      <c r="M14" s="8">
        <v>4618</v>
      </c>
      <c r="N14" s="8">
        <v>332</v>
      </c>
      <c r="Q14" s="23">
        <v>12687</v>
      </c>
      <c r="R14" s="23">
        <v>2051</v>
      </c>
      <c r="S14" s="99">
        <f t="shared" si="0"/>
        <v>0.41772026866851047</v>
      </c>
      <c r="U14" s="99">
        <f t="shared" si="1"/>
        <v>0.55718554740559634</v>
      </c>
    </row>
    <row r="15" spans="1:22" ht="17" thickBot="1">
      <c r="A15" s="130"/>
      <c r="B15" s="7" t="s">
        <v>7</v>
      </c>
      <c r="C15" s="8">
        <v>3263</v>
      </c>
      <c r="D15" s="8">
        <v>219</v>
      </c>
      <c r="E15" s="8">
        <v>3449</v>
      </c>
      <c r="F15" s="8">
        <v>234</v>
      </c>
      <c r="G15" s="8">
        <v>3619</v>
      </c>
      <c r="H15" s="8">
        <v>282</v>
      </c>
      <c r="I15" s="8">
        <v>3860</v>
      </c>
      <c r="J15" s="8">
        <v>357</v>
      </c>
      <c r="K15" s="8">
        <v>4184</v>
      </c>
      <c r="L15" s="8">
        <v>406</v>
      </c>
      <c r="M15" s="8">
        <v>4523</v>
      </c>
      <c r="N15" s="8">
        <v>461</v>
      </c>
      <c r="Q15" s="23">
        <v>17690</v>
      </c>
      <c r="R15" s="23">
        <v>1647</v>
      </c>
      <c r="S15" s="99">
        <f t="shared" si="0"/>
        <v>0.58244435664427763</v>
      </c>
      <c r="U15" s="99">
        <f t="shared" si="1"/>
        <v>0.44743276283618583</v>
      </c>
    </row>
    <row r="16" spans="1:22">
      <c r="A16" s="4"/>
      <c r="C16" s="14"/>
      <c r="G16" s="4"/>
      <c r="H16" s="4"/>
    </row>
  </sheetData>
  <mergeCells count="8">
    <mergeCell ref="M1:N1"/>
    <mergeCell ref="C1:D1"/>
    <mergeCell ref="E1:F1"/>
    <mergeCell ref="A14:A15"/>
    <mergeCell ref="A3:A13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China+Korea</vt:lpstr>
      <vt:lpstr>New York</vt:lpstr>
      <vt:lpstr>California</vt:lpstr>
      <vt:lpstr>Massachussetts</vt:lpstr>
      <vt:lpstr>Santa Clara</vt:lpstr>
      <vt:lpstr>New York State</vt:lpstr>
      <vt:lpstr>Texas</vt:lpstr>
      <vt:lpstr>South Korea</vt:lpstr>
      <vt:lpstr>Sweden</vt:lpstr>
      <vt:lpstr>Norway</vt:lpstr>
      <vt:lpstr>Spain</vt:lpstr>
      <vt:lpstr>Switzerland</vt:lpstr>
      <vt:lpstr>Netherlands</vt:lpstr>
      <vt:lpstr>Italy</vt:lpstr>
      <vt:lpstr>Israel</vt:lpstr>
      <vt:lpstr>Portugal</vt:lpstr>
      <vt:lpstr>France</vt:lpstr>
      <vt:lpstr>Austria</vt:lpstr>
      <vt:lpstr>Denmark</vt:lpstr>
      <vt:lpstr>Belgium</vt:lpstr>
      <vt:lpstr>England</vt:lpstr>
      <vt:lpstr>United States</vt:lpstr>
      <vt:lpstr>Florida</vt:lpstr>
      <vt:lpstr>Connecticut</vt:lpstr>
      <vt:lpstr>Washington State</vt:lpstr>
      <vt:lpstr>Princess Cruise</vt:lpstr>
      <vt:lpstr>Germany</vt:lpstr>
      <vt:lpstr>Finalnd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Weiner</dc:creator>
  <cp:lastModifiedBy>Bar Weiner</cp:lastModifiedBy>
  <dcterms:created xsi:type="dcterms:W3CDTF">2020-04-03T20:38:02Z</dcterms:created>
  <dcterms:modified xsi:type="dcterms:W3CDTF">2020-05-22T06:20:15Z</dcterms:modified>
</cp:coreProperties>
</file>