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120" windowHeight="819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29" i="1" l="1"/>
  <c r="M21" i="1" l="1"/>
  <c r="M20" i="1"/>
  <c r="F16" i="1"/>
  <c r="F15" i="1"/>
  <c r="M11" i="1"/>
  <c r="E27" i="1" s="1"/>
  <c r="M10" i="1"/>
  <c r="E26" i="1" s="1"/>
  <c r="F9" i="1"/>
  <c r="F8" i="1"/>
  <c r="F11" i="1" s="1"/>
  <c r="E8" i="1"/>
  <c r="E9" i="1" s="1"/>
  <c r="E10" i="1" s="1"/>
  <c r="E11" i="1" s="1"/>
  <c r="F7" i="1"/>
  <c r="F12" i="1" s="1"/>
  <c r="M7" i="1"/>
  <c r="M9" i="1" s="1"/>
  <c r="E25" i="1" s="1"/>
  <c r="F6" i="1"/>
  <c r="F13" i="1" s="1"/>
  <c r="E6" i="1"/>
  <c r="E12" i="1" s="1"/>
  <c r="E13" i="1" s="1"/>
  <c r="F5" i="1"/>
  <c r="F14" i="1" s="1"/>
  <c r="E4" i="1"/>
  <c r="E16" i="1" s="1"/>
  <c r="E5" i="1" l="1"/>
  <c r="G5" i="1"/>
  <c r="H5" i="1"/>
  <c r="I5" i="1"/>
  <c r="E7" i="1"/>
  <c r="M8" i="1"/>
  <c r="E24" i="1" s="1"/>
  <c r="E14" i="1"/>
  <c r="I13" i="1"/>
  <c r="G13" i="1"/>
  <c r="H13" i="1" s="1"/>
  <c r="G12" i="1"/>
  <c r="I12" i="1"/>
  <c r="H12" i="1"/>
  <c r="G7" i="1"/>
  <c r="H7" i="1"/>
  <c r="I7" i="1"/>
  <c r="G8" i="1"/>
  <c r="H8" i="1"/>
  <c r="I8" i="1"/>
  <c r="G9" i="1"/>
  <c r="H9" i="1"/>
  <c r="I9" i="1"/>
  <c r="F10" i="1"/>
  <c r="E15" i="1" l="1"/>
  <c r="I6" i="1"/>
  <c r="G6" i="1"/>
  <c r="H6" i="1" s="1"/>
  <c r="G14" i="1"/>
  <c r="H14" i="1" s="1"/>
  <c r="I14" i="1"/>
  <c r="I11" i="1"/>
  <c r="G10" i="1"/>
  <c r="H10" i="1" s="1"/>
  <c r="I10" i="1"/>
  <c r="G11" i="1"/>
  <c r="H11" i="1" s="1"/>
  <c r="I16" i="1" l="1"/>
  <c r="G16" i="1"/>
  <c r="H16" i="1" s="1"/>
  <c r="G15" i="1"/>
  <c r="H15" i="1" s="1"/>
  <c r="I15" i="1"/>
  <c r="B14" i="1"/>
  <c r="B17" i="1" l="1"/>
  <c r="M16" i="1"/>
  <c r="M19" i="1" s="1"/>
  <c r="B15" i="1"/>
  <c r="B16" i="1" l="1"/>
  <c r="F25" i="1"/>
  <c r="B19" i="1"/>
  <c r="B18" i="1"/>
  <c r="D19" i="1"/>
  <c r="D18" i="1"/>
  <c r="F29" i="1" l="1"/>
  <c r="F31" i="1" s="1"/>
  <c r="F26" i="1"/>
  <c r="B24" i="1"/>
  <c r="B25" i="1" s="1"/>
  <c r="F24" i="1"/>
  <c r="B30" i="1"/>
  <c r="B32" i="1" s="1"/>
  <c r="B34" i="1" s="1"/>
  <c r="B27" i="1"/>
  <c r="B39" i="1" s="1"/>
  <c r="E28" i="1" s="1"/>
  <c r="B26" i="1"/>
  <c r="B40" i="1"/>
  <c r="E29" i="1" s="1"/>
  <c r="B21" i="1"/>
  <c r="E18" i="1"/>
  <c r="B20" i="1"/>
  <c r="B22" i="1" s="1"/>
  <c r="E19" i="1"/>
  <c r="F28" i="1" l="1"/>
  <c r="F30" i="1" s="1"/>
  <c r="F27" i="1"/>
  <c r="F40" i="1"/>
  <c r="E31" i="1" s="1"/>
  <c r="F39" i="1"/>
  <c r="E30" i="1" s="1"/>
</calcChain>
</file>

<file path=xl/sharedStrings.xml><?xml version="1.0" encoding="utf-8"?>
<sst xmlns="http://schemas.openxmlformats.org/spreadsheetml/2006/main" count="60" uniqueCount="57">
  <si>
    <t>b1</t>
  </si>
  <si>
    <t>b2</t>
  </si>
  <si>
    <t>h</t>
  </si>
  <si>
    <t>t1</t>
  </si>
  <si>
    <t>t2</t>
  </si>
  <si>
    <t>x</t>
  </si>
  <si>
    <t>y</t>
  </si>
  <si>
    <t>node</t>
  </si>
  <si>
    <t>A</t>
  </si>
  <si>
    <t>c2</t>
  </si>
  <si>
    <t>c1</t>
  </si>
  <si>
    <t>I</t>
  </si>
  <si>
    <t>S1</t>
  </si>
  <si>
    <t>S2</t>
  </si>
  <si>
    <t>k1</t>
  </si>
  <si>
    <t>k2</t>
  </si>
  <si>
    <t>Q</t>
  </si>
  <si>
    <t>bw</t>
  </si>
  <si>
    <t>hf1</t>
  </si>
  <si>
    <t>hf2</t>
  </si>
  <si>
    <t>f'c</t>
  </si>
  <si>
    <t>Rt</t>
  </si>
  <si>
    <t>fti</t>
  </si>
  <si>
    <t>fci</t>
  </si>
  <si>
    <t>fcs</t>
  </si>
  <si>
    <t>fts</t>
  </si>
  <si>
    <t>f'ci</t>
  </si>
  <si>
    <t>Properties section</t>
  </si>
  <si>
    <t>Dimensions section</t>
  </si>
  <si>
    <t>Limit stress</t>
  </si>
  <si>
    <t>Mo</t>
  </si>
  <si>
    <t>Md</t>
  </si>
  <si>
    <t>Ml</t>
  </si>
  <si>
    <t>Structural analys</t>
  </si>
  <si>
    <t>γc</t>
  </si>
  <si>
    <t>L</t>
  </si>
  <si>
    <t>wo</t>
  </si>
  <si>
    <t>wl</t>
  </si>
  <si>
    <t>wd</t>
  </si>
  <si>
    <t>R</t>
  </si>
  <si>
    <t>≥</t>
  </si>
  <si>
    <t>fcci</t>
  </si>
  <si>
    <t>Pi</t>
  </si>
  <si>
    <t>fpu</t>
  </si>
  <si>
    <t>f1</t>
  </si>
  <si>
    <t>f2</t>
  </si>
  <si>
    <t>Pe</t>
  </si>
  <si>
    <t>eo</t>
  </si>
  <si>
    <t>Asu</t>
  </si>
  <si>
    <t>Ap</t>
  </si>
  <si>
    <t>fpi</t>
  </si>
  <si>
    <t>nt</t>
  </si>
  <si>
    <t>ntv</t>
  </si>
  <si>
    <t>nv</t>
  </si>
  <si>
    <t>Design section beam prestress, [kgf,cm] - (for Barañado)</t>
  </si>
  <si>
    <t>Esffuerzos en la transferencia</t>
  </si>
  <si>
    <t>Esfuerzos en el estado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</si>
</sst>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1" xfId="0" applyFont="1" applyFill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4" borderId="3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5" borderId="2" xfId="0" applyFont="1" applyFill="1" applyBorder="1"/>
    <xf numFmtId="0" fontId="1" fillId="3" borderId="4" xfId="0" applyFont="1" applyFill="1" applyBorder="1" applyAlignment="1">
      <alignment horizontal="left" indent="1"/>
    </xf>
    <xf numFmtId="0" fontId="1" fillId="3" borderId="3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indent="1"/>
    </xf>
    <xf numFmtId="0" fontId="1" fillId="3" borderId="8" xfId="0" applyFont="1" applyFill="1" applyBorder="1" applyAlignment="1">
      <alignment horizontal="left" indent="1"/>
    </xf>
    <xf numFmtId="0" fontId="1" fillId="3" borderId="9" xfId="0" applyFont="1" applyFill="1" applyBorder="1" applyAlignment="1">
      <alignment horizontal="left" indent="1"/>
    </xf>
    <xf numFmtId="0" fontId="1" fillId="3" borderId="10" xfId="0" applyFont="1" applyFill="1" applyBorder="1" applyAlignment="1">
      <alignment horizontal="left" inden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NumberFormat="1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circle"/>
            <c:size val="4"/>
            <c:spPr>
              <a:solidFill>
                <a:srgbClr val="FFFF00"/>
              </a:solidFill>
              <a:ln w="15875">
                <a:solidFill>
                  <a:srgbClr val="FF0000"/>
                </a:solidFill>
              </a:ln>
            </c:spPr>
          </c:marker>
          <c:xVal>
            <c:numRef>
              <c:f>Hoja1!$E$4:$E$16</c:f>
              <c:numCache>
                <c:formatCode>General</c:formatCode>
                <c:ptCount val="13"/>
                <c:pt idx="0">
                  <c:v>30</c:v>
                </c:pt>
                <c:pt idx="1">
                  <c:v>30</c:v>
                </c:pt>
                <c:pt idx="2">
                  <c:v>6</c:v>
                </c:pt>
                <c:pt idx="3">
                  <c:v>6</c:v>
                </c:pt>
                <c:pt idx="4">
                  <c:v>80</c:v>
                </c:pt>
                <c:pt idx="5">
                  <c:v>80</c:v>
                </c:pt>
                <c:pt idx="6">
                  <c:v>-80</c:v>
                </c:pt>
                <c:pt idx="7">
                  <c:v>-80</c:v>
                </c:pt>
                <c:pt idx="8">
                  <c:v>-6</c:v>
                </c:pt>
                <c:pt idx="9">
                  <c:v>-6</c:v>
                </c:pt>
                <c:pt idx="10">
                  <c:v>-30</c:v>
                </c:pt>
                <c:pt idx="11">
                  <c:v>-30</c:v>
                </c:pt>
                <c:pt idx="12">
                  <c:v>30</c:v>
                </c:pt>
              </c:numCache>
            </c:numRef>
          </c:xVal>
          <c:yVal>
            <c:numRef>
              <c:f>Hoja1!$F$4:$F$16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50</c:v>
                </c:pt>
                <c:pt idx="4">
                  <c:v>50</c:v>
                </c:pt>
                <c:pt idx="5">
                  <c:v>60</c:v>
                </c:pt>
                <c:pt idx="6">
                  <c:v>60</c:v>
                </c:pt>
                <c:pt idx="7">
                  <c:v>50</c:v>
                </c:pt>
                <c:pt idx="8">
                  <c:v>50</c:v>
                </c:pt>
                <c:pt idx="9">
                  <c:v>10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79584"/>
        <c:axId val="169781504"/>
      </c:scatterChart>
      <c:valAx>
        <c:axId val="169779584"/>
        <c:scaling>
          <c:orientation val="minMax"/>
        </c:scaling>
        <c:delete val="0"/>
        <c:axPos val="t"/>
        <c:minorGridlines/>
        <c:numFmt formatCode="General" sourceLinked="1"/>
        <c:majorTickMark val="out"/>
        <c:minorTickMark val="none"/>
        <c:tickLblPos val="nextTo"/>
        <c:crossAx val="169781504"/>
        <c:crosses val="max"/>
        <c:crossBetween val="midCat"/>
        <c:majorUnit val="10"/>
        <c:minorUnit val="5"/>
      </c:valAx>
      <c:valAx>
        <c:axId val="169781504"/>
        <c:scaling>
          <c:orientation val="minMax"/>
          <c:min val="0"/>
        </c:scaling>
        <c:delete val="0"/>
        <c:axPos val="r"/>
        <c:minorGridlines/>
        <c:numFmt formatCode="General" sourceLinked="1"/>
        <c:majorTickMark val="out"/>
        <c:minorTickMark val="none"/>
        <c:tickLblPos val="nextTo"/>
        <c:crossAx val="169779584"/>
        <c:crosses val="max"/>
        <c:crossBetween val="midCat"/>
        <c:majorUnit val="10"/>
        <c:min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Hoja1!$E$24:$E$25</c:f>
              <c:numCache>
                <c:formatCode>General</c:formatCode>
                <c:ptCount val="2"/>
                <c:pt idx="0">
                  <c:v>13.717142559585799</c:v>
                </c:pt>
                <c:pt idx="1">
                  <c:v>-176.4</c:v>
                </c:pt>
              </c:numCache>
            </c:numRef>
          </c:xVal>
          <c:yVal>
            <c:numRef>
              <c:f>Hoja1!$F$24:$F$25</c:f>
              <c:numCache>
                <c:formatCode>General</c:formatCode>
                <c:ptCount val="2"/>
                <c:pt idx="0">
                  <c:v>20.671641791044777</c:v>
                </c:pt>
                <c:pt idx="1">
                  <c:v>-39.328358208955223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Hoja1!$E$26:$E$27</c:f>
              <c:numCache>
                <c:formatCode>General</c:formatCode>
                <c:ptCount val="2"/>
                <c:pt idx="0">
                  <c:v>32.790242451070718</c:v>
                </c:pt>
                <c:pt idx="1">
                  <c:v>-189</c:v>
                </c:pt>
              </c:numCache>
            </c:numRef>
          </c:xVal>
          <c:yVal>
            <c:numRef>
              <c:f>Hoja1!$F$26:$F$27</c:f>
              <c:numCache>
                <c:formatCode>General</c:formatCode>
                <c:ptCount val="2"/>
                <c:pt idx="0">
                  <c:v>-39.328358208955223</c:v>
                </c:pt>
                <c:pt idx="1">
                  <c:v>20.671641791044777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Hoja1!$E$28:$E$29</c:f>
              <c:numCache>
                <c:formatCode>General</c:formatCode>
                <c:ptCount val="2"/>
                <c:pt idx="0">
                  <c:v>-5.8338119250900213</c:v>
                </c:pt>
                <c:pt idx="1">
                  <c:v>-97.733018600030093</c:v>
                </c:pt>
              </c:numCache>
            </c:numRef>
          </c:xVal>
          <c:yVal>
            <c:numRef>
              <c:f>Hoja1!$F$28:$F$29</c:f>
              <c:numCache>
                <c:formatCode>General</c:formatCode>
                <c:ptCount val="2"/>
                <c:pt idx="0">
                  <c:v>20.671641791044777</c:v>
                </c:pt>
                <c:pt idx="1">
                  <c:v>-39.328358208955223</c:v>
                </c:pt>
              </c:numCache>
            </c:numRef>
          </c:yVal>
          <c:smooth val="0"/>
        </c:ser>
        <c:ser>
          <c:idx val="3"/>
          <c:order val="3"/>
          <c:xVal>
            <c:numRef>
              <c:f>Hoja1!$E$30:$E$31</c:f>
              <c:numCache>
                <c:formatCode>General</c:formatCode>
                <c:ptCount val="2"/>
                <c:pt idx="0">
                  <c:v>-74.763429121040957</c:v>
                </c:pt>
                <c:pt idx="1">
                  <c:v>-13.268376825311137</c:v>
                </c:pt>
              </c:numCache>
            </c:numRef>
          </c:xVal>
          <c:yVal>
            <c:numRef>
              <c:f>Hoja1!$F$30:$F$31</c:f>
              <c:numCache>
                <c:formatCode>General</c:formatCode>
                <c:ptCount val="2"/>
                <c:pt idx="0">
                  <c:v>20.671641791044777</c:v>
                </c:pt>
                <c:pt idx="1">
                  <c:v>-39.328358208955223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07872"/>
        <c:axId val="169809408"/>
      </c:scatterChart>
      <c:valAx>
        <c:axId val="169807872"/>
        <c:scaling>
          <c:orientation val="maxMin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69809408"/>
        <c:crosses val="autoZero"/>
        <c:crossBetween val="midCat"/>
        <c:majorUnit val="50"/>
        <c:minorUnit val="25"/>
      </c:valAx>
      <c:valAx>
        <c:axId val="169809408"/>
        <c:scaling>
          <c:orientation val="minMax"/>
        </c:scaling>
        <c:delete val="0"/>
        <c:axPos val="r"/>
        <c:majorGridlines/>
        <c:minorGridlines/>
        <c:numFmt formatCode="General" sourceLinked="1"/>
        <c:majorTickMark val="out"/>
        <c:minorTickMark val="none"/>
        <c:tickLblPos val="nextTo"/>
        <c:crossAx val="169807872"/>
        <c:crosses val="autoZero"/>
        <c:crossBetween val="midCat"/>
        <c:majorUnit val="10"/>
        <c:minorUnit val="5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276225</xdr:colOff>
      <xdr:row>16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11206</xdr:colOff>
      <xdr:row>19</xdr:row>
      <xdr:rowOff>67235</xdr:rowOff>
    </xdr:from>
    <xdr:to>
      <xdr:col>10</xdr:col>
      <xdr:colOff>437027</xdr:colOff>
      <xdr:row>36</xdr:row>
      <xdr:rowOff>67235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85" zoomScaleNormal="85" workbookViewId="0">
      <selection activeCell="J49" sqref="J49"/>
    </sheetView>
  </sheetViews>
  <sheetFormatPr baseColWidth="10" defaultRowHeight="12.75" x14ac:dyDescent="0.2"/>
  <cols>
    <col min="1" max="1" width="7.140625" style="1" customWidth="1"/>
    <col min="2" max="2" width="8.42578125" style="1" customWidth="1"/>
    <col min="3" max="12" width="7.140625" style="1" customWidth="1"/>
    <col min="13" max="13" width="8.5703125" style="1" customWidth="1"/>
    <col min="14" max="16" width="7.140625" style="1" customWidth="1"/>
    <col min="17" max="16384" width="11.42578125" style="1"/>
  </cols>
  <sheetData>
    <row r="1" spans="1:13" x14ac:dyDescent="0.2">
      <c r="D1" s="13" t="s">
        <v>54</v>
      </c>
    </row>
    <row r="3" spans="1:13" x14ac:dyDescent="0.2">
      <c r="A3" s="13" t="s">
        <v>28</v>
      </c>
      <c r="D3" s="8" t="s">
        <v>7</v>
      </c>
      <c r="E3" s="8" t="s">
        <v>5</v>
      </c>
      <c r="F3" s="8" t="s">
        <v>6</v>
      </c>
      <c r="L3" s="13" t="s">
        <v>29</v>
      </c>
    </row>
    <row r="4" spans="1:13" x14ac:dyDescent="0.2">
      <c r="A4" s="20" t="s">
        <v>0</v>
      </c>
      <c r="B4" s="14">
        <v>160</v>
      </c>
      <c r="D4" s="12">
        <v>1</v>
      </c>
      <c r="E4" s="3">
        <f>B7/2</f>
        <v>30</v>
      </c>
      <c r="F4" s="3">
        <v>0</v>
      </c>
      <c r="L4" s="20" t="s">
        <v>20</v>
      </c>
      <c r="M4" s="14">
        <v>420</v>
      </c>
    </row>
    <row r="5" spans="1:13" x14ac:dyDescent="0.2">
      <c r="A5" s="19" t="s">
        <v>2</v>
      </c>
      <c r="B5" s="15">
        <v>60</v>
      </c>
      <c r="D5" s="12">
        <v>2</v>
      </c>
      <c r="E5" s="3">
        <f>E4</f>
        <v>30</v>
      </c>
      <c r="F5" s="3">
        <f>B9</f>
        <v>10</v>
      </c>
      <c r="G5" s="5">
        <f>E4*F5-E5*F4</f>
        <v>300</v>
      </c>
      <c r="H5" s="2">
        <f>(F4+F5)*G5</f>
        <v>3000</v>
      </c>
      <c r="I5" s="2">
        <f>(E4-E5)*(F4+F5)*(F4^2+F5^2)</f>
        <v>0</v>
      </c>
      <c r="L5" s="19" t="s">
        <v>21</v>
      </c>
      <c r="M5" s="15">
        <v>0.7</v>
      </c>
    </row>
    <row r="6" spans="1:13" x14ac:dyDescent="0.2">
      <c r="A6" s="20" t="s">
        <v>17</v>
      </c>
      <c r="B6" s="14">
        <v>12</v>
      </c>
      <c r="D6" s="12">
        <v>3</v>
      </c>
      <c r="E6" s="3">
        <f>B6/2</f>
        <v>6</v>
      </c>
      <c r="F6" s="3">
        <f>B9+B11</f>
        <v>10</v>
      </c>
      <c r="G6" s="6">
        <f t="shared" ref="G6:G16" si="0">E5*F6-E6*F5</f>
        <v>240</v>
      </c>
      <c r="H6" s="3">
        <f t="shared" ref="H6:H16" si="1">(F5+F6)*G6</f>
        <v>4800</v>
      </c>
      <c r="I6" s="3">
        <f t="shared" ref="I6:I16" si="2">(E5-E6)*(F5+F6)*(F5^2+F6^2)</f>
        <v>96000</v>
      </c>
      <c r="L6" s="19" t="s">
        <v>39</v>
      </c>
      <c r="M6" s="15">
        <v>0.85</v>
      </c>
    </row>
    <row r="7" spans="1:13" x14ac:dyDescent="0.2">
      <c r="A7" s="18" t="s">
        <v>1</v>
      </c>
      <c r="B7" s="16">
        <v>60</v>
      </c>
      <c r="D7" s="12">
        <v>4</v>
      </c>
      <c r="E7" s="3">
        <f>E6</f>
        <v>6</v>
      </c>
      <c r="F7" s="3">
        <f>B5-B8-B10</f>
        <v>50</v>
      </c>
      <c r="G7" s="6">
        <f t="shared" si="0"/>
        <v>240</v>
      </c>
      <c r="H7" s="3">
        <f t="shared" si="1"/>
        <v>14400</v>
      </c>
      <c r="I7" s="3">
        <f t="shared" si="2"/>
        <v>0</v>
      </c>
      <c r="L7" s="20" t="s">
        <v>26</v>
      </c>
      <c r="M7" s="2">
        <f>M5*M4</f>
        <v>294</v>
      </c>
    </row>
    <row r="8" spans="1:13" x14ac:dyDescent="0.2">
      <c r="A8" s="20" t="s">
        <v>18</v>
      </c>
      <c r="B8" s="14">
        <v>10</v>
      </c>
      <c r="D8" s="12">
        <v>5</v>
      </c>
      <c r="E8" s="3">
        <f>B4/2</f>
        <v>80</v>
      </c>
      <c r="F8" s="3">
        <f>B5-B8</f>
        <v>50</v>
      </c>
      <c r="G8" s="6">
        <f t="shared" si="0"/>
        <v>-3700</v>
      </c>
      <c r="H8" s="3">
        <f t="shared" si="1"/>
        <v>-370000</v>
      </c>
      <c r="I8" s="3">
        <f t="shared" si="2"/>
        <v>-37000000</v>
      </c>
      <c r="L8" s="20" t="s">
        <v>22</v>
      </c>
      <c r="M8" s="2">
        <f>0.8*SQRT(M7)</f>
        <v>13.717142559585799</v>
      </c>
    </row>
    <row r="9" spans="1:13" x14ac:dyDescent="0.2">
      <c r="A9" s="18" t="s">
        <v>19</v>
      </c>
      <c r="B9" s="16">
        <v>10</v>
      </c>
      <c r="D9" s="12">
        <v>6</v>
      </c>
      <c r="E9" s="3">
        <f>E8</f>
        <v>80</v>
      </c>
      <c r="F9" s="3">
        <f>B5</f>
        <v>60</v>
      </c>
      <c r="G9" s="6">
        <f t="shared" si="0"/>
        <v>800</v>
      </c>
      <c r="H9" s="3">
        <f t="shared" si="1"/>
        <v>88000</v>
      </c>
      <c r="I9" s="3">
        <f t="shared" si="2"/>
        <v>0</v>
      </c>
      <c r="L9" s="19" t="s">
        <v>23</v>
      </c>
      <c r="M9" s="3">
        <f>-0.6*M7</f>
        <v>-176.4</v>
      </c>
    </row>
    <row r="10" spans="1:13" x14ac:dyDescent="0.2">
      <c r="A10" s="19" t="s">
        <v>3</v>
      </c>
      <c r="B10" s="15">
        <v>0</v>
      </c>
      <c r="D10" s="12">
        <v>7</v>
      </c>
      <c r="E10" s="3">
        <f>-E9</f>
        <v>-80</v>
      </c>
      <c r="F10" s="3">
        <f>F9</f>
        <v>60</v>
      </c>
      <c r="G10" s="6">
        <f t="shared" si="0"/>
        <v>9600</v>
      </c>
      <c r="H10" s="3">
        <f t="shared" si="1"/>
        <v>1152000</v>
      </c>
      <c r="I10" s="3">
        <f t="shared" si="2"/>
        <v>138240000</v>
      </c>
      <c r="L10" s="19" t="s">
        <v>25</v>
      </c>
      <c r="M10" s="3">
        <f>1.6*SQRT(M4)</f>
        <v>32.790242451070718</v>
      </c>
    </row>
    <row r="11" spans="1:13" x14ac:dyDescent="0.2">
      <c r="A11" s="18" t="s">
        <v>4</v>
      </c>
      <c r="B11" s="16">
        <v>0</v>
      </c>
      <c r="D11" s="12">
        <v>8</v>
      </c>
      <c r="E11" s="3">
        <f>E10</f>
        <v>-80</v>
      </c>
      <c r="F11" s="3">
        <f>F8</f>
        <v>50</v>
      </c>
      <c r="G11" s="6">
        <f t="shared" si="0"/>
        <v>800</v>
      </c>
      <c r="H11" s="3">
        <f t="shared" si="1"/>
        <v>88000</v>
      </c>
      <c r="I11" s="3">
        <f t="shared" si="2"/>
        <v>0</v>
      </c>
      <c r="L11" s="18" t="s">
        <v>24</v>
      </c>
      <c r="M11" s="4">
        <f>-0.45*M4</f>
        <v>-189</v>
      </c>
    </row>
    <row r="12" spans="1:13" x14ac:dyDescent="0.2">
      <c r="D12" s="12">
        <v>9</v>
      </c>
      <c r="E12" s="3">
        <f>-E6</f>
        <v>-6</v>
      </c>
      <c r="F12" s="3">
        <f>F7</f>
        <v>50</v>
      </c>
      <c r="G12" s="6">
        <f t="shared" si="0"/>
        <v>-3700</v>
      </c>
      <c r="H12" s="3">
        <f t="shared" si="1"/>
        <v>-370000</v>
      </c>
      <c r="I12" s="3">
        <f t="shared" si="2"/>
        <v>-37000000</v>
      </c>
    </row>
    <row r="13" spans="1:13" x14ac:dyDescent="0.2">
      <c r="A13" s="13" t="s">
        <v>27</v>
      </c>
      <c r="D13" s="12">
        <v>10</v>
      </c>
      <c r="E13" s="3">
        <f>E12</f>
        <v>-6</v>
      </c>
      <c r="F13" s="3">
        <f>F6</f>
        <v>10</v>
      </c>
      <c r="G13" s="6">
        <f t="shared" si="0"/>
        <v>240</v>
      </c>
      <c r="H13" s="3">
        <f t="shared" si="1"/>
        <v>14400</v>
      </c>
      <c r="I13" s="3">
        <f t="shared" si="2"/>
        <v>0</v>
      </c>
      <c r="L13" s="13" t="s">
        <v>33</v>
      </c>
    </row>
    <row r="14" spans="1:13" x14ac:dyDescent="0.2">
      <c r="A14" s="21" t="s">
        <v>8</v>
      </c>
      <c r="B14" s="9">
        <f>SUM(G5:G16)/2</f>
        <v>2680</v>
      </c>
      <c r="D14" s="12">
        <v>11</v>
      </c>
      <c r="E14" s="3">
        <f>-E4</f>
        <v>-30</v>
      </c>
      <c r="F14" s="3">
        <f>F5</f>
        <v>10</v>
      </c>
      <c r="G14" s="6">
        <f t="shared" si="0"/>
        <v>240</v>
      </c>
      <c r="H14" s="3">
        <f t="shared" si="1"/>
        <v>4800</v>
      </c>
      <c r="I14" s="3">
        <f t="shared" si="2"/>
        <v>96000</v>
      </c>
      <c r="L14" s="20" t="s">
        <v>34</v>
      </c>
      <c r="M14" s="17">
        <v>2.3999999999999998E-3</v>
      </c>
    </row>
    <row r="15" spans="1:13" x14ac:dyDescent="0.2">
      <c r="A15" s="22" t="s">
        <v>11</v>
      </c>
      <c r="B15" s="10">
        <f>SUM(I5:I16)/12-B14*B17^2</f>
        <v>1224124.3781094528</v>
      </c>
      <c r="D15" s="12">
        <v>12</v>
      </c>
      <c r="E15" s="3">
        <f>E14</f>
        <v>-30</v>
      </c>
      <c r="F15" s="3">
        <f>F4</f>
        <v>0</v>
      </c>
      <c r="G15" s="6">
        <f t="shared" si="0"/>
        <v>300</v>
      </c>
      <c r="H15" s="3">
        <f t="shared" si="1"/>
        <v>3000</v>
      </c>
      <c r="I15" s="3">
        <f t="shared" si="2"/>
        <v>0</v>
      </c>
      <c r="L15" s="18" t="s">
        <v>35</v>
      </c>
      <c r="M15" s="16">
        <v>1200</v>
      </c>
    </row>
    <row r="16" spans="1:13" x14ac:dyDescent="0.2">
      <c r="A16" s="21" t="s">
        <v>10</v>
      </c>
      <c r="B16" s="9">
        <f>B5-B17</f>
        <v>20.671641791044777</v>
      </c>
      <c r="D16" s="12">
        <v>1</v>
      </c>
      <c r="E16" s="3">
        <f>E4</f>
        <v>30</v>
      </c>
      <c r="F16" s="4">
        <f>F4</f>
        <v>0</v>
      </c>
      <c r="G16" s="7">
        <f t="shared" si="0"/>
        <v>0</v>
      </c>
      <c r="H16" s="4">
        <f t="shared" si="1"/>
        <v>0</v>
      </c>
      <c r="I16" s="4">
        <f t="shared" si="2"/>
        <v>0</v>
      </c>
      <c r="L16" s="19" t="s">
        <v>36</v>
      </c>
      <c r="M16" s="3">
        <f>B14*M14</f>
        <v>6.4319999999999995</v>
      </c>
    </row>
    <row r="17" spans="1:13" x14ac:dyDescent="0.2">
      <c r="A17" s="23" t="s">
        <v>9</v>
      </c>
      <c r="B17" s="11">
        <f>SUM(H5:H16)/6/B14</f>
        <v>39.328358208955223</v>
      </c>
      <c r="L17" s="19" t="s">
        <v>38</v>
      </c>
      <c r="M17" s="15">
        <v>7</v>
      </c>
    </row>
    <row r="18" spans="1:13" x14ac:dyDescent="0.2">
      <c r="A18" s="20" t="s">
        <v>12</v>
      </c>
      <c r="B18" s="9">
        <f>B15/B16</f>
        <v>59217.569193742478</v>
      </c>
      <c r="C18" s="29" t="s">
        <v>40</v>
      </c>
      <c r="D18" s="2">
        <f>((1-M6)*M19+M20+M21)/(M6*M8-M11)</f>
        <v>20600.382906139002</v>
      </c>
      <c r="E18" s="2" t="str">
        <f>IF(B18&gt;=D18,"ok","no")</f>
        <v>ok</v>
      </c>
      <c r="L18" s="19" t="s">
        <v>37</v>
      </c>
      <c r="M18" s="15">
        <v>15</v>
      </c>
    </row>
    <row r="19" spans="1:13" x14ac:dyDescent="0.2">
      <c r="A19" s="18" t="s">
        <v>13</v>
      </c>
      <c r="B19" s="11">
        <f>B15/B17</f>
        <v>31125.743200506011</v>
      </c>
      <c r="C19" s="30" t="s">
        <v>40</v>
      </c>
      <c r="D19" s="4">
        <f>((1-M6)*M19+M20+M21)/(M10-M6*M9)</f>
        <v>22621.674138624658</v>
      </c>
      <c r="E19" s="4" t="str">
        <f>IF(B19&gt;=D19,"ok","no")</f>
        <v>ok</v>
      </c>
      <c r="L19" s="20" t="s">
        <v>30</v>
      </c>
      <c r="M19" s="9">
        <f>M16*M15^2/8</f>
        <v>1157760</v>
      </c>
    </row>
    <row r="20" spans="1:13" x14ac:dyDescent="0.2">
      <c r="A20" s="21" t="s">
        <v>14</v>
      </c>
      <c r="B20" s="9">
        <f>B19/B14</f>
        <v>11.614083283770899</v>
      </c>
      <c r="L20" s="19" t="s">
        <v>31</v>
      </c>
      <c r="M20" s="10">
        <f>M17*M15^2/8</f>
        <v>1260000</v>
      </c>
    </row>
    <row r="21" spans="1:13" x14ac:dyDescent="0.2">
      <c r="A21" s="23" t="s">
        <v>15</v>
      </c>
      <c r="B21" s="11">
        <f>B18/B14</f>
        <v>22.096107908112867</v>
      </c>
      <c r="L21" s="18" t="s">
        <v>32</v>
      </c>
      <c r="M21" s="11">
        <f>M18*M15^2/8</f>
        <v>2700000</v>
      </c>
    </row>
    <row r="22" spans="1:13" x14ac:dyDescent="0.2">
      <c r="A22" s="23" t="s">
        <v>16</v>
      </c>
      <c r="B22" s="11">
        <f>(B20+B21)/B5</f>
        <v>0.56183651986472938</v>
      </c>
    </row>
    <row r="23" spans="1:13" x14ac:dyDescent="0.2">
      <c r="B23" s="31"/>
    </row>
    <row r="24" spans="1:13" x14ac:dyDescent="0.2">
      <c r="A24" s="24" t="s">
        <v>41</v>
      </c>
      <c r="B24" s="2">
        <f>M8-(M8-M9)*B16/B5</f>
        <v>-51.783415262560055</v>
      </c>
      <c r="E24" s="1">
        <f>M8</f>
        <v>13.717142559585799</v>
      </c>
      <c r="F24" s="1">
        <f>B16</f>
        <v>20.671641791044777</v>
      </c>
    </row>
    <row r="25" spans="1:13" x14ac:dyDescent="0.2">
      <c r="A25" s="25" t="s">
        <v>42</v>
      </c>
      <c r="B25" s="3">
        <f>-B24*B14</f>
        <v>138779.55290366095</v>
      </c>
      <c r="E25" s="1">
        <f>M9</f>
        <v>-176.4</v>
      </c>
      <c r="F25" s="1">
        <f>-B17</f>
        <v>-39.328358208955223</v>
      </c>
    </row>
    <row r="26" spans="1:13" x14ac:dyDescent="0.2">
      <c r="A26" s="25" t="s">
        <v>46</v>
      </c>
      <c r="B26" s="3">
        <f>M6*B25</f>
        <v>117962.6199681118</v>
      </c>
      <c r="E26" s="1">
        <f>M10</f>
        <v>32.790242451070718</v>
      </c>
      <c r="F26" s="1">
        <f>F25</f>
        <v>-39.328358208955223</v>
      </c>
    </row>
    <row r="27" spans="1:13" x14ac:dyDescent="0.2">
      <c r="A27" s="26" t="s">
        <v>47</v>
      </c>
      <c r="B27" s="4">
        <f>((M8-B24)*B18+0*M19)/B25</f>
        <v>27.949245648271081</v>
      </c>
      <c r="E27" s="1">
        <f>M11</f>
        <v>-189</v>
      </c>
      <c r="F27" s="1">
        <f>F24</f>
        <v>20.671641791044777</v>
      </c>
    </row>
    <row r="28" spans="1:13" x14ac:dyDescent="0.2">
      <c r="A28" s="24" t="s">
        <v>43</v>
      </c>
      <c r="B28" s="27">
        <v>17200</v>
      </c>
      <c r="E28" s="1">
        <f>B39</f>
        <v>-5.8338119250900213</v>
      </c>
      <c r="F28" s="1">
        <f>F24</f>
        <v>20.671641791044777</v>
      </c>
    </row>
    <row r="29" spans="1:13" x14ac:dyDescent="0.2">
      <c r="A29" s="25" t="s">
        <v>50</v>
      </c>
      <c r="B29" s="3">
        <f>0.7*B28</f>
        <v>12040</v>
      </c>
      <c r="E29" s="1">
        <f>B40</f>
        <v>-97.733018600030093</v>
      </c>
      <c r="F29" s="1">
        <f>F25</f>
        <v>-39.328358208955223</v>
      </c>
    </row>
    <row r="30" spans="1:13" x14ac:dyDescent="0.2">
      <c r="A30" s="25" t="s">
        <v>49</v>
      </c>
      <c r="B30" s="3">
        <f>B25/B29</f>
        <v>11.526540938842272</v>
      </c>
      <c r="E30" s="1">
        <f>F39</f>
        <v>-74.763429121040957</v>
      </c>
      <c r="F30" s="1">
        <f>F28</f>
        <v>20.671641791044777</v>
      </c>
    </row>
    <row r="31" spans="1:13" x14ac:dyDescent="0.2">
      <c r="A31" s="25" t="s">
        <v>48</v>
      </c>
      <c r="B31" s="28">
        <v>0.92900000000000005</v>
      </c>
      <c r="E31" s="1">
        <f>F40</f>
        <v>-13.268376825311137</v>
      </c>
      <c r="F31" s="1">
        <f>F29</f>
        <v>-39.328358208955223</v>
      </c>
    </row>
    <row r="32" spans="1:13" x14ac:dyDescent="0.2">
      <c r="A32" s="25" t="s">
        <v>51</v>
      </c>
      <c r="B32" s="3">
        <f>B30/B31</f>
        <v>12.407471408872198</v>
      </c>
    </row>
    <row r="33" spans="1:6" x14ac:dyDescent="0.2">
      <c r="A33" s="25" t="s">
        <v>52</v>
      </c>
      <c r="B33" s="28">
        <v>6</v>
      </c>
    </row>
    <row r="34" spans="1:6" x14ac:dyDescent="0.2">
      <c r="A34" s="26" t="s">
        <v>53</v>
      </c>
      <c r="B34" s="4">
        <f>ROUNDUP(B32/B33,0)</f>
        <v>3</v>
      </c>
    </row>
    <row r="38" spans="1:6" x14ac:dyDescent="0.2">
      <c r="A38" s="1" t="s">
        <v>55</v>
      </c>
      <c r="E38" s="1" t="s">
        <v>56</v>
      </c>
    </row>
    <row r="39" spans="1:6" x14ac:dyDescent="0.2">
      <c r="A39" s="24" t="s">
        <v>44</v>
      </c>
      <c r="B39" s="2">
        <f>-B25/B14+B25*B27/B18-M19/B18</f>
        <v>-5.8338119250900213</v>
      </c>
      <c r="E39" s="24" t="s">
        <v>44</v>
      </c>
      <c r="F39" s="2">
        <f>-B26/B14+B26*B27/B18-M19/B18-(M20+M21)/B18</f>
        <v>-74.763429121040957</v>
      </c>
    </row>
    <row r="40" spans="1:6" x14ac:dyDescent="0.2">
      <c r="A40" s="26" t="s">
        <v>45</v>
      </c>
      <c r="B40" s="4">
        <f>-B25/B14-B25*B27/B18+M19/B18</f>
        <v>-97.733018600030093</v>
      </c>
      <c r="E40" s="26" t="s">
        <v>45</v>
      </c>
      <c r="F40" s="4">
        <f>-B26/B14-B26*B27/B18+M19/B18+(M20+M21)/B18</f>
        <v>-13.268376825311137</v>
      </c>
    </row>
  </sheetData>
  <conditionalFormatting sqref="E18:E19">
    <cfRule type="cellIs" dxfId="1" priority="1" operator="equal">
      <formula>"ok"</formula>
    </cfRule>
    <cfRule type="cellIs" dxfId="0" priority="2" operator="equal">
      <formula>"no"</formula>
    </cfRule>
  </conditionalFormatting>
  <printOptions horizontalCentered="1"/>
  <pageMargins left="0.39370078740157483" right="0.39370078740157483" top="0.39370078740157483" bottom="0.3937007874015748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Ingeniería 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Barañado</dc:creator>
  <cp:lastModifiedBy>Barañado</cp:lastModifiedBy>
  <cp:lastPrinted>2023-06-15T22:32:57Z</cp:lastPrinted>
  <dcterms:created xsi:type="dcterms:W3CDTF">2023-06-15T17:42:53Z</dcterms:created>
  <dcterms:modified xsi:type="dcterms:W3CDTF">2023-04-20T19:29:35Z</dcterms:modified>
</cp:coreProperties>
</file>