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benjaminbaranovic/Desktop/dochodca/"/>
    </mc:Choice>
  </mc:AlternateContent>
  <xr:revisionPtr revIDLastSave="0" documentId="13_ncr:1_{646B7E42-C59A-2A49-8B26-B4DB7B635A6F}" xr6:coauthVersionLast="47" xr6:coauthVersionMax="47" xr10:uidLastSave="{00000000-0000-0000-0000-000000000000}"/>
  <bookViews>
    <workbookView xWindow="0" yWindow="500" windowWidth="33600" windowHeight="18880" activeTab="4" xr2:uid="{B329BB12-EA56-604E-A202-409EA475BC73}"/>
  </bookViews>
  <sheets>
    <sheet name="Dropdown Data" sheetId="4" state="hidden" r:id="rId1"/>
    <sheet name="Calculations" sheetId="5" state="hidden" r:id="rId2"/>
    <sheet name="Settings" sheetId="6" r:id="rId3"/>
    <sheet name="Budget Planning" sheetId="1" r:id="rId4"/>
    <sheet name="Budget Tracking" sheetId="2" r:id="rId5"/>
    <sheet name="Budget Dashboard" sheetId="3" r:id="rId6"/>
  </sheets>
  <definedNames>
    <definedName name="budget" localSheetId="5">'Budget Dashboard'!$L1</definedName>
    <definedName name="budgetRange" localSheetId="5">'Budget Dashboard'!$Q1</definedName>
    <definedName name="budgetRank" localSheetId="5">'Budget Dashboard'!$R1</definedName>
    <definedName name="ccBudget" localSheetId="1">Calculations!$K1</definedName>
    <definedName name="ccDelta" localSheetId="1">Calculations!$L1</definedName>
    <definedName name="ccInFocus" localSheetId="1">Calculations!$G1</definedName>
    <definedName name="ccMonthNumber" localSheetId="1">Calculations!$F1</definedName>
    <definedName name="ccShowRemBudget" localSheetId="1">Calculations!$I1</definedName>
    <definedName name="ccShowType" localSheetId="1">Calculations!$H1</definedName>
    <definedName name="ccTracked" localSheetId="1">Calculations!$J1</definedName>
    <definedName name="ccType" localSheetId="1">Calculations!$E1</definedName>
    <definedName name="combRank" localSheetId="5">'Budget Dashboard'!$S1</definedName>
    <definedName name="combRankNorm" localSheetId="5">'Budget Dashboard'!$U1</definedName>
    <definedName name="combRankNormRunRange" localSheetId="5">'Budget Dashboard'!$V1</definedName>
    <definedName name="combRankRange" localSheetId="5">'Budget Dashboard'!$T1</definedName>
    <definedName name="combRankUnique" localSheetId="5">'Budget Dashboard'!$W1</definedName>
    <definedName name="currentDate">TODAY()</definedName>
    <definedName name="expensesHeaderRow">ROW(Expenses[[#Headers],[Expenses]])</definedName>
    <definedName name="expensesMaxRow">MAX(ROW(Expenses[]))</definedName>
    <definedName name="expensesMinRow">MIN(ROW(Expenses[]))</definedName>
    <definedName name="expensesTotalRow">ROW('Budget Planning'!$C$52)</definedName>
    <definedName name="headerRowID" localSheetId="5">'Budget Dashboard'!$D1</definedName>
    <definedName name="incomeHeaderRow">ROW(Income[[#Headers],[Income]])</definedName>
    <definedName name="incomeMaxRow">MAX(ROW(Income[]))</definedName>
    <definedName name="incomeMinRow">MIN(ROW(Income[]))</definedName>
    <definedName name="incomeTotalRow">ROW('Budget Planning'!$C$21)</definedName>
    <definedName name="isCat" localSheetId="5">'Budget Dashboard'!$F1</definedName>
    <definedName name="IsEmpty" localSheetId="5">'Budget Dashboard'!$H1</definedName>
    <definedName name="isHeader" localSheetId="5">'Budget Dashboard'!$E1</definedName>
    <definedName name="isTotal" localSheetId="5">'Budget Dashboard'!$G1</definedName>
    <definedName name="item" localSheetId="5">'Budget Dashboard'!$J1</definedName>
    <definedName name="outBudget" localSheetId="5">'Budget Dashboard'!$AA1</definedName>
    <definedName name="outPercentageCompleted" localSheetId="5">'Budget Dashboard'!$AB1</definedName>
    <definedName name="outTracked" localSheetId="5">'Budget Dashboard'!$Z1</definedName>
    <definedName name="rowID" localSheetId="5">'Budget Dashboard'!$C1</definedName>
    <definedName name="savingsHeaderRow">ROW(Savings[[#Headers],[Savings]])</definedName>
    <definedName name="savingsMaxRow">MAX(ROW(Savings[]))</definedName>
    <definedName name="savingsMinRow">MIN(ROW(Savings[]))</definedName>
    <definedName name="savingsRateType">Settings!$D$24</definedName>
    <definedName name="savingsTotalRow">ROW('Budget Planning'!$C$66)</definedName>
    <definedName name="selectedPeriod">Calculations!$E$20</definedName>
    <definedName name="selectedPeriodDisplay">Calculations!$E$21</definedName>
    <definedName name="selectedYear">Calculations!$E$19</definedName>
    <definedName name="shiftLateIncomeStartingDate">Settings!$D$18</definedName>
    <definedName name="shiftLateIncomeStatus">Settings!$D$16</definedName>
    <definedName name="sortMaxRow" localSheetId="5">'Budget Dashboard'!$N1</definedName>
    <definedName name="sortMinRow" localSheetId="5">'Budget Dashboard'!$M1</definedName>
    <definedName name="startingYear">Settings!$D$8</definedName>
    <definedName name="tracked" localSheetId="5">'Budget Dashboard'!$K1</definedName>
    <definedName name="trackedRange" localSheetId="5">'Budget Dashboard'!$O1</definedName>
    <definedName name="trackedRank" localSheetId="5">'Budget Dashboard'!$P1</definedName>
    <definedName name="type" localSheetId="5">'Budget Dashboard'!$I1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3" i="2" l="1" a="1"/>
  <c r="H213" i="2" s="1"/>
  <c r="I213" i="2"/>
  <c r="H212" i="2" a="1"/>
  <c r="H212" i="2" s="1"/>
  <c r="I212" i="2"/>
  <c r="H211" i="2" a="1"/>
  <c r="H211" i="2" s="1"/>
  <c r="I211" i="2"/>
  <c r="H210" i="2" a="1"/>
  <c r="H210" i="2" s="1"/>
  <c r="I210" i="2"/>
  <c r="H209" i="2" a="1"/>
  <c r="H209" i="2" s="1"/>
  <c r="I209" i="2"/>
  <c r="H208" i="2" a="1"/>
  <c r="H208" i="2" s="1"/>
  <c r="I208" i="2"/>
  <c r="H207" i="2" a="1"/>
  <c r="H207" i="2" s="1"/>
  <c r="I207" i="2"/>
  <c r="H206" i="2" a="1"/>
  <c r="H206" i="2" s="1"/>
  <c r="I206" i="2"/>
  <c r="H205" i="2" a="1"/>
  <c r="H205" i="2" s="1"/>
  <c r="I205" i="2"/>
  <c r="H204" i="2" a="1"/>
  <c r="H204" i="2" s="1"/>
  <c r="I204" i="2"/>
  <c r="H203" i="2" a="1"/>
  <c r="H203" i="2" s="1"/>
  <c r="I203" i="2"/>
  <c r="H202" i="2" a="1"/>
  <c r="H202" i="2" s="1"/>
  <c r="I202" i="2"/>
  <c r="H201" i="2" a="1"/>
  <c r="H201" i="2" s="1"/>
  <c r="I201" i="2"/>
  <c r="H200" i="2" a="1"/>
  <c r="H200" i="2" s="1"/>
  <c r="I200" i="2"/>
  <c r="H199" i="2" a="1"/>
  <c r="H199" i="2" s="1"/>
  <c r="I199" i="2"/>
  <c r="H198" i="2" a="1"/>
  <c r="H198" i="2" s="1"/>
  <c r="I198" i="2"/>
  <c r="H197" i="2" a="1"/>
  <c r="H197" i="2" s="1"/>
  <c r="I197" i="2"/>
  <c r="H196" i="2" a="1"/>
  <c r="H196" i="2" s="1"/>
  <c r="I196" i="2"/>
  <c r="H195" i="2" a="1"/>
  <c r="H195" i="2" s="1"/>
  <c r="I195" i="2"/>
  <c r="H194" i="2" a="1"/>
  <c r="H194" i="2" s="1"/>
  <c r="I194" i="2"/>
  <c r="H193" i="2" a="1"/>
  <c r="H193" i="2" s="1"/>
  <c r="I193" i="2"/>
  <c r="H192" i="2" a="1"/>
  <c r="H192" i="2" s="1"/>
  <c r="I192" i="2"/>
  <c r="H191" i="2" a="1"/>
  <c r="H191" i="2" s="1"/>
  <c r="I191" i="2"/>
  <c r="H190" i="2" a="1"/>
  <c r="H190" i="2" s="1"/>
  <c r="I190" i="2"/>
  <c r="H189" i="2" a="1"/>
  <c r="H189" i="2" s="1"/>
  <c r="I189" i="2"/>
  <c r="H188" i="2" a="1"/>
  <c r="H188" i="2" s="1"/>
  <c r="I188" i="2"/>
  <c r="H187" i="2" a="1"/>
  <c r="H187" i="2" s="1"/>
  <c r="I187" i="2"/>
  <c r="H186" i="2" a="1"/>
  <c r="H186" i="2" s="1"/>
  <c r="I186" i="2"/>
  <c r="H185" i="2" a="1"/>
  <c r="H185" i="2" s="1"/>
  <c r="I185" i="2"/>
  <c r="H184" i="2" a="1"/>
  <c r="H184" i="2" s="1"/>
  <c r="I184" i="2"/>
  <c r="H183" i="2" a="1"/>
  <c r="H183" i="2" s="1"/>
  <c r="I183" i="2"/>
  <c r="H179" i="2" a="1"/>
  <c r="H179" i="2" s="1"/>
  <c r="H180" i="2" a="1"/>
  <c r="H180" i="2" s="1"/>
  <c r="H181" i="2" a="1"/>
  <c r="H181" i="2" s="1"/>
  <c r="H182" i="2" a="1"/>
  <c r="H182" i="2" s="1"/>
  <c r="I179" i="2"/>
  <c r="I180" i="2"/>
  <c r="I181" i="2"/>
  <c r="I182" i="2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H146" i="2" a="1"/>
  <c r="H146" i="2" s="1"/>
  <c r="H147" i="2" a="1"/>
  <c r="H147" i="2" s="1"/>
  <c r="H148" i="2" a="1"/>
  <c r="H148" i="2" s="1"/>
  <c r="H149" i="2" a="1"/>
  <c r="H149" i="2" s="1"/>
  <c r="H150" i="2" a="1"/>
  <c r="H150" i="2" s="1"/>
  <c r="H151" i="2" a="1"/>
  <c r="H151" i="2" s="1"/>
  <c r="H152" i="2" a="1"/>
  <c r="H152" i="2" s="1"/>
  <c r="H153" i="2" a="1"/>
  <c r="H153" i="2" s="1"/>
  <c r="H154" i="2" a="1"/>
  <c r="H154" i="2" s="1"/>
  <c r="H155" i="2" a="1"/>
  <c r="H155" i="2" s="1"/>
  <c r="H156" i="2" a="1"/>
  <c r="H156" i="2" s="1"/>
  <c r="H157" i="2" a="1"/>
  <c r="H157" i="2" s="1"/>
  <c r="H158" i="2" a="1"/>
  <c r="H158" i="2" s="1"/>
  <c r="H159" i="2" a="1"/>
  <c r="H159" i="2" s="1"/>
  <c r="H160" i="2" a="1"/>
  <c r="H160" i="2" s="1"/>
  <c r="H161" i="2" a="1"/>
  <c r="H161" i="2" s="1"/>
  <c r="H162" i="2" a="1"/>
  <c r="H162" i="2" s="1"/>
  <c r="H163" i="2" a="1"/>
  <c r="H163" i="2" s="1"/>
  <c r="H164" i="2" a="1"/>
  <c r="H164" i="2" s="1"/>
  <c r="H165" i="2" a="1"/>
  <c r="H165" i="2" s="1"/>
  <c r="H166" i="2" a="1"/>
  <c r="H166" i="2" s="1"/>
  <c r="H167" i="2" a="1"/>
  <c r="H167" i="2" s="1"/>
  <c r="H168" i="2" a="1"/>
  <c r="H168" i="2" s="1"/>
  <c r="H169" i="2" a="1"/>
  <c r="H169" i="2" s="1"/>
  <c r="H170" i="2" a="1"/>
  <c r="H170" i="2" s="1"/>
  <c r="H171" i="2" a="1"/>
  <c r="H171" i="2" s="1"/>
  <c r="H172" i="2" a="1"/>
  <c r="H172" i="2" s="1"/>
  <c r="H173" i="2" a="1"/>
  <c r="H173" i="2" s="1"/>
  <c r="H174" i="2" a="1"/>
  <c r="H174" i="2" s="1"/>
  <c r="H175" i="2" a="1"/>
  <c r="H175" i="2" s="1"/>
  <c r="H176" i="2" a="1"/>
  <c r="H176" i="2" s="1"/>
  <c r="H177" i="2" a="1"/>
  <c r="H177" i="2" s="1"/>
  <c r="H178" i="2" a="1"/>
  <c r="H178" i="2" s="1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H137" i="2" a="1"/>
  <c r="H137" i="2" s="1"/>
  <c r="H138" i="2" a="1"/>
  <c r="H138" i="2" s="1"/>
  <c r="H139" i="2" a="1"/>
  <c r="H139" i="2" s="1"/>
  <c r="H140" i="2" a="1"/>
  <c r="H140" i="2" s="1"/>
  <c r="H141" i="2" a="1"/>
  <c r="H141" i="2" s="1"/>
  <c r="H142" i="2" a="1"/>
  <c r="H142" i="2" s="1"/>
  <c r="H143" i="2" a="1"/>
  <c r="H143" i="2" s="1"/>
  <c r="H144" i="2" a="1"/>
  <c r="H144" i="2" s="1"/>
  <c r="H145" i="2" a="1"/>
  <c r="H145" i="2" s="1"/>
  <c r="I137" i="2"/>
  <c r="I138" i="2"/>
  <c r="I139" i="2"/>
  <c r="I140" i="2"/>
  <c r="I141" i="2"/>
  <c r="I142" i="2"/>
  <c r="I143" i="2"/>
  <c r="I144" i="2"/>
  <c r="I145" i="2"/>
  <c r="H120" i="2" a="1"/>
  <c r="H120" i="2" s="1"/>
  <c r="H121" i="2" a="1"/>
  <c r="H121" i="2" s="1"/>
  <c r="H122" i="2" a="1"/>
  <c r="H122" i="2" s="1"/>
  <c r="H123" i="2" a="1"/>
  <c r="H123" i="2" s="1"/>
  <c r="H124" i="2" a="1"/>
  <c r="H124" i="2" s="1"/>
  <c r="H125" i="2" a="1"/>
  <c r="H125" i="2" s="1"/>
  <c r="H126" i="2" a="1"/>
  <c r="H126" i="2" s="1"/>
  <c r="H127" i="2" a="1"/>
  <c r="H127" i="2" s="1"/>
  <c r="H128" i="2" a="1"/>
  <c r="H128" i="2" s="1"/>
  <c r="H129" i="2" a="1"/>
  <c r="H129" i="2" s="1"/>
  <c r="H130" i="2" a="1"/>
  <c r="H130" i="2" s="1"/>
  <c r="H131" i="2" a="1"/>
  <c r="H131" i="2" s="1"/>
  <c r="H132" i="2" a="1"/>
  <c r="H132" i="2" s="1"/>
  <c r="H133" i="2" a="1"/>
  <c r="H133" i="2" s="1"/>
  <c r="H134" i="2" a="1"/>
  <c r="H134" i="2" s="1"/>
  <c r="H135" i="2" a="1"/>
  <c r="H135" i="2" s="1"/>
  <c r="H136" i="2" a="1"/>
  <c r="H136" i="2" s="1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H98" i="2" a="1"/>
  <c r="H98" i="2" s="1"/>
  <c r="H99" i="2" a="1"/>
  <c r="H99" i="2" s="1"/>
  <c r="H100" i="2" a="1"/>
  <c r="H100" i="2" s="1"/>
  <c r="H101" i="2" a="1"/>
  <c r="H101" i="2" s="1"/>
  <c r="H102" i="2" a="1"/>
  <c r="H102" i="2" s="1"/>
  <c r="H103" i="2" a="1"/>
  <c r="H103" i="2" s="1"/>
  <c r="H104" i="2" a="1"/>
  <c r="H104" i="2" s="1"/>
  <c r="H105" i="2" a="1"/>
  <c r="H105" i="2" s="1"/>
  <c r="H106" i="2" a="1"/>
  <c r="H106" i="2" s="1"/>
  <c r="H107" i="2" a="1"/>
  <c r="H107" i="2" s="1"/>
  <c r="H108" i="2" a="1"/>
  <c r="H108" i="2" s="1"/>
  <c r="H109" i="2" a="1"/>
  <c r="H109" i="2" s="1"/>
  <c r="H110" i="2" a="1"/>
  <c r="H110" i="2" s="1"/>
  <c r="H111" i="2" a="1"/>
  <c r="H111" i="2" s="1"/>
  <c r="H112" i="2" a="1"/>
  <c r="H112" i="2" s="1"/>
  <c r="H113" i="2" a="1"/>
  <c r="H113" i="2" s="1"/>
  <c r="H114" i="2" a="1"/>
  <c r="H114" i="2" s="1"/>
  <c r="H115" i="2" a="1"/>
  <c r="H115" i="2" s="1"/>
  <c r="H116" i="2" a="1"/>
  <c r="H116" i="2" s="1"/>
  <c r="H117" i="2" a="1"/>
  <c r="H117" i="2" s="1"/>
  <c r="H118" i="2" a="1"/>
  <c r="H118" i="2" s="1"/>
  <c r="H119" i="2" a="1"/>
  <c r="H119" i="2" s="1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H97" i="2" a="1"/>
  <c r="H97" i="2" s="1"/>
  <c r="I97" i="2"/>
  <c r="H96" i="2" a="1"/>
  <c r="H96" i="2" s="1"/>
  <c r="I96" i="2"/>
  <c r="H95" i="2" a="1"/>
  <c r="H95" i="2" s="1"/>
  <c r="I95" i="2"/>
  <c r="H94" i="2" a="1"/>
  <c r="H94" i="2" s="1"/>
  <c r="I94" i="2"/>
  <c r="H93" i="2" a="1"/>
  <c r="H93" i="2" s="1"/>
  <c r="I93" i="2"/>
  <c r="H92" i="2" a="1"/>
  <c r="H92" i="2" s="1"/>
  <c r="I92" i="2"/>
  <c r="H91" i="2" a="1"/>
  <c r="H91" i="2" s="1"/>
  <c r="I91" i="2"/>
  <c r="H90" i="2" a="1"/>
  <c r="H90" i="2" s="1"/>
  <c r="I90" i="2"/>
  <c r="H89" i="2" a="1"/>
  <c r="H89" i="2" s="1"/>
  <c r="I89" i="2"/>
  <c r="H88" i="2" a="1"/>
  <c r="H88" i="2" s="1"/>
  <c r="I88" i="2"/>
  <c r="H87" i="2" a="1"/>
  <c r="H87" i="2" s="1"/>
  <c r="I87" i="2"/>
  <c r="H86" i="2" a="1"/>
  <c r="H86" i="2" s="1"/>
  <c r="I86" i="2"/>
  <c r="H85" i="2" a="1"/>
  <c r="H85" i="2" s="1"/>
  <c r="I85" i="2"/>
  <c r="H84" i="2" a="1"/>
  <c r="H84" i="2" s="1"/>
  <c r="I84" i="2"/>
  <c r="H83" i="2" a="1"/>
  <c r="H83" i="2" s="1"/>
  <c r="I83" i="2"/>
  <c r="H82" i="2" a="1"/>
  <c r="H82" i="2" s="1"/>
  <c r="I82" i="2"/>
  <c r="H81" i="2" a="1"/>
  <c r="H81" i="2" s="1"/>
  <c r="I81" i="2"/>
  <c r="H80" i="2" a="1"/>
  <c r="H80" i="2" s="1"/>
  <c r="I80" i="2"/>
  <c r="H79" i="2" a="1"/>
  <c r="H79" i="2" s="1"/>
  <c r="I79" i="2"/>
  <c r="H78" i="2" a="1"/>
  <c r="H78" i="2" s="1"/>
  <c r="I78" i="2"/>
  <c r="H77" i="2" a="1"/>
  <c r="H77" i="2" s="1"/>
  <c r="I77" i="2"/>
  <c r="H76" i="2" a="1"/>
  <c r="H76" i="2" s="1"/>
  <c r="I76" i="2"/>
  <c r="H75" i="2" a="1"/>
  <c r="H75" i="2" s="1"/>
  <c r="I75" i="2"/>
  <c r="H74" i="2" a="1"/>
  <c r="H74" i="2" s="1"/>
  <c r="I74" i="2"/>
  <c r="H73" i="2" a="1"/>
  <c r="H73" i="2" s="1"/>
  <c r="I73" i="2"/>
  <c r="H72" i="2" a="1"/>
  <c r="H72" i="2" s="1"/>
  <c r="I72" i="2"/>
  <c r="H71" i="2" a="1"/>
  <c r="H71" i="2" s="1"/>
  <c r="I71" i="2"/>
  <c r="H70" i="2" a="1"/>
  <c r="H70" i="2" s="1"/>
  <c r="I70" i="2"/>
  <c r="H69" i="2" a="1"/>
  <c r="H69" i="2" s="1"/>
  <c r="I69" i="2"/>
  <c r="H68" i="2" a="1"/>
  <c r="H68" i="2" s="1"/>
  <c r="I68" i="2"/>
  <c r="H67" i="2" a="1"/>
  <c r="H67" i="2" s="1"/>
  <c r="I67" i="2"/>
  <c r="H66" i="2" a="1"/>
  <c r="H66" i="2" s="1"/>
  <c r="I66" i="2"/>
  <c r="H65" i="2" a="1"/>
  <c r="H65" i="2" s="1"/>
  <c r="I65" i="2"/>
  <c r="H64" i="2" a="1"/>
  <c r="H64" i="2" s="1"/>
  <c r="I64" i="2"/>
  <c r="H63" i="2" a="1"/>
  <c r="H63" i="2" s="1"/>
  <c r="I63" i="2"/>
  <c r="H62" i="2" a="1"/>
  <c r="H62" i="2" s="1"/>
  <c r="I62" i="2"/>
  <c r="H61" i="2" a="1"/>
  <c r="H61" i="2" s="1"/>
  <c r="I61" i="2"/>
  <c r="H60" i="2" a="1"/>
  <c r="H60" i="2" s="1"/>
  <c r="I60" i="2"/>
  <c r="H59" i="2" a="1"/>
  <c r="H59" i="2" s="1"/>
  <c r="I59" i="2"/>
  <c r="H58" i="2" a="1"/>
  <c r="H58" i="2" s="1"/>
  <c r="I58" i="2"/>
  <c r="H57" i="2" a="1"/>
  <c r="H57" i="2" s="1"/>
  <c r="I57" i="2"/>
  <c r="H56" i="2" a="1"/>
  <c r="H56" i="2" s="1"/>
  <c r="I56" i="2"/>
  <c r="H55" i="2" a="1"/>
  <c r="H55" i="2" s="1"/>
  <c r="I55" i="2"/>
  <c r="H54" i="2" a="1"/>
  <c r="H54" i="2" s="1"/>
  <c r="I54" i="2"/>
  <c r="H53" i="2" a="1"/>
  <c r="H53" i="2" s="1"/>
  <c r="I53" i="2"/>
  <c r="H52" i="2" a="1"/>
  <c r="H52" i="2" s="1"/>
  <c r="I52" i="2"/>
  <c r="H51" i="2" a="1"/>
  <c r="H51" i="2" s="1"/>
  <c r="I51" i="2"/>
  <c r="H50" i="2" a="1"/>
  <c r="H50" i="2" s="1"/>
  <c r="I50" i="2"/>
  <c r="H49" i="2" a="1"/>
  <c r="H49" i="2" s="1"/>
  <c r="I49" i="2"/>
  <c r="H48" i="2" a="1"/>
  <c r="H48" i="2" s="1"/>
  <c r="I48" i="2"/>
  <c r="H47" i="2" a="1"/>
  <c r="H47" i="2" s="1"/>
  <c r="I47" i="2"/>
  <c r="H46" i="2" a="1"/>
  <c r="H46" i="2" s="1"/>
  <c r="I46" i="2"/>
  <c r="H45" i="2" a="1"/>
  <c r="H45" i="2" s="1"/>
  <c r="I45" i="2"/>
  <c r="H44" i="2" a="1"/>
  <c r="H44" i="2" s="1"/>
  <c r="I44" i="2"/>
  <c r="H43" i="2" a="1"/>
  <c r="H43" i="2" s="1"/>
  <c r="I43" i="2"/>
  <c r="H42" i="2" a="1"/>
  <c r="H42" i="2" s="1"/>
  <c r="I42" i="2"/>
  <c r="H41" i="2" a="1"/>
  <c r="H41" i="2" s="1"/>
  <c r="I41" i="2"/>
  <c r="H40" i="2" a="1"/>
  <c r="H40" i="2" s="1"/>
  <c r="I40" i="2"/>
  <c r="E8" i="5" a="1"/>
  <c r="E8" i="5" s="1"/>
  <c r="I59" i="5"/>
  <c r="I60" i="5"/>
  <c r="I61" i="5"/>
  <c r="I63" i="5"/>
  <c r="I64" i="5"/>
  <c r="I65" i="5"/>
  <c r="I67" i="5"/>
  <c r="I68" i="5"/>
  <c r="I69" i="5"/>
  <c r="I71" i="5"/>
  <c r="I72" i="5"/>
  <c r="I73" i="5"/>
  <c r="I75" i="5"/>
  <c r="I76" i="5"/>
  <c r="I77" i="5"/>
  <c r="I79" i="5"/>
  <c r="I80" i="5"/>
  <c r="I81" i="5"/>
  <c r="I83" i="5"/>
  <c r="I84" i="5"/>
  <c r="I85" i="5"/>
  <c r="I87" i="5"/>
  <c r="I88" i="5"/>
  <c r="I89" i="5"/>
  <c r="I91" i="5"/>
  <c r="I92" i="5"/>
  <c r="I93" i="5"/>
  <c r="I95" i="5"/>
  <c r="I96" i="5"/>
  <c r="I97" i="5"/>
  <c r="I99" i="5"/>
  <c r="I100" i="5"/>
  <c r="I101" i="5"/>
  <c r="I57" i="5"/>
  <c r="I56" i="5"/>
  <c r="I55" i="5"/>
  <c r="H59" i="5"/>
  <c r="H60" i="5"/>
  <c r="H61" i="5"/>
  <c r="H63" i="5"/>
  <c r="H64" i="5"/>
  <c r="H65" i="5"/>
  <c r="H67" i="5"/>
  <c r="H68" i="5"/>
  <c r="H69" i="5"/>
  <c r="H71" i="5"/>
  <c r="H72" i="5"/>
  <c r="H73" i="5"/>
  <c r="H75" i="5"/>
  <c r="H76" i="5"/>
  <c r="H77" i="5"/>
  <c r="H79" i="5"/>
  <c r="H80" i="5"/>
  <c r="H81" i="5"/>
  <c r="H83" i="5"/>
  <c r="H84" i="5"/>
  <c r="H85" i="5"/>
  <c r="H87" i="5"/>
  <c r="H88" i="5"/>
  <c r="H89" i="5"/>
  <c r="H91" i="5"/>
  <c r="H92" i="5"/>
  <c r="H93" i="5"/>
  <c r="H95" i="5"/>
  <c r="H96" i="5"/>
  <c r="H97" i="5"/>
  <c r="H99" i="5"/>
  <c r="H100" i="5"/>
  <c r="H101" i="5"/>
  <c r="H57" i="5"/>
  <c r="H56" i="5"/>
  <c r="H55" i="5"/>
  <c r="N39" i="5" a="1"/>
  <c r="N39" i="5" s="1"/>
  <c r="M39" i="5" s="1" a="1"/>
  <c r="M39" i="5" s="1"/>
  <c r="F38" i="5" a="1"/>
  <c r="F38" i="5" s="1"/>
  <c r="E38" i="5" s="1" a="1"/>
  <c r="E38" i="5" s="1"/>
  <c r="F39" i="5" a="1"/>
  <c r="F39" i="5" s="1"/>
  <c r="E39" i="5" s="1" a="1"/>
  <c r="E39" i="5" s="1"/>
  <c r="AP42" i="3"/>
  <c r="AI42" i="3"/>
  <c r="AI24" i="3"/>
  <c r="H32" i="2" a="1"/>
  <c r="H32" i="2" s="1"/>
  <c r="H12" i="2" a="1"/>
  <c r="H12" i="2" s="1"/>
  <c r="H13" i="2" a="1"/>
  <c r="H13" i="2" s="1"/>
  <c r="H14" i="2" a="1"/>
  <c r="H14" i="2" s="1"/>
  <c r="H15" i="2" a="1"/>
  <c r="H15" i="2" s="1"/>
  <c r="H16" i="2" a="1"/>
  <c r="H16" i="2" s="1"/>
  <c r="H17" i="2" a="1"/>
  <c r="H17" i="2" s="1"/>
  <c r="H18" i="2" a="1"/>
  <c r="H18" i="2" s="1"/>
  <c r="H19" i="2" a="1"/>
  <c r="H19" i="2" s="1"/>
  <c r="H20" i="2" a="1"/>
  <c r="H20" i="2" s="1"/>
  <c r="H21" i="2" a="1"/>
  <c r="H21" i="2" s="1"/>
  <c r="H22" i="2" a="1"/>
  <c r="H22" i="2" s="1"/>
  <c r="H23" i="2" a="1"/>
  <c r="H23" i="2" s="1"/>
  <c r="H24" i="2" a="1"/>
  <c r="H24" i="2" s="1"/>
  <c r="H25" i="2" a="1"/>
  <c r="H25" i="2" s="1"/>
  <c r="H26" i="2" a="1"/>
  <c r="H26" i="2" s="1"/>
  <c r="H27" i="2" a="1"/>
  <c r="H27" i="2" s="1"/>
  <c r="H28" i="2" a="1"/>
  <c r="H28" i="2" s="1"/>
  <c r="H29" i="2" a="1"/>
  <c r="H29" i="2" s="1"/>
  <c r="H30" i="2" a="1"/>
  <c r="H30" i="2" s="1"/>
  <c r="H31" i="2" a="1"/>
  <c r="H31" i="2" s="1"/>
  <c r="H33" i="2" a="1"/>
  <c r="H33" i="2" s="1"/>
  <c r="I28" i="2"/>
  <c r="I19" i="2"/>
  <c r="I18" i="2"/>
  <c r="I21" i="2"/>
  <c r="I25" i="2"/>
  <c r="I26" i="2"/>
  <c r="I27" i="2"/>
  <c r="I29" i="2"/>
  <c r="I30" i="2"/>
  <c r="I31" i="2"/>
  <c r="I20" i="2"/>
  <c r="I22" i="2"/>
  <c r="I23" i="2"/>
  <c r="I24" i="2"/>
  <c r="I32" i="2"/>
  <c r="I33" i="2"/>
  <c r="I17" i="2"/>
  <c r="I16" i="2"/>
  <c r="I15" i="2"/>
  <c r="I14" i="2"/>
  <c r="I13" i="2"/>
  <c r="C13" i="3" a="1"/>
  <c r="C13" i="3" s="1"/>
  <c r="H13" i="3" s="1"/>
  <c r="E20" i="5" a="1"/>
  <c r="E20" i="5" s="1"/>
  <c r="E19" i="5" a="1"/>
  <c r="E19" i="5" s="1"/>
  <c r="D71" i="5" s="1"/>
  <c r="F71" i="5" s="1"/>
  <c r="B16" i="4"/>
  <c r="B11" i="4"/>
  <c r="B12" i="4" s="1"/>
  <c r="B13" i="4" s="1"/>
  <c r="B14" i="4" s="1"/>
  <c r="B15" i="4" s="1"/>
  <c r="B10" i="4"/>
  <c r="B9" i="4"/>
  <c r="B8" i="4"/>
  <c r="DM5" i="1"/>
  <c r="DN54" i="1" s="1"/>
  <c r="CY5" i="1"/>
  <c r="CZ23" i="1" s="1"/>
  <c r="CK5" i="1"/>
  <c r="CN54" i="1" s="1"/>
  <c r="BW5" i="1"/>
  <c r="BZ9" i="1" s="1"/>
  <c r="DY65" i="1"/>
  <c r="DY64" i="1"/>
  <c r="DY63" i="1"/>
  <c r="DY62" i="1"/>
  <c r="DY61" i="1"/>
  <c r="DY60" i="1"/>
  <c r="DY59" i="1"/>
  <c r="DY58" i="1"/>
  <c r="DY57" i="1"/>
  <c r="DY56" i="1"/>
  <c r="DY55" i="1"/>
  <c r="DS54" i="1"/>
  <c r="DR54" i="1"/>
  <c r="DQ54" i="1"/>
  <c r="DP54" i="1"/>
  <c r="DO54" i="1"/>
  <c r="DY31" i="1"/>
  <c r="DY30" i="1"/>
  <c r="DY29" i="1"/>
  <c r="DY28" i="1"/>
  <c r="DY27" i="1"/>
  <c r="DY26" i="1"/>
  <c r="DY25" i="1"/>
  <c r="DY24" i="1"/>
  <c r="DR23" i="1"/>
  <c r="DQ23" i="1"/>
  <c r="DP23" i="1"/>
  <c r="DO23" i="1"/>
  <c r="DN23" i="1"/>
  <c r="DY20" i="1"/>
  <c r="DY19" i="1"/>
  <c r="DY18" i="1"/>
  <c r="DY17" i="1"/>
  <c r="DY16" i="1"/>
  <c r="DY15" i="1"/>
  <c r="DY14" i="1"/>
  <c r="DY13" i="1"/>
  <c r="DY12" i="1"/>
  <c r="DY11" i="1"/>
  <c r="DY10" i="1"/>
  <c r="DT9" i="1"/>
  <c r="DS9" i="1"/>
  <c r="DR9" i="1"/>
  <c r="DP9" i="1"/>
  <c r="DK65" i="1"/>
  <c r="DK64" i="1"/>
  <c r="DK63" i="1"/>
  <c r="DK62" i="1"/>
  <c r="DK61" i="1"/>
  <c r="DK60" i="1"/>
  <c r="DK59" i="1"/>
  <c r="DK58" i="1"/>
  <c r="DK57" i="1"/>
  <c r="DK56" i="1"/>
  <c r="DK55" i="1"/>
  <c r="DA54" i="1"/>
  <c r="DK31" i="1"/>
  <c r="DK30" i="1"/>
  <c r="DK29" i="1"/>
  <c r="DK28" i="1"/>
  <c r="DK27" i="1"/>
  <c r="DK26" i="1"/>
  <c r="DK25" i="1"/>
  <c r="DK24" i="1"/>
  <c r="DK20" i="1"/>
  <c r="DK19" i="1"/>
  <c r="DK18" i="1"/>
  <c r="DK17" i="1"/>
  <c r="DK16" i="1"/>
  <c r="DK15" i="1"/>
  <c r="DK14" i="1"/>
  <c r="DK13" i="1"/>
  <c r="DK12" i="1"/>
  <c r="DK11" i="1"/>
  <c r="DK10" i="1"/>
  <c r="DB9" i="1"/>
  <c r="CZ54" i="1"/>
  <c r="CW65" i="1"/>
  <c r="CW64" i="1"/>
  <c r="CW63" i="1"/>
  <c r="CW62" i="1"/>
  <c r="CW61" i="1"/>
  <c r="CW60" i="1"/>
  <c r="CW59" i="1"/>
  <c r="CW58" i="1"/>
  <c r="CW57" i="1"/>
  <c r="CW56" i="1"/>
  <c r="CW55" i="1"/>
  <c r="CQ54" i="1"/>
  <c r="CP54" i="1"/>
  <c r="CW31" i="1"/>
  <c r="CW30" i="1"/>
  <c r="CW29" i="1"/>
  <c r="CW28" i="1"/>
  <c r="CW27" i="1"/>
  <c r="CW26" i="1"/>
  <c r="CW25" i="1"/>
  <c r="CW24" i="1"/>
  <c r="CP23" i="1"/>
  <c r="CO23" i="1"/>
  <c r="CL23" i="1"/>
  <c r="CW20" i="1"/>
  <c r="CW19" i="1"/>
  <c r="CW18" i="1"/>
  <c r="CW17" i="1"/>
  <c r="CW16" i="1"/>
  <c r="CW15" i="1"/>
  <c r="CW14" i="1"/>
  <c r="CW13" i="1"/>
  <c r="CW12" i="1"/>
  <c r="CW11" i="1"/>
  <c r="CW10" i="1"/>
  <c r="CR9" i="1"/>
  <c r="CN9" i="1"/>
  <c r="CL54" i="1"/>
  <c r="CI65" i="1"/>
  <c r="CI64" i="1"/>
  <c r="CI63" i="1"/>
  <c r="CI62" i="1"/>
  <c r="CI61" i="1"/>
  <c r="CI60" i="1"/>
  <c r="CI59" i="1"/>
  <c r="CI58" i="1"/>
  <c r="CI57" i="1"/>
  <c r="CI56" i="1"/>
  <c r="CI55" i="1"/>
  <c r="CB54" i="1"/>
  <c r="CA54" i="1"/>
  <c r="BZ54" i="1"/>
  <c r="BY54" i="1"/>
  <c r="CI31" i="1"/>
  <c r="CI30" i="1"/>
  <c r="CI29" i="1"/>
  <c r="CI28" i="1"/>
  <c r="CI27" i="1"/>
  <c r="CI26" i="1"/>
  <c r="CI25" i="1"/>
  <c r="CI24" i="1"/>
  <c r="CA23" i="1"/>
  <c r="BZ23" i="1"/>
  <c r="BY23" i="1"/>
  <c r="BX23" i="1"/>
  <c r="CI20" i="1"/>
  <c r="CI19" i="1"/>
  <c r="CI18" i="1"/>
  <c r="CI17" i="1"/>
  <c r="CI16" i="1"/>
  <c r="CI15" i="1"/>
  <c r="CI14" i="1"/>
  <c r="CI13" i="1"/>
  <c r="CI12" i="1"/>
  <c r="CI11" i="1"/>
  <c r="CI10" i="1"/>
  <c r="CC9" i="1"/>
  <c r="CB9" i="1"/>
  <c r="CA9" i="1"/>
  <c r="E12" i="5" a="1"/>
  <c r="E12" i="5" s="1"/>
  <c r="E11" i="5"/>
  <c r="E9" i="5"/>
  <c r="I12" i="2"/>
  <c r="BI5" i="1"/>
  <c r="BM23" i="1" s="1"/>
  <c r="AU5" i="1"/>
  <c r="AW54" i="1" s="1"/>
  <c r="AG5" i="1"/>
  <c r="AJ54" i="1" s="1"/>
  <c r="S5" i="1"/>
  <c r="U54" i="1" s="1"/>
  <c r="BU65" i="1"/>
  <c r="BU64" i="1"/>
  <c r="BU63" i="1"/>
  <c r="BU62" i="1"/>
  <c r="BU61" i="1"/>
  <c r="BU60" i="1"/>
  <c r="BU59" i="1"/>
  <c r="BU58" i="1"/>
  <c r="BU57" i="1"/>
  <c r="BU56" i="1"/>
  <c r="BU55" i="1"/>
  <c r="BU31" i="1"/>
  <c r="BU30" i="1"/>
  <c r="BU29" i="1"/>
  <c r="BU28" i="1"/>
  <c r="BU27" i="1"/>
  <c r="BU26" i="1"/>
  <c r="BU25" i="1"/>
  <c r="BU24" i="1"/>
  <c r="BU20" i="1"/>
  <c r="BU19" i="1"/>
  <c r="BU18" i="1"/>
  <c r="BU17" i="1"/>
  <c r="BU16" i="1"/>
  <c r="BU15" i="1"/>
  <c r="BU14" i="1"/>
  <c r="BU13" i="1"/>
  <c r="BU12" i="1"/>
  <c r="BU11" i="1"/>
  <c r="BU10" i="1"/>
  <c r="BG65" i="1"/>
  <c r="BG64" i="1"/>
  <c r="BG63" i="1"/>
  <c r="BG62" i="1"/>
  <c r="BG61" i="1"/>
  <c r="BG60" i="1"/>
  <c r="BG59" i="1"/>
  <c r="BG58" i="1"/>
  <c r="BG57" i="1"/>
  <c r="BG56" i="1"/>
  <c r="BG55" i="1"/>
  <c r="BG31" i="1"/>
  <c r="BG30" i="1"/>
  <c r="BG29" i="1"/>
  <c r="BG28" i="1"/>
  <c r="BG27" i="1"/>
  <c r="BG26" i="1"/>
  <c r="BG25" i="1"/>
  <c r="BG24" i="1"/>
  <c r="BG20" i="1"/>
  <c r="BG19" i="1"/>
  <c r="BG18" i="1"/>
  <c r="BG17" i="1"/>
  <c r="BG16" i="1"/>
  <c r="BG15" i="1"/>
  <c r="BG14" i="1"/>
  <c r="BG13" i="1"/>
  <c r="BG12" i="1"/>
  <c r="BG11" i="1"/>
  <c r="BG10" i="1"/>
  <c r="AS65" i="1"/>
  <c r="AS64" i="1"/>
  <c r="AS63" i="1"/>
  <c r="AS62" i="1"/>
  <c r="AS61" i="1"/>
  <c r="AS60" i="1"/>
  <c r="AS59" i="1"/>
  <c r="AS58" i="1"/>
  <c r="AS57" i="1"/>
  <c r="AS56" i="1"/>
  <c r="AS55" i="1"/>
  <c r="AS31" i="1"/>
  <c r="AS30" i="1"/>
  <c r="AS29" i="1"/>
  <c r="AS28" i="1"/>
  <c r="AS27" i="1"/>
  <c r="AS26" i="1"/>
  <c r="AS25" i="1"/>
  <c r="AS24" i="1"/>
  <c r="AS20" i="1"/>
  <c r="AS19" i="1"/>
  <c r="AS18" i="1"/>
  <c r="AS17" i="1"/>
  <c r="AS16" i="1"/>
  <c r="AS15" i="1"/>
  <c r="AS14" i="1"/>
  <c r="AS13" i="1"/>
  <c r="AS12" i="1"/>
  <c r="AS11" i="1"/>
  <c r="AS10" i="1"/>
  <c r="AE65" i="1"/>
  <c r="AE64" i="1"/>
  <c r="AE63" i="1"/>
  <c r="AE62" i="1"/>
  <c r="AE61" i="1"/>
  <c r="AE60" i="1"/>
  <c r="AE59" i="1"/>
  <c r="AE58" i="1"/>
  <c r="AE57" i="1"/>
  <c r="AE56" i="1"/>
  <c r="AE55" i="1"/>
  <c r="AE31" i="1"/>
  <c r="AE30" i="1"/>
  <c r="AE29" i="1"/>
  <c r="AE28" i="1"/>
  <c r="AE27" i="1"/>
  <c r="AE26" i="1"/>
  <c r="AE25" i="1"/>
  <c r="AE24" i="1"/>
  <c r="AE20" i="1"/>
  <c r="AE19" i="1"/>
  <c r="AE18" i="1"/>
  <c r="AE17" i="1"/>
  <c r="AE16" i="1"/>
  <c r="AE15" i="1"/>
  <c r="AE14" i="1"/>
  <c r="AE13" i="1"/>
  <c r="AE12" i="1"/>
  <c r="AE11" i="1"/>
  <c r="AE10" i="1"/>
  <c r="Q65" i="1"/>
  <c r="Q64" i="1"/>
  <c r="Q63" i="1"/>
  <c r="Q62" i="1"/>
  <c r="Q61" i="1"/>
  <c r="Q60" i="1"/>
  <c r="Q59" i="1"/>
  <c r="Q58" i="1"/>
  <c r="Q56" i="1"/>
  <c r="Q31" i="1"/>
  <c r="Q30" i="1"/>
  <c r="Q29" i="1"/>
  <c r="Q28" i="1"/>
  <c r="Q27" i="1"/>
  <c r="Q26" i="1"/>
  <c r="Q25" i="1"/>
  <c r="Q24" i="1"/>
  <c r="Q11" i="1"/>
  <c r="Q12" i="1"/>
  <c r="Q13" i="1"/>
  <c r="Q14" i="1"/>
  <c r="Q15" i="1"/>
  <c r="Q16" i="1"/>
  <c r="Q17" i="1"/>
  <c r="Q18" i="1"/>
  <c r="Q19" i="1"/>
  <c r="Q20" i="1"/>
  <c r="E5" i="1"/>
  <c r="Q9" i="1" s="1"/>
  <c r="AG52" i="1" a="1"/>
  <c r="CH66" i="1" a="1"/>
  <c r="AD66" i="1" a="1"/>
  <c r="BZ52" i="1" a="1"/>
  <c r="AO66" i="1" a="1"/>
  <c r="DR52" i="1" a="1"/>
  <c r="DP52" i="1" a="1"/>
  <c r="CF66" i="1" a="1"/>
  <c r="AR66" i="1" a="1"/>
  <c r="M21" i="1" a="1"/>
  <c r="AC66" i="1" a="1"/>
  <c r="CT21" i="1" a="1"/>
  <c r="N21" i="1" a="1"/>
  <c r="AK21" i="1" a="1"/>
  <c r="DY21" i="1" a="1"/>
  <c r="AL66" i="1" a="1"/>
  <c r="BE21" i="1" a="1"/>
  <c r="DO21" i="1" a="1"/>
  <c r="T66" i="1" a="1"/>
  <c r="CF52" i="1" a="1"/>
  <c r="DM66" i="1" a="1"/>
  <c r="AG21" i="1" a="1"/>
  <c r="AZ66" i="1" a="1"/>
  <c r="AM66" i="1" a="1"/>
  <c r="AY21" i="1" a="1"/>
  <c r="CP52" i="1" a="1"/>
  <c r="AM21" i="1" a="1"/>
  <c r="DH21" i="1" a="1"/>
  <c r="W21" i="1" a="1"/>
  <c r="O66" i="1" a="1"/>
  <c r="CW21" i="1" a="1"/>
  <c r="AK52" i="1" a="1"/>
  <c r="CU52" i="1" a="1"/>
  <c r="T21" i="1" a="1"/>
  <c r="AX21" i="1" a="1"/>
  <c r="Y21" i="1" a="1"/>
  <c r="AQ66" i="1" a="1"/>
  <c r="AD52" i="1" a="1"/>
  <c r="AL52" i="1" a="1"/>
  <c r="AL21" i="1" a="1"/>
  <c r="BM66" i="1" a="1"/>
  <c r="Z52" i="1" a="1"/>
  <c r="CS52" i="1" a="1"/>
  <c r="CM21" i="1" a="1"/>
  <c r="CB52" i="1" a="1"/>
  <c r="AN52" i="1" a="1"/>
  <c r="K52" i="1" a="1"/>
  <c r="J21" i="1" a="1"/>
  <c r="S52" i="1" a="1"/>
  <c r="DB21" i="1" a="1"/>
  <c r="H21" i="1" a="1"/>
  <c r="BC21" i="1" a="1"/>
  <c r="CQ52" i="1" a="1"/>
  <c r="CW66" i="1" a="1"/>
  <c r="BI21" i="1" a="1"/>
  <c r="DK52" i="1" a="1"/>
  <c r="AW21" i="1" a="1"/>
  <c r="DR21" i="1" a="1"/>
  <c r="AB21" i="1" a="1"/>
  <c r="DN21" i="1" a="1"/>
  <c r="CZ21" i="1" a="1"/>
  <c r="BS66" i="1" a="1"/>
  <c r="X52" i="1" a="1"/>
  <c r="AM52" i="1" a="1"/>
  <c r="Y52" i="1" a="1"/>
  <c r="V66" i="1" a="1"/>
  <c r="DJ66" i="1" a="1"/>
  <c r="BI66" i="1" a="1"/>
  <c r="Z66" i="1" a="1"/>
  <c r="CF21" i="1" a="1"/>
  <c r="BA66" i="1" a="1"/>
  <c r="BM21" i="1" a="1"/>
  <c r="CQ21" i="1" a="1"/>
  <c r="AS66" i="1" a="1"/>
  <c r="BQ52" i="1" a="1"/>
  <c r="BT66" i="1" a="1"/>
  <c r="BD66" i="1" a="1"/>
  <c r="DW66" i="1" a="1"/>
  <c r="CV52" i="1" a="1"/>
  <c r="W66" i="1" a="1"/>
  <c r="AX52" i="1" a="1"/>
  <c r="CY66" i="1" a="1"/>
  <c r="CK21" i="1" a="1"/>
  <c r="BK52" i="1" a="1"/>
  <c r="U21" i="1" a="1"/>
  <c r="W52" i="1" a="1"/>
  <c r="L52" i="1" a="1"/>
  <c r="DB66" i="1" a="1"/>
  <c r="DJ52" i="1" a="1"/>
  <c r="CV21" i="1" a="1"/>
  <c r="CW52" i="1" a="1"/>
  <c r="BC52" i="1" a="1"/>
  <c r="CM52" i="1" a="1"/>
  <c r="CT66" i="1" a="1"/>
  <c r="CU66" i="1" a="1"/>
  <c r="DD66" i="1" a="1"/>
  <c r="DC52" i="1" a="1"/>
  <c r="DX66" i="1" a="1"/>
  <c r="L21" i="1" a="1"/>
  <c r="BG21" i="1" a="1"/>
  <c r="DV52" i="1" a="1"/>
  <c r="Z21" i="1" a="1"/>
  <c r="AI66" i="1" a="1"/>
  <c r="DF21" i="1" a="1"/>
  <c r="AR21" i="1" a="1"/>
  <c r="DG21" i="1" a="1"/>
  <c r="BB66" i="1" a="1"/>
  <c r="CY21" i="1" a="1"/>
  <c r="DX21" i="1" a="1"/>
  <c r="CT52" i="1" a="1"/>
  <c r="DV66" i="1" a="1"/>
  <c r="AB52" i="1" a="1"/>
  <c r="BS52" i="1" a="1"/>
  <c r="DU21" i="1" a="1"/>
  <c r="BW21" i="1" a="1"/>
  <c r="CA66" i="1" a="1"/>
  <c r="AQ52" i="1" a="1"/>
  <c r="DA52" i="1" a="1"/>
  <c r="DT21" i="1" a="1"/>
  <c r="BZ21" i="1" a="1"/>
  <c r="I52" i="1" a="1"/>
  <c r="E21" i="1" a="1"/>
  <c r="BQ66" i="1" a="1"/>
  <c r="CD52" i="1" a="1"/>
  <c r="DX52" i="1" a="1"/>
  <c r="BU52" i="1" a="1"/>
  <c r="CY52" i="1" a="1"/>
  <c r="BL66" i="1" a="1"/>
  <c r="AA52" i="1" a="1"/>
  <c r="BP52" i="1" a="1"/>
  <c r="DW21" i="1" a="1"/>
  <c r="CH52" i="1" a="1"/>
  <c r="DE66" i="1" a="1"/>
  <c r="DQ21" i="1" a="1"/>
  <c r="BM52" i="1" a="1"/>
  <c r="BG66" i="1" a="1"/>
  <c r="AE52" i="1" a="1"/>
  <c r="BZ66" i="1" a="1"/>
  <c r="AN66" i="1" a="1"/>
  <c r="V21" i="1" a="1"/>
  <c r="CB21" i="1" a="1"/>
  <c r="P66" i="1" a="1"/>
  <c r="BE52" i="1" a="1"/>
  <c r="AY52" i="1" a="1"/>
  <c r="DA66" i="1" a="1"/>
  <c r="DH52" i="1" a="1"/>
  <c r="BQ21" i="1" a="1"/>
  <c r="CS21" i="1" a="1"/>
  <c r="CR21" i="1" a="1"/>
  <c r="DI21" i="1" a="1"/>
  <c r="AW66" i="1" a="1"/>
  <c r="S21" i="1" a="1"/>
  <c r="DK66" i="1" a="1"/>
  <c r="BA52" i="1" a="1"/>
  <c r="BB52" i="1" a="1"/>
  <c r="DP66" i="1" a="1"/>
  <c r="CE52" i="1" a="1"/>
  <c r="BR66" i="1" a="1"/>
  <c r="CL21" i="1" a="1"/>
  <c r="F21" i="1" a="1"/>
  <c r="AW52" i="1" a="1"/>
  <c r="AZ52" i="1" a="1"/>
  <c r="AU21" i="1" a="1"/>
  <c r="BC66" i="1" a="1"/>
  <c r="BX21" i="1" a="1"/>
  <c r="CD66" i="1" a="1"/>
  <c r="BF66" i="1" a="1"/>
  <c r="DS21" i="1" a="1"/>
  <c r="DE52" i="1" a="1"/>
  <c r="BW52" i="1" a="1"/>
  <c r="X21" i="1" a="1"/>
  <c r="AA21" i="1" a="1"/>
  <c r="CI52" i="1" a="1"/>
  <c r="BD21" i="1" a="1"/>
  <c r="CU21" i="1" a="1"/>
  <c r="AJ21" i="1" a="1"/>
  <c r="CV66" i="1" a="1"/>
  <c r="AH52" i="1" a="1"/>
  <c r="BR21" i="1" a="1"/>
  <c r="CE66" i="1" a="1"/>
  <c r="DE21" i="1" a="1"/>
  <c r="DF66" i="1" a="1"/>
  <c r="CZ66" i="1" a="1"/>
  <c r="CC52" i="1" a="1"/>
  <c r="DS66" i="1" a="1"/>
  <c r="BO66" i="1" a="1"/>
  <c r="AU52" i="1" a="1"/>
  <c r="CK52" i="1" a="1"/>
  <c r="CL66" i="1" a="1"/>
  <c r="BR52" i="1" a="1"/>
  <c r="BP66" i="1" a="1"/>
  <c r="CH21" i="1" a="1"/>
  <c r="AA66" i="1" a="1"/>
  <c r="CZ52" i="1" a="1"/>
  <c r="AH21" i="1" a="1"/>
  <c r="DP21" i="1" a="1"/>
  <c r="AE66" i="1" a="1"/>
  <c r="DU66" i="1" a="1"/>
  <c r="CG52" i="1" a="1"/>
  <c r="BP21" i="1" a="1"/>
  <c r="DT66" i="1" a="1"/>
  <c r="BI52" i="1" a="1"/>
  <c r="DC21" i="1" a="1"/>
  <c r="DS52" i="1" a="1"/>
  <c r="BB21" i="1" a="1"/>
  <c r="CL52" i="1" a="1"/>
  <c r="DG66" i="1" a="1"/>
  <c r="X66" i="1" a="1"/>
  <c r="DD52" i="1" a="1"/>
  <c r="E52" i="1" a="1"/>
  <c r="DJ21" i="1" a="1"/>
  <c r="DA21" i="1" a="1"/>
  <c r="I21" i="1" a="1"/>
  <c r="BY66" i="1" a="1"/>
  <c r="AP52" i="1" a="1"/>
  <c r="AP21" i="1" a="1"/>
  <c r="AV66" i="1" a="1"/>
  <c r="DQ66" i="1" a="1"/>
  <c r="CA52" i="1" a="1"/>
  <c r="CI66" i="1" a="1"/>
  <c r="AI52" i="1" a="1"/>
  <c r="AP66" i="1" a="1"/>
  <c r="BY21" i="1" a="1"/>
  <c r="AE21" i="1" a="1"/>
  <c r="DQ52" i="1" a="1"/>
  <c r="AJ52" i="1" a="1"/>
  <c r="DH66" i="1" a="1"/>
  <c r="AS52" i="1" a="1"/>
  <c r="AI21" i="1" a="1"/>
  <c r="DU52" i="1" a="1"/>
  <c r="DM21" i="1" a="1"/>
  <c r="CG21" i="1" a="1"/>
  <c r="CK66" i="1" a="1"/>
  <c r="AK66" i="1" a="1"/>
  <c r="BN21" i="1" a="1"/>
  <c r="G52" i="1" a="1"/>
  <c r="M52" i="1" a="1"/>
  <c r="DG52" i="1" a="1"/>
  <c r="AQ21" i="1" a="1"/>
  <c r="BT21" i="1" a="1"/>
  <c r="CS66" i="1" a="1"/>
  <c r="BJ52" i="1" a="1"/>
  <c r="AY66" i="1" a="1"/>
  <c r="J52" i="1" a="1"/>
  <c r="DT52" i="1" a="1"/>
  <c r="BD52" i="1" a="1"/>
  <c r="BL52" i="1" a="1"/>
  <c r="BN66" i="1" a="1"/>
  <c r="BX52" i="1" a="1"/>
  <c r="BF52" i="1" a="1"/>
  <c r="AH66" i="1" a="1"/>
  <c r="H52" i="1" a="1"/>
  <c r="CB66" i="1" a="1"/>
  <c r="CC66" i="1" a="1"/>
  <c r="O21" i="1" a="1"/>
  <c r="AN21" i="1" a="1"/>
  <c r="BY52" i="1" a="1"/>
  <c r="CO66" i="1" a="1"/>
  <c r="DC66" i="1" a="1"/>
  <c r="AU66" i="1" a="1"/>
  <c r="M66" i="1" a="1"/>
  <c r="DI66" i="1" a="1"/>
  <c r="CN21" i="1" a="1"/>
  <c r="P52" i="1" a="1"/>
  <c r="BE66" i="1" a="1"/>
  <c r="CR66" i="1" a="1"/>
  <c r="BA21" i="1" a="1"/>
  <c r="N52" i="1" a="1"/>
  <c r="S66" i="1" a="1"/>
  <c r="BX66" i="1" a="1"/>
  <c r="DK21" i="1" a="1"/>
  <c r="CI21" i="1" a="1"/>
  <c r="AZ21" i="1" a="1"/>
  <c r="DI52" i="1" a="1"/>
  <c r="BF21" i="1" a="1"/>
  <c r="CO52" i="1" a="1"/>
  <c r="AR52" i="1" a="1"/>
  <c r="BK66" i="1" a="1"/>
  <c r="CP66" i="1" a="1"/>
  <c r="BN52" i="1" a="1"/>
  <c r="AS21" i="1" a="1"/>
  <c r="DN66" i="1" a="1"/>
  <c r="CN66" i="1" a="1"/>
  <c r="DY52" i="1" a="1"/>
  <c r="CD21" i="1" a="1"/>
  <c r="AO52" i="1" a="1"/>
  <c r="AO21" i="1" a="1"/>
  <c r="AX66" i="1" a="1"/>
  <c r="K66" i="1" a="1"/>
  <c r="BL21" i="1" a="1"/>
  <c r="AC21" i="1" a="1"/>
  <c r="CC21" i="1" a="1"/>
  <c r="DN52" i="1" a="1"/>
  <c r="G21" i="1" a="1"/>
  <c r="DD21" i="1" a="1"/>
  <c r="U66" i="1" a="1"/>
  <c r="CG66" i="1" a="1"/>
  <c r="BJ66" i="1" a="1"/>
  <c r="T52" i="1" a="1"/>
  <c r="BO21" i="1" a="1"/>
  <c r="DB52" i="1" a="1"/>
  <c r="BU66" i="1" a="1"/>
  <c r="CO21" i="1" a="1"/>
  <c r="AV52" i="1" a="1"/>
  <c r="DY66" i="1" a="1"/>
  <c r="DW52" i="1" a="1"/>
  <c r="U52" i="1" a="1"/>
  <c r="BW66" i="1" a="1"/>
  <c r="K21" i="1" a="1"/>
  <c r="BU21" i="1" a="1"/>
  <c r="DF52" i="1" a="1"/>
  <c r="BT52" i="1" a="1"/>
  <c r="BK21" i="1" a="1"/>
  <c r="BG52" i="1" a="1"/>
  <c r="CA21" i="1" a="1"/>
  <c r="CR52" i="1" a="1"/>
  <c r="AB66" i="1" a="1"/>
  <c r="DO66" i="1" a="1"/>
  <c r="AV21" i="1" a="1"/>
  <c r="BS21" i="1" a="1"/>
  <c r="V52" i="1" a="1"/>
  <c r="AJ66" i="1" a="1"/>
  <c r="Q52" i="1" a="1"/>
  <c r="AD21" i="1" a="1"/>
  <c r="F52" i="1" a="1"/>
  <c r="CQ66" i="1" a="1"/>
  <c r="CM66" i="1" a="1"/>
  <c r="AC52" i="1" a="1"/>
  <c r="AG66" i="1" a="1"/>
  <c r="DM52" i="1" a="1"/>
  <c r="CP21" i="1" a="1"/>
  <c r="DR66" i="1" a="1"/>
  <c r="BO52" i="1" a="1"/>
  <c r="CE21" i="1" a="1"/>
  <c r="BJ21" i="1" a="1"/>
  <c r="DV21" i="1" a="1"/>
  <c r="Y66" i="1" a="1"/>
  <c r="DO52" i="1" a="1"/>
  <c r="CN52" i="1" a="1"/>
  <c r="O52" i="1" a="1"/>
  <c r="O66" i="1" l="1"/>
  <c r="P66" i="1"/>
  <c r="M66" i="1"/>
  <c r="K66" i="1"/>
  <c r="O52" i="1"/>
  <c r="N52" i="1"/>
  <c r="M52" i="1"/>
  <c r="L52" i="1"/>
  <c r="K52" i="1"/>
  <c r="P52" i="1"/>
  <c r="J52" i="1"/>
  <c r="N21" i="1"/>
  <c r="M21" i="1"/>
  <c r="L21" i="1"/>
  <c r="K21" i="1"/>
  <c r="J21" i="1"/>
  <c r="O21" i="1"/>
  <c r="I21" i="1"/>
  <c r="K71" i="5" s="1" a="1"/>
  <c r="K71" i="5" s="1"/>
  <c r="E22" i="5"/>
  <c r="E23" i="5" s="1" a="1"/>
  <c r="E23" i="5" s="1"/>
  <c r="J71" i="5" a="1"/>
  <c r="J71" i="5" s="1"/>
  <c r="D75" i="5"/>
  <c r="F75" i="5" s="1"/>
  <c r="G75" i="5" s="1"/>
  <c r="D79" i="5"/>
  <c r="F79" i="5" s="1"/>
  <c r="J79" i="5" s="1" a="1"/>
  <c r="J79" i="5" s="1"/>
  <c r="D87" i="5"/>
  <c r="F87" i="5" s="1"/>
  <c r="G87" i="5" s="1"/>
  <c r="D83" i="5"/>
  <c r="D99" i="5"/>
  <c r="D91" i="5"/>
  <c r="F91" i="5" s="1"/>
  <c r="G91" i="5" s="1"/>
  <c r="D95" i="5"/>
  <c r="D59" i="5"/>
  <c r="D63" i="5"/>
  <c r="D67" i="5"/>
  <c r="F67" i="5" s="1"/>
  <c r="J67" i="5" s="1" a="1"/>
  <c r="J67" i="5" s="1"/>
  <c r="D55" i="5"/>
  <c r="F57" i="5" s="1"/>
  <c r="J57" i="5" s="1" a="1"/>
  <c r="J57" i="5" s="1"/>
  <c r="F73" i="5"/>
  <c r="J73" i="5" s="1" a="1"/>
  <c r="J73" i="5" s="1"/>
  <c r="F72" i="5"/>
  <c r="J72" i="5" s="1" a="1"/>
  <c r="J72" i="5" s="1"/>
  <c r="G71" i="5"/>
  <c r="AQ40" i="3"/>
  <c r="AP40" i="3"/>
  <c r="E10" i="5"/>
  <c r="E13" i="5"/>
  <c r="E14" i="5" s="1"/>
  <c r="CO9" i="1"/>
  <c r="CP9" i="1"/>
  <c r="CQ9" i="1"/>
  <c r="CO54" i="1"/>
  <c r="DQ9" i="1"/>
  <c r="J13" i="3" a="1"/>
  <c r="J13" i="3" s="1"/>
  <c r="G13" i="3" a="1"/>
  <c r="G13" i="3" s="1"/>
  <c r="C14" i="3" a="1"/>
  <c r="C14" i="3" s="1"/>
  <c r="E13" i="3" a="1"/>
  <c r="E13" i="3" s="1"/>
  <c r="AD13" i="3" s="1"/>
  <c r="E21" i="5"/>
  <c r="AF11" i="3" s="1"/>
  <c r="DD9" i="1"/>
  <c r="CM23" i="1"/>
  <c r="CM54" i="1"/>
  <c r="CN23" i="1"/>
  <c r="BX54" i="1"/>
  <c r="DU21" i="1"/>
  <c r="DU66" i="1"/>
  <c r="DW52" i="1"/>
  <c r="DQ21" i="1"/>
  <c r="DW21" i="1"/>
  <c r="DN66" i="1"/>
  <c r="DP52" i="1"/>
  <c r="DP21" i="1"/>
  <c r="DR52" i="1"/>
  <c r="DX52" i="1"/>
  <c r="DQ66" i="1"/>
  <c r="DW66" i="1"/>
  <c r="DO52" i="1"/>
  <c r="DV52" i="1"/>
  <c r="DV66" i="1"/>
  <c r="DR21" i="1"/>
  <c r="DX21" i="1"/>
  <c r="DU52" i="1"/>
  <c r="DO66" i="1"/>
  <c r="DP66" i="1"/>
  <c r="DS52" i="1"/>
  <c r="DX66" i="1"/>
  <c r="DV21" i="1"/>
  <c r="DR66" i="1"/>
  <c r="DM21" i="1"/>
  <c r="DS21" i="1"/>
  <c r="DY21" i="1"/>
  <c r="DO21" i="1"/>
  <c r="DM52" i="1"/>
  <c r="DT52" i="1"/>
  <c r="DM66" i="1"/>
  <c r="DS66" i="1"/>
  <c r="DY66" i="1"/>
  <c r="DT66" i="1"/>
  <c r="DQ52" i="1"/>
  <c r="DY52" i="1"/>
  <c r="DN52" i="1"/>
  <c r="DN21" i="1"/>
  <c r="DT21" i="1"/>
  <c r="DU9" i="1"/>
  <c r="DS23" i="1"/>
  <c r="DT54" i="1"/>
  <c r="DU54" i="1"/>
  <c r="DU23" i="1"/>
  <c r="DV54" i="1"/>
  <c r="DW54" i="1"/>
  <c r="DV9" i="1"/>
  <c r="DV23" i="1"/>
  <c r="DM9" i="1"/>
  <c r="DY9" i="1"/>
  <c r="DW23" i="1"/>
  <c r="DX54" i="1"/>
  <c r="DN9" i="1"/>
  <c r="DX23" i="1"/>
  <c r="DM54" i="1"/>
  <c r="DY54" i="1"/>
  <c r="DT23" i="1"/>
  <c r="DW9" i="1"/>
  <c r="DX9" i="1"/>
  <c r="DO9" i="1"/>
  <c r="DM23" i="1"/>
  <c r="DY23" i="1"/>
  <c r="CZ66" i="1"/>
  <c r="DF66" i="1"/>
  <c r="DA21" i="1"/>
  <c r="DG21" i="1"/>
  <c r="DH52" i="1"/>
  <c r="DA66" i="1"/>
  <c r="DG66" i="1"/>
  <c r="DB52" i="1"/>
  <c r="DB21" i="1"/>
  <c r="DH21" i="1"/>
  <c r="DA52" i="1"/>
  <c r="DI52" i="1"/>
  <c r="DB66" i="1"/>
  <c r="DH66" i="1"/>
  <c r="DC52" i="1"/>
  <c r="DC21" i="1"/>
  <c r="DI21" i="1"/>
  <c r="DJ52" i="1"/>
  <c r="DC66" i="1"/>
  <c r="DI66" i="1"/>
  <c r="DG52" i="1"/>
  <c r="DD52" i="1"/>
  <c r="DD21" i="1"/>
  <c r="DJ21" i="1"/>
  <c r="DE52" i="1"/>
  <c r="DD66" i="1"/>
  <c r="DJ66" i="1"/>
  <c r="DK52" i="1"/>
  <c r="CY21" i="1"/>
  <c r="DE21" i="1"/>
  <c r="DK21" i="1"/>
  <c r="CZ52" i="1"/>
  <c r="DF52" i="1"/>
  <c r="CY66" i="1"/>
  <c r="DE66" i="1"/>
  <c r="DK66" i="1"/>
  <c r="CY52" i="1"/>
  <c r="CZ21" i="1"/>
  <c r="DF21" i="1"/>
  <c r="DC9" i="1"/>
  <c r="DA23" i="1"/>
  <c r="DB54" i="1"/>
  <c r="DB23" i="1"/>
  <c r="DC54" i="1"/>
  <c r="DE9" i="1"/>
  <c r="DC23" i="1"/>
  <c r="DD54" i="1"/>
  <c r="DF9" i="1"/>
  <c r="DE54" i="1"/>
  <c r="DG9" i="1"/>
  <c r="DE23" i="1"/>
  <c r="DF54" i="1"/>
  <c r="DG54" i="1"/>
  <c r="DI9" i="1"/>
  <c r="DG23" i="1"/>
  <c r="DH54" i="1"/>
  <c r="DH9" i="1"/>
  <c r="DJ9" i="1"/>
  <c r="DH23" i="1"/>
  <c r="DI54" i="1"/>
  <c r="CY9" i="1"/>
  <c r="DK9" i="1"/>
  <c r="DI23" i="1"/>
  <c r="DJ54" i="1"/>
  <c r="DD23" i="1"/>
  <c r="DF23" i="1"/>
  <c r="CY54" i="1"/>
  <c r="DK54" i="1"/>
  <c r="CZ9" i="1"/>
  <c r="DJ23" i="1"/>
  <c r="DA9" i="1"/>
  <c r="CY23" i="1"/>
  <c r="DK23" i="1"/>
  <c r="CR66" i="1"/>
  <c r="CO52" i="1"/>
  <c r="CO21" i="1"/>
  <c r="CU21" i="1"/>
  <c r="CS52" i="1"/>
  <c r="CM66" i="1"/>
  <c r="CU52" i="1"/>
  <c r="CV52" i="1"/>
  <c r="CO66" i="1"/>
  <c r="CU66" i="1"/>
  <c r="CM52" i="1"/>
  <c r="CS21" i="1"/>
  <c r="CN66" i="1"/>
  <c r="CP21" i="1"/>
  <c r="CV21" i="1"/>
  <c r="CS66" i="1"/>
  <c r="CT66" i="1"/>
  <c r="CQ52" i="1"/>
  <c r="CV66" i="1"/>
  <c r="CT52" i="1"/>
  <c r="CP66" i="1"/>
  <c r="CK21" i="1"/>
  <c r="CQ21" i="1"/>
  <c r="CW21" i="1"/>
  <c r="CM21" i="1"/>
  <c r="CT21" i="1"/>
  <c r="CW52" i="1"/>
  <c r="CR52" i="1"/>
  <c r="CK66" i="1"/>
  <c r="CQ66" i="1"/>
  <c r="CW66" i="1"/>
  <c r="CL66" i="1"/>
  <c r="CN52" i="1"/>
  <c r="CN21" i="1"/>
  <c r="CP52" i="1"/>
  <c r="CK52" i="1"/>
  <c r="CL52" i="1"/>
  <c r="CL21" i="1"/>
  <c r="CR21" i="1"/>
  <c r="CS9" i="1"/>
  <c r="CQ23" i="1"/>
  <c r="CR54" i="1"/>
  <c r="CS54" i="1"/>
  <c r="CS23" i="1"/>
  <c r="CT54" i="1"/>
  <c r="CT9" i="1"/>
  <c r="CU9" i="1"/>
  <c r="CV9" i="1"/>
  <c r="CT23" i="1"/>
  <c r="CK9" i="1"/>
  <c r="CW9" i="1"/>
  <c r="CU23" i="1"/>
  <c r="CV54" i="1"/>
  <c r="CR23" i="1"/>
  <c r="CL9" i="1"/>
  <c r="CV23" i="1"/>
  <c r="CK54" i="1"/>
  <c r="CW54" i="1"/>
  <c r="CU54" i="1"/>
  <c r="CM9" i="1"/>
  <c r="CK23" i="1"/>
  <c r="CW23" i="1"/>
  <c r="CE21" i="1"/>
  <c r="CE66" i="1"/>
  <c r="CA52" i="1"/>
  <c r="CG52" i="1"/>
  <c r="BZ66" i="1"/>
  <c r="CF66" i="1"/>
  <c r="BY21" i="1"/>
  <c r="CA21" i="1"/>
  <c r="CG21" i="1"/>
  <c r="BX66" i="1"/>
  <c r="CF52" i="1"/>
  <c r="CB52" i="1"/>
  <c r="CH52" i="1"/>
  <c r="CA66" i="1"/>
  <c r="CG66" i="1"/>
  <c r="CD66" i="1"/>
  <c r="BZ52" i="1"/>
  <c r="CF21" i="1"/>
  <c r="CB21" i="1"/>
  <c r="CH21" i="1"/>
  <c r="BY66" i="1"/>
  <c r="CC52" i="1"/>
  <c r="CI52" i="1"/>
  <c r="CB66" i="1"/>
  <c r="CH66" i="1"/>
  <c r="BW52" i="1"/>
  <c r="BW21" i="1"/>
  <c r="CC21" i="1"/>
  <c r="CI21" i="1"/>
  <c r="CE52" i="1"/>
  <c r="CD52" i="1"/>
  <c r="BW66" i="1"/>
  <c r="CC66" i="1"/>
  <c r="CI66" i="1"/>
  <c r="BY52" i="1"/>
  <c r="BZ21" i="1"/>
  <c r="BX52" i="1"/>
  <c r="BX21" i="1"/>
  <c r="CD21" i="1"/>
  <c r="CC54" i="1"/>
  <c r="CE9" i="1"/>
  <c r="CC23" i="1"/>
  <c r="CD54" i="1"/>
  <c r="CE54" i="1"/>
  <c r="CG9" i="1"/>
  <c r="CE23" i="1"/>
  <c r="CF54" i="1"/>
  <c r="CH9" i="1"/>
  <c r="CF23" i="1"/>
  <c r="CG54" i="1"/>
  <c r="CD9" i="1"/>
  <c r="BW9" i="1"/>
  <c r="CI9" i="1"/>
  <c r="CG23" i="1"/>
  <c r="CH54" i="1"/>
  <c r="CB23" i="1"/>
  <c r="CD23" i="1"/>
  <c r="BX9" i="1"/>
  <c r="CH23" i="1"/>
  <c r="BW54" i="1"/>
  <c r="CI54" i="1"/>
  <c r="CF9" i="1"/>
  <c r="BY9" i="1"/>
  <c r="BW23" i="1"/>
  <c r="CI23" i="1"/>
  <c r="AO9" i="1"/>
  <c r="AN9" i="1"/>
  <c r="BB9" i="1"/>
  <c r="AY23" i="1"/>
  <c r="AY54" i="1"/>
  <c r="BC9" i="1"/>
  <c r="AZ23" i="1"/>
  <c r="BI9" i="1"/>
  <c r="BO9" i="1"/>
  <c r="AL23" i="1"/>
  <c r="BK9" i="1"/>
  <c r="BM9" i="1"/>
  <c r="BN9" i="1"/>
  <c r="Y9" i="1"/>
  <c r="V54" i="1"/>
  <c r="BU9" i="1"/>
  <c r="AE9" i="1"/>
  <c r="W23" i="1"/>
  <c r="W54" i="1"/>
  <c r="BO23" i="1"/>
  <c r="BI54" i="1"/>
  <c r="BJ54" i="1"/>
  <c r="BO54" i="1"/>
  <c r="AK23" i="1"/>
  <c r="BQ54" i="1"/>
  <c r="BS54" i="1"/>
  <c r="S9" i="1"/>
  <c r="BQ9" i="1"/>
  <c r="BS9" i="1"/>
  <c r="AC9" i="1"/>
  <c r="BI23" i="1"/>
  <c r="X23" i="1"/>
  <c r="Y54" i="1"/>
  <c r="AH54" i="1"/>
  <c r="AV54" i="1"/>
  <c r="BQ23" i="1"/>
  <c r="BK54" i="1"/>
  <c r="BU23" i="1"/>
  <c r="Y23" i="1"/>
  <c r="AM9" i="1"/>
  <c r="BA9" i="1"/>
  <c r="AX54" i="1"/>
  <c r="BS23" i="1"/>
  <c r="BM54" i="1"/>
  <c r="L54" i="1"/>
  <c r="E54" i="1"/>
  <c r="K54" i="1"/>
  <c r="Q54" i="1"/>
  <c r="J54" i="1"/>
  <c r="H54" i="1"/>
  <c r="I54" i="1"/>
  <c r="F54" i="1"/>
  <c r="G54" i="1"/>
  <c r="T54" i="1"/>
  <c r="O54" i="1"/>
  <c r="N54" i="1"/>
  <c r="Z9" i="1"/>
  <c r="AM23" i="1"/>
  <c r="AI54" i="1"/>
  <c r="P54" i="1"/>
  <c r="M54" i="1"/>
  <c r="AA9" i="1"/>
  <c r="BK23" i="1"/>
  <c r="BU54" i="1"/>
  <c r="BL23" i="1"/>
  <c r="BA23" i="1"/>
  <c r="AA23" i="1"/>
  <c r="AC23" i="1"/>
  <c r="BK52" i="1"/>
  <c r="BQ52" i="1"/>
  <c r="BJ66" i="1"/>
  <c r="BP66" i="1"/>
  <c r="BQ66" i="1"/>
  <c r="BM21" i="1"/>
  <c r="BS21" i="1"/>
  <c r="BL52" i="1"/>
  <c r="BR52" i="1"/>
  <c r="BK66" i="1"/>
  <c r="BM52" i="1"/>
  <c r="BT21" i="1"/>
  <c r="BS52" i="1"/>
  <c r="BL66" i="1"/>
  <c r="BR66" i="1"/>
  <c r="BL21" i="1"/>
  <c r="BI21" i="1"/>
  <c r="BU21" i="1"/>
  <c r="BT52" i="1"/>
  <c r="BM66" i="1"/>
  <c r="BS66" i="1"/>
  <c r="BN21" i="1"/>
  <c r="BO21" i="1"/>
  <c r="BN52" i="1"/>
  <c r="BR21" i="1"/>
  <c r="BJ21" i="1"/>
  <c r="BI52" i="1"/>
  <c r="BU52" i="1"/>
  <c r="BN66" i="1"/>
  <c r="BT66" i="1"/>
  <c r="BP21" i="1"/>
  <c r="BO52" i="1"/>
  <c r="BK21" i="1"/>
  <c r="BP52" i="1"/>
  <c r="BI66" i="1"/>
  <c r="BO66" i="1"/>
  <c r="BU66" i="1"/>
  <c r="BQ21" i="1"/>
  <c r="BJ52" i="1"/>
  <c r="BP9" i="1"/>
  <c r="BN23" i="1"/>
  <c r="BL54" i="1"/>
  <c r="BR9" i="1"/>
  <c r="BP23" i="1"/>
  <c r="BN54" i="1"/>
  <c r="BT9" i="1"/>
  <c r="BR23" i="1"/>
  <c r="BP54" i="1"/>
  <c r="BJ9" i="1"/>
  <c r="BT23" i="1"/>
  <c r="BR54" i="1"/>
  <c r="BL9" i="1"/>
  <c r="BJ23" i="1"/>
  <c r="BT54" i="1"/>
  <c r="BD21" i="1"/>
  <c r="AX52" i="1"/>
  <c r="AY52" i="1"/>
  <c r="AZ52" i="1"/>
  <c r="BF52" i="1"/>
  <c r="BE66" i="1"/>
  <c r="AV66" i="1"/>
  <c r="BD66" i="1"/>
  <c r="AY66" i="1"/>
  <c r="BC52" i="1"/>
  <c r="BD52" i="1"/>
  <c r="BE52" i="1"/>
  <c r="BG21" i="1"/>
  <c r="AU52" i="1"/>
  <c r="BF66" i="1"/>
  <c r="BB66" i="1"/>
  <c r="AX66" i="1"/>
  <c r="AZ66" i="1"/>
  <c r="AW52" i="1"/>
  <c r="BE21" i="1"/>
  <c r="BC66" i="1"/>
  <c r="BF21" i="1"/>
  <c r="BA21" i="1"/>
  <c r="AV21" i="1"/>
  <c r="BG52" i="1"/>
  <c r="BC21" i="1"/>
  <c r="AV52" i="1"/>
  <c r="BB52" i="1"/>
  <c r="BA66" i="1"/>
  <c r="BG66" i="1"/>
  <c r="AX21" i="1"/>
  <c r="AY21" i="1"/>
  <c r="AW66" i="1"/>
  <c r="AZ21" i="1"/>
  <c r="AU21" i="1"/>
  <c r="BB21" i="1"/>
  <c r="BA52" i="1"/>
  <c r="AW21" i="1"/>
  <c r="AU66" i="1"/>
  <c r="BD9" i="1"/>
  <c r="BB23" i="1"/>
  <c r="BF9" i="1"/>
  <c r="BC54" i="1"/>
  <c r="BG9" i="1"/>
  <c r="AV9" i="1"/>
  <c r="BF23" i="1"/>
  <c r="BD54" i="1"/>
  <c r="BD23" i="1"/>
  <c r="AW9" i="1"/>
  <c r="BE54" i="1"/>
  <c r="BE9" i="1"/>
  <c r="AU9" i="1"/>
  <c r="AX9" i="1"/>
  <c r="AV23" i="1"/>
  <c r="BF54" i="1"/>
  <c r="BA54" i="1"/>
  <c r="BB54" i="1"/>
  <c r="BE23" i="1"/>
  <c r="BG23" i="1"/>
  <c r="AY9" i="1"/>
  <c r="AW23" i="1"/>
  <c r="AU54" i="1"/>
  <c r="BG54" i="1"/>
  <c r="AZ54" i="1"/>
  <c r="BC23" i="1"/>
  <c r="AU23" i="1"/>
  <c r="AZ9" i="1"/>
  <c r="AX23" i="1"/>
  <c r="AJ21" i="1"/>
  <c r="AK52" i="1"/>
  <c r="AL52" i="1"/>
  <c r="AR52" i="1"/>
  <c r="AQ66" i="1"/>
  <c r="AI52" i="1"/>
  <c r="AQ21" i="1"/>
  <c r="AJ66" i="1"/>
  <c r="AM21" i="1"/>
  <c r="AK66" i="1"/>
  <c r="AP21" i="1"/>
  <c r="AJ52" i="1"/>
  <c r="AR21" i="1"/>
  <c r="AH21" i="1"/>
  <c r="AS52" i="1"/>
  <c r="AR66" i="1"/>
  <c r="AN66" i="1"/>
  <c r="AK21" i="1"/>
  <c r="AO66" i="1"/>
  <c r="AP66" i="1"/>
  <c r="AG21" i="1"/>
  <c r="AL66" i="1"/>
  <c r="AH66" i="1"/>
  <c r="AI66" i="1"/>
  <c r="AQ52" i="1"/>
  <c r="AS21" i="1"/>
  <c r="AG52" i="1"/>
  <c r="AI21" i="1"/>
  <c r="AO21" i="1"/>
  <c r="AH52" i="1"/>
  <c r="AG66" i="1"/>
  <c r="AM66" i="1"/>
  <c r="AS66" i="1"/>
  <c r="AO52" i="1"/>
  <c r="AP52" i="1"/>
  <c r="AL21" i="1"/>
  <c r="AN21" i="1"/>
  <c r="AM52" i="1"/>
  <c r="AN52" i="1"/>
  <c r="AS9" i="1"/>
  <c r="AO54" i="1"/>
  <c r="AN23" i="1"/>
  <c r="AQ9" i="1"/>
  <c r="AH9" i="1"/>
  <c r="AR23" i="1"/>
  <c r="AP54" i="1"/>
  <c r="AK54" i="1"/>
  <c r="AP9" i="1"/>
  <c r="AO23" i="1"/>
  <c r="AM54" i="1"/>
  <c r="AN54" i="1"/>
  <c r="AS23" i="1"/>
  <c r="AQ54" i="1"/>
  <c r="AL54" i="1"/>
  <c r="AJ9" i="1"/>
  <c r="AH23" i="1"/>
  <c r="AR54" i="1"/>
  <c r="AQ23" i="1"/>
  <c r="AI9" i="1"/>
  <c r="AG23" i="1"/>
  <c r="AI23" i="1"/>
  <c r="AR9" i="1"/>
  <c r="AP23" i="1"/>
  <c r="AG9" i="1"/>
  <c r="AK9" i="1"/>
  <c r="AG54" i="1"/>
  <c r="AS54" i="1"/>
  <c r="AL9" i="1"/>
  <c r="AJ23" i="1"/>
  <c r="Z66" i="1"/>
  <c r="W21" i="1"/>
  <c r="AA66" i="1"/>
  <c r="AA52" i="1"/>
  <c r="AC52" i="1"/>
  <c r="AB66" i="1"/>
  <c r="U52" i="1"/>
  <c r="X21" i="1"/>
  <c r="V66" i="1"/>
  <c r="AB52" i="1"/>
  <c r="AE21" i="1"/>
  <c r="AC66" i="1"/>
  <c r="V21" i="1"/>
  <c r="V52" i="1"/>
  <c r="S21" i="1"/>
  <c r="W66" i="1"/>
  <c r="W52" i="1"/>
  <c r="X66" i="1"/>
  <c r="T66" i="1"/>
  <c r="U66" i="1"/>
  <c r="Y21" i="1"/>
  <c r="T21" i="1"/>
  <c r="Z21" i="1"/>
  <c r="S52" i="1"/>
  <c r="Y52" i="1"/>
  <c r="AE52" i="1"/>
  <c r="AD66" i="1"/>
  <c r="AB21" i="1"/>
  <c r="AD21" i="1"/>
  <c r="AD52" i="1"/>
  <c r="AA21" i="1"/>
  <c r="Z52" i="1"/>
  <c r="AE66" i="1"/>
  <c r="AC21" i="1"/>
  <c r="X52" i="1"/>
  <c r="U21" i="1"/>
  <c r="T52" i="1"/>
  <c r="S66" i="1"/>
  <c r="Y66" i="1"/>
  <c r="AB9" i="1"/>
  <c r="Z23" i="1"/>
  <c r="X54" i="1"/>
  <c r="AD9" i="1"/>
  <c r="AB23" i="1"/>
  <c r="Z54" i="1"/>
  <c r="AA54" i="1"/>
  <c r="T9" i="1"/>
  <c r="AD23" i="1"/>
  <c r="AB54" i="1"/>
  <c r="S23" i="1"/>
  <c r="AE23" i="1"/>
  <c r="AC54" i="1"/>
  <c r="V9" i="1"/>
  <c r="T23" i="1"/>
  <c r="AD54" i="1"/>
  <c r="U9" i="1"/>
  <c r="U23" i="1"/>
  <c r="S54" i="1"/>
  <c r="AE54" i="1"/>
  <c r="W9" i="1"/>
  <c r="X9" i="1"/>
  <c r="V23" i="1"/>
  <c r="E52" i="1"/>
  <c r="F52" i="1"/>
  <c r="Q52" i="1"/>
  <c r="H52" i="1"/>
  <c r="G52" i="1"/>
  <c r="I52" i="1"/>
  <c r="Q23" i="1"/>
  <c r="H23" i="1"/>
  <c r="I23" i="1"/>
  <c r="J23" i="1"/>
  <c r="K23" i="1"/>
  <c r="L23" i="1"/>
  <c r="M23" i="1"/>
  <c r="N23" i="1"/>
  <c r="E23" i="1"/>
  <c r="F23" i="1"/>
  <c r="G23" i="1"/>
  <c r="O23" i="1"/>
  <c r="P23" i="1"/>
  <c r="H21" i="1"/>
  <c r="G21" i="1"/>
  <c r="F21" i="1"/>
  <c r="E21" i="1"/>
  <c r="F9" i="1"/>
  <c r="H9" i="1"/>
  <c r="J9" i="1"/>
  <c r="M9" i="1"/>
  <c r="N9" i="1"/>
  <c r="E9" i="1"/>
  <c r="G9" i="1"/>
  <c r="I9" i="1"/>
  <c r="K9" i="1"/>
  <c r="L9" i="1"/>
  <c r="O9" i="1"/>
  <c r="P9" i="1"/>
  <c r="E66" i="1" a="1"/>
  <c r="K79" i="5" l="1" a="1"/>
  <c r="K79" i="5" s="1"/>
  <c r="E24" i="5"/>
  <c r="G79" i="5"/>
  <c r="G57" i="5"/>
  <c r="G67" i="5"/>
  <c r="K67" i="5" a="1"/>
  <c r="K67" i="5" s="1"/>
  <c r="L67" i="5" s="1"/>
  <c r="J87" i="5" a="1"/>
  <c r="J87" i="5" s="1"/>
  <c r="F89" i="5"/>
  <c r="J89" i="5" s="1" a="1"/>
  <c r="J89" i="5" s="1"/>
  <c r="F81" i="5"/>
  <c r="K87" i="5" a="1"/>
  <c r="K87" i="5" s="1"/>
  <c r="J91" i="5" a="1"/>
  <c r="J91" i="5" s="1"/>
  <c r="G72" i="5"/>
  <c r="G73" i="5"/>
  <c r="F76" i="5"/>
  <c r="J75" i="5" a="1"/>
  <c r="J75" i="5" s="1"/>
  <c r="K72" i="5" a="1"/>
  <c r="K72" i="5" s="1"/>
  <c r="L72" i="5" s="1"/>
  <c r="F77" i="5"/>
  <c r="K75" i="5" a="1"/>
  <c r="K75" i="5" s="1"/>
  <c r="K91" i="5" a="1"/>
  <c r="K91" i="5" s="1"/>
  <c r="M71" i="5"/>
  <c r="P71" i="5"/>
  <c r="L79" i="5"/>
  <c r="L71" i="5"/>
  <c r="F92" i="5"/>
  <c r="F80" i="5"/>
  <c r="K80" i="5" s="1" a="1"/>
  <c r="K80" i="5" s="1"/>
  <c r="F68" i="5"/>
  <c r="K68" i="5" s="1" a="1"/>
  <c r="K68" i="5" s="1"/>
  <c r="F56" i="5"/>
  <c r="F55" i="5"/>
  <c r="K55" i="5" s="1" a="1"/>
  <c r="K55" i="5" s="1"/>
  <c r="F63" i="5"/>
  <c r="K63" i="5" s="1" a="1"/>
  <c r="K63" i="5" s="1"/>
  <c r="F65" i="5"/>
  <c r="F64" i="5"/>
  <c r="F61" i="5"/>
  <c r="F59" i="5"/>
  <c r="F60" i="5"/>
  <c r="F95" i="5"/>
  <c r="F96" i="5"/>
  <c r="K96" i="5" s="1" a="1"/>
  <c r="K96" i="5" s="1"/>
  <c r="F97" i="5"/>
  <c r="F93" i="5"/>
  <c r="F99" i="5"/>
  <c r="F100" i="5"/>
  <c r="K100" i="5" s="1" a="1"/>
  <c r="K100" i="5" s="1"/>
  <c r="F101" i="5"/>
  <c r="F69" i="5"/>
  <c r="F83" i="5"/>
  <c r="F85" i="5"/>
  <c r="F84" i="5"/>
  <c r="F88" i="5"/>
  <c r="AB13" i="3"/>
  <c r="AA13" i="3"/>
  <c r="AC13" i="3"/>
  <c r="Z13" i="3"/>
  <c r="C15" i="3" a="1"/>
  <c r="C15" i="3" s="1"/>
  <c r="J15" i="3" s="1" a="1"/>
  <c r="J15" i="3" s="1"/>
  <c r="H14" i="3"/>
  <c r="G14" i="3" a="1"/>
  <c r="G14" i="3" s="1"/>
  <c r="E14" i="3" a="1"/>
  <c r="E14" i="3" s="1"/>
  <c r="L13" i="3" a="1"/>
  <c r="L13" i="3" s="1"/>
  <c r="K13" i="3" a="1"/>
  <c r="K13" i="3" s="1"/>
  <c r="D13" i="3"/>
  <c r="F13" i="3"/>
  <c r="Y11" i="3"/>
  <c r="DP7" i="1"/>
  <c r="DP6" i="1" s="1"/>
  <c r="DB7" i="1"/>
  <c r="DB6" i="1" s="1"/>
  <c r="DV7" i="1"/>
  <c r="DV6" i="1" s="1"/>
  <c r="DH7" i="1"/>
  <c r="DH6" i="1" s="1"/>
  <c r="DO7" i="1"/>
  <c r="DO6" i="1" s="1"/>
  <c r="DR7" i="1"/>
  <c r="DR6" i="1" s="1"/>
  <c r="DQ7" i="1"/>
  <c r="DQ6" i="1" s="1"/>
  <c r="DT7" i="1"/>
  <c r="DT6" i="1" s="1"/>
  <c r="DY7" i="1"/>
  <c r="DY6" i="1" s="1"/>
  <c r="DX7" i="1"/>
  <c r="DX6" i="1" s="1"/>
  <c r="CG7" i="1"/>
  <c r="CG6" i="1" s="1"/>
  <c r="CQ7" i="1"/>
  <c r="CQ6" i="1" s="1"/>
  <c r="DJ7" i="1"/>
  <c r="DJ6" i="1" s="1"/>
  <c r="DN7" i="1"/>
  <c r="DN6" i="1" s="1"/>
  <c r="DS7" i="1"/>
  <c r="DS6" i="1" s="1"/>
  <c r="DW7" i="1"/>
  <c r="DW6" i="1" s="1"/>
  <c r="CH7" i="1"/>
  <c r="CH6" i="1" s="1"/>
  <c r="CA7" i="1"/>
  <c r="CA6" i="1" s="1"/>
  <c r="CN7" i="1"/>
  <c r="CN6" i="1" s="1"/>
  <c r="DD7" i="1"/>
  <c r="DD6" i="1" s="1"/>
  <c r="DM7" i="1"/>
  <c r="DM6" i="1" s="1"/>
  <c r="DU7" i="1"/>
  <c r="DU6" i="1" s="1"/>
  <c r="DK7" i="1"/>
  <c r="DK6" i="1" s="1"/>
  <c r="DE7" i="1"/>
  <c r="DE6" i="1" s="1"/>
  <c r="DC7" i="1"/>
  <c r="DC6" i="1" s="1"/>
  <c r="DG7" i="1"/>
  <c r="DG6" i="1" s="1"/>
  <c r="DF7" i="1"/>
  <c r="DF6" i="1" s="1"/>
  <c r="DA7" i="1"/>
  <c r="DA6" i="1" s="1"/>
  <c r="DI7" i="1"/>
  <c r="DI6" i="1" s="1"/>
  <c r="CZ7" i="1"/>
  <c r="CZ6" i="1" s="1"/>
  <c r="CY7" i="1"/>
  <c r="CY6" i="1" s="1"/>
  <c r="CW7" i="1"/>
  <c r="CW6" i="1" s="1"/>
  <c r="CS7" i="1"/>
  <c r="CS6" i="1" s="1"/>
  <c r="CR7" i="1"/>
  <c r="CR6" i="1" s="1"/>
  <c r="CU7" i="1"/>
  <c r="CU6" i="1" s="1"/>
  <c r="CV7" i="1"/>
  <c r="CV6" i="1" s="1"/>
  <c r="CO7" i="1"/>
  <c r="CO6" i="1" s="1"/>
  <c r="BZ7" i="1"/>
  <c r="BZ6" i="1" s="1"/>
  <c r="CL7" i="1"/>
  <c r="CL6" i="1" s="1"/>
  <c r="CT7" i="1"/>
  <c r="CT6" i="1" s="1"/>
  <c r="CP7" i="1"/>
  <c r="CP6" i="1" s="1"/>
  <c r="CK7" i="1"/>
  <c r="CK6" i="1" s="1"/>
  <c r="CM7" i="1"/>
  <c r="CM6" i="1" s="1"/>
  <c r="BW7" i="1"/>
  <c r="BW6" i="1" s="1"/>
  <c r="CB7" i="1"/>
  <c r="CB6" i="1" s="1"/>
  <c r="CI7" i="1"/>
  <c r="CI6" i="1" s="1"/>
  <c r="CC7" i="1"/>
  <c r="CC6" i="1" s="1"/>
  <c r="CD7" i="1"/>
  <c r="CD6" i="1" s="1"/>
  <c r="BX7" i="1"/>
  <c r="BX6" i="1" s="1"/>
  <c r="BY7" i="1"/>
  <c r="BY6" i="1" s="1"/>
  <c r="CF7" i="1"/>
  <c r="CF6" i="1" s="1"/>
  <c r="CE7" i="1"/>
  <c r="CE6" i="1" s="1"/>
  <c r="BU7" i="1"/>
  <c r="BU6" i="1" s="1"/>
  <c r="BT7" i="1"/>
  <c r="BT6" i="1" s="1"/>
  <c r="BO7" i="1"/>
  <c r="BO6" i="1" s="1"/>
  <c r="BK7" i="1"/>
  <c r="BK6" i="1" s="1"/>
  <c r="BI7" i="1"/>
  <c r="BI6" i="1" s="1"/>
  <c r="BN7" i="1"/>
  <c r="BN6" i="1" s="1"/>
  <c r="AZ7" i="1"/>
  <c r="AZ6" i="1" s="1"/>
  <c r="BP7" i="1"/>
  <c r="BP6" i="1" s="1"/>
  <c r="BS7" i="1"/>
  <c r="BS6" i="1" s="1"/>
  <c r="BB7" i="1"/>
  <c r="BB6" i="1" s="1"/>
  <c r="AV7" i="1"/>
  <c r="AV6" i="1" s="1"/>
  <c r="BM7" i="1"/>
  <c r="BM6" i="1" s="1"/>
  <c r="AU7" i="1"/>
  <c r="AU6" i="1" s="1"/>
  <c r="BA7" i="1"/>
  <c r="BA6" i="1" s="1"/>
  <c r="BF7" i="1"/>
  <c r="BF6" i="1" s="1"/>
  <c r="BL7" i="1"/>
  <c r="BL6" i="1" s="1"/>
  <c r="BQ7" i="1"/>
  <c r="BQ6" i="1" s="1"/>
  <c r="BJ7" i="1"/>
  <c r="BJ6" i="1" s="1"/>
  <c r="AX7" i="1"/>
  <c r="AX6" i="1" s="1"/>
  <c r="BR7" i="1"/>
  <c r="BR6" i="1" s="1"/>
  <c r="BE7" i="1"/>
  <c r="BE6" i="1" s="1"/>
  <c r="AL7" i="1"/>
  <c r="AL6" i="1" s="1"/>
  <c r="AY7" i="1"/>
  <c r="AY6" i="1" s="1"/>
  <c r="U7" i="1"/>
  <c r="U6" i="1" s="1"/>
  <c r="AG7" i="1"/>
  <c r="AG6" i="1" s="1"/>
  <c r="AM7" i="1"/>
  <c r="AM6" i="1" s="1"/>
  <c r="AQ7" i="1"/>
  <c r="AQ6" i="1" s="1"/>
  <c r="AW7" i="1"/>
  <c r="AW6" i="1" s="1"/>
  <c r="BC7" i="1"/>
  <c r="BC6" i="1" s="1"/>
  <c r="BG7" i="1"/>
  <c r="BG6" i="1" s="1"/>
  <c r="BD7" i="1"/>
  <c r="BD6" i="1" s="1"/>
  <c r="T7" i="1"/>
  <c r="T6" i="1" s="1"/>
  <c r="AP7" i="1"/>
  <c r="AP6" i="1" s="1"/>
  <c r="Z7" i="1"/>
  <c r="Z6" i="1" s="1"/>
  <c r="AE7" i="1"/>
  <c r="AE6" i="1" s="1"/>
  <c r="Y7" i="1"/>
  <c r="Y6" i="1" s="1"/>
  <c r="AK7" i="1"/>
  <c r="AK6" i="1" s="1"/>
  <c r="AO7" i="1"/>
  <c r="AO6" i="1" s="1"/>
  <c r="AA7" i="1"/>
  <c r="AA6" i="1" s="1"/>
  <c r="AI7" i="1"/>
  <c r="AI6" i="1" s="1"/>
  <c r="AS7" i="1"/>
  <c r="AS6" i="1" s="1"/>
  <c r="AH7" i="1"/>
  <c r="AH6" i="1" s="1"/>
  <c r="AN7" i="1"/>
  <c r="AN6" i="1" s="1"/>
  <c r="AR7" i="1"/>
  <c r="AR6" i="1" s="1"/>
  <c r="AJ7" i="1"/>
  <c r="AJ6" i="1" s="1"/>
  <c r="AC7" i="1"/>
  <c r="AC6" i="1" s="1"/>
  <c r="X7" i="1"/>
  <c r="X6" i="1" s="1"/>
  <c r="AD7" i="1"/>
  <c r="AD6" i="1" s="1"/>
  <c r="AB7" i="1"/>
  <c r="AB6" i="1" s="1"/>
  <c r="S7" i="1"/>
  <c r="S6" i="1" s="1"/>
  <c r="W7" i="1"/>
  <c r="W6" i="1" s="1"/>
  <c r="V7" i="1"/>
  <c r="V6" i="1" s="1"/>
  <c r="E66" i="1"/>
  <c r="K57" i="5" s="1" a="1"/>
  <c r="K57" i="5" s="1"/>
  <c r="J66" i="1" a="1"/>
  <c r="P79" i="5" l="1"/>
  <c r="M79" i="5"/>
  <c r="P67" i="5"/>
  <c r="M67" i="5"/>
  <c r="G89" i="5"/>
  <c r="M87" i="5"/>
  <c r="M75" i="5"/>
  <c r="P87" i="5"/>
  <c r="L91" i="5"/>
  <c r="Q91" i="5" s="1"/>
  <c r="P72" i="5"/>
  <c r="M91" i="5"/>
  <c r="L87" i="5"/>
  <c r="Q87" i="5" s="1"/>
  <c r="M72" i="5"/>
  <c r="G81" i="5"/>
  <c r="J81" i="5" a="1"/>
  <c r="J81" i="5" s="1"/>
  <c r="P91" i="5"/>
  <c r="L75" i="5"/>
  <c r="N75" i="5" s="1"/>
  <c r="G92" i="5"/>
  <c r="J92" i="5" a="1"/>
  <c r="J92" i="5" s="1"/>
  <c r="J95" i="5" a="1"/>
  <c r="J95" i="5" s="1"/>
  <c r="G95" i="5"/>
  <c r="G88" i="5"/>
  <c r="J88" i="5" a="1"/>
  <c r="J88" i="5" s="1"/>
  <c r="J60" i="5" a="1"/>
  <c r="J60" i="5" s="1"/>
  <c r="G60" i="5"/>
  <c r="K95" i="5" a="1"/>
  <c r="K95" i="5" s="1"/>
  <c r="J85" i="5" a="1"/>
  <c r="J85" i="5" s="1"/>
  <c r="G85" i="5"/>
  <c r="G61" i="5"/>
  <c r="J61" i="5" a="1"/>
  <c r="J61" i="5" s="1"/>
  <c r="K88" i="5" a="1"/>
  <c r="K88" i="5" s="1"/>
  <c r="J83" i="5" a="1"/>
  <c r="J83" i="5" s="1"/>
  <c r="G83" i="5"/>
  <c r="G64" i="5"/>
  <c r="J64" i="5" a="1"/>
  <c r="J64" i="5" s="1"/>
  <c r="G77" i="5"/>
  <c r="J77" i="5" a="1"/>
  <c r="J77" i="5" s="1"/>
  <c r="K60" i="5" a="1"/>
  <c r="K60" i="5" s="1"/>
  <c r="L14" i="3" a="1"/>
  <c r="L14" i="3" s="1"/>
  <c r="J69" i="5" a="1"/>
  <c r="J69" i="5" s="1"/>
  <c r="G69" i="5"/>
  <c r="G65" i="5"/>
  <c r="J65" i="5" a="1"/>
  <c r="J65" i="5" s="1"/>
  <c r="K64" i="5" a="1"/>
  <c r="K64" i="5" s="1"/>
  <c r="J101" i="5" a="1"/>
  <c r="J101" i="5" s="1"/>
  <c r="G101" i="5"/>
  <c r="G63" i="5"/>
  <c r="J63" i="5" a="1"/>
  <c r="J63" i="5" s="1"/>
  <c r="L63" i="5" s="1"/>
  <c r="Q63" i="5" s="1"/>
  <c r="K92" i="5" a="1"/>
  <c r="K92" i="5" s="1"/>
  <c r="J96" i="5" a="1"/>
  <c r="J96" i="5" s="1"/>
  <c r="L96" i="5" s="1"/>
  <c r="G96" i="5"/>
  <c r="J84" i="5" a="1"/>
  <c r="J84" i="5" s="1"/>
  <c r="G84" i="5"/>
  <c r="G59" i="5"/>
  <c r="J59" i="5" a="1"/>
  <c r="J59" i="5" s="1"/>
  <c r="K84" i="5" a="1"/>
  <c r="K84" i="5" s="1"/>
  <c r="J99" i="5" a="1"/>
  <c r="J99" i="5" s="1"/>
  <c r="G99" i="5"/>
  <c r="G56" i="5"/>
  <c r="J56" i="5" a="1"/>
  <c r="J56" i="5" s="1"/>
  <c r="P75" i="5"/>
  <c r="K56" i="5" a="1"/>
  <c r="K56" i="5" s="1"/>
  <c r="G55" i="5"/>
  <c r="J55" i="5" a="1"/>
  <c r="J55" i="5" s="1"/>
  <c r="M55" i="5" s="1"/>
  <c r="J93" i="5" a="1"/>
  <c r="J93" i="5" s="1"/>
  <c r="G93" i="5"/>
  <c r="J68" i="5" a="1"/>
  <c r="J68" i="5" s="1"/>
  <c r="L68" i="5" s="1"/>
  <c r="G68" i="5"/>
  <c r="G76" i="5"/>
  <c r="J76" i="5" a="1"/>
  <c r="J76" i="5" s="1"/>
  <c r="K83" i="5" a="1"/>
  <c r="K83" i="5" s="1"/>
  <c r="J100" i="5" a="1"/>
  <c r="J100" i="5" s="1"/>
  <c r="L100" i="5" s="1"/>
  <c r="G100" i="5"/>
  <c r="J97" i="5" a="1"/>
  <c r="J97" i="5" s="1"/>
  <c r="G97" i="5"/>
  <c r="J80" i="5" a="1"/>
  <c r="J80" i="5" s="1"/>
  <c r="L80" i="5" s="1"/>
  <c r="G80" i="5"/>
  <c r="K76" i="5" a="1"/>
  <c r="K76" i="5" s="1"/>
  <c r="K59" i="5" a="1"/>
  <c r="K59" i="5" s="1"/>
  <c r="Q67" i="5"/>
  <c r="R67" i="5"/>
  <c r="R71" i="5"/>
  <c r="Q71" i="5"/>
  <c r="Q72" i="5"/>
  <c r="R72" i="5"/>
  <c r="Q79" i="5"/>
  <c r="R79" i="5"/>
  <c r="M57" i="5"/>
  <c r="P57" i="5"/>
  <c r="N72" i="5"/>
  <c r="O72" i="5"/>
  <c r="N67" i="5"/>
  <c r="O67" i="5"/>
  <c r="N71" i="5"/>
  <c r="O71" i="5"/>
  <c r="N79" i="5"/>
  <c r="O79" i="5"/>
  <c r="L57" i="5"/>
  <c r="R57" i="5" s="1"/>
  <c r="X13" i="3"/>
  <c r="Y13" i="3" s="1"/>
  <c r="T13" i="3"/>
  <c r="U13" i="3"/>
  <c r="V13" i="3"/>
  <c r="W13" i="3"/>
  <c r="S13" i="3"/>
  <c r="Q13" i="3"/>
  <c r="P13" i="3"/>
  <c r="O13" i="3"/>
  <c r="F14" i="3"/>
  <c r="C16" i="3" a="1"/>
  <c r="C16" i="3" s="1"/>
  <c r="J16" i="3" s="1" a="1"/>
  <c r="J16" i="3" s="1"/>
  <c r="G15" i="3" a="1"/>
  <c r="G15" i="3" s="1"/>
  <c r="H15" i="3"/>
  <c r="E15" i="3" a="1"/>
  <c r="E15" i="3" s="1"/>
  <c r="M13" i="3" a="1"/>
  <c r="M13" i="3" s="1"/>
  <c r="N13" i="3" a="1"/>
  <c r="N13" i="3" s="1"/>
  <c r="I13" i="3" a="1"/>
  <c r="I13" i="3" s="1"/>
  <c r="D14" i="3"/>
  <c r="E7" i="1"/>
  <c r="E6" i="1" s="1"/>
  <c r="J66" i="1"/>
  <c r="K77" i="5" s="1" a="1"/>
  <c r="K77" i="5" s="1"/>
  <c r="I66" i="1" a="1"/>
  <c r="R87" i="5" l="1"/>
  <c r="O87" i="5"/>
  <c r="N87" i="5"/>
  <c r="O91" i="5"/>
  <c r="N91" i="5"/>
  <c r="R91" i="5"/>
  <c r="L60" i="5"/>
  <c r="N60" i="5" s="1"/>
  <c r="R75" i="5"/>
  <c r="Q75" i="5"/>
  <c r="O75" i="5"/>
  <c r="L64" i="5"/>
  <c r="N64" i="5" s="1"/>
  <c r="L88" i="5"/>
  <c r="O88" i="5" s="1"/>
  <c r="L76" i="5"/>
  <c r="Q76" i="5" s="1"/>
  <c r="P55" i="5"/>
  <c r="N96" i="5"/>
  <c r="L56" i="5"/>
  <c r="Q56" i="5" s="1"/>
  <c r="R96" i="5"/>
  <c r="O96" i="5"/>
  <c r="O80" i="5"/>
  <c r="N80" i="5"/>
  <c r="N100" i="5"/>
  <c r="Q100" i="5"/>
  <c r="O100" i="5"/>
  <c r="R100" i="5"/>
  <c r="N68" i="5"/>
  <c r="Q68" i="5"/>
  <c r="O68" i="5"/>
  <c r="R68" i="5"/>
  <c r="Q80" i="5"/>
  <c r="O63" i="5"/>
  <c r="R80" i="5"/>
  <c r="M76" i="5"/>
  <c r="P76" i="5"/>
  <c r="P64" i="5"/>
  <c r="M64" i="5"/>
  <c r="M88" i="5"/>
  <c r="P88" i="5"/>
  <c r="N63" i="5"/>
  <c r="M68" i="5"/>
  <c r="P68" i="5"/>
  <c r="L84" i="5"/>
  <c r="Q84" i="5" s="1"/>
  <c r="M83" i="5"/>
  <c r="P83" i="5"/>
  <c r="L59" i="5"/>
  <c r="M95" i="5"/>
  <c r="P95" i="5"/>
  <c r="M59" i="5"/>
  <c r="P59" i="5"/>
  <c r="P80" i="5"/>
  <c r="M80" i="5"/>
  <c r="P84" i="5"/>
  <c r="M84" i="5"/>
  <c r="P92" i="5"/>
  <c r="M92" i="5"/>
  <c r="R63" i="5"/>
  <c r="M100" i="5"/>
  <c r="P100" i="5"/>
  <c r="L92" i="5"/>
  <c r="R92" i="5" s="1"/>
  <c r="L95" i="5"/>
  <c r="R95" i="5" s="1"/>
  <c r="M60" i="5"/>
  <c r="P60" i="5"/>
  <c r="L55" i="5"/>
  <c r="Q55" i="5" s="1"/>
  <c r="M96" i="5"/>
  <c r="P96" i="5"/>
  <c r="L83" i="5"/>
  <c r="M56" i="5"/>
  <c r="P56" i="5"/>
  <c r="M63" i="5"/>
  <c r="P63" i="5"/>
  <c r="Q96" i="5"/>
  <c r="M77" i="5"/>
  <c r="P77" i="5"/>
  <c r="N57" i="5"/>
  <c r="Q57" i="5"/>
  <c r="O57" i="5"/>
  <c r="L77" i="5"/>
  <c r="J7" i="1"/>
  <c r="J6" i="1" s="1"/>
  <c r="C17" i="3" a="1"/>
  <c r="C17" i="3" s="1"/>
  <c r="J17" i="3" s="1" a="1"/>
  <c r="J17" i="3" s="1"/>
  <c r="H16" i="3"/>
  <c r="G16" i="3" a="1"/>
  <c r="G16" i="3" s="1"/>
  <c r="E16" i="3" a="1"/>
  <c r="E16" i="3" s="1"/>
  <c r="F15" i="3"/>
  <c r="L15" i="3" a="1"/>
  <c r="L15" i="3" s="1"/>
  <c r="N14" i="3" a="1"/>
  <c r="N14" i="3" s="1"/>
  <c r="M14" i="3" a="1"/>
  <c r="M14" i="3" s="1"/>
  <c r="V14" i="3" s="1"/>
  <c r="D15" i="3"/>
  <c r="I14" i="3" a="1"/>
  <c r="I14" i="3" s="1"/>
  <c r="I66" i="1"/>
  <c r="K73" i="5" s="1" a="1"/>
  <c r="K73" i="5" s="1"/>
  <c r="H66" i="1" a="1"/>
  <c r="Q88" i="5" l="1"/>
  <c r="R84" i="5"/>
  <c r="R88" i="5"/>
  <c r="O60" i="5"/>
  <c r="Q60" i="5"/>
  <c r="R60" i="5"/>
  <c r="O76" i="5"/>
  <c r="N76" i="5"/>
  <c r="R76" i="5"/>
  <c r="N88" i="5"/>
  <c r="O64" i="5"/>
  <c r="R64" i="5"/>
  <c r="Q64" i="5"/>
  <c r="R56" i="5"/>
  <c r="O56" i="5"/>
  <c r="N56" i="5"/>
  <c r="Q59" i="5"/>
  <c r="R59" i="5"/>
  <c r="O59" i="5"/>
  <c r="Q83" i="5"/>
  <c r="R83" i="5"/>
  <c r="N83" i="5"/>
  <c r="O83" i="5"/>
  <c r="N59" i="5"/>
  <c r="N84" i="5"/>
  <c r="O84" i="5"/>
  <c r="O55" i="5"/>
  <c r="N55" i="5"/>
  <c r="R55" i="5"/>
  <c r="Q95" i="5"/>
  <c r="N95" i="5"/>
  <c r="O95" i="5"/>
  <c r="Q92" i="5"/>
  <c r="O92" i="5"/>
  <c r="N92" i="5"/>
  <c r="M73" i="5"/>
  <c r="P73" i="5"/>
  <c r="Q77" i="5"/>
  <c r="R77" i="5"/>
  <c r="N77" i="5"/>
  <c r="O77" i="5"/>
  <c r="L73" i="5"/>
  <c r="I7" i="1"/>
  <c r="I6" i="1" s="1"/>
  <c r="T14" i="3"/>
  <c r="O14" i="3"/>
  <c r="Q14" i="3"/>
  <c r="F16" i="3"/>
  <c r="L16" i="3" a="1"/>
  <c r="L16" i="3" s="1"/>
  <c r="C18" i="3" a="1"/>
  <c r="C18" i="3" s="1"/>
  <c r="J18" i="3" s="1" a="1"/>
  <c r="J18" i="3" s="1"/>
  <c r="E17" i="3" a="1"/>
  <c r="E17" i="3" s="1"/>
  <c r="H17" i="3"/>
  <c r="G17" i="3" a="1"/>
  <c r="G17" i="3" s="1"/>
  <c r="M15" i="3" a="1"/>
  <c r="M15" i="3" s="1"/>
  <c r="V15" i="3" s="1"/>
  <c r="N15" i="3" a="1"/>
  <c r="N15" i="3" s="1"/>
  <c r="D16" i="3"/>
  <c r="I15" i="3" a="1"/>
  <c r="I15" i="3" s="1"/>
  <c r="K15" i="3" s="1" a="1"/>
  <c r="K15" i="3" s="1"/>
  <c r="H66" i="1"/>
  <c r="K69" i="5" s="1" a="1"/>
  <c r="K69" i="5" s="1"/>
  <c r="R13" i="3"/>
  <c r="R14" i="3"/>
  <c r="M69" i="5" l="1"/>
  <c r="P69" i="5"/>
  <c r="Q73" i="5"/>
  <c r="R73" i="5"/>
  <c r="N73" i="5"/>
  <c r="O73" i="5"/>
  <c r="L69" i="5"/>
  <c r="H7" i="1"/>
  <c r="H6" i="1" s="1"/>
  <c r="T15" i="3"/>
  <c r="O15" i="3"/>
  <c r="Q15" i="3"/>
  <c r="F17" i="3"/>
  <c r="L17" i="3" a="1"/>
  <c r="L17" i="3" s="1"/>
  <c r="C19" i="3" a="1"/>
  <c r="C19" i="3" s="1"/>
  <c r="J19" i="3" s="1" a="1"/>
  <c r="J19" i="3" s="1"/>
  <c r="G18" i="3" a="1"/>
  <c r="G18" i="3" s="1"/>
  <c r="E18" i="3" a="1"/>
  <c r="E18" i="3" s="1"/>
  <c r="H18" i="3"/>
  <c r="N16" i="3" a="1"/>
  <c r="N16" i="3" s="1"/>
  <c r="M16" i="3" a="1"/>
  <c r="M16" i="3" s="1"/>
  <c r="V16" i="3" s="1"/>
  <c r="D17" i="3"/>
  <c r="I17" i="3" s="1" a="1"/>
  <c r="I17" i="3" s="1"/>
  <c r="K17" i="3" s="1" a="1"/>
  <c r="K17" i="3" s="1"/>
  <c r="I16" i="3" a="1"/>
  <c r="I16" i="3" s="1"/>
  <c r="K16" i="3" s="1" a="1"/>
  <c r="K16" i="3" s="1"/>
  <c r="K81" i="5" a="1"/>
  <c r="K81" i="5" s="1"/>
  <c r="R15" i="3"/>
  <c r="M81" i="5" l="1"/>
  <c r="P81" i="5"/>
  <c r="Q69" i="5"/>
  <c r="R69" i="5"/>
  <c r="N69" i="5"/>
  <c r="O69" i="5"/>
  <c r="L81" i="5"/>
  <c r="K7" i="1"/>
  <c r="K6" i="1" s="1"/>
  <c r="Y18" i="3"/>
  <c r="AD18" i="3"/>
  <c r="Z18" i="3"/>
  <c r="AB18" i="3"/>
  <c r="AA18" i="3"/>
  <c r="AC18" i="3"/>
  <c r="X17" i="3"/>
  <c r="V17" i="3"/>
  <c r="W17" i="3"/>
  <c r="T17" i="3"/>
  <c r="U17" i="3"/>
  <c r="O16" i="3"/>
  <c r="T16" i="3"/>
  <c r="R17" i="3"/>
  <c r="S17" i="3"/>
  <c r="P17" i="3"/>
  <c r="O17" i="3"/>
  <c r="Q17" i="3"/>
  <c r="Q16" i="3"/>
  <c r="C20" i="3" a="1"/>
  <c r="C20" i="3" s="1"/>
  <c r="J20" i="3" s="1" a="1"/>
  <c r="J20" i="3" s="1"/>
  <c r="E19" i="3" a="1"/>
  <c r="E19" i="3" s="1"/>
  <c r="G19" i="3" a="1"/>
  <c r="G19" i="3" s="1"/>
  <c r="H19" i="3"/>
  <c r="D18" i="3"/>
  <c r="I18" i="3" s="1" a="1"/>
  <c r="I18" i="3" s="1"/>
  <c r="L18" i="3" a="1"/>
  <c r="L18" i="3" s="1"/>
  <c r="K18" i="3" a="1"/>
  <c r="K18" i="3" s="1"/>
  <c r="F18" i="3"/>
  <c r="N17" i="3" a="1"/>
  <c r="N17" i="3" s="1"/>
  <c r="M17" i="3" a="1"/>
  <c r="M17" i="3" s="1"/>
  <c r="K101" i="5" a="1"/>
  <c r="K101" i="5" s="1"/>
  <c r="R16" i="3"/>
  <c r="R81" i="5" l="1"/>
  <c r="Q81" i="5"/>
  <c r="M101" i="5"/>
  <c r="P101" i="5"/>
  <c r="N81" i="5"/>
  <c r="O81" i="5"/>
  <c r="L101" i="5"/>
  <c r="AC19" i="3"/>
  <c r="AD19" i="3"/>
  <c r="Z19" i="3"/>
  <c r="AB19" i="3"/>
  <c r="AA19" i="3"/>
  <c r="W18" i="3"/>
  <c r="V18" i="3"/>
  <c r="X18" i="3"/>
  <c r="T18" i="3"/>
  <c r="U18" i="3"/>
  <c r="R18" i="3"/>
  <c r="S18" i="3"/>
  <c r="Q18" i="3"/>
  <c r="P18" i="3"/>
  <c r="O18" i="3"/>
  <c r="N18" i="3" a="1"/>
  <c r="N18" i="3" s="1"/>
  <c r="M18" i="3" a="1"/>
  <c r="M18" i="3" s="1"/>
  <c r="D19" i="3"/>
  <c r="I19" i="3" s="1" a="1"/>
  <c r="I19" i="3" s="1"/>
  <c r="L19" i="3" a="1"/>
  <c r="L19" i="3" s="1"/>
  <c r="K19" i="3" a="1"/>
  <c r="K19" i="3" s="1"/>
  <c r="F19" i="3"/>
  <c r="C21" i="3" a="1"/>
  <c r="C21" i="3" s="1"/>
  <c r="E20" i="3" a="1"/>
  <c r="E20" i="3" s="1"/>
  <c r="G20" i="3" a="1"/>
  <c r="G20" i="3" s="1"/>
  <c r="H20" i="3"/>
  <c r="G66" i="1" a="1"/>
  <c r="Q101" i="5" l="1"/>
  <c r="R101" i="5"/>
  <c r="N101" i="5"/>
  <c r="O101" i="5"/>
  <c r="V19" i="3"/>
  <c r="W19" i="3"/>
  <c r="X19" i="3"/>
  <c r="T19" i="3"/>
  <c r="U19" i="3"/>
  <c r="R19" i="3"/>
  <c r="S19" i="3"/>
  <c r="P19" i="3"/>
  <c r="Q19" i="3"/>
  <c r="O19" i="3"/>
  <c r="F20" i="3"/>
  <c r="D20" i="3"/>
  <c r="I20" i="3" s="1" a="1"/>
  <c r="I20" i="3" s="1"/>
  <c r="K20" i="3" s="1" a="1"/>
  <c r="K20" i="3" s="1"/>
  <c r="L20" i="3" a="1"/>
  <c r="L20" i="3" s="1"/>
  <c r="N19" i="3" a="1"/>
  <c r="N19" i="3" s="1"/>
  <c r="M19" i="3" a="1"/>
  <c r="M19" i="3" s="1"/>
  <c r="C22" i="3" a="1"/>
  <c r="C22" i="3" s="1"/>
  <c r="E21" i="3" a="1"/>
  <c r="E21" i="3" s="1"/>
  <c r="H21" i="3"/>
  <c r="G21" i="3" a="1"/>
  <c r="G21" i="3" s="1"/>
  <c r="J21" i="3" a="1"/>
  <c r="J21" i="3" s="1"/>
  <c r="G66" i="1"/>
  <c r="K65" i="5" s="1" a="1"/>
  <c r="K65" i="5" s="1"/>
  <c r="M65" i="5" l="1"/>
  <c r="P65" i="5"/>
  <c r="L65" i="5"/>
  <c r="G7" i="1"/>
  <c r="G6" i="1" s="1"/>
  <c r="C23" i="3" a="1"/>
  <c r="C23" i="3" s="1"/>
  <c r="G22" i="3" a="1"/>
  <c r="G22" i="3" s="1"/>
  <c r="E22" i="3" a="1"/>
  <c r="E22" i="3" s="1"/>
  <c r="H22" i="3"/>
  <c r="F21" i="3"/>
  <c r="L21" i="3" a="1"/>
  <c r="L21" i="3" s="1"/>
  <c r="D21" i="3"/>
  <c r="J22" i="3" a="1"/>
  <c r="J22" i="3" s="1"/>
  <c r="M20" i="3" a="1"/>
  <c r="M20" i="3" s="1"/>
  <c r="V20" i="3" s="1"/>
  <c r="K97" i="5" a="1"/>
  <c r="K97" i="5" s="1"/>
  <c r="L66" i="1" a="1"/>
  <c r="L66" i="1" l="1"/>
  <c r="L7" i="1" s="1"/>
  <c r="L6" i="1" s="1"/>
  <c r="Q57" i="1"/>
  <c r="Q65" i="5"/>
  <c r="R65" i="5"/>
  <c r="M97" i="5"/>
  <c r="P97" i="5"/>
  <c r="N65" i="5"/>
  <c r="O65" i="5"/>
  <c r="L97" i="5"/>
  <c r="O7" i="1"/>
  <c r="O6" i="1" s="1"/>
  <c r="M21" i="3" a="1"/>
  <c r="M21" i="3" s="1"/>
  <c r="V21" i="3" s="1"/>
  <c r="I21" i="3" a="1"/>
  <c r="I21" i="3" s="1"/>
  <c r="K21" i="3" s="1" a="1"/>
  <c r="K21" i="3" s="1"/>
  <c r="C24" i="3" a="1"/>
  <c r="C24" i="3" s="1"/>
  <c r="E23" i="3" a="1"/>
  <c r="E23" i="3" s="1"/>
  <c r="G23" i="3" a="1"/>
  <c r="G23" i="3" s="1"/>
  <c r="H23" i="3"/>
  <c r="F22" i="3"/>
  <c r="L22" i="3" a="1"/>
  <c r="L22" i="3" s="1"/>
  <c r="D22" i="3"/>
  <c r="I22" i="3" s="1" a="1"/>
  <c r="I22" i="3" s="1"/>
  <c r="K22" i="3" s="1" a="1"/>
  <c r="K22" i="3" s="1"/>
  <c r="J23" i="3" a="1"/>
  <c r="J23" i="3" s="1"/>
  <c r="K89" i="5" a="1"/>
  <c r="K89" i="5" s="1"/>
  <c r="P10" i="1" l="1"/>
  <c r="M89" i="5"/>
  <c r="P89" i="5"/>
  <c r="Q97" i="5"/>
  <c r="R97" i="5"/>
  <c r="N97" i="5"/>
  <c r="O97" i="5"/>
  <c r="L89" i="5"/>
  <c r="M7" i="1"/>
  <c r="M6" i="1" s="1"/>
  <c r="M22" i="3" a="1"/>
  <c r="M22" i="3" s="1"/>
  <c r="V22" i="3" s="1"/>
  <c r="F23" i="3"/>
  <c r="L23" i="3" a="1"/>
  <c r="L23" i="3" s="1"/>
  <c r="D23" i="3"/>
  <c r="I23" i="3" s="1" a="1"/>
  <c r="I23" i="3" s="1"/>
  <c r="K23" i="3" s="1" a="1"/>
  <c r="K23" i="3" s="1"/>
  <c r="C25" i="3" a="1"/>
  <c r="C25" i="3" s="1"/>
  <c r="J25" i="3" s="1" a="1"/>
  <c r="J25" i="3" s="1"/>
  <c r="G24" i="3" a="1"/>
  <c r="G24" i="3" s="1"/>
  <c r="H24" i="3"/>
  <c r="E24" i="3" a="1"/>
  <c r="E24" i="3" s="1"/>
  <c r="J24" i="3" a="1"/>
  <c r="J24" i="3" s="1"/>
  <c r="P21" i="1" a="1"/>
  <c r="P21" i="1" l="1"/>
  <c r="Q10" i="1"/>
  <c r="Q89" i="5"/>
  <c r="R89" i="5"/>
  <c r="N89" i="5"/>
  <c r="O89" i="5"/>
  <c r="L24" i="3" a="1"/>
  <c r="L24" i="3" s="1"/>
  <c r="F24" i="3"/>
  <c r="D24" i="3"/>
  <c r="I24" i="3" s="1" a="1"/>
  <c r="I24" i="3" s="1"/>
  <c r="K24" i="3" s="1" a="1"/>
  <c r="K24" i="3" s="1"/>
  <c r="M23" i="3" a="1"/>
  <c r="M23" i="3" s="1"/>
  <c r="V23" i="3" s="1"/>
  <c r="C26" i="3" a="1"/>
  <c r="C26" i="3" s="1"/>
  <c r="J26" i="3" s="1" a="1"/>
  <c r="J26" i="3" s="1"/>
  <c r="H25" i="3"/>
  <c r="G25" i="3" a="1"/>
  <c r="G25" i="3" s="1"/>
  <c r="E25" i="3" a="1"/>
  <c r="E25" i="3" s="1"/>
  <c r="K85" i="5" a="1"/>
  <c r="K85" i="5" s="1"/>
  <c r="Q21" i="1" a="1"/>
  <c r="F66" i="1" a="1"/>
  <c r="Q21" i="1" l="1"/>
  <c r="K99" i="5" a="1"/>
  <c r="K99" i="5" s="1"/>
  <c r="P7" i="1"/>
  <c r="P6" i="1" s="1"/>
  <c r="M85" i="5"/>
  <c r="P85" i="5"/>
  <c r="L85" i="5"/>
  <c r="M24" i="3" a="1"/>
  <c r="M24" i="3" s="1"/>
  <c r="V24" i="3" s="1"/>
  <c r="C27" i="3" a="1"/>
  <c r="C27" i="3" s="1"/>
  <c r="H26" i="3"/>
  <c r="G26" i="3" a="1"/>
  <c r="G26" i="3" s="1"/>
  <c r="E26" i="3" a="1"/>
  <c r="E26" i="3" s="1"/>
  <c r="F25" i="3"/>
  <c r="L25" i="3" a="1"/>
  <c r="L25" i="3" s="1"/>
  <c r="D25" i="3"/>
  <c r="I25" i="3" s="1" a="1"/>
  <c r="I25" i="3" s="1"/>
  <c r="K25" i="3" s="1" a="1"/>
  <c r="K25" i="3" s="1"/>
  <c r="F66" i="1"/>
  <c r="K61" i="5" s="1" a="1"/>
  <c r="K61" i="5" s="1"/>
  <c r="L99" i="5" l="1"/>
  <c r="P99" i="5"/>
  <c r="M99" i="5"/>
  <c r="Q85" i="5"/>
  <c r="R85" i="5"/>
  <c r="M61" i="5"/>
  <c r="P61" i="5"/>
  <c r="N85" i="5"/>
  <c r="O85" i="5"/>
  <c r="L61" i="5"/>
  <c r="F7" i="1"/>
  <c r="F6" i="1" s="1"/>
  <c r="C28" i="3" a="1"/>
  <c r="C28" i="3" s="1"/>
  <c r="H27" i="3"/>
  <c r="E27" i="3" a="1"/>
  <c r="E27" i="3" s="1"/>
  <c r="G27" i="3" a="1"/>
  <c r="G27" i="3" s="1"/>
  <c r="F26" i="3"/>
  <c r="L26" i="3" a="1"/>
  <c r="L26" i="3" s="1"/>
  <c r="D26" i="3"/>
  <c r="I26" i="3" s="1" a="1"/>
  <c r="I26" i="3" s="1"/>
  <c r="K26" i="3" s="1" a="1"/>
  <c r="K26" i="3" s="1"/>
  <c r="J27" i="3" a="1"/>
  <c r="J27" i="3" s="1"/>
  <c r="M25" i="3" a="1"/>
  <c r="M25" i="3" s="1"/>
  <c r="V25" i="3" s="1"/>
  <c r="N99" i="5" l="1"/>
  <c r="O99" i="5"/>
  <c r="Q99" i="5"/>
  <c r="R99" i="5"/>
  <c r="J28" i="3" a="1"/>
  <c r="J28" i="3" s="1"/>
  <c r="Q61" i="5"/>
  <c r="R61" i="5"/>
  <c r="N61" i="5"/>
  <c r="O61" i="5"/>
  <c r="F27" i="3"/>
  <c r="L27" i="3" a="1"/>
  <c r="L27" i="3" s="1"/>
  <c r="D27" i="3"/>
  <c r="I27" i="3" s="1" a="1"/>
  <c r="I27" i="3" s="1"/>
  <c r="K27" i="3" s="1" a="1"/>
  <c r="K27" i="3" s="1"/>
  <c r="M26" i="3" a="1"/>
  <c r="M26" i="3" s="1"/>
  <c r="V26" i="3" s="1"/>
  <c r="C29" i="3" a="1"/>
  <c r="C29" i="3" s="1"/>
  <c r="E28" i="3" a="1"/>
  <c r="E28" i="3" s="1"/>
  <c r="H28" i="3"/>
  <c r="G28" i="3" a="1"/>
  <c r="G28" i="3" s="1"/>
  <c r="F28" i="3" l="1"/>
  <c r="L28" i="3" a="1"/>
  <c r="L28" i="3" s="1"/>
  <c r="D28" i="3"/>
  <c r="I28" i="3" s="1" a="1"/>
  <c r="I28" i="3" s="1"/>
  <c r="K28" i="3" s="1" a="1"/>
  <c r="K28" i="3" s="1"/>
  <c r="M27" i="3" a="1"/>
  <c r="M27" i="3" s="1"/>
  <c r="C30" i="3" a="1"/>
  <c r="C30" i="3" s="1"/>
  <c r="J30" i="3" s="1" a="1"/>
  <c r="J30" i="3" s="1"/>
  <c r="H29" i="3"/>
  <c r="E29" i="3" a="1"/>
  <c r="E29" i="3" s="1"/>
  <c r="G29" i="3" a="1"/>
  <c r="G29" i="3" s="1"/>
  <c r="J29" i="3" a="1"/>
  <c r="J29" i="3" s="1"/>
  <c r="V27" i="3" l="1"/>
  <c r="C31" i="3" a="1"/>
  <c r="C31" i="3" s="1"/>
  <c r="J31" i="3" s="1" a="1"/>
  <c r="J31" i="3" s="1"/>
  <c r="E30" i="3" a="1"/>
  <c r="E30" i="3" s="1"/>
  <c r="G30" i="3" a="1"/>
  <c r="G30" i="3" s="1"/>
  <c r="H30" i="3"/>
  <c r="D29" i="3"/>
  <c r="I29" i="3" s="1" a="1"/>
  <c r="I29" i="3" s="1"/>
  <c r="K29" i="3" s="1" a="1"/>
  <c r="K29" i="3" s="1"/>
  <c r="L29" i="3" a="1"/>
  <c r="L29" i="3" s="1"/>
  <c r="F29" i="3"/>
  <c r="M28" i="3" a="1"/>
  <c r="M28" i="3" s="1"/>
  <c r="N25" i="3" l="1" a="1"/>
  <c r="N25" i="3" s="1"/>
  <c r="N26" i="3" a="1"/>
  <c r="N26" i="3" s="1"/>
  <c r="N28" i="3" a="1"/>
  <c r="N28" i="3" s="1"/>
  <c r="Q28" i="3" s="1"/>
  <c r="N22" i="3" a="1"/>
  <c r="N22" i="3" s="1"/>
  <c r="N21" i="3" a="1"/>
  <c r="N21" i="3" s="1"/>
  <c r="N24" i="3" a="1"/>
  <c r="N24" i="3" s="1"/>
  <c r="T24" i="3" s="1"/>
  <c r="N20" i="3" a="1"/>
  <c r="N20" i="3" s="1"/>
  <c r="Q20" i="3" s="1"/>
  <c r="N23" i="3" a="1"/>
  <c r="N23" i="3" s="1"/>
  <c r="N27" i="3" a="1"/>
  <c r="N27" i="3" s="1"/>
  <c r="O20" i="3"/>
  <c r="T20" i="3"/>
  <c r="O24" i="3"/>
  <c r="T25" i="3"/>
  <c r="O25" i="3"/>
  <c r="Q25" i="3"/>
  <c r="O28" i="3"/>
  <c r="T28" i="3"/>
  <c r="V28" i="3"/>
  <c r="N29" i="3" a="1"/>
  <c r="N29" i="3" s="1"/>
  <c r="M29" i="3" a="1"/>
  <c r="M29" i="3" s="1"/>
  <c r="Q29" i="3" s="1"/>
  <c r="D30" i="3"/>
  <c r="I30" i="3" s="1" a="1"/>
  <c r="I30" i="3" s="1"/>
  <c r="K30" i="3" s="1" a="1"/>
  <c r="K30" i="3" s="1"/>
  <c r="L30" i="3" a="1"/>
  <c r="L30" i="3" s="1"/>
  <c r="F30" i="3"/>
  <c r="C32" i="3" a="1"/>
  <c r="C32" i="3" s="1"/>
  <c r="E31" i="3" a="1"/>
  <c r="E31" i="3" s="1"/>
  <c r="G31" i="3" a="1"/>
  <c r="G31" i="3" s="1"/>
  <c r="H31" i="3"/>
  <c r="T21" i="3" l="1"/>
  <c r="Q21" i="3"/>
  <c r="O21" i="3"/>
  <c r="Q27" i="3"/>
  <c r="O27" i="3"/>
  <c r="T27" i="3"/>
  <c r="O22" i="3"/>
  <c r="Q22" i="3"/>
  <c r="T22" i="3"/>
  <c r="Q23" i="3"/>
  <c r="T23" i="3"/>
  <c r="O23" i="3"/>
  <c r="T26" i="3"/>
  <c r="O26" i="3"/>
  <c r="Q26" i="3"/>
  <c r="Q24" i="3"/>
  <c r="V29" i="3"/>
  <c r="T29" i="3"/>
  <c r="O29" i="3"/>
  <c r="N30" i="3" a="1"/>
  <c r="N30" i="3" s="1"/>
  <c r="M30" i="3" a="1"/>
  <c r="M30" i="3" s="1"/>
  <c r="V30" i="3" s="1"/>
  <c r="C33" i="3" a="1"/>
  <c r="C33" i="3" s="1"/>
  <c r="G32" i="3" a="1"/>
  <c r="G32" i="3" s="1"/>
  <c r="H32" i="3"/>
  <c r="E32" i="3" a="1"/>
  <c r="E32" i="3" s="1"/>
  <c r="F31" i="3"/>
  <c r="D31" i="3"/>
  <c r="I31" i="3" s="1" a="1"/>
  <c r="I31" i="3" s="1"/>
  <c r="K31" i="3" s="1" a="1"/>
  <c r="K31" i="3" s="1"/>
  <c r="L31" i="3" a="1"/>
  <c r="L31" i="3" s="1"/>
  <c r="J32" i="3" a="1"/>
  <c r="J32" i="3" s="1"/>
  <c r="P26" i="3"/>
  <c r="P27" i="3"/>
  <c r="P23" i="3"/>
  <c r="R22" i="3"/>
  <c r="P28" i="3"/>
  <c r="R25" i="3"/>
  <c r="P29" i="3"/>
  <c r="P22" i="3"/>
  <c r="R29" i="3"/>
  <c r="R27" i="3"/>
  <c r="R24" i="3"/>
  <c r="P24" i="3"/>
  <c r="P25" i="3"/>
  <c r="R28" i="3"/>
  <c r="P20" i="3"/>
  <c r="R21" i="3"/>
  <c r="R23" i="3"/>
  <c r="R26" i="3"/>
  <c r="R20" i="3"/>
  <c r="P21" i="3"/>
  <c r="S22" i="3" l="1"/>
  <c r="S27" i="3"/>
  <c r="S23" i="3"/>
  <c r="S21" i="3"/>
  <c r="S28" i="3"/>
  <c r="S20" i="3"/>
  <c r="S24" i="3"/>
  <c r="S25" i="3"/>
  <c r="S26" i="3"/>
  <c r="O30" i="3"/>
  <c r="Q30" i="3"/>
  <c r="T30" i="3"/>
  <c r="S29" i="3"/>
  <c r="C34" i="3" a="1"/>
  <c r="C34" i="3" s="1"/>
  <c r="N31" i="3" s="1" a="1"/>
  <c r="N31" i="3" s="1"/>
  <c r="G33" i="3" a="1"/>
  <c r="G33" i="3" s="1"/>
  <c r="H33" i="3"/>
  <c r="E33" i="3" a="1"/>
  <c r="E33" i="3" s="1"/>
  <c r="D32" i="3"/>
  <c r="I32" i="3" s="1" a="1"/>
  <c r="I32" i="3" s="1"/>
  <c r="K32" i="3" s="1" a="1"/>
  <c r="K32" i="3" s="1"/>
  <c r="F32" i="3"/>
  <c r="L32" i="3" a="1"/>
  <c r="L32" i="3" s="1"/>
  <c r="M31" i="3" a="1"/>
  <c r="M31" i="3" s="1"/>
  <c r="V31" i="3" s="1"/>
  <c r="J33" i="3" a="1"/>
  <c r="J33" i="3" s="1"/>
  <c r="R30" i="3"/>
  <c r="P30" i="3"/>
  <c r="S30" i="3" l="1"/>
  <c r="T31" i="3"/>
  <c r="Q31" i="3"/>
  <c r="O31" i="3"/>
  <c r="M32" i="3" a="1"/>
  <c r="M32" i="3" s="1"/>
  <c r="V32" i="3" s="1"/>
  <c r="E34" i="3" a="1"/>
  <c r="E34" i="3" s="1"/>
  <c r="H34" i="3"/>
  <c r="G34" i="3" a="1"/>
  <c r="G34" i="3" s="1"/>
  <c r="C35" i="3" a="1"/>
  <c r="C35" i="3" s="1"/>
  <c r="N32" i="3" s="1" a="1"/>
  <c r="N32" i="3" s="1"/>
  <c r="F33" i="3"/>
  <c r="L33" i="3" a="1"/>
  <c r="L33" i="3" s="1"/>
  <c r="D33" i="3"/>
  <c r="I33" i="3" s="1" a="1"/>
  <c r="I33" i="3" s="1"/>
  <c r="K33" i="3" s="1" a="1"/>
  <c r="K33" i="3" s="1"/>
  <c r="J34" i="3" a="1"/>
  <c r="J34" i="3" s="1"/>
  <c r="T32" i="3" l="1"/>
  <c r="O32" i="3"/>
  <c r="Q32" i="3"/>
  <c r="M33" i="3" a="1"/>
  <c r="M33" i="3" s="1"/>
  <c r="V33" i="3" s="1"/>
  <c r="E35" i="3" a="1"/>
  <c r="E35" i="3" s="1"/>
  <c r="H35" i="3"/>
  <c r="G35" i="3" a="1"/>
  <c r="G35" i="3" s="1"/>
  <c r="C36" i="3" a="1"/>
  <c r="C36" i="3" s="1"/>
  <c r="N33" i="3" s="1" a="1"/>
  <c r="N33" i="3" s="1"/>
  <c r="F34" i="3"/>
  <c r="D34" i="3"/>
  <c r="I34" i="3" s="1" a="1"/>
  <c r="I34" i="3" s="1"/>
  <c r="K34" i="3" s="1" a="1"/>
  <c r="K34" i="3" s="1"/>
  <c r="J35" i="3" a="1"/>
  <c r="J35" i="3" s="1"/>
  <c r="P31" i="3"/>
  <c r="R31" i="3"/>
  <c r="T33" i="3" l="1"/>
  <c r="S31" i="3"/>
  <c r="O33" i="3"/>
  <c r="Q33" i="3"/>
  <c r="M34" i="3" a="1"/>
  <c r="M34" i="3" s="1"/>
  <c r="V34" i="3" s="1"/>
  <c r="H36" i="3"/>
  <c r="G36" i="3" a="1"/>
  <c r="G36" i="3" s="1"/>
  <c r="E36" i="3" a="1"/>
  <c r="E36" i="3" s="1"/>
  <c r="C37" i="3" a="1"/>
  <c r="C37" i="3" s="1"/>
  <c r="N34" i="3" s="1" a="1"/>
  <c r="N34" i="3" s="1"/>
  <c r="F35" i="3"/>
  <c r="D35" i="3"/>
  <c r="I35" i="3" s="1" a="1"/>
  <c r="I35" i="3" s="1"/>
  <c r="K35" i="3" s="1" a="1"/>
  <c r="K35" i="3" s="1"/>
  <c r="J36" i="3" a="1"/>
  <c r="J36" i="3" s="1"/>
  <c r="P32" i="3"/>
  <c r="R32" i="3"/>
  <c r="U23" i="3"/>
  <c r="U29" i="3"/>
  <c r="U30" i="3"/>
  <c r="U20" i="3"/>
  <c r="U27" i="3"/>
  <c r="U24" i="3"/>
  <c r="U26" i="3"/>
  <c r="U21" i="3"/>
  <c r="U25" i="3"/>
  <c r="U22" i="3"/>
  <c r="U28" i="3"/>
  <c r="S32" i="3" l="1"/>
  <c r="T34" i="3"/>
  <c r="Q34" i="3"/>
  <c r="O34" i="3"/>
  <c r="M35" i="3" a="1"/>
  <c r="M35" i="3" s="1"/>
  <c r="H37" i="3"/>
  <c r="G37" i="3" a="1"/>
  <c r="G37" i="3" s="1"/>
  <c r="E37" i="3" a="1"/>
  <c r="E37" i="3" s="1"/>
  <c r="C38" i="3" a="1"/>
  <c r="C38" i="3" s="1"/>
  <c r="N35" i="3" s="1" a="1"/>
  <c r="N35" i="3" s="1"/>
  <c r="F36" i="3"/>
  <c r="D36" i="3"/>
  <c r="I36" i="3" s="1" a="1"/>
  <c r="I36" i="3" s="1"/>
  <c r="K36" i="3" s="1" a="1"/>
  <c r="K36" i="3" s="1"/>
  <c r="L36" i="3" a="1"/>
  <c r="L36" i="3" s="1"/>
  <c r="J37" i="3" a="1"/>
  <c r="J37" i="3" s="1"/>
  <c r="R33" i="3"/>
  <c r="P33" i="3"/>
  <c r="W24" i="3"/>
  <c r="W27" i="3"/>
  <c r="W23" i="3"/>
  <c r="W22" i="3"/>
  <c r="W25" i="3"/>
  <c r="W21" i="3"/>
  <c r="W20" i="3"/>
  <c r="W28" i="3"/>
  <c r="W30" i="3"/>
  <c r="W26" i="3"/>
  <c r="W29" i="3"/>
  <c r="X27" i="3" l="1"/>
  <c r="X24" i="3"/>
  <c r="X29" i="3"/>
  <c r="X26" i="3"/>
  <c r="X30" i="3"/>
  <c r="X28" i="3"/>
  <c r="X20" i="3"/>
  <c r="X21" i="3"/>
  <c r="X25" i="3"/>
  <c r="X22" i="3"/>
  <c r="X23" i="3"/>
  <c r="Q35" i="3"/>
  <c r="S33" i="3"/>
  <c r="T35" i="3"/>
  <c r="V35" i="3"/>
  <c r="O35" i="3"/>
  <c r="N36" i="3" a="1"/>
  <c r="N36" i="3" s="1"/>
  <c r="M36" i="3" a="1"/>
  <c r="M36" i="3" s="1"/>
  <c r="E38" i="3" a="1"/>
  <c r="E38" i="3" s="1"/>
  <c r="H38" i="3"/>
  <c r="G38" i="3" a="1"/>
  <c r="G38" i="3" s="1"/>
  <c r="C39" i="3" a="1"/>
  <c r="C39" i="3" s="1"/>
  <c r="F37" i="3"/>
  <c r="D37" i="3"/>
  <c r="I37" i="3" s="1" a="1"/>
  <c r="I37" i="3" s="1"/>
  <c r="K37" i="3" s="1" a="1"/>
  <c r="K37" i="3" s="1"/>
  <c r="J38" i="3" a="1"/>
  <c r="J38" i="3" s="1"/>
  <c r="P34" i="3"/>
  <c r="U31" i="3"/>
  <c r="T36" i="3" l="1"/>
  <c r="V36" i="3"/>
  <c r="Q36" i="3"/>
  <c r="O36" i="3"/>
  <c r="E39" i="3" a="1"/>
  <c r="E39" i="3" s="1"/>
  <c r="H39" i="3"/>
  <c r="G39" i="3" a="1"/>
  <c r="G39" i="3" s="1"/>
  <c r="C40" i="3" a="1"/>
  <c r="C40" i="3" s="1"/>
  <c r="N37" i="3" a="1"/>
  <c r="N37" i="3" s="1"/>
  <c r="M37" i="3" a="1"/>
  <c r="M37" i="3" s="1"/>
  <c r="V37" i="3" s="1"/>
  <c r="F38" i="3"/>
  <c r="D38" i="3"/>
  <c r="I38" i="3" s="1" a="1"/>
  <c r="I38" i="3" s="1"/>
  <c r="K38" i="3" s="1" a="1"/>
  <c r="K38" i="3" s="1"/>
  <c r="J39" i="3" a="1"/>
  <c r="J39" i="3" s="1"/>
  <c r="U32" i="3"/>
  <c r="W32" i="3"/>
  <c r="P36" i="3"/>
  <c r="W31" i="3"/>
  <c r="P35" i="3"/>
  <c r="Q37" i="3" l="1"/>
  <c r="O37" i="3"/>
  <c r="T37" i="3"/>
  <c r="V38" i="3"/>
  <c r="X32" i="3"/>
  <c r="X31" i="3"/>
  <c r="O38" i="3"/>
  <c r="Q38" i="3"/>
  <c r="H40" i="3"/>
  <c r="G40" i="3" a="1"/>
  <c r="G40" i="3" s="1"/>
  <c r="E40" i="3" a="1"/>
  <c r="E40" i="3" s="1"/>
  <c r="C41" i="3" a="1"/>
  <c r="C41" i="3" s="1"/>
  <c r="M38" i="3" a="1"/>
  <c r="M38" i="3" s="1"/>
  <c r="T38" i="3" s="1"/>
  <c r="N38" i="3" a="1"/>
  <c r="N38" i="3" s="1"/>
  <c r="J40" i="3" a="1"/>
  <c r="J40" i="3" s="1"/>
  <c r="D39" i="3"/>
  <c r="I39" i="3" s="1" a="1"/>
  <c r="I39" i="3" s="1"/>
  <c r="F39" i="3"/>
  <c r="K39" i="3" a="1"/>
  <c r="K39" i="3" s="1"/>
  <c r="U33" i="3"/>
  <c r="P37" i="3"/>
  <c r="P38" i="3"/>
  <c r="Y40" i="3" l="1"/>
  <c r="Z40" i="3"/>
  <c r="AB40" i="3"/>
  <c r="AA40" i="3"/>
  <c r="AC40" i="3"/>
  <c r="AD40" i="3"/>
  <c r="W39" i="3"/>
  <c r="V39" i="3"/>
  <c r="X39" i="3"/>
  <c r="T39" i="3"/>
  <c r="U39" i="3"/>
  <c r="R39" i="3"/>
  <c r="S39" i="3"/>
  <c r="P39" i="3"/>
  <c r="O39" i="3"/>
  <c r="Q39" i="3"/>
  <c r="F40" i="3"/>
  <c r="L40" i="3" a="1"/>
  <c r="L40" i="3" s="1"/>
  <c r="K40" i="3" a="1"/>
  <c r="K40" i="3" s="1"/>
  <c r="M39" i="3" a="1"/>
  <c r="M39" i="3" s="1"/>
  <c r="N39" i="3" a="1"/>
  <c r="N39" i="3" s="1"/>
  <c r="H41" i="3"/>
  <c r="G41" i="3" a="1"/>
  <c r="G41" i="3" s="1"/>
  <c r="E41" i="3" a="1"/>
  <c r="E41" i="3" s="1"/>
  <c r="C42" i="3" a="1"/>
  <c r="C42" i="3" s="1"/>
  <c r="J41" i="3" a="1"/>
  <c r="J41" i="3" s="1"/>
  <c r="D40" i="3"/>
  <c r="I40" i="3" s="1" a="1"/>
  <c r="I40" i="3" s="1"/>
  <c r="W33" i="3"/>
  <c r="X33" i="3" l="1"/>
  <c r="Y41" i="3"/>
  <c r="Z41" i="3"/>
  <c r="AA41" i="3"/>
  <c r="AB41" i="3"/>
  <c r="AC41" i="3"/>
  <c r="AD41" i="3"/>
  <c r="W40" i="3"/>
  <c r="X40" i="3"/>
  <c r="V40" i="3"/>
  <c r="T40" i="3"/>
  <c r="U40" i="3"/>
  <c r="R40" i="3"/>
  <c r="S40" i="3"/>
  <c r="P40" i="3"/>
  <c r="O40" i="3"/>
  <c r="Q40" i="3"/>
  <c r="H42" i="3"/>
  <c r="G42" i="3" a="1"/>
  <c r="G42" i="3" s="1"/>
  <c r="E42" i="3" a="1"/>
  <c r="E42" i="3" s="1"/>
  <c r="C43" i="3" a="1"/>
  <c r="C43" i="3" s="1"/>
  <c r="F41" i="3"/>
  <c r="L41" i="3" a="1"/>
  <c r="L41" i="3" s="1"/>
  <c r="D41" i="3"/>
  <c r="I41" i="3" s="1" a="1"/>
  <c r="I41" i="3" s="1"/>
  <c r="K41" i="3" a="1"/>
  <c r="K41" i="3" s="1"/>
  <c r="J42" i="3" a="1"/>
  <c r="J42" i="3" s="1"/>
  <c r="M40" i="3" a="1"/>
  <c r="M40" i="3" s="1"/>
  <c r="N40" i="3" a="1"/>
  <c r="N40" i="3" s="1"/>
  <c r="Y42" i="3" l="1"/>
  <c r="Z42" i="3"/>
  <c r="AD42" i="3"/>
  <c r="AA42" i="3"/>
  <c r="AB42" i="3"/>
  <c r="AC42" i="3"/>
  <c r="X41" i="3"/>
  <c r="W41" i="3"/>
  <c r="V41" i="3"/>
  <c r="T41" i="3"/>
  <c r="U41" i="3"/>
  <c r="S41" i="3"/>
  <c r="R41" i="3"/>
  <c r="Q41" i="3"/>
  <c r="P41" i="3"/>
  <c r="O41" i="3"/>
  <c r="N41" i="3" a="1"/>
  <c r="N41" i="3" s="1"/>
  <c r="M41" i="3" a="1"/>
  <c r="M41" i="3" s="1"/>
  <c r="H43" i="3"/>
  <c r="G43" i="3" a="1"/>
  <c r="G43" i="3" s="1"/>
  <c r="E43" i="3" a="1"/>
  <c r="E43" i="3" s="1"/>
  <c r="C44" i="3" a="1"/>
  <c r="C44" i="3" s="1"/>
  <c r="L42" i="3" a="1"/>
  <c r="L42" i="3" s="1"/>
  <c r="F42" i="3"/>
  <c r="D42" i="3"/>
  <c r="I42" i="3" s="1" a="1"/>
  <c r="I42" i="3" s="1"/>
  <c r="K42" i="3" a="1"/>
  <c r="K42" i="3" s="1"/>
  <c r="J43" i="3" a="1"/>
  <c r="J43" i="3" s="1"/>
  <c r="Y43" i="3" l="1"/>
  <c r="AD43" i="3"/>
  <c r="Z43" i="3"/>
  <c r="AA43" i="3"/>
  <c r="AB43" i="3"/>
  <c r="AC43" i="3"/>
  <c r="X42" i="3"/>
  <c r="W42" i="3"/>
  <c r="V42" i="3"/>
  <c r="T42" i="3"/>
  <c r="U42" i="3"/>
  <c r="R42" i="3"/>
  <c r="S42" i="3"/>
  <c r="Q42" i="3"/>
  <c r="P42" i="3"/>
  <c r="O42" i="3"/>
  <c r="E44" i="3" a="1"/>
  <c r="E44" i="3" s="1"/>
  <c r="G44" i="3" a="1"/>
  <c r="G44" i="3" s="1"/>
  <c r="H44" i="3"/>
  <c r="C45" i="3" a="1"/>
  <c r="C45" i="3" s="1"/>
  <c r="N42" i="3" a="1"/>
  <c r="N42" i="3" s="1"/>
  <c r="M42" i="3" a="1"/>
  <c r="M42" i="3" s="1"/>
  <c r="L43" i="3" a="1"/>
  <c r="L43" i="3" s="1"/>
  <c r="K43" i="3" a="1"/>
  <c r="K43" i="3" s="1"/>
  <c r="F43" i="3"/>
  <c r="D43" i="3"/>
  <c r="I43" i="3" s="1" a="1"/>
  <c r="I43" i="3" s="1"/>
  <c r="J44" i="3" a="1"/>
  <c r="J44" i="3" s="1"/>
  <c r="Y44" i="3" l="1"/>
  <c r="Z44" i="3"/>
  <c r="AD44" i="3"/>
  <c r="AC44" i="3"/>
  <c r="AA44" i="3"/>
  <c r="AB44" i="3"/>
  <c r="V43" i="3"/>
  <c r="X43" i="3"/>
  <c r="W43" i="3"/>
  <c r="T43" i="3"/>
  <c r="U43" i="3"/>
  <c r="R43" i="3"/>
  <c r="S43" i="3"/>
  <c r="Q43" i="3"/>
  <c r="P43" i="3"/>
  <c r="O43" i="3"/>
  <c r="M43" i="3" a="1"/>
  <c r="M43" i="3" s="1"/>
  <c r="N43" i="3" a="1"/>
  <c r="N43" i="3" s="1"/>
  <c r="E45" i="3" a="1"/>
  <c r="E45" i="3" s="1"/>
  <c r="G45" i="3" a="1"/>
  <c r="G45" i="3" s="1"/>
  <c r="H45" i="3"/>
  <c r="C46" i="3" a="1"/>
  <c r="C46" i="3" s="1"/>
  <c r="J45" i="3" a="1"/>
  <c r="J45" i="3" s="1"/>
  <c r="K44" i="3" a="1"/>
  <c r="K44" i="3" s="1"/>
  <c r="F44" i="3"/>
  <c r="L44" i="3" a="1"/>
  <c r="L44" i="3" s="1"/>
  <c r="D44" i="3"/>
  <c r="I44" i="3" s="1" a="1"/>
  <c r="I44" i="3" s="1"/>
  <c r="Y45" i="3" l="1"/>
  <c r="AC45" i="3"/>
  <c r="AB45" i="3"/>
  <c r="Z45" i="3"/>
  <c r="AD45" i="3"/>
  <c r="AA45" i="3"/>
  <c r="X44" i="3"/>
  <c r="V44" i="3"/>
  <c r="W44" i="3"/>
  <c r="T44" i="3"/>
  <c r="U44" i="3"/>
  <c r="R44" i="3"/>
  <c r="S44" i="3"/>
  <c r="O44" i="3"/>
  <c r="Q44" i="3"/>
  <c r="P44" i="3"/>
  <c r="M44" i="3" a="1"/>
  <c r="M44" i="3" s="1"/>
  <c r="N44" i="3" a="1"/>
  <c r="N44" i="3" s="1"/>
  <c r="G46" i="3" a="1"/>
  <c r="G46" i="3" s="1"/>
  <c r="H46" i="3"/>
  <c r="C47" i="3" a="1"/>
  <c r="C47" i="3" s="1"/>
  <c r="D45" i="3"/>
  <c r="I45" i="3" s="1" a="1"/>
  <c r="I45" i="3" s="1"/>
  <c r="L45" i="3" a="1"/>
  <c r="L45" i="3" s="1"/>
  <c r="K45" i="3" a="1"/>
  <c r="K45" i="3" s="1"/>
  <c r="F45" i="3"/>
  <c r="J46" i="3" a="1"/>
  <c r="J46" i="3" s="1"/>
  <c r="Y46" i="3" l="1"/>
  <c r="AB46" i="3"/>
  <c r="AC46" i="3"/>
  <c r="AA46" i="3"/>
  <c r="Z46" i="3"/>
  <c r="AD46" i="3"/>
  <c r="X45" i="3"/>
  <c r="V45" i="3"/>
  <c r="W45" i="3"/>
  <c r="T45" i="3"/>
  <c r="U45" i="3"/>
  <c r="R45" i="3"/>
  <c r="S45" i="3"/>
  <c r="P45" i="3"/>
  <c r="O45" i="3"/>
  <c r="Q45" i="3"/>
  <c r="D46" i="3"/>
  <c r="I46" i="3" s="1" a="1"/>
  <c r="I46" i="3" s="1"/>
  <c r="L46" i="3" a="1"/>
  <c r="L46" i="3" s="1"/>
  <c r="F46" i="3"/>
  <c r="K46" i="3" a="1"/>
  <c r="K46" i="3" s="1"/>
  <c r="M45" i="3" a="1"/>
  <c r="M45" i="3" s="1"/>
  <c r="N45" i="3" a="1"/>
  <c r="N45" i="3" s="1"/>
  <c r="H47" i="3"/>
  <c r="G47" i="3" a="1"/>
  <c r="G47" i="3" s="1"/>
  <c r="C48" i="3" a="1"/>
  <c r="C48" i="3" s="1"/>
  <c r="J47" i="3" a="1"/>
  <c r="J47" i="3" s="1"/>
  <c r="Y47" i="3" l="1"/>
  <c r="AA47" i="3"/>
  <c r="AB47" i="3"/>
  <c r="AC47" i="3"/>
  <c r="Z47" i="3"/>
  <c r="AD47" i="3"/>
  <c r="V46" i="3"/>
  <c r="X46" i="3"/>
  <c r="W46" i="3"/>
  <c r="T46" i="3"/>
  <c r="U46" i="3"/>
  <c r="R46" i="3"/>
  <c r="S46" i="3"/>
  <c r="P46" i="3"/>
  <c r="Q46" i="3"/>
  <c r="O46" i="3"/>
  <c r="D47" i="3"/>
  <c r="I47" i="3" s="1" a="1"/>
  <c r="I47" i="3" s="1"/>
  <c r="K47" i="3" a="1"/>
  <c r="K47" i="3" s="1"/>
  <c r="L47" i="3" a="1"/>
  <c r="L47" i="3" s="1"/>
  <c r="F47" i="3"/>
  <c r="G48" i="3" a="1"/>
  <c r="G48" i="3" s="1"/>
  <c r="H48" i="3"/>
  <c r="C49" i="3" a="1"/>
  <c r="C49" i="3" s="1"/>
  <c r="M46" i="3" a="1"/>
  <c r="M46" i="3" s="1"/>
  <c r="N46" i="3" a="1"/>
  <c r="N46" i="3" s="1"/>
  <c r="J48" i="3" a="1"/>
  <c r="J48" i="3" s="1"/>
  <c r="Y48" i="3" l="1"/>
  <c r="AB48" i="3"/>
  <c r="AC48" i="3"/>
  <c r="Z48" i="3"/>
  <c r="AA48" i="3"/>
  <c r="AD48" i="3"/>
  <c r="V47" i="3"/>
  <c r="X47" i="3"/>
  <c r="W47" i="3"/>
  <c r="T47" i="3"/>
  <c r="U47" i="3"/>
  <c r="S47" i="3"/>
  <c r="R47" i="3"/>
  <c r="Q47" i="3"/>
  <c r="P47" i="3"/>
  <c r="O47" i="3"/>
  <c r="D48" i="3"/>
  <c r="I48" i="3" s="1" a="1"/>
  <c r="I48" i="3" s="1"/>
  <c r="L48" i="3" a="1"/>
  <c r="L48" i="3" s="1"/>
  <c r="K48" i="3" a="1"/>
  <c r="K48" i="3" s="1"/>
  <c r="F48" i="3"/>
  <c r="H49" i="3"/>
  <c r="G49" i="3" a="1"/>
  <c r="G49" i="3" s="1"/>
  <c r="C50" i="3" a="1"/>
  <c r="C50" i="3" s="1"/>
  <c r="N47" i="3" a="1"/>
  <c r="N47" i="3" s="1"/>
  <c r="M47" i="3" a="1"/>
  <c r="M47" i="3" s="1"/>
  <c r="J49" i="3" a="1"/>
  <c r="J49" i="3" s="1"/>
  <c r="Y49" i="3" l="1"/>
  <c r="AB49" i="3"/>
  <c r="AC49" i="3"/>
  <c r="AA49" i="3"/>
  <c r="Z49" i="3"/>
  <c r="AD49" i="3"/>
  <c r="V48" i="3"/>
  <c r="W48" i="3"/>
  <c r="X48" i="3"/>
  <c r="T48" i="3"/>
  <c r="U48" i="3"/>
  <c r="S48" i="3"/>
  <c r="R48" i="3"/>
  <c r="O48" i="3"/>
  <c r="Q48" i="3"/>
  <c r="P48" i="3"/>
  <c r="N48" i="3" a="1"/>
  <c r="N48" i="3" s="1"/>
  <c r="M48" i="3" a="1"/>
  <c r="M48" i="3" s="1"/>
  <c r="D49" i="3"/>
  <c r="I49" i="3" s="1" a="1"/>
  <c r="I49" i="3" s="1"/>
  <c r="L49" i="3" a="1"/>
  <c r="L49" i="3" s="1"/>
  <c r="K49" i="3" a="1"/>
  <c r="K49" i="3" s="1"/>
  <c r="F49" i="3"/>
  <c r="E50" i="3" a="1"/>
  <c r="E50" i="3" s="1"/>
  <c r="H50" i="3"/>
  <c r="G50" i="3" a="1"/>
  <c r="G50" i="3" s="1"/>
  <c r="C51" i="3" a="1"/>
  <c r="C51" i="3" s="1"/>
  <c r="J50" i="3" a="1"/>
  <c r="J50" i="3" s="1"/>
  <c r="Y50" i="3" l="1"/>
  <c r="Z50" i="3"/>
  <c r="AB50" i="3"/>
  <c r="AC50" i="3"/>
  <c r="AA50" i="3"/>
  <c r="AD50" i="3"/>
  <c r="W49" i="3"/>
  <c r="V49" i="3"/>
  <c r="X49" i="3"/>
  <c r="T49" i="3"/>
  <c r="U49" i="3"/>
  <c r="S49" i="3"/>
  <c r="R49" i="3"/>
  <c r="O49" i="3"/>
  <c r="P49" i="3"/>
  <c r="Q49" i="3"/>
  <c r="L50" i="3" a="1"/>
  <c r="L50" i="3" s="1"/>
  <c r="D50" i="3"/>
  <c r="I50" i="3" s="1" a="1"/>
  <c r="I50" i="3" s="1"/>
  <c r="F50" i="3"/>
  <c r="E51" i="3" a="1"/>
  <c r="E51" i="3" s="1"/>
  <c r="G51" i="3" a="1"/>
  <c r="G51" i="3" s="1"/>
  <c r="H51" i="3"/>
  <c r="C52" i="3" a="1"/>
  <c r="C52" i="3" s="1"/>
  <c r="K50" i="3" a="1"/>
  <c r="K50" i="3" s="1"/>
  <c r="N49" i="3" a="1"/>
  <c r="N49" i="3" s="1"/>
  <c r="M49" i="3" a="1"/>
  <c r="M49" i="3" s="1"/>
  <c r="J51" i="3" a="1"/>
  <c r="J51" i="3" s="1"/>
  <c r="Y51" i="3" l="1"/>
  <c r="AD51" i="3"/>
  <c r="AB51" i="3"/>
  <c r="AC51" i="3"/>
  <c r="Z51" i="3"/>
  <c r="AA51" i="3"/>
  <c r="W50" i="3"/>
  <c r="X50" i="3"/>
  <c r="V50" i="3"/>
  <c r="T50" i="3"/>
  <c r="U50" i="3"/>
  <c r="S50" i="3"/>
  <c r="R50" i="3"/>
  <c r="O50" i="3"/>
  <c r="P50" i="3"/>
  <c r="Q50" i="3"/>
  <c r="D51" i="3"/>
  <c r="I51" i="3" s="1" a="1"/>
  <c r="I51" i="3" s="1"/>
  <c r="L51" i="3" a="1"/>
  <c r="L51" i="3" s="1"/>
  <c r="K51" i="3" a="1"/>
  <c r="K51" i="3" s="1"/>
  <c r="F51" i="3"/>
  <c r="H52" i="3"/>
  <c r="E52" i="3" a="1"/>
  <c r="E52" i="3" s="1"/>
  <c r="G52" i="3" a="1"/>
  <c r="G52" i="3" s="1"/>
  <c r="C53" i="3" a="1"/>
  <c r="C53" i="3" s="1"/>
  <c r="M50" i="3" a="1"/>
  <c r="M50" i="3" s="1"/>
  <c r="N50" i="3" a="1"/>
  <c r="N50" i="3" s="1"/>
  <c r="J52" i="3" a="1"/>
  <c r="J52" i="3" s="1"/>
  <c r="Y52" i="3" l="1"/>
  <c r="Z52" i="3"/>
  <c r="AD52" i="3"/>
  <c r="AB52" i="3"/>
  <c r="AC52" i="3"/>
  <c r="AA52" i="3"/>
  <c r="W51" i="3"/>
  <c r="X51" i="3"/>
  <c r="V51" i="3"/>
  <c r="T51" i="3"/>
  <c r="U51" i="3"/>
  <c r="R51" i="3"/>
  <c r="S51" i="3"/>
  <c r="P51" i="3"/>
  <c r="O51" i="3"/>
  <c r="Q51" i="3"/>
  <c r="E53" i="3" a="1"/>
  <c r="E53" i="3" s="1"/>
  <c r="G53" i="3" a="1"/>
  <c r="G53" i="3" s="1"/>
  <c r="H53" i="3"/>
  <c r="C54" i="3" a="1"/>
  <c r="C54" i="3" s="1"/>
  <c r="K52" i="3" a="1"/>
  <c r="K52" i="3" s="1"/>
  <c r="L52" i="3" a="1"/>
  <c r="L52" i="3" s="1"/>
  <c r="F52" i="3"/>
  <c r="D52" i="3"/>
  <c r="I52" i="3" s="1" a="1"/>
  <c r="I52" i="3" s="1"/>
  <c r="M51" i="3" a="1"/>
  <c r="M51" i="3" s="1"/>
  <c r="N51" i="3" a="1"/>
  <c r="N51" i="3" s="1"/>
  <c r="J53" i="3" a="1"/>
  <c r="J53" i="3" s="1"/>
  <c r="Y53" i="3" l="1"/>
  <c r="Z53" i="3"/>
  <c r="AD53" i="3"/>
  <c r="AA53" i="3"/>
  <c r="AB53" i="3"/>
  <c r="AC53" i="3"/>
  <c r="W52" i="3"/>
  <c r="V52" i="3"/>
  <c r="X52" i="3"/>
  <c r="T52" i="3"/>
  <c r="U52" i="3"/>
  <c r="R52" i="3"/>
  <c r="S52" i="3"/>
  <c r="P52" i="3"/>
  <c r="O52" i="3"/>
  <c r="Q52" i="3"/>
  <c r="M52" i="3" a="1"/>
  <c r="M52" i="3" s="1"/>
  <c r="N52" i="3" a="1"/>
  <c r="N52" i="3" s="1"/>
  <c r="F53" i="3"/>
  <c r="G54" i="3" a="1"/>
  <c r="G54" i="3" s="1"/>
  <c r="E54" i="3" a="1"/>
  <c r="E54" i="3" s="1"/>
  <c r="H54" i="3"/>
  <c r="C55" i="3" a="1"/>
  <c r="C55" i="3" s="1"/>
  <c r="J54" i="3" a="1"/>
  <c r="J54" i="3" s="1"/>
  <c r="L53" i="3" a="1"/>
  <c r="L53" i="3" s="1"/>
  <c r="D53" i="3"/>
  <c r="I53" i="3" s="1" a="1"/>
  <c r="I53" i="3" s="1"/>
  <c r="K53" i="3" a="1"/>
  <c r="K53" i="3" s="1"/>
  <c r="Y54" i="3" l="1"/>
  <c r="AA54" i="3"/>
  <c r="AD54" i="3"/>
  <c r="Z54" i="3"/>
  <c r="AB54" i="3"/>
  <c r="AC54" i="3"/>
  <c r="W53" i="3"/>
  <c r="V53" i="3"/>
  <c r="X53" i="3"/>
  <c r="T53" i="3"/>
  <c r="U53" i="3"/>
  <c r="R53" i="3"/>
  <c r="S53" i="3"/>
  <c r="P53" i="3"/>
  <c r="Q53" i="3"/>
  <c r="O53" i="3"/>
  <c r="L54" i="3" a="1"/>
  <c r="L54" i="3" s="1"/>
  <c r="K54" i="3" a="1"/>
  <c r="K54" i="3" s="1"/>
  <c r="F54" i="3"/>
  <c r="D54" i="3"/>
  <c r="I54" i="3" s="1" a="1"/>
  <c r="I54" i="3" s="1"/>
  <c r="G55" i="3" a="1"/>
  <c r="G55" i="3" s="1"/>
  <c r="E55" i="3" a="1"/>
  <c r="E55" i="3" s="1"/>
  <c r="H55" i="3"/>
  <c r="C56" i="3" a="1"/>
  <c r="C56" i="3" s="1"/>
  <c r="N53" i="3" a="1"/>
  <c r="N53" i="3" s="1"/>
  <c r="M53" i="3" a="1"/>
  <c r="M53" i="3" s="1"/>
  <c r="J55" i="3" a="1"/>
  <c r="J55" i="3" s="1"/>
  <c r="Y55" i="3" l="1"/>
  <c r="AA55" i="3"/>
  <c r="AC55" i="3"/>
  <c r="AD55" i="3"/>
  <c r="Z55" i="3"/>
  <c r="AB55" i="3"/>
  <c r="W54" i="3"/>
  <c r="X54" i="3"/>
  <c r="V54" i="3"/>
  <c r="T54" i="3"/>
  <c r="U54" i="3"/>
  <c r="R54" i="3"/>
  <c r="S54" i="3"/>
  <c r="Q54" i="3"/>
  <c r="P54" i="3"/>
  <c r="O54" i="3"/>
  <c r="D55" i="3"/>
  <c r="I55" i="3" s="1" a="1"/>
  <c r="I55" i="3" s="1"/>
  <c r="F55" i="3"/>
  <c r="K55" i="3" a="1"/>
  <c r="K55" i="3" s="1"/>
  <c r="L55" i="3" a="1"/>
  <c r="L55" i="3" s="1"/>
  <c r="G56" i="3" a="1"/>
  <c r="G56" i="3" s="1"/>
  <c r="E56" i="3" a="1"/>
  <c r="E56" i="3" s="1"/>
  <c r="H56" i="3"/>
  <c r="C57" i="3" a="1"/>
  <c r="C57" i="3" s="1"/>
  <c r="N54" i="3" a="1"/>
  <c r="N54" i="3" s="1"/>
  <c r="M54" i="3" a="1"/>
  <c r="M54" i="3" s="1"/>
  <c r="J56" i="3" a="1"/>
  <c r="J56" i="3" s="1"/>
  <c r="Y56" i="3" l="1"/>
  <c r="AC56" i="3"/>
  <c r="AA56" i="3"/>
  <c r="AD56" i="3"/>
  <c r="Z56" i="3"/>
  <c r="AB56" i="3"/>
  <c r="X55" i="3"/>
  <c r="V55" i="3"/>
  <c r="W55" i="3"/>
  <c r="T55" i="3"/>
  <c r="U55" i="3"/>
  <c r="R55" i="3"/>
  <c r="S55" i="3"/>
  <c r="Q55" i="3"/>
  <c r="P55" i="3"/>
  <c r="O55" i="3"/>
  <c r="H57" i="3"/>
  <c r="G57" i="3" a="1"/>
  <c r="G57" i="3" s="1"/>
  <c r="E57" i="3" a="1"/>
  <c r="E57" i="3" s="1"/>
  <c r="C58" i="3" a="1"/>
  <c r="C58" i="3" s="1"/>
  <c r="N55" i="3" a="1"/>
  <c r="N55" i="3" s="1"/>
  <c r="M55" i="3" a="1"/>
  <c r="M55" i="3" s="1"/>
  <c r="F56" i="3"/>
  <c r="K56" i="3" a="1"/>
  <c r="K56" i="3" s="1"/>
  <c r="L56" i="3" a="1"/>
  <c r="L56" i="3" s="1"/>
  <c r="D56" i="3"/>
  <c r="I56" i="3" s="1" a="1"/>
  <c r="I56" i="3" s="1"/>
  <c r="J57" i="3" a="1"/>
  <c r="J57" i="3" s="1"/>
  <c r="Y57" i="3" l="1"/>
  <c r="AC57" i="3"/>
  <c r="AA57" i="3"/>
  <c r="Z57" i="3"/>
  <c r="AD57" i="3"/>
  <c r="AB57" i="3"/>
  <c r="X56" i="3"/>
  <c r="V56" i="3"/>
  <c r="W56" i="3"/>
  <c r="T56" i="3"/>
  <c r="U56" i="3"/>
  <c r="S56" i="3"/>
  <c r="R56" i="3"/>
  <c r="O56" i="3"/>
  <c r="Q56" i="3"/>
  <c r="P56" i="3"/>
  <c r="H58" i="3"/>
  <c r="G58" i="3" a="1"/>
  <c r="G58" i="3" s="1"/>
  <c r="E58" i="3" a="1"/>
  <c r="E58" i="3" s="1"/>
  <c r="C59" i="3" a="1"/>
  <c r="C59" i="3" s="1"/>
  <c r="N56" i="3" a="1"/>
  <c r="N56" i="3" s="1"/>
  <c r="M56" i="3" a="1"/>
  <c r="M56" i="3" s="1"/>
  <c r="K57" i="3" a="1"/>
  <c r="K57" i="3" s="1"/>
  <c r="D57" i="3"/>
  <c r="I57" i="3" s="1" a="1"/>
  <c r="I57" i="3" s="1"/>
  <c r="F57" i="3"/>
  <c r="L57" i="3" a="1"/>
  <c r="L57" i="3" s="1"/>
  <c r="J58" i="3" a="1"/>
  <c r="J58" i="3" s="1"/>
  <c r="Y58" i="3" l="1"/>
  <c r="AB58" i="3"/>
  <c r="AC58" i="3"/>
  <c r="AA58" i="3"/>
  <c r="AD58" i="3"/>
  <c r="Z58" i="3"/>
  <c r="X57" i="3"/>
  <c r="V57" i="3"/>
  <c r="W57" i="3"/>
  <c r="T57" i="3"/>
  <c r="U57" i="3"/>
  <c r="S57" i="3"/>
  <c r="R57" i="3"/>
  <c r="O57" i="3"/>
  <c r="P57" i="3"/>
  <c r="Q57" i="3"/>
  <c r="M57" i="3" a="1"/>
  <c r="M57" i="3" s="1"/>
  <c r="N57" i="3" a="1"/>
  <c r="N57" i="3" s="1"/>
  <c r="H59" i="3"/>
  <c r="E59" i="3" a="1"/>
  <c r="E59" i="3" s="1"/>
  <c r="G59" i="3" a="1"/>
  <c r="G59" i="3" s="1"/>
  <c r="C60" i="3" a="1"/>
  <c r="C60" i="3" s="1"/>
  <c r="J60" i="3" s="1" a="1"/>
  <c r="J60" i="3" s="1"/>
  <c r="D58" i="3"/>
  <c r="I58" i="3" s="1" a="1"/>
  <c r="I58" i="3" s="1"/>
  <c r="L58" i="3" a="1"/>
  <c r="L58" i="3" s="1"/>
  <c r="F58" i="3"/>
  <c r="K58" i="3" a="1"/>
  <c r="K58" i="3" s="1"/>
  <c r="J59" i="3" a="1"/>
  <c r="J59" i="3" s="1"/>
  <c r="Y59" i="3" l="1"/>
  <c r="AB59" i="3"/>
  <c r="AC59" i="3"/>
  <c r="AA59" i="3"/>
  <c r="AD59" i="3"/>
  <c r="Z59" i="3"/>
  <c r="X58" i="3"/>
  <c r="V58" i="3"/>
  <c r="W58" i="3"/>
  <c r="T58" i="3"/>
  <c r="U58" i="3"/>
  <c r="R58" i="3"/>
  <c r="S58" i="3"/>
  <c r="Q58" i="3"/>
  <c r="O58" i="3"/>
  <c r="P58" i="3"/>
  <c r="E60" i="3" a="1"/>
  <c r="E60" i="3" s="1"/>
  <c r="H60" i="3"/>
  <c r="G60" i="3" a="1"/>
  <c r="G60" i="3" s="1"/>
  <c r="C61" i="3" a="1"/>
  <c r="C61" i="3" s="1"/>
  <c r="J61" i="3" s="1" a="1"/>
  <c r="J61" i="3" s="1"/>
  <c r="M58" i="3" a="1"/>
  <c r="M58" i="3" s="1"/>
  <c r="N58" i="3" a="1"/>
  <c r="N58" i="3" s="1"/>
  <c r="K59" i="3" a="1"/>
  <c r="K59" i="3" s="1"/>
  <c r="L59" i="3" a="1"/>
  <c r="L59" i="3" s="1"/>
  <c r="F59" i="3"/>
  <c r="D59" i="3"/>
  <c r="I59" i="3" s="1" a="1"/>
  <c r="I59" i="3" s="1"/>
  <c r="Y60" i="3" l="1"/>
  <c r="AB60" i="3"/>
  <c r="AC60" i="3"/>
  <c r="AA60" i="3"/>
  <c r="AD60" i="3"/>
  <c r="Z60" i="3"/>
  <c r="X59" i="3"/>
  <c r="V59" i="3"/>
  <c r="W59" i="3"/>
  <c r="T59" i="3"/>
  <c r="U59" i="3"/>
  <c r="S59" i="3"/>
  <c r="R59" i="3"/>
  <c r="Q59" i="3"/>
  <c r="O59" i="3"/>
  <c r="P59" i="3"/>
  <c r="M59" i="3" a="1"/>
  <c r="M59" i="3" s="1"/>
  <c r="N59" i="3" a="1"/>
  <c r="N59" i="3" s="1"/>
  <c r="E61" i="3" a="1"/>
  <c r="E61" i="3" s="1"/>
  <c r="H61" i="3"/>
  <c r="G61" i="3" a="1"/>
  <c r="G61" i="3" s="1"/>
  <c r="C62" i="3" a="1"/>
  <c r="C62" i="3" s="1"/>
  <c r="J62" i="3" s="1" a="1"/>
  <c r="J62" i="3" s="1"/>
  <c r="D60" i="3"/>
  <c r="I60" i="3" s="1" a="1"/>
  <c r="I60" i="3" s="1"/>
  <c r="K60" i="3" a="1"/>
  <c r="K60" i="3" s="1"/>
  <c r="F60" i="3"/>
  <c r="L60" i="3" a="1"/>
  <c r="L60" i="3" s="1"/>
  <c r="Y61" i="3" l="1"/>
  <c r="Z61" i="3"/>
  <c r="AB61" i="3"/>
  <c r="AC61" i="3"/>
  <c r="AA61" i="3"/>
  <c r="AD61" i="3"/>
  <c r="V60" i="3"/>
  <c r="X60" i="3"/>
  <c r="W60" i="3"/>
  <c r="T60" i="3"/>
  <c r="U60" i="3"/>
  <c r="R60" i="3"/>
  <c r="S60" i="3"/>
  <c r="P60" i="3"/>
  <c r="Q60" i="3"/>
  <c r="O60" i="3"/>
  <c r="N60" i="3" a="1"/>
  <c r="N60" i="3" s="1"/>
  <c r="M60" i="3" a="1"/>
  <c r="M60" i="3" s="1"/>
  <c r="G62" i="3" a="1"/>
  <c r="G62" i="3" s="1"/>
  <c r="H62" i="3"/>
  <c r="E62" i="3" a="1"/>
  <c r="E62" i="3" s="1"/>
  <c r="C63" i="3" a="1"/>
  <c r="C63" i="3" s="1"/>
  <c r="J63" i="3" s="1" a="1"/>
  <c r="J63" i="3" s="1"/>
  <c r="F61" i="3"/>
  <c r="L61" i="3" a="1"/>
  <c r="L61" i="3" s="1"/>
  <c r="D61" i="3"/>
  <c r="I61" i="3" s="1" a="1"/>
  <c r="I61" i="3" s="1"/>
  <c r="K61" i="3" a="1"/>
  <c r="K61" i="3" s="1"/>
  <c r="Y62" i="3" l="1"/>
  <c r="Z62" i="3"/>
  <c r="AB62" i="3"/>
  <c r="AC62" i="3"/>
  <c r="AA62" i="3"/>
  <c r="AD62" i="3"/>
  <c r="X61" i="3"/>
  <c r="V61" i="3"/>
  <c r="W61" i="3"/>
  <c r="T61" i="3"/>
  <c r="U61" i="3"/>
  <c r="S61" i="3"/>
  <c r="R61" i="3"/>
  <c r="O61" i="3"/>
  <c r="Q61" i="3"/>
  <c r="P61" i="3"/>
  <c r="F62" i="3"/>
  <c r="K62" i="3" a="1"/>
  <c r="K62" i="3" s="1"/>
  <c r="D62" i="3"/>
  <c r="I62" i="3" s="1" a="1"/>
  <c r="I62" i="3" s="1"/>
  <c r="L62" i="3" a="1"/>
  <c r="L62" i="3" s="1"/>
  <c r="G63" i="3" a="1"/>
  <c r="G63" i="3" s="1"/>
  <c r="E63" i="3" a="1"/>
  <c r="E63" i="3" s="1"/>
  <c r="H63" i="3"/>
  <c r="C64" i="3" a="1"/>
  <c r="C64" i="3" s="1"/>
  <c r="J64" i="3" s="1" a="1"/>
  <c r="J64" i="3" s="1"/>
  <c r="N61" i="3" a="1"/>
  <c r="N61" i="3" s="1"/>
  <c r="M61" i="3" a="1"/>
  <c r="M61" i="3" s="1"/>
  <c r="Y63" i="3" l="1"/>
  <c r="AD63" i="3"/>
  <c r="Z63" i="3"/>
  <c r="AA63" i="3"/>
  <c r="AB63" i="3"/>
  <c r="AC63" i="3"/>
  <c r="W62" i="3"/>
  <c r="X62" i="3"/>
  <c r="V62" i="3"/>
  <c r="T62" i="3"/>
  <c r="U62" i="3"/>
  <c r="S62" i="3"/>
  <c r="R62" i="3"/>
  <c r="O62" i="3"/>
  <c r="Q62" i="3"/>
  <c r="P62" i="3"/>
  <c r="K63" i="3" a="1"/>
  <c r="K63" i="3" s="1"/>
  <c r="L63" i="3" a="1"/>
  <c r="L63" i="3" s="1"/>
  <c r="D63" i="3"/>
  <c r="I63" i="3" s="1" a="1"/>
  <c r="I63" i="3" s="1"/>
  <c r="F63" i="3"/>
  <c r="E64" i="3" a="1"/>
  <c r="E64" i="3" s="1"/>
  <c r="H64" i="3"/>
  <c r="G64" i="3" a="1"/>
  <c r="G64" i="3" s="1"/>
  <c r="C65" i="3" a="1"/>
  <c r="C65" i="3" s="1"/>
  <c r="J65" i="3" s="1" a="1"/>
  <c r="J65" i="3" s="1"/>
  <c r="N62" i="3" a="1"/>
  <c r="N62" i="3" s="1"/>
  <c r="M62" i="3" a="1"/>
  <c r="M62" i="3" s="1"/>
  <c r="Y64" i="3" l="1"/>
  <c r="Z64" i="3"/>
  <c r="AB64" i="3"/>
  <c r="AD64" i="3"/>
  <c r="AA64" i="3"/>
  <c r="AC64" i="3"/>
  <c r="W63" i="3"/>
  <c r="X63" i="3"/>
  <c r="V63" i="3"/>
  <c r="T63" i="3"/>
  <c r="U63" i="3"/>
  <c r="S63" i="3"/>
  <c r="R63" i="3"/>
  <c r="O63" i="3"/>
  <c r="P63" i="3"/>
  <c r="Q63" i="3"/>
  <c r="K64" i="3" a="1"/>
  <c r="K64" i="3" s="1"/>
  <c r="L64" i="3" a="1"/>
  <c r="L64" i="3" s="1"/>
  <c r="D64" i="3"/>
  <c r="I64" i="3" s="1" a="1"/>
  <c r="I64" i="3" s="1"/>
  <c r="F64" i="3"/>
  <c r="G65" i="3" a="1"/>
  <c r="G65" i="3" s="1"/>
  <c r="H65" i="3"/>
  <c r="E65" i="3" a="1"/>
  <c r="E65" i="3" s="1"/>
  <c r="C66" i="3" a="1"/>
  <c r="C66" i="3" s="1"/>
  <c r="J66" i="3" s="1" a="1"/>
  <c r="J66" i="3" s="1"/>
  <c r="M63" i="3" a="1"/>
  <c r="M63" i="3" s="1"/>
  <c r="N63" i="3" a="1"/>
  <c r="N63" i="3" s="1"/>
  <c r="J14" i="3" a="1"/>
  <c r="J14" i="3" s="1"/>
  <c r="K14" i="3" s="1" a="1"/>
  <c r="K14" i="3" s="1"/>
  <c r="P15" i="3"/>
  <c r="P16" i="3"/>
  <c r="P14" i="3"/>
  <c r="Y65" i="3" l="1"/>
  <c r="Z65" i="3"/>
  <c r="AD65" i="3"/>
  <c r="AA65" i="3"/>
  <c r="AB65" i="3"/>
  <c r="AC65" i="3"/>
  <c r="W64" i="3"/>
  <c r="X64" i="3"/>
  <c r="V64" i="3"/>
  <c r="T64" i="3"/>
  <c r="U64" i="3"/>
  <c r="R64" i="3"/>
  <c r="S64" i="3"/>
  <c r="S15" i="3"/>
  <c r="S16" i="3"/>
  <c r="S14" i="3"/>
  <c r="O64" i="3"/>
  <c r="P64" i="3"/>
  <c r="Q64" i="3"/>
  <c r="L65" i="3" a="1"/>
  <c r="L65" i="3" s="1"/>
  <c r="K65" i="3" a="1"/>
  <c r="K65" i="3" s="1"/>
  <c r="D65" i="3"/>
  <c r="I65" i="3" s="1" a="1"/>
  <c r="I65" i="3" s="1"/>
  <c r="F65" i="3"/>
  <c r="N64" i="3" a="1"/>
  <c r="N64" i="3" s="1"/>
  <c r="M64" i="3" a="1"/>
  <c r="M64" i="3" s="1"/>
  <c r="G66" i="3" a="1"/>
  <c r="G66" i="3" s="1"/>
  <c r="E66" i="3" a="1"/>
  <c r="E66" i="3" s="1"/>
  <c r="H66" i="3"/>
  <c r="U15" i="3"/>
  <c r="U16" i="3"/>
  <c r="U14" i="3"/>
  <c r="Y66" i="3" l="1"/>
  <c r="Z66" i="3"/>
  <c r="AD66" i="3"/>
  <c r="AA66" i="3"/>
  <c r="AB66" i="3"/>
  <c r="AC66" i="3"/>
  <c r="W65" i="3"/>
  <c r="V65" i="3"/>
  <c r="X65" i="3"/>
  <c r="T65" i="3"/>
  <c r="U65" i="3"/>
  <c r="S65" i="3"/>
  <c r="R65" i="3"/>
  <c r="O65" i="3"/>
  <c r="P65" i="3"/>
  <c r="Q65" i="3"/>
  <c r="L66" i="3" a="1"/>
  <c r="L66" i="3" s="1"/>
  <c r="F66" i="3"/>
  <c r="K66" i="3" a="1"/>
  <c r="K66" i="3" s="1"/>
  <c r="D66" i="3"/>
  <c r="I66" i="3" s="1" a="1"/>
  <c r="I66" i="3" s="1"/>
  <c r="M65" i="3" a="1"/>
  <c r="M65" i="3" s="1"/>
  <c r="N65" i="3" a="1"/>
  <c r="N65" i="3" s="1"/>
  <c r="W15" i="3"/>
  <c r="W14" i="3"/>
  <c r="W16" i="3"/>
  <c r="W66" i="3" l="1"/>
  <c r="X66" i="3"/>
  <c r="V66" i="3"/>
  <c r="X16" i="3"/>
  <c r="X15" i="3"/>
  <c r="X14" i="3"/>
  <c r="T66" i="3"/>
  <c r="U66" i="3"/>
  <c r="S66" i="3"/>
  <c r="R66" i="3"/>
  <c r="O66" i="3"/>
  <c r="Q66" i="3"/>
  <c r="P66" i="3"/>
  <c r="N66" i="3" a="1"/>
  <c r="N66" i="3" s="1"/>
  <c r="M66" i="3" a="1"/>
  <c r="M66" i="3" s="1"/>
  <c r="J41" i="5" l="1" a="1"/>
  <c r="J41" i="5" s="1"/>
  <c r="AI21" i="3"/>
  <c r="AI22" i="3"/>
  <c r="F41" i="5" a="1"/>
  <c r="F41" i="5" s="1"/>
  <c r="AJ22" i="3"/>
  <c r="AJ21" i="3"/>
  <c r="AA17" i="3"/>
  <c r="AA32" i="3"/>
  <c r="AA33" i="3"/>
  <c r="Z17" i="3"/>
  <c r="Z32" i="3"/>
  <c r="Z33" i="3"/>
  <c r="Y33" i="3"/>
  <c r="Y32" i="3"/>
  <c r="Y17" i="3"/>
  <c r="Y19" i="3"/>
  <c r="E27" i="5" l="1"/>
  <c r="AJ42" i="3"/>
  <c r="AJ24" i="3"/>
  <c r="AB33" i="3"/>
  <c r="AB32" i="3"/>
  <c r="AC17" i="3"/>
  <c r="AD17" i="3"/>
  <c r="AD33" i="3"/>
  <c r="AD32" i="3"/>
  <c r="AC33" i="3"/>
  <c r="AC32" i="3"/>
  <c r="AB17" i="3"/>
  <c r="L38" i="3" l="1" a="1"/>
  <c r="L38" i="3" s="1"/>
  <c r="L37" i="3" a="1"/>
  <c r="L37" i="3" s="1"/>
  <c r="R34" i="3"/>
  <c r="S34" i="3" l="1"/>
  <c r="U34" i="3"/>
  <c r="W34" i="3"/>
  <c r="X34" i="3" l="1"/>
  <c r="AA34" i="3" l="1"/>
  <c r="Y34" i="3"/>
  <c r="Z34" i="3"/>
  <c r="AD34" i="3" l="1"/>
  <c r="AC34" i="3"/>
  <c r="AB34" i="3"/>
  <c r="L34" i="3" a="1"/>
  <c r="L34" i="3" s="1"/>
  <c r="Q55" i="1"/>
  <c r="Q66" i="1" a="1"/>
  <c r="Q66" i="1" l="1"/>
  <c r="Q7" i="1" s="1"/>
  <c r="Q6" i="1" s="1"/>
  <c r="N66" i="1" a="1"/>
  <c r="N66" i="1" l="1"/>
  <c r="N7" i="1" s="1"/>
  <c r="N6" i="1" s="1"/>
  <c r="L35" i="3" a="1"/>
  <c r="L35" i="3" s="1"/>
  <c r="R37" i="3"/>
  <c r="R36" i="3"/>
  <c r="R38" i="3"/>
  <c r="R35" i="3"/>
  <c r="S36" i="3" l="1"/>
  <c r="S38" i="3"/>
  <c r="S37" i="3"/>
  <c r="L39" i="3" a="1"/>
  <c r="L39" i="3" s="1"/>
  <c r="K93" i="5" a="1"/>
  <c r="K93" i="5" s="1"/>
  <c r="S35" i="3"/>
  <c r="U37" i="3"/>
  <c r="U36" i="3"/>
  <c r="U35" i="3"/>
  <c r="U38" i="3"/>
  <c r="M93" i="5" l="1"/>
  <c r="L93" i="5"/>
  <c r="P93" i="5"/>
  <c r="W35" i="3"/>
  <c r="W36" i="3"/>
  <c r="W38" i="3"/>
  <c r="W37" i="3"/>
  <c r="X37" i="3" l="1"/>
  <c r="X38" i="3"/>
  <c r="X36" i="3"/>
  <c r="X35" i="3"/>
  <c r="R93" i="5"/>
  <c r="Q93" i="5"/>
  <c r="O93" i="5"/>
  <c r="N93" i="5"/>
  <c r="Z35" i="3" l="1"/>
  <c r="Z30" i="3"/>
  <c r="AA28" i="3"/>
  <c r="Z26" i="3"/>
  <c r="Z24" i="3"/>
  <c r="Y31" i="3"/>
  <c r="Z15" i="3"/>
  <c r="Z22" i="3"/>
  <c r="Y30" i="3"/>
  <c r="Y25" i="3"/>
  <c r="AA30" i="3"/>
  <c r="F36" i="5" a="1"/>
  <c r="F36" i="5" s="1"/>
  <c r="Z31" i="3"/>
  <c r="Y29" i="3"/>
  <c r="F35" i="5" a="1"/>
  <c r="F35" i="5" s="1"/>
  <c r="AA31" i="3"/>
  <c r="Z27" i="3"/>
  <c r="Z25" i="3"/>
  <c r="Z28" i="3"/>
  <c r="Y21" i="3"/>
  <c r="Y24" i="3"/>
  <c r="AA29" i="3"/>
  <c r="AA22" i="3"/>
  <c r="Z16" i="3"/>
  <c r="Y14" i="3"/>
  <c r="Y20" i="3"/>
  <c r="Y26" i="3"/>
  <c r="AA27" i="3"/>
  <c r="Z29" i="3"/>
  <c r="F37" i="5" a="1"/>
  <c r="F37" i="5" s="1"/>
  <c r="AA20" i="3"/>
  <c r="Y23" i="3"/>
  <c r="AA24" i="3"/>
  <c r="J35" i="5" a="1"/>
  <c r="J35" i="5" s="1"/>
  <c r="AA23" i="3"/>
  <c r="Z23" i="3"/>
  <c r="Y15" i="3"/>
  <c r="Z20" i="3"/>
  <c r="J36" i="5" a="1"/>
  <c r="J36" i="5" s="1"/>
  <c r="AA14" i="3"/>
  <c r="AA25" i="3"/>
  <c r="Y27" i="3"/>
  <c r="Z21" i="3"/>
  <c r="J37" i="5" a="1"/>
  <c r="J37" i="5" s="1"/>
  <c r="AA26" i="3"/>
  <c r="AA21" i="3"/>
  <c r="J38" i="5" a="1"/>
  <c r="J38" i="5" s="1"/>
  <c r="AA15" i="3"/>
  <c r="Y28" i="3"/>
  <c r="J39" i="5" a="1"/>
  <c r="J39" i="5" s="1"/>
  <c r="AA16" i="3"/>
  <c r="Z14" i="3"/>
  <c r="Y22" i="3"/>
  <c r="Y16" i="3"/>
  <c r="N37" i="5" a="1"/>
  <c r="N37" i="5" s="1"/>
  <c r="M37" i="5" s="1" a="1"/>
  <c r="M37" i="5" s="1"/>
  <c r="AP38" i="3" s="1"/>
  <c r="AA39" i="3"/>
  <c r="Y38" i="3"/>
  <c r="Z37" i="3"/>
  <c r="Y37" i="3"/>
  <c r="Y36" i="3"/>
  <c r="Z36" i="3"/>
  <c r="Y35" i="3"/>
  <c r="N41" i="5" a="1"/>
  <c r="N41" i="5" s="1"/>
  <c r="AQ42" i="3" s="1"/>
  <c r="N38" i="5" a="1"/>
  <c r="N38" i="5" s="1"/>
  <c r="M38" i="5" s="1" a="1"/>
  <c r="M38" i="5" s="1"/>
  <c r="AP39" i="3" s="1"/>
  <c r="Z39" i="3"/>
  <c r="AA37" i="3"/>
  <c r="Z38" i="3"/>
  <c r="N35" i="5" a="1"/>
  <c r="N35" i="5" s="1"/>
  <c r="AQ36" i="3" s="1"/>
  <c r="Y39" i="3"/>
  <c r="AA35" i="3"/>
  <c r="AA38" i="3"/>
  <c r="AA36" i="3"/>
  <c r="N36" i="5" a="1"/>
  <c r="N36" i="5" s="1"/>
  <c r="M36" i="5" s="1" a="1"/>
  <c r="M36" i="5" s="1"/>
  <c r="AP37" i="3" s="1"/>
  <c r="AB14" i="3" l="1"/>
  <c r="AD35" i="3"/>
  <c r="AB28" i="3"/>
  <c r="AB16" i="3"/>
  <c r="AB27" i="3"/>
  <c r="AB25" i="3"/>
  <c r="AB23" i="3"/>
  <c r="AQ38" i="3"/>
  <c r="E36" i="5" a="1"/>
  <c r="E36" i="5" s="1"/>
  <c r="AI19" i="3" s="1"/>
  <c r="AJ19" i="3"/>
  <c r="AC30" i="3"/>
  <c r="AD30" i="3"/>
  <c r="I35" i="5" a="1"/>
  <c r="I35" i="5" s="1"/>
  <c r="AI36" i="3" s="1"/>
  <c r="AJ36" i="3"/>
  <c r="J40" i="5"/>
  <c r="AD21" i="3"/>
  <c r="AC21" i="3"/>
  <c r="AD29" i="3"/>
  <c r="AC29" i="3"/>
  <c r="AD26" i="3"/>
  <c r="AC26" i="3"/>
  <c r="AC24" i="3"/>
  <c r="AD24" i="3"/>
  <c r="I37" i="5" a="1"/>
  <c r="I37" i="5" s="1"/>
  <c r="AI38" i="3" s="1"/>
  <c r="AJ38" i="3"/>
  <c r="AB22" i="3"/>
  <c r="AD15" i="3"/>
  <c r="AC15" i="3"/>
  <c r="AD22" i="3"/>
  <c r="AC22" i="3"/>
  <c r="AB21" i="3"/>
  <c r="AD20" i="3"/>
  <c r="AC20" i="3"/>
  <c r="AB15" i="3"/>
  <c r="I38" i="5" a="1"/>
  <c r="I38" i="5" s="1"/>
  <c r="AI39" i="3" s="1"/>
  <c r="AJ39" i="3"/>
  <c r="E37" i="5" a="1"/>
  <c r="E37" i="5" s="1"/>
  <c r="AI20" i="3" s="1"/>
  <c r="AJ20" i="3"/>
  <c r="AD25" i="3"/>
  <c r="AC25" i="3"/>
  <c r="AB29" i="3"/>
  <c r="AB24" i="3"/>
  <c r="AD14" i="3"/>
  <c r="AC14" i="3"/>
  <c r="AD27" i="3"/>
  <c r="AC27" i="3"/>
  <c r="AD31" i="3"/>
  <c r="AC31" i="3"/>
  <c r="AB26" i="3"/>
  <c r="AD16" i="3"/>
  <c r="AC16" i="3"/>
  <c r="I36" i="5" a="1"/>
  <c r="I36" i="5" s="1"/>
  <c r="AI37" i="3" s="1"/>
  <c r="AJ37" i="3"/>
  <c r="E35" i="5" a="1"/>
  <c r="E35" i="5" s="1"/>
  <c r="AI18" i="3" s="1"/>
  <c r="AJ18" i="3"/>
  <c r="F40" i="5"/>
  <c r="AD28" i="3"/>
  <c r="AC28" i="3"/>
  <c r="AD23" i="3"/>
  <c r="AC23" i="3"/>
  <c r="I39" i="5" a="1"/>
  <c r="I39" i="5" s="1"/>
  <c r="AI40" i="3" s="1"/>
  <c r="AJ40" i="3"/>
  <c r="AB20" i="3"/>
  <c r="AB30" i="3"/>
  <c r="AB31" i="3"/>
  <c r="AD39" i="3"/>
  <c r="AB37" i="3"/>
  <c r="AB36" i="3"/>
  <c r="AB39" i="3"/>
  <c r="AC37" i="3"/>
  <c r="AC39" i="3"/>
  <c r="AC38" i="3"/>
  <c r="AD37" i="3"/>
  <c r="E25" i="5"/>
  <c r="E26" i="5" s="1"/>
  <c r="AB35" i="3"/>
  <c r="AQ39" i="3"/>
  <c r="AB38" i="3"/>
  <c r="M35" i="5" a="1"/>
  <c r="M35" i="5" s="1"/>
  <c r="AP36" i="3" s="1"/>
  <c r="AD38" i="3"/>
  <c r="AD36" i="3"/>
  <c r="AC35" i="3"/>
  <c r="AC36" i="3"/>
  <c r="N40" i="5"/>
  <c r="AQ41" i="3" s="1"/>
  <c r="AQ37" i="3"/>
  <c r="E40" i="5" l="1"/>
  <c r="AI23" i="3" s="1"/>
  <c r="AJ23" i="3"/>
  <c r="I40" i="5"/>
  <c r="AI41" i="3" s="1"/>
  <c r="AJ41" i="3"/>
  <c r="M40" i="5"/>
  <c r="AP4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<sst xmlns="http://schemas.openxmlformats.org/spreadsheetml/2006/main" count="783" uniqueCount="255">
  <si>
    <t>Settings</t>
  </si>
  <si>
    <t>General</t>
  </si>
  <si>
    <t xml:space="preserve"> </t>
  </si>
  <si>
    <t>Starting  Year:</t>
  </si>
  <si>
    <t>define year in setting -&gt;</t>
  </si>
  <si>
    <t>Income</t>
  </si>
  <si>
    <t>Enter Income category…</t>
  </si>
  <si>
    <t>Total</t>
  </si>
  <si>
    <t>Employment</t>
  </si>
  <si>
    <t>Side hustle</t>
  </si>
  <si>
    <t>Dividents</t>
  </si>
  <si>
    <t>Expenses</t>
  </si>
  <si>
    <t>Housing</t>
  </si>
  <si>
    <t>Groceries</t>
  </si>
  <si>
    <t>Transport</t>
  </si>
  <si>
    <t>Enter Expenses category…</t>
  </si>
  <si>
    <t>Savings</t>
  </si>
  <si>
    <t>Emergency Fund</t>
  </si>
  <si>
    <t>Investment AI</t>
  </si>
  <si>
    <t>Bank</t>
  </si>
  <si>
    <t>Gold</t>
  </si>
  <si>
    <t>Enter Savings category…</t>
  </si>
  <si>
    <t>To be allocated:</t>
  </si>
  <si>
    <t>Dates</t>
  </si>
  <si>
    <t>Extra</t>
  </si>
  <si>
    <t>Budget Tracking</t>
  </si>
  <si>
    <t>Date</t>
  </si>
  <si>
    <t>Type</t>
  </si>
  <si>
    <t>Category</t>
  </si>
  <si>
    <t>Amount</t>
  </si>
  <si>
    <t>Details</t>
  </si>
  <si>
    <t>Balance</t>
  </si>
  <si>
    <t>Effective Date</t>
  </si>
  <si>
    <t>Set the start of the year (yyyy) once at the beginning and do not change it</t>
  </si>
  <si>
    <t>Budget Tracking &amp; Dashboard</t>
  </si>
  <si>
    <t>Late Monthly Income</t>
  </si>
  <si>
    <t>Shift late income:</t>
  </si>
  <si>
    <t>Starting on day x in month:</t>
  </si>
  <si>
    <t>Activate this option to treat income received after a certain day of the month as income for the next month.</t>
  </si>
  <si>
    <t>Inactive</t>
  </si>
  <si>
    <t>Calculations</t>
  </si>
  <si>
    <t>Worksheet: Budget Tracking</t>
  </si>
  <si>
    <t>Today:</t>
  </si>
  <si>
    <t>Last Record:</t>
  </si>
  <si>
    <t>Delta Last Record:</t>
  </si>
  <si>
    <t># Record:</t>
  </si>
  <si>
    <t># Record this year:</t>
  </si>
  <si>
    <t>Tracking Balance:</t>
  </si>
  <si>
    <t>Balance Analysis Text:</t>
  </si>
  <si>
    <t>Budget Dashboard</t>
  </si>
  <si>
    <t>Year</t>
  </si>
  <si>
    <t>Period</t>
  </si>
  <si>
    <t>Dropdown Data</t>
  </si>
  <si>
    <t>Year Dropdown</t>
  </si>
  <si>
    <t>Current Year</t>
  </si>
  <si>
    <t>Period Dropdown</t>
  </si>
  <si>
    <t>Total Year</t>
  </si>
  <si>
    <t>Current Month</t>
  </si>
  <si>
    <t>Worksheet: Budget Dashboard</t>
  </si>
  <si>
    <t>Selected Year:</t>
  </si>
  <si>
    <t>Selected Period:</t>
  </si>
  <si>
    <t>Selected Period (Display):</t>
  </si>
  <si>
    <t>Select the year to view →</t>
  </si>
  <si>
    <t>rowID</t>
  </si>
  <si>
    <t>headerRowID</t>
  </si>
  <si>
    <t>isHeader</t>
  </si>
  <si>
    <t>isTotal</t>
  </si>
  <si>
    <t>IsEmpty</t>
  </si>
  <si>
    <t>isCat</t>
  </si>
  <si>
    <t>type</t>
  </si>
  <si>
    <t>item</t>
  </si>
  <si>
    <t>tracked</t>
  </si>
  <si>
    <t>budget</t>
  </si>
  <si>
    <t>Budget Planning</t>
  </si>
  <si>
    <t>Utilities</t>
  </si>
  <si>
    <t>Clothing</t>
  </si>
  <si>
    <t>Body care &amp; Medicine</t>
  </si>
  <si>
    <t>sortMinRow</t>
  </si>
  <si>
    <t>sortMaxRow</t>
  </si>
  <si>
    <t>trackedRange</t>
  </si>
  <si>
    <t>trackedRank</t>
  </si>
  <si>
    <t>budgetRange</t>
  </si>
  <si>
    <t>budgetRank</t>
  </si>
  <si>
    <t>combRankRange</t>
  </si>
  <si>
    <t>combRank</t>
  </si>
  <si>
    <t>combRankNorm</t>
  </si>
  <si>
    <t>combRankNormRunRange</t>
  </si>
  <si>
    <t>combRankUnique</t>
  </si>
  <si>
    <t>sortedRowID (Look up)</t>
  </si>
  <si>
    <t>Mikulas Kulcsar - vreckove</t>
  </si>
  <si>
    <t>72h mhd listok praha</t>
  </si>
  <si>
    <t>RegioJet</t>
  </si>
  <si>
    <t>Tesco Praha Narodni</t>
  </si>
  <si>
    <t>praha mhd</t>
  </si>
  <si>
    <t>mochi</t>
  </si>
  <si>
    <t>albert</t>
  </si>
  <si>
    <t>tecoma</t>
  </si>
  <si>
    <t>mhd</t>
  </si>
  <si>
    <t>kolej 17 listopadu -beny</t>
  </si>
  <si>
    <t>Louver vyrocie</t>
  </si>
  <si>
    <t>Cocacola</t>
  </si>
  <si>
    <t>Vodafone - Beny</t>
  </si>
  <si>
    <t>Albert</t>
  </si>
  <si>
    <t>Vodafone - Viky</t>
  </si>
  <si>
    <t>kolej 17 listopadu - Viky</t>
  </si>
  <si>
    <t>zaCVUTneni - zaloha</t>
  </si>
  <si>
    <r>
      <rPr>
        <b/>
        <sz val="12"/>
        <color rgb="FF00B0F0"/>
        <rFont val="Arial"/>
        <family val="2"/>
        <scheme val="minor"/>
      </rPr>
      <t>Chart Calculations:</t>
    </r>
    <r>
      <rPr>
        <sz val="12"/>
        <color rgb="FF00B0F0"/>
        <rFont val="Arial"/>
        <family val="2"/>
        <scheme val="minor"/>
      </rPr>
      <t xml:space="preserve"> Category Distribution Charts</t>
    </r>
  </si>
  <si>
    <r>
      <t xml:space="preserve">Chart Calculations: </t>
    </r>
    <r>
      <rPr>
        <sz val="12"/>
        <color rgb="FF00B0F0"/>
        <rFont val="Arial"/>
        <family val="2"/>
        <scheme val="minor"/>
      </rPr>
      <t>Tracked (vs. Budget) Charts</t>
    </r>
  </si>
  <si>
    <t>Month</t>
  </si>
  <si>
    <t>Month Num</t>
  </si>
  <si>
    <t>Show Type</t>
  </si>
  <si>
    <t>Show Rem. Budget</t>
  </si>
  <si>
    <t>Tracked</t>
  </si>
  <si>
    <t>Budget</t>
  </si>
  <si>
    <t>Delta</t>
  </si>
  <si>
    <t>Period in Focus</t>
  </si>
  <si>
    <t>In Budget</t>
  </si>
  <si>
    <t>Remaining</t>
  </si>
  <si>
    <t>Excess</t>
  </si>
  <si>
    <t>Period not in Focus</t>
  </si>
  <si>
    <t>In Focus</t>
  </si>
  <si>
    <t>Show Income:</t>
  </si>
  <si>
    <t>Show Expenses:</t>
  </si>
  <si>
    <t>Show Savings:</t>
  </si>
  <si>
    <t>Show Rem. Budget:</t>
  </si>
  <si>
    <t>Days in Period:</t>
  </si>
  <si>
    <t>Days passed:</t>
  </si>
  <si>
    <t>Days passed %:</t>
  </si>
  <si>
    <t>Period Tracking Balance:</t>
  </si>
  <si>
    <t>Period Savings Rate:</t>
  </si>
  <si>
    <t>KPI Calculation in Dashboard</t>
  </si>
  <si>
    <t>Savings Rate as % of Income:</t>
  </si>
  <si>
    <t>% not allocated to Expenses</t>
  </si>
  <si>
    <t>Choose how vou want the savinas rate (SR) to be calculated in the dashboard KPi tiles:
1) Active Option (% allocated to Savings):         2) Passive Option (% not allocated to Expenses):
SR = Savings / Income                                     SR = (Income - Expenses) / Income</t>
  </si>
  <si>
    <t>viky</t>
  </si>
  <si>
    <t xml:space="preserve"> Vreckove</t>
  </si>
  <si>
    <t>idk vela</t>
  </si>
  <si>
    <t>czacvuteni</t>
  </si>
  <si>
    <t>kauflqnd</t>
  </si>
  <si>
    <t>iskam</t>
  </si>
  <si>
    <t>Las Adelitas</t>
  </si>
  <si>
    <t>iskam istota</t>
  </si>
  <si>
    <t>isic</t>
  </si>
  <si>
    <t>kc na zacvuteni</t>
  </si>
  <si>
    <t>hellsbarber</t>
  </si>
  <si>
    <t>Lieky na hnacku</t>
  </si>
  <si>
    <t>Popeyes</t>
  </si>
  <si>
    <t>transfer na slovensko</t>
  </si>
  <si>
    <t>FastFoods</t>
  </si>
  <si>
    <t>School/Study</t>
  </si>
  <si>
    <t>Individualni studovna</t>
  </si>
  <si>
    <t>vreckove</t>
  </si>
  <si>
    <t>40e na sk</t>
  </si>
  <si>
    <t>McD</t>
  </si>
  <si>
    <t>DATART nove AirPody</t>
  </si>
  <si>
    <t>ntk</t>
  </si>
  <si>
    <t>Kebab</t>
  </si>
  <si>
    <t>Nákup: ALBERT VAM DEKUJE, PRAHA 4, CZ, dne 30.9.2024, částka  72.70 CZK</t>
  </si>
  <si>
    <t>Nákup: Asian shop, Praha 4, CZ, dne 30.9.2024, částka  65.00 CZK</t>
  </si>
  <si>
    <t>Nákup: studentagency.cz, Brno, CZ, dne 30.9.2024, částka  82.00 CZK</t>
  </si>
  <si>
    <t>Nákup: Billa Ekonomicka, Praha 4 - Kun, CZ, dne 1.10.2024, částka  73.80 CZK</t>
  </si>
  <si>
    <t>Nákup: FAKULTA ARCHITEKTURY, PRAHA 6, CZ, dne 2.10.2024, částka  104.00 CZK</t>
  </si>
  <si>
    <t>Nákup: BB VITEZNE NAMESTI, PRAHA 6, CZ, dne 1.10.2024, částka  108.00 CZK</t>
  </si>
  <si>
    <t>Nákup: NYX*MIXAVENDINGsro, NovyJicin, CZ, dne 3.10.2024, částka  17.00 CZK</t>
  </si>
  <si>
    <t>Nákup: BB VITEZNE NAMESTI, PRAHA 6, CZ, dne 2.10.2024, částka  108.00 CZK</t>
  </si>
  <si>
    <t>Nákup: CLEVER FIT CHODOV, PRAHA 4, CZ, dne 4.10.2024, částka  1090.65 CZK</t>
  </si>
  <si>
    <t>Nákup: Billa Ekonomicka, Praha 4 - Kun, CZ, dne 4.10.2024, částka  226.70 CZK</t>
  </si>
  <si>
    <t>Nákup: ALBERT VAM DEKUJE, PRAHA 4, CZ, dne 5.10.2024, částka  17.90 CZK</t>
  </si>
  <si>
    <t>Nákup: Italska Cukrarna Amarena,, Praha 58, CZ, dne 5.10.2024, částka  148.00 CZK</t>
  </si>
  <si>
    <t>Nákup: BB VITEZNE NAMESTI, PRAHA 6, CZ, dne 4.10.2024, částka  99.00 CZK</t>
  </si>
  <si>
    <t>Nákup: PAPIRNICTVI AKM DEKUJ, Praha 4, CZ, dne 6.10.2024, částka  167.00 CZK</t>
  </si>
  <si>
    <t>Nákup: Billa Ekonomicka, Praha 4 - Kun, CZ, dne 6.10.2024, částka  149.90 CZK</t>
  </si>
  <si>
    <t>Nákup: BENU lekarna 231, Praha 4, CZ, dne 6.10.2024, částka  488.00 CZK</t>
  </si>
  <si>
    <t>Nákup: CAFFE MILANI Kaprova 9, Praha, CZ, dne 6.10.2024, částka  138.00 CZK</t>
  </si>
  <si>
    <t>Nákup: REX Concepts PLK CZ, Praha 1 - Nov, CZ, dne 7.10.2024, částka  390.00 CZK</t>
  </si>
  <si>
    <t>Nákup: Billa Ekonomicka, Praha 4 - Kun, CZ, dne 7.10.2024, částka  398.60 CZK</t>
  </si>
  <si>
    <t>Nákup: NYX*MIXAVENDINGsro, NovyJicin, CZ, dne 7.10.2024, částka  22.00 CZK</t>
  </si>
  <si>
    <t>Nákup: NYX*MIXAVENDINGsro, NovyJicin, CZ, dne 7.10.2024, částka  17.00 CZK</t>
  </si>
  <si>
    <t>Nákup: NYX*VeryGoodiesas, Praha, CZ, dne 7.10.2024, částka  20.00 CZK</t>
  </si>
  <si>
    <t>Nákup: APETIT OC CHODOV, PRAHA 11, CZ, dne 9.10.2024, částka  210.00 CZK</t>
  </si>
  <si>
    <t>Nákup: ALBERT VAM DEKUJE, PRAHA 4, CZ, dne 9.10.2024, částka  313.90 CZK</t>
  </si>
  <si>
    <t>Nákup: BB VITEZNE NAMESTI, PRAHA 6, CZ, dne 8.10.2024, částka  99.00 CZK</t>
  </si>
  <si>
    <t>Nákup: ALBERT VAM DEKUJE, PRAHA 4, CZ, dne 8.10.2024, částka  349.00 CZK</t>
  </si>
  <si>
    <t>Nákup: CAFFE MILANI Kaprova 9, Praha, CZ, dne 8.10.2024, částka  59.00 CZK</t>
  </si>
  <si>
    <t>Nákup: Lekarna Dr.Max 363, Praha 6, CZ, dne 10.10.2024, částka  149.00 CZK</t>
  </si>
  <si>
    <t>Nákup: ALBERT VAM DEKUJE, PRAHA 4, CZ, dne 10.10.2024, částka  16.90 CZK</t>
  </si>
  <si>
    <t>Nákup: NYX*MIXAVENDINGsro, NovyJicin, CZ, dne 10.10.2024, částka  17.00 CZK</t>
  </si>
  <si>
    <t>Nákup: BB Chodov Westfield, Praha 4, CZ, dne 10.10.2024, částka  99.00 CZK</t>
  </si>
  <si>
    <t>Nákup: NYX*VeryGoodiesas, Praha, CZ, dne 10.10.2024, částka  30.00 CZK</t>
  </si>
  <si>
    <t>Nákup: Katerina Simunkova, Praha 5, CZ, dne 11.10.2024, částka  100.00 CZK</t>
  </si>
  <si>
    <t>Nákup: GOPAY  *SUZ.CVUT.CZ, PRAHA 6, CZ, dne 11.10.2024, částka  78.00 CZK</t>
  </si>
  <si>
    <t>Nákup: INDICKA RESTAURACE SANG, PRAHA, CZ, dne 11.10.2024, částka  1350.00 CZK</t>
  </si>
  <si>
    <t>Nákup: studentagency.cz, Brno, CZ, dne 11.10.2024, částka  309.00 CZK</t>
  </si>
  <si>
    <t>Nákup: studentagency.cz, Brno, CZ, dne 11.10.2024, částka  374.00 CZK</t>
  </si>
  <si>
    <t>Nákup: studentagency.cz, Brno, CZ, dne 11.10.2024, částka  351.00 CZK</t>
  </si>
  <si>
    <t>Nákup: studentagency.cz, Brno, CZ, dne 11.10.2024, částka  232.00 CZK</t>
  </si>
  <si>
    <t>Nákup: NEU*CC Coffee sro, Praha 8 - Kar, CZ, dne 11.10.2024, částka  60.00 CZK</t>
  </si>
  <si>
    <t>Nákup: REGIOJET.CZ, BRNO, CZ, dne 11.10.2024, částka  20.00 CZK</t>
  </si>
  <si>
    <t>Nákup: BB VITEZNE NAMESTI, PRAHA 6, CZ, dne 11.10.2024, částka  99.00 CZK</t>
  </si>
  <si>
    <t>Nákup: Vodafone Czech Rep., Praha - Stodu, CZ, dne 14.10.2024, částka  575.00 CZK</t>
  </si>
  <si>
    <t>Nákup: Alza, Prague, CZ, dne 14.10.2024, částka  359.00 CZK</t>
  </si>
  <si>
    <t>Nákup: REGIOJET.CZ, BRNO, CZ, dne 14.10.2024, částka  69.00 CZK</t>
  </si>
  <si>
    <t>Nákup: REGIOJET.CZ, BRNO, CZ, dne 14.10.2024, částka  10.00 CZK</t>
  </si>
  <si>
    <t>Nákup: Billa Wilsonova 300/8, Praha - Hlavn, CZ, dne 14.10.2024, částka  14.90 CZK</t>
  </si>
  <si>
    <t>Nákup: studentagency.cz, Brno, CZ, dne 14.10.2024, částka  36.00 CZK</t>
  </si>
  <si>
    <t>Nákup: kfcrozvoz.cz, Praha 5, Jino, CZ, dne 15.10.2024, částka  107.00 CZK</t>
  </si>
  <si>
    <t>Nákup: CAFFE MILANI Kaprova 9, Praha, CZ, dne 15.10.2024, částka  158.00 CZK</t>
  </si>
  <si>
    <t>Nákup: SB Dejvicka 05, Praha 6, CZ, dne 16.10.2024, částka  156.00 CZK</t>
  </si>
  <si>
    <t>Nákup: BB VITEZNE NAMESTI, PRAHA 6, CZ, dne 15.10.2024, částka  99.00 CZK</t>
  </si>
  <si>
    <t>Nákup: BB VITEZNE NAMESTI, PRAHA 6, CZ, dne 16.10.2024, částka  99.00 CZK</t>
  </si>
  <si>
    <t>Nákup: REGIOJET.CZ, BRNO, CZ, dne 18.10.2024, částka  89.00 CZK</t>
  </si>
  <si>
    <t>Hanka</t>
  </si>
  <si>
    <t>Nákup: DANIEL MASTERA - VECERK, PRAHA 4, CZ, dne 20.10.2024, částka  75.00 CZK</t>
  </si>
  <si>
    <t>Nákup: NYX*MIXAVENDINGsro, NovyJicin, CZ, dne 21.10.2024, částka  17.00 CZK</t>
  </si>
  <si>
    <t>Nákup: NARODNI TECHNICKA KNIH, PRAHA 6, CZ, dne 22.10.2024, částka  1350.00 CZK</t>
  </si>
  <si>
    <t>Nákup: studentagency.cz, Brno, CZ, dne 22.10.2024, částka  267.00 CZK</t>
  </si>
  <si>
    <t>Nákup: studentagency.cz, Brno, CZ, dne 22.10.2024, částka  351.00 CZK</t>
  </si>
  <si>
    <t>Nákup: studentagency.cz, Brno, CZ, dne 22.10.2024, částka  118.00 CZK</t>
  </si>
  <si>
    <t>Nákup: studentagency.cz, Brno, CZ, dne 22.10.2024, částka  280.00 CZK</t>
  </si>
  <si>
    <t>Nákup: ALBERT VAM DEKUJE, PRAHA 4, CZ, dne 23.10.2024, částka  46.80 CZK</t>
  </si>
  <si>
    <t>Nákup: ALBERT VAM DEKUJE, Praha, CZ, dne 23.10.2024, částka  69.80 CZK</t>
  </si>
  <si>
    <t>Nákup: ZARA OC CHODOV, PRAHA, CZ, dne 23.10.2024, částka  2500.00 CZK</t>
  </si>
  <si>
    <t>Nákup: BERSHKA OC CHODOV, PRAHA, CZ, dne 23.10.2024, částka  1499.00 CZK</t>
  </si>
  <si>
    <t>Hana Sedláčková</t>
  </si>
  <si>
    <t>TELOMAR, s.r.o.</t>
  </si>
  <si>
    <t>XTRA PEOPLE, s.r.o.</t>
  </si>
  <si>
    <t>NET transakce: -, Praha 1, CZ. 0 CZK</t>
  </si>
  <si>
    <t>NET transakce: REGIOJET.CZ, BRNO, CZ. 20.00 CZK</t>
  </si>
  <si>
    <t>platba na sk ucet</t>
  </si>
  <si>
    <t>Gym</t>
  </si>
  <si>
    <t>na sk</t>
  </si>
  <si>
    <t>Coffee</t>
  </si>
  <si>
    <t>Aziati + Albert</t>
  </si>
  <si>
    <t>lidl bulk nakup</t>
  </si>
  <si>
    <t>posledna smena</t>
  </si>
  <si>
    <t>Skillshare??</t>
  </si>
  <si>
    <t>oco nov.</t>
  </si>
  <si>
    <t>automaty</t>
  </si>
  <si>
    <t>aziati</t>
  </si>
  <si>
    <t>trhacky</t>
  </si>
  <si>
    <t>3e</t>
  </si>
  <si>
    <t>billa</t>
  </si>
  <si>
    <t>viky za matrac</t>
  </si>
  <si>
    <t>matrac</t>
  </si>
  <si>
    <t>pivo na hokeji</t>
  </si>
  <si>
    <t>popeyes</t>
  </si>
  <si>
    <t>yt subsription</t>
  </si>
  <si>
    <t>tuniaky</t>
  </si>
  <si>
    <t>hanka??</t>
  </si>
  <si>
    <t>protein</t>
  </si>
  <si>
    <t>otava</t>
  </si>
  <si>
    <t>viky za pritein</t>
  </si>
  <si>
    <t>café milani</t>
  </si>
  <si>
    <t>bageterka</t>
  </si>
  <si>
    <t>vodafon pojebany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</si>
</sst>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1" formatCode="_-* #,##0_-;\-* #,##0_-;_-* &quot;-&quot;_-;_-@_-"/>
    <numFmt numFmtId="164" formatCode="mmm"/>
    <numFmt numFmtId="165" formatCode="_-&quot;€&quot;* #,##0_-;\-&quot;€&quot;* #,##0_-;_-&quot;€&quot;* &quot;-&quot;??_-;_-@_-"/>
    <numFmt numFmtId="166" formatCode="d\.\ mmm\.\ yyyy"/>
    <numFmt numFmtId="167" formatCode="mmmm"/>
    <numFmt numFmtId="168" formatCode="0.0%"/>
  </numFmts>
  <fonts count="34" x14ac:knownFonts="1">
    <font>
      <sz val="12"/>
      <color theme="1"/>
      <name val="Arial"/>
      <family val="2"/>
      <scheme val="minor"/>
    </font>
    <font>
      <sz val="12"/>
      <color theme="1"/>
      <name val="Arial"/>
      <family val="2"/>
    </font>
    <font>
      <sz val="24"/>
      <color theme="0"/>
      <name val="Arial"/>
      <family val="2"/>
    </font>
    <font>
      <b/>
      <sz val="12"/>
      <color theme="0"/>
      <name val="Arial"/>
      <family val="2"/>
    </font>
    <font>
      <b/>
      <sz val="24"/>
      <color theme="0"/>
      <name val="Arial"/>
      <family val="2"/>
    </font>
    <font>
      <b/>
      <sz val="12"/>
      <color theme="1"/>
      <name val="Arial"/>
      <family val="2"/>
    </font>
    <font>
      <b/>
      <sz val="20"/>
      <color theme="0"/>
      <name val="Arial"/>
      <family val="2"/>
    </font>
    <font>
      <b/>
      <sz val="12"/>
      <color theme="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1"/>
      <color theme="2" tint="-0.499984740745262"/>
      <name val="Arial"/>
      <family val="2"/>
    </font>
    <font>
      <sz val="10"/>
      <color theme="2" tint="-0.499984740745262"/>
      <name val="Arial"/>
      <family val="2"/>
    </font>
    <font>
      <b/>
      <sz val="10"/>
      <color theme="2" tint="-0.499984740745262"/>
      <name val="Arial"/>
      <family val="2"/>
    </font>
    <font>
      <b/>
      <sz val="10"/>
      <color theme="1"/>
      <name val="Arial"/>
      <family val="2"/>
    </font>
    <font>
      <sz val="12"/>
      <color theme="0" tint="-0.249977111117893"/>
      <name val="Arial"/>
      <family val="2"/>
    </font>
    <font>
      <b/>
      <sz val="24"/>
      <color theme="0"/>
      <name val="Arial (Body)"/>
    </font>
    <font>
      <sz val="12"/>
      <color theme="0" tint="-0.499984740745262"/>
      <name val="Arial"/>
      <family val="2"/>
      <scheme val="minor"/>
    </font>
    <font>
      <sz val="12"/>
      <color theme="0" tint="-0.499984740745262"/>
      <name val="Arial"/>
      <family val="2"/>
    </font>
    <font>
      <b/>
      <sz val="14"/>
      <color rgb="FF7030A0"/>
      <name val="Arial"/>
      <family val="2"/>
    </font>
    <font>
      <i/>
      <sz val="12"/>
      <color theme="0" tint="-0.499984740745262"/>
      <name val="Arial"/>
      <family val="2"/>
    </font>
    <font>
      <sz val="12"/>
      <color theme="0" tint="-0.14999847407452621"/>
      <name val="Arial"/>
      <family val="2"/>
      <scheme val="minor"/>
    </font>
    <font>
      <b/>
      <sz val="24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i/>
      <sz val="12"/>
      <color theme="2" tint="-0.249977111117893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00B0F0"/>
      <name val="Arial"/>
      <family val="2"/>
      <scheme val="minor"/>
    </font>
    <font>
      <b/>
      <sz val="12"/>
      <color rgb="FF00B0F0"/>
      <name val="Arial"/>
      <family val="2"/>
      <scheme val="minor"/>
    </font>
    <font>
      <sz val="8"/>
      <name val="Arial"/>
      <family val="2"/>
      <scheme val="minor"/>
    </font>
    <font>
      <i/>
      <sz val="11"/>
      <color theme="2" tint="-0.249977111117893"/>
      <name val="Arial"/>
      <family val="2"/>
      <scheme val="minor"/>
    </font>
    <font>
      <sz val="12"/>
      <color rgb="FF000000"/>
      <name val="Aptos Narrow"/>
    </font>
    <font>
      <i/>
      <sz val="11"/>
      <color theme="0" tint="-0.499984740745262"/>
      <name val="Arial"/>
      <family val="2"/>
    </font>
    <font>
      <sz val="12"/>
      <color rgb="FF000000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rgb="FF000000"/>
      </patternFill>
    </fill>
  </fills>
  <borders count="22">
    <border>
      <left/>
      <right/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/>
      <bottom style="dotted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indexed="64"/>
      </bottom>
      <diagonal/>
    </border>
    <border>
      <left/>
      <right/>
      <top style="dotted">
        <color theme="0" tint="-0.24994659260841701"/>
      </top>
      <bottom style="double">
        <color theme="0" tint="-0.24994659260841701"/>
      </bottom>
      <diagonal/>
    </border>
    <border>
      <left/>
      <right/>
      <top style="dotted">
        <color theme="0" tint="-0.24994659260841701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BFBFBF"/>
      </left>
      <right/>
      <top/>
      <bottom/>
      <diagonal/>
    </border>
  </borders>
  <cellStyleXfs count="2">
    <xf numFmtId="0" fontId="0" fillId="0" borderId="0"/>
    <xf numFmtId="9" fontId="26" fillId="0" borderId="0" applyFont="0" applyFill="0" applyBorder="0" applyAlignment="0" applyProtection="0"/>
  </cellStyleXfs>
  <cellXfs count="14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0" borderId="7" xfId="0" applyFont="1" applyBorder="1"/>
    <xf numFmtId="0" fontId="3" fillId="4" borderId="0" xfId="0" applyFont="1" applyFill="1" applyAlignment="1">
      <alignment horizontal="center" vertical="center"/>
    </xf>
    <xf numFmtId="164" fontId="3" fillId="4" borderId="0" xfId="0" applyNumberFormat="1" applyFont="1" applyFill="1" applyAlignment="1">
      <alignment horizontal="center" vertical="center"/>
    </xf>
    <xf numFmtId="0" fontId="9" fillId="0" borderId="0" xfId="0" applyFont="1"/>
    <xf numFmtId="164" fontId="3" fillId="6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64" fontId="3" fillId="7" borderId="0" xfId="0" applyNumberFormat="1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" fillId="0" borderId="0" xfId="0" applyFont="1" applyAlignment="1">
      <alignment horizontal="right"/>
    </xf>
    <xf numFmtId="41" fontId="10" fillId="0" borderId="7" xfId="0" applyNumberFormat="1" applyFont="1" applyBorder="1"/>
    <xf numFmtId="41" fontId="11" fillId="0" borderId="7" xfId="0" applyNumberFormat="1" applyFont="1" applyBorder="1"/>
    <xf numFmtId="41" fontId="12" fillId="0" borderId="7" xfId="0" applyNumberFormat="1" applyFont="1" applyBorder="1"/>
    <xf numFmtId="41" fontId="12" fillId="0" borderId="6" xfId="0" applyNumberFormat="1" applyFont="1" applyBorder="1" applyAlignment="1">
      <alignment horizontal="center" vertical="center"/>
    </xf>
    <xf numFmtId="41" fontId="5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right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/>
    </xf>
    <xf numFmtId="41" fontId="0" fillId="0" borderId="0" xfId="0" applyNumberFormat="1" applyAlignment="1">
      <alignment horizontal="left"/>
    </xf>
    <xf numFmtId="0" fontId="15" fillId="0" borderId="0" xfId="0" applyFont="1" applyAlignment="1">
      <alignment horizontal="left"/>
    </xf>
    <xf numFmtId="0" fontId="15" fillId="9" borderId="0" xfId="0" applyFont="1" applyFill="1" applyAlignment="1">
      <alignment horizontal="left" vertical="center"/>
    </xf>
    <xf numFmtId="0" fontId="16" fillId="0" borderId="0" xfId="0" applyFont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 indent="1"/>
    </xf>
    <xf numFmtId="0" fontId="1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0" fontId="17" fillId="0" borderId="0" xfId="0" applyFont="1" applyAlignment="1">
      <alignment horizontal="left" vertical="center"/>
    </xf>
    <xf numFmtId="166" fontId="0" fillId="0" borderId="0" xfId="0" applyNumberFormat="1" applyAlignment="1">
      <alignment horizontal="left"/>
    </xf>
    <xf numFmtId="166" fontId="19" fillId="0" borderId="0" xfId="0" applyNumberFormat="1" applyFont="1" applyAlignment="1">
      <alignment horizontal="right"/>
    </xf>
    <xf numFmtId="0" fontId="0" fillId="2" borderId="0" xfId="0" applyFill="1"/>
    <xf numFmtId="166" fontId="0" fillId="0" borderId="0" xfId="0" applyNumberFormat="1"/>
    <xf numFmtId="0" fontId="21" fillId="0" borderId="0" xfId="0" applyFont="1" applyAlignment="1">
      <alignment horizontal="left" indent="1"/>
    </xf>
    <xf numFmtId="41" fontId="0" fillId="0" borderId="0" xfId="0" applyNumberFormat="1"/>
    <xf numFmtId="165" fontId="0" fillId="0" borderId="0" xfId="0" applyNumberFormat="1"/>
    <xf numFmtId="0" fontId="20" fillId="5" borderId="0" xfId="0" applyFont="1" applyFill="1" applyAlignment="1">
      <alignment horizontal="left" vertical="center" indent="8"/>
    </xf>
    <xf numFmtId="0" fontId="7" fillId="2" borderId="0" xfId="0" applyFont="1" applyFill="1" applyAlignment="1">
      <alignment horizontal="center" vertical="center"/>
    </xf>
    <xf numFmtId="0" fontId="25" fillId="0" borderId="0" xfId="0" applyFont="1" applyAlignment="1">
      <alignment horizontal="right" vertical="center"/>
    </xf>
    <xf numFmtId="0" fontId="23" fillId="0" borderId="0" xfId="0" applyFont="1"/>
    <xf numFmtId="0" fontId="24" fillId="0" borderId="0" xfId="0" applyFont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167" fontId="24" fillId="0" borderId="12" xfId="0" applyNumberFormat="1" applyFont="1" applyBorder="1" applyAlignment="1">
      <alignment horizontal="center" vertical="center"/>
    </xf>
    <xf numFmtId="167" fontId="24" fillId="0" borderId="8" xfId="0" applyNumberFormat="1" applyFont="1" applyBorder="1" applyAlignment="1">
      <alignment horizontal="center" vertical="center"/>
    </xf>
    <xf numFmtId="0" fontId="21" fillId="0" borderId="0" xfId="0" applyFont="1"/>
    <xf numFmtId="0" fontId="0" fillId="0" borderId="13" xfId="0" applyBorder="1"/>
    <xf numFmtId="0" fontId="0" fillId="0" borderId="0" xfId="0" applyAlignment="1">
      <alignment horizontal="right"/>
    </xf>
    <xf numFmtId="0" fontId="21" fillId="0" borderId="13" xfId="0" applyFont="1" applyBorder="1"/>
    <xf numFmtId="0" fontId="0" fillId="0" borderId="13" xfId="0" applyBorder="1" applyAlignment="1">
      <alignment horizontal="right"/>
    </xf>
    <xf numFmtId="0" fontId="0" fillId="0" borderId="1" xfId="0" applyBorder="1"/>
    <xf numFmtId="0" fontId="0" fillId="0" borderId="2" xfId="0" applyBorder="1"/>
    <xf numFmtId="0" fontId="4" fillId="2" borderId="0" xfId="0" applyFont="1" applyFill="1" applyAlignment="1">
      <alignment horizontal="left" vertical="center" indent="8"/>
    </xf>
    <xf numFmtId="0" fontId="24" fillId="11" borderId="1" xfId="0" applyFont="1" applyFill="1" applyBorder="1" applyAlignment="1">
      <alignment horizontal="center" vertical="center"/>
    </xf>
    <xf numFmtId="0" fontId="24" fillId="11" borderId="2" xfId="0" applyFont="1" applyFill="1" applyBorder="1" applyAlignment="1">
      <alignment horizontal="center" vertical="center"/>
    </xf>
    <xf numFmtId="0" fontId="24" fillId="11" borderId="0" xfId="0" applyFont="1" applyFill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4" fillId="11" borderId="12" xfId="0" applyFont="1" applyFill="1" applyBorder="1" applyAlignment="1">
      <alignment horizontal="center" vertical="center"/>
    </xf>
    <xf numFmtId="0" fontId="0" fillId="0" borderId="12" xfId="0" applyBorder="1"/>
    <xf numFmtId="0" fontId="0" fillId="0" borderId="0" xfId="0" applyAlignment="1">
      <alignment vertical="center"/>
    </xf>
    <xf numFmtId="0" fontId="20" fillId="2" borderId="0" xfId="0" applyFont="1" applyFill="1" applyAlignment="1">
      <alignment horizontal="center"/>
    </xf>
    <xf numFmtId="0" fontId="20" fillId="2" borderId="0" xfId="0" applyFont="1" applyFill="1" applyAlignment="1">
      <alignment horizontal="left"/>
    </xf>
    <xf numFmtId="0" fontId="24" fillId="0" borderId="0" xfId="0" applyFont="1" applyAlignment="1">
      <alignment horizontal="left" vertical="center"/>
    </xf>
    <xf numFmtId="9" fontId="24" fillId="0" borderId="0" xfId="1" applyFont="1" applyAlignment="1">
      <alignment horizontal="center" vertical="center"/>
    </xf>
    <xf numFmtId="41" fontId="24" fillId="0" borderId="0" xfId="0" applyNumberFormat="1" applyFont="1" applyAlignment="1">
      <alignment horizontal="center" vertical="center"/>
    </xf>
    <xf numFmtId="21" fontId="0" fillId="0" borderId="0" xfId="0" applyNumberFormat="1"/>
    <xf numFmtId="41" fontId="19" fillId="0" borderId="0" xfId="0" applyNumberFormat="1" applyFont="1" applyAlignment="1">
      <alignment horizontal="left"/>
    </xf>
    <xf numFmtId="0" fontId="0" fillId="0" borderId="14" xfId="0" applyBorder="1"/>
    <xf numFmtId="0" fontId="0" fillId="0" borderId="11" xfId="0" applyBorder="1"/>
    <xf numFmtId="0" fontId="0" fillId="0" borderId="15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6" xfId="0" applyBorder="1"/>
    <xf numFmtId="0" fontId="20" fillId="2" borderId="0" xfId="0" applyFont="1" applyFill="1" applyAlignment="1">
      <alignment vertical="center"/>
    </xf>
    <xf numFmtId="0" fontId="7" fillId="8" borderId="0" xfId="0" applyFont="1" applyFill="1" applyAlignment="1">
      <alignment vertical="center"/>
    </xf>
    <xf numFmtId="0" fontId="7" fillId="8" borderId="0" xfId="0" applyFont="1" applyFill="1" applyAlignment="1">
      <alignment horizontal="left" vertical="center"/>
    </xf>
    <xf numFmtId="0" fontId="27" fillId="0" borderId="16" xfId="0" applyFont="1" applyBorder="1"/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7" xfId="0" applyFont="1" applyBorder="1" applyAlignment="1">
      <alignment horizontal="center"/>
    </xf>
    <xf numFmtId="0" fontId="0" fillId="0" borderId="0" xfId="0" applyAlignment="1">
      <alignment horizontal="left" indent="1"/>
    </xf>
    <xf numFmtId="0" fontId="8" fillId="0" borderId="19" xfId="0" applyFont="1" applyBorder="1" applyAlignment="1">
      <alignment horizontal="left" indent="1"/>
    </xf>
    <xf numFmtId="41" fontId="8" fillId="0" borderId="19" xfId="0" applyNumberFormat="1" applyFont="1" applyBorder="1"/>
    <xf numFmtId="41" fontId="0" fillId="0" borderId="0" xfId="0" applyNumberFormat="1" applyAlignment="1">
      <alignment horizontal="center"/>
    </xf>
    <xf numFmtId="41" fontId="0" fillId="0" borderId="18" xfId="0" applyNumberFormat="1" applyBorder="1" applyAlignment="1">
      <alignment horizontal="center"/>
    </xf>
    <xf numFmtId="41" fontId="8" fillId="0" borderId="0" xfId="0" applyNumberFormat="1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8" fillId="0" borderId="16" xfId="0" applyFont="1" applyBorder="1"/>
    <xf numFmtId="0" fontId="8" fillId="0" borderId="17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41" fontId="0" fillId="0" borderId="0" xfId="0" applyNumberFormat="1" applyAlignment="1">
      <alignment horizontal="right" vertical="center"/>
    </xf>
    <xf numFmtId="41" fontId="0" fillId="0" borderId="17" xfId="0" applyNumberFormat="1" applyBorder="1" applyAlignment="1">
      <alignment horizontal="right" vertical="center"/>
    </xf>
    <xf numFmtId="0" fontId="22" fillId="0" borderId="0" xfId="0" applyFont="1"/>
    <xf numFmtId="41" fontId="0" fillId="0" borderId="0" xfId="0" applyNumberFormat="1" applyAlignment="1">
      <alignment horizontal="center" vertical="center"/>
    </xf>
    <xf numFmtId="41" fontId="0" fillId="0" borderId="17" xfId="0" applyNumberFormat="1" applyBorder="1" applyAlignment="1">
      <alignment horizontal="center" vertical="center"/>
    </xf>
    <xf numFmtId="9" fontId="0" fillId="0" borderId="0" xfId="1" applyFont="1"/>
    <xf numFmtId="0" fontId="21" fillId="0" borderId="0" xfId="0" applyFont="1" applyAlignment="1">
      <alignment horizontal="left" vertical="center"/>
    </xf>
    <xf numFmtId="168" fontId="0" fillId="0" borderId="0" xfId="1" applyNumberFormat="1" applyFont="1"/>
    <xf numFmtId="0" fontId="0" fillId="5" borderId="0" xfId="0" applyFill="1"/>
    <xf numFmtId="41" fontId="0" fillId="5" borderId="0" xfId="0" applyNumberFormat="1" applyFill="1"/>
    <xf numFmtId="41" fontId="33" fillId="0" borderId="0" xfId="0" applyNumberFormat="1" applyFont="1" applyAlignment="1">
      <alignment horizontal="left"/>
    </xf>
    <xf numFmtId="166" fontId="33" fillId="0" borderId="21" xfId="0" applyNumberFormat="1" applyFont="1" applyBorder="1" applyAlignment="1">
      <alignment horizontal="left"/>
    </xf>
    <xf numFmtId="166" fontId="33" fillId="13" borderId="21" xfId="0" applyNumberFormat="1" applyFont="1" applyFill="1" applyBorder="1" applyAlignment="1">
      <alignment horizontal="left"/>
    </xf>
    <xf numFmtId="0" fontId="20" fillId="2" borderId="0" xfId="0" applyFont="1" applyFill="1" applyAlignment="1">
      <alignment horizontal="left" vertical="center" indent="8"/>
    </xf>
    <xf numFmtId="164" fontId="0" fillId="0" borderId="20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32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left" vertical="center" indent="10"/>
    </xf>
    <xf numFmtId="0" fontId="2" fillId="2" borderId="0" xfId="0" applyFont="1" applyFill="1" applyAlignment="1">
      <alignment horizontal="left" vertical="center" indent="10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8" fillId="0" borderId="0" xfId="0" applyFont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8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22" fillId="10" borderId="11" xfId="0" applyFont="1" applyFill="1" applyBorder="1" applyAlignment="1">
      <alignment horizontal="center" vertical="center"/>
    </xf>
    <xf numFmtId="167" fontId="22" fillId="10" borderId="11" xfId="0" applyNumberFormat="1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 vertical="center"/>
    </xf>
    <xf numFmtId="166" fontId="15" fillId="0" borderId="0" xfId="0" applyNumberFormat="1" applyFont="1" applyAlignment="1">
      <alignment horizontal="left"/>
    </xf>
  </cellXfs>
  <cellStyles count="2">
    <cellStyle name="Normal" xfId="0" builtinId="0"/>
    <cellStyle name="Per cent" xfId="1" builtinId="5"/>
  </cellStyles>
  <dxfs count="117">
    <dxf>
      <font>
        <color theme="2" tint="-0.499984740745262"/>
      </font>
      <numFmt numFmtId="169" formatCode="\→\ d\.\ mmm\.\ yyyy"/>
    </dxf>
    <dxf>
      <font>
        <b/>
        <i val="0"/>
        <color theme="9"/>
      </font>
      <numFmt numFmtId="170" formatCode="#,##0_ ;[Red]\-#,##0\ "/>
    </dxf>
    <dxf>
      <font>
        <color theme="2" tint="-0.499984740745262"/>
      </font>
      <numFmt numFmtId="169" formatCode="\→\ d\.\ mmm\.\ yyyy"/>
    </dxf>
    <dxf>
      <font>
        <b/>
        <i val="0"/>
        <color theme="9"/>
      </font>
      <numFmt numFmtId="170" formatCode="#,##0_ ;[Red]\-#,##0\ "/>
    </dxf>
    <dxf>
      <font>
        <color theme="2" tint="-0.499984740745262"/>
      </font>
      <numFmt numFmtId="169" formatCode="\→\ d\.\ mmm\.\ yyyy"/>
    </dxf>
    <dxf>
      <font>
        <b/>
        <i val="0"/>
        <color theme="9"/>
      </font>
      <numFmt numFmtId="170" formatCode="#,##0_ ;[Red]\-#,##0\ "/>
    </dxf>
    <dxf>
      <fill>
        <patternFill>
          <bgColor theme="2"/>
        </patternFill>
      </fill>
    </dxf>
    <dxf>
      <fill>
        <patternFill>
          <bgColor rgb="FFFFDFB3"/>
        </patternFill>
      </fill>
    </dxf>
    <dxf>
      <fill>
        <patternFill>
          <bgColor rgb="FFFFC97F"/>
        </patternFill>
      </fill>
    </dxf>
    <dxf>
      <fill>
        <patternFill>
          <bgColor rgb="FFFFAE3F"/>
        </patternFill>
      </fill>
    </dxf>
    <dxf>
      <fill>
        <patternFill>
          <bgColor rgb="FFFF9300"/>
        </patternFill>
      </fill>
    </dxf>
    <dxf>
      <fill>
        <patternFill>
          <bgColor rgb="FFFF7D00"/>
        </patternFill>
      </fill>
    </dxf>
    <dxf>
      <fill>
        <patternFill>
          <bgColor theme="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/>
        </patternFill>
      </fill>
    </dxf>
    <dxf>
      <fill>
        <patternFill>
          <bgColor theme="8" tint="-0.24994659260841701"/>
        </patternFill>
      </fill>
    </dxf>
    <dxf>
      <fill>
        <patternFill>
          <bgColor theme="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rgb="FF46D55A"/>
        </patternFill>
      </fill>
    </dxf>
    <dxf>
      <fill>
        <patternFill>
          <bgColor rgb="FF00B050"/>
        </patternFill>
      </fill>
    </dxf>
    <dxf>
      <fill>
        <patternFill>
          <bgColor rgb="FF008F01"/>
        </patternFill>
      </fill>
    </dxf>
    <dxf>
      <fill>
        <patternFill>
          <bgColor rgb="FFFFD579"/>
        </patternFill>
      </fill>
    </dxf>
    <dxf>
      <fill>
        <patternFill>
          <bgColor theme="8" tint="0.79998168889431442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1"/>
      </font>
      <fill>
        <patternFill patternType="none">
          <bgColor auto="1"/>
        </patternFill>
      </fill>
      <border>
        <top style="thin">
          <color auto="1"/>
        </top>
      </border>
    </dxf>
    <dxf>
      <font>
        <b/>
        <i val="0"/>
        <color theme="0"/>
      </font>
      <fill>
        <patternFill>
          <bgColor rgb="FFFF9300"/>
        </patternFill>
      </fill>
    </dxf>
    <dxf>
      <font>
        <b/>
        <i val="0"/>
        <color theme="0"/>
      </font>
      <fill>
        <patternFill>
          <bgColor theme="8" tint="0.39994506668294322"/>
        </patternFill>
      </fill>
    </dxf>
    <dxf>
      <font>
        <b/>
        <i val="0"/>
        <color theme="0"/>
      </font>
      <fill>
        <patternFill>
          <bgColor theme="9" tint="0.39994506668294322"/>
        </patternFill>
      </fill>
    </dxf>
    <dxf>
      <font>
        <color theme="2" tint="-0.499984740745262"/>
      </font>
      <numFmt numFmtId="169" formatCode="\→\ d\.\ mmm\.\ yyyy"/>
    </dxf>
    <dxf>
      <font>
        <b/>
        <i val="0"/>
        <color theme="9"/>
      </font>
      <numFmt numFmtId="170" formatCode="#,##0_ ;[Red]\-#,##0\ "/>
    </dxf>
    <dxf>
      <font>
        <b/>
        <i val="0"/>
        <color rgb="FFFF0000"/>
      </font>
    </dxf>
    <dxf>
      <font>
        <b/>
        <i val="0"/>
        <color rgb="FFFF0000"/>
      </font>
    </dxf>
    <dxf>
      <font>
        <color theme="1"/>
      </font>
      <fill>
        <patternFill>
          <bgColor rgb="FFFFD579"/>
        </patternFill>
      </fill>
    </dxf>
    <dxf>
      <font>
        <color theme="1"/>
      </font>
      <fill>
        <patternFill>
          <bgColor theme="8" tint="0.7999816888943144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rgb="FFFF0000"/>
      </font>
    </dxf>
    <dxf>
      <font>
        <color theme="6" tint="0.39994506668294322"/>
      </font>
    </dxf>
    <dxf>
      <font>
        <color theme="0" tint="-0.24994659260841701"/>
      </font>
    </dxf>
    <dxf>
      <font>
        <color theme="1"/>
      </font>
      <fill>
        <patternFill>
          <bgColor rgb="FFFFD579"/>
        </patternFill>
      </fill>
    </dxf>
    <dxf>
      <font>
        <color theme="1"/>
      </font>
      <fill>
        <patternFill>
          <bgColor theme="8" tint="0.7999816888943144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rgb="FFFF0000"/>
      </font>
    </dxf>
    <dxf>
      <font>
        <color theme="6" tint="0.39994506668294322"/>
      </font>
    </dxf>
    <dxf>
      <font>
        <color theme="0" tint="-0.24994659260841701"/>
      </font>
    </dxf>
    <dxf>
      <font>
        <color theme="1"/>
      </font>
      <fill>
        <patternFill>
          <bgColor rgb="FFFFD579"/>
        </patternFill>
      </fill>
    </dxf>
    <dxf>
      <font>
        <color theme="1"/>
      </font>
      <fill>
        <patternFill>
          <bgColor theme="8" tint="0.7999816888943144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rgb="FFFF0000"/>
      </font>
    </dxf>
    <dxf>
      <font>
        <color theme="6" tint="0.39994506668294322"/>
      </font>
    </dxf>
    <dxf>
      <font>
        <color theme="0" tint="-0.24994659260841701"/>
      </font>
    </dxf>
    <dxf>
      <font>
        <color theme="1"/>
      </font>
      <fill>
        <patternFill>
          <bgColor rgb="FFFFD579"/>
        </patternFill>
      </fill>
    </dxf>
    <dxf>
      <font>
        <color theme="1"/>
      </font>
      <fill>
        <patternFill>
          <bgColor theme="8" tint="0.7999816888943144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rgb="FFFF0000"/>
      </font>
    </dxf>
    <dxf>
      <font>
        <color theme="6" tint="0.39994506668294322"/>
      </font>
    </dxf>
    <dxf>
      <font>
        <color theme="0" tint="-0.24994659260841701"/>
      </font>
    </dxf>
    <dxf>
      <font>
        <color theme="1"/>
      </font>
      <fill>
        <patternFill>
          <bgColor rgb="FFFFD579"/>
        </patternFill>
      </fill>
    </dxf>
    <dxf>
      <font>
        <color theme="1"/>
      </font>
      <fill>
        <patternFill>
          <bgColor theme="8" tint="0.7999816888943144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rgb="FFFF0000"/>
      </font>
    </dxf>
    <dxf>
      <font>
        <color theme="6" tint="0.39994506668294322"/>
      </font>
    </dxf>
    <dxf>
      <font>
        <color theme="0" tint="-0.24994659260841701"/>
      </font>
    </dxf>
    <dxf>
      <font>
        <color theme="1"/>
      </font>
      <fill>
        <patternFill>
          <bgColor rgb="FFFFD579"/>
        </patternFill>
      </fill>
    </dxf>
    <dxf>
      <font>
        <color theme="1"/>
      </font>
      <fill>
        <patternFill>
          <bgColor theme="8" tint="0.7999816888943144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rgb="FFFF0000"/>
      </font>
    </dxf>
    <dxf>
      <font>
        <color theme="6" tint="0.39994506668294322"/>
      </font>
    </dxf>
    <dxf>
      <font>
        <color theme="0" tint="-0.24994659260841701"/>
      </font>
    </dxf>
    <dxf>
      <font>
        <color theme="1"/>
      </font>
      <fill>
        <patternFill>
          <bgColor rgb="FFFFD579"/>
        </patternFill>
      </fill>
    </dxf>
    <dxf>
      <font>
        <color theme="1"/>
      </font>
      <fill>
        <patternFill>
          <bgColor theme="8" tint="0.7999816888943144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rgb="FFFF0000"/>
      </font>
    </dxf>
    <dxf>
      <font>
        <color theme="6" tint="0.39994506668294322"/>
      </font>
    </dxf>
    <dxf>
      <font>
        <color theme="0" tint="-0.24994659260841701"/>
      </font>
    </dxf>
    <dxf>
      <font>
        <color theme="1"/>
      </font>
      <fill>
        <patternFill>
          <bgColor rgb="FFFFD579"/>
        </patternFill>
      </fill>
    </dxf>
    <dxf>
      <font>
        <color theme="1"/>
      </font>
      <fill>
        <patternFill>
          <bgColor theme="8" tint="0.7999816888943144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rgb="FFFF0000"/>
      </font>
    </dxf>
    <dxf>
      <font>
        <color theme="6" tint="0.39994506668294322"/>
      </font>
    </dxf>
    <dxf>
      <font>
        <color theme="0" tint="-0.24994659260841701"/>
      </font>
    </dxf>
    <dxf>
      <font>
        <color rgb="FFFF0000"/>
      </font>
    </dxf>
    <dxf>
      <font>
        <color theme="6" tint="0.39994506668294322"/>
      </font>
    </dxf>
    <dxf>
      <font>
        <color theme="0" tint="-0.24994659260841701"/>
      </font>
    </dxf>
    <dxf>
      <font>
        <color theme="1"/>
      </font>
      <fill>
        <patternFill>
          <bgColor rgb="FFFFD579"/>
        </patternFill>
      </fill>
    </dxf>
    <dxf>
      <font>
        <color theme="1"/>
      </font>
      <fill>
        <patternFill>
          <bgColor theme="8" tint="0.7999816888943144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2" tint="-0.499984740745262"/>
      </font>
      <fill>
        <patternFill>
          <bgColor theme="0" tint="-0.14996795556505021"/>
        </patternFill>
      </fill>
    </dxf>
    <dxf>
      <font>
        <strike val="0"/>
        <outline val="0"/>
        <shadow val="0"/>
        <u val="none"/>
        <vertAlign val="baseline"/>
        <sz val="12"/>
        <color theme="0" tint="-0.14999847407452621"/>
        <name val="Arial"/>
        <family val="2"/>
        <scheme val="minor"/>
      </font>
      <numFmt numFmtId="166" formatCode="d\.\ mmm\.\ yyyy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 tint="-0.14999847407452621"/>
        <name val="Arial"/>
        <family val="2"/>
        <scheme val="minor"/>
      </font>
      <numFmt numFmtId="33" formatCode="_-* #,##0_-;\-* #,##0_-;_-* &quot;-&quot;_-;_-@_-"/>
      <alignment horizontal="left" vertical="bottom" textRotation="0" wrapText="0" relativeIndent="-1" justifyLastLine="0" shrinkToFit="0" readingOrder="0"/>
    </dxf>
    <dxf>
      <font>
        <strike val="0"/>
        <outline val="0"/>
        <shadow val="0"/>
        <u val="none"/>
        <vertAlign val="baseline"/>
        <sz val="12"/>
        <color theme="0" tint="-0.499984740745262"/>
        <name val="Arial"/>
        <family val="2"/>
        <scheme val="minor"/>
      </font>
      <alignment horizontal="left" vertical="bottom" textRotation="0" wrapText="0" relativeIndent="-1" justifyLastLine="0" shrinkToFit="0" readingOrder="0"/>
    </dxf>
    <dxf>
      <numFmt numFmtId="33" formatCode="_-* #,##0_-;\-* #,##0_-;_-* &quot;-&quot;_-;_-@_-"/>
      <alignment horizontal="left" vertical="bottom" textRotation="0" wrapText="0" relativeIndent="-1" justifyLastLine="0" shrinkToFit="0" readingOrder="0"/>
    </dxf>
    <dxf>
      <alignment horizontal="left" vertical="bottom" textRotation="0" wrapText="0" relativeIndent="-1" justifyLastLine="0" shrinkToFit="0" readingOrder="0"/>
    </dxf>
    <dxf>
      <alignment horizontal="left" vertical="bottom" textRotation="0" wrapText="0" relativeIndent="-1" justifyLastLine="0" shrinkToFit="0" readingOrder="0"/>
    </dxf>
    <dxf>
      <numFmt numFmtId="166" formatCode="d\.\ mmm\.\ yyyy"/>
      <alignment horizontal="left" vertical="bottom" textRotation="0" wrapText="0" relativeIndent="-1" justifyLastLine="0" shrinkToFit="0" readingOrder="0"/>
    </dxf>
    <dxf>
      <alignment horizontal="left" vertical="bottom" textRotation="0" wrapText="0" relativeIndent="-1" justifyLastLine="0" shrinkToFit="0" readingOrder="0"/>
    </dxf>
    <dxf>
      <alignment horizontal="left" vertical="center" textRotation="0" wrapText="0" relativeIndent="-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499984740745262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499984740745262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499984740745262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499984740745262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499984740745262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499984740745262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b/>
        <i val="0"/>
        <color theme="0"/>
      </font>
      <fill>
        <patternFill>
          <bgColor rgb="FFFF9300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/>
        <i val="0"/>
        <color theme="0"/>
      </font>
      <fill>
        <patternFill>
          <bgColor theme="9" tint="0.39994506668294322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/>
        <i val="0"/>
        <color theme="0"/>
      </font>
      <fill>
        <patternFill>
          <bgColor theme="8" tint="0.39994506668294322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4" defaultTableStyle="TableStyleMedium2" defaultPivotStyle="PivotStyleLight16">
    <tableStyle name="Expenses Table Style" pivot="0" count="2" xr9:uid="{699AC78B-C417-944B-8D17-05BAF6547E34}">
      <tableStyleElement type="wholeTable" dxfId="116"/>
      <tableStyleElement type="headerRow" dxfId="115"/>
    </tableStyle>
    <tableStyle name="Income Table Style" pivot="0" count="2" xr9:uid="{D14FD1A9-E747-044C-B816-0986996DF24B}">
      <tableStyleElement type="wholeTable" dxfId="114"/>
      <tableStyleElement type="headerRow" dxfId="113"/>
    </tableStyle>
    <tableStyle name="Savings Table Style" pivot="0" count="2" xr9:uid="{CA18A822-25F2-D340-9FED-F44FDA029F87}">
      <tableStyleElement type="wholeTable" dxfId="112"/>
      <tableStyleElement type="headerRow" dxfId="111"/>
    </tableStyle>
    <tableStyle name="Tracking Table Style" pivot="0" count="3" xr9:uid="{CD24D90F-AB68-6F4D-893B-FA8067C53A6B}">
      <tableStyleElement type="wholeTable" dxfId="110"/>
      <tableStyleElement type="headerRow" dxfId="109"/>
      <tableStyleElement type="secondRowStripe" dxfId="108"/>
    </tableStyle>
  </tableStyles>
  <colors>
    <mruColors>
      <color rgb="FFFF7D00"/>
      <color rgb="FFFF9403"/>
      <color rgb="FFFFAE3F"/>
      <color rgb="FFFFDFB3"/>
      <color rgb="FFFFC97F"/>
      <color rgb="FFFF9300"/>
      <color rgb="FFFF8900"/>
      <color rgb="FFDB7F03"/>
      <color rgb="FFFFD579"/>
      <color rgb="FF008F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320-1748-9181-0A24A94112E8}"/>
              </c:ext>
            </c:extLst>
          </c:dPt>
          <c:dPt>
            <c:idx val="2"/>
            <c:invertIfNegative val="0"/>
            <c:bubble3D val="0"/>
            <c:spPr>
              <a:solidFill>
                <a:srgbClr val="FFC97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0320-1748-9181-0A24A94112E8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320-1748-9181-0A24A94112E8}"/>
              </c:ext>
            </c:extLst>
          </c:dPt>
          <c:dPt>
            <c:idx val="6"/>
            <c:invertIfNegative val="0"/>
            <c:bubble3D val="0"/>
            <c:spPr>
              <a:solidFill>
                <a:srgbClr val="FFC97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0320-1748-9181-0A24A94112E8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0320-1748-9181-0A24A94112E8}"/>
              </c:ext>
            </c:extLst>
          </c:dPt>
          <c:dPt>
            <c:idx val="10"/>
            <c:invertIfNegative val="0"/>
            <c:bubble3D val="0"/>
            <c:spPr>
              <a:solidFill>
                <a:srgbClr val="FFC97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0-0320-1748-9181-0A24A94112E8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320-1748-9181-0A24A94112E8}"/>
              </c:ext>
            </c:extLst>
          </c:dPt>
          <c:dPt>
            <c:idx val="14"/>
            <c:invertIfNegative val="0"/>
            <c:bubble3D val="0"/>
            <c:spPr>
              <a:solidFill>
                <a:srgbClr val="FFC97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0320-1748-9181-0A24A94112E8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0320-1748-9181-0A24A94112E8}"/>
              </c:ext>
            </c:extLst>
          </c:dPt>
          <c:dPt>
            <c:idx val="18"/>
            <c:invertIfNegative val="0"/>
            <c:bubble3D val="0"/>
            <c:spPr>
              <a:solidFill>
                <a:srgbClr val="FFC97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4-0320-1748-9181-0A24A94112E8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0320-1748-9181-0A24A94112E8}"/>
              </c:ext>
            </c:extLst>
          </c:dPt>
          <c:dPt>
            <c:idx val="22"/>
            <c:invertIfNegative val="0"/>
            <c:bubble3D val="0"/>
            <c:spPr>
              <a:solidFill>
                <a:srgbClr val="FFC97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0320-1748-9181-0A24A94112E8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320-1748-9181-0A24A94112E8}"/>
              </c:ext>
            </c:extLst>
          </c:dPt>
          <c:dPt>
            <c:idx val="26"/>
            <c:invertIfNegative val="0"/>
            <c:bubble3D val="0"/>
            <c:spPr>
              <a:solidFill>
                <a:srgbClr val="FFC97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6-0320-1748-9181-0A24A94112E8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0320-1748-9181-0A24A94112E8}"/>
              </c:ext>
            </c:extLst>
          </c:dPt>
          <c:dPt>
            <c:idx val="30"/>
            <c:invertIfNegative val="0"/>
            <c:bubble3D val="0"/>
            <c:spPr>
              <a:solidFill>
                <a:srgbClr val="FFC97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0320-1748-9181-0A24A94112E8}"/>
              </c:ext>
            </c:extLst>
          </c:dPt>
          <c:dPt>
            <c:idx val="33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4-0320-1748-9181-0A24A94112E8}"/>
              </c:ext>
            </c:extLst>
          </c:dPt>
          <c:dPt>
            <c:idx val="34"/>
            <c:invertIfNegative val="0"/>
            <c:bubble3D val="0"/>
            <c:spPr>
              <a:solidFill>
                <a:srgbClr val="FFC97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8-0320-1748-9181-0A24A94112E8}"/>
              </c:ext>
            </c:extLst>
          </c:dPt>
          <c:dPt>
            <c:idx val="37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0320-1748-9181-0A24A94112E8}"/>
              </c:ext>
            </c:extLst>
          </c:dPt>
          <c:dPt>
            <c:idx val="38"/>
            <c:invertIfNegative val="0"/>
            <c:bubble3D val="0"/>
            <c:spPr>
              <a:solidFill>
                <a:srgbClr val="FFC97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0320-1748-9181-0A24A94112E8}"/>
              </c:ext>
            </c:extLst>
          </c:dPt>
          <c:dPt>
            <c:idx val="41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A-0320-1748-9181-0A24A94112E8}"/>
              </c:ext>
            </c:extLst>
          </c:dPt>
          <c:dPt>
            <c:idx val="42"/>
            <c:invertIfNegative val="0"/>
            <c:bubble3D val="0"/>
            <c:spPr>
              <a:solidFill>
                <a:srgbClr val="FFC97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A-0320-1748-9181-0A24A94112E8}"/>
              </c:ext>
            </c:extLst>
          </c:dPt>
          <c:dPt>
            <c:idx val="45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0320-1748-9181-0A24A94112E8}"/>
              </c:ext>
            </c:extLst>
          </c:dPt>
          <c:dPt>
            <c:idx val="46"/>
            <c:invertIfNegative val="0"/>
            <c:bubble3D val="0"/>
            <c:spPr>
              <a:solidFill>
                <a:srgbClr val="FFC97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0320-1748-9181-0A24A94112E8}"/>
              </c:ext>
            </c:extLst>
          </c:dPt>
          <c:cat>
            <c:numRef>
              <c:f>Calculations!$D$55:$D$102</c:f>
              <c:numCache>
                <c:formatCode>mmm</c:formatCode>
                <c:ptCount val="48"/>
                <c:pt idx="0">
                  <c:v>45292</c:v>
                </c:pt>
                <c:pt idx="4">
                  <c:v>45323</c:v>
                </c:pt>
                <c:pt idx="8">
                  <c:v>45352</c:v>
                </c:pt>
                <c:pt idx="12">
                  <c:v>45383</c:v>
                </c:pt>
                <c:pt idx="16">
                  <c:v>45413</c:v>
                </c:pt>
                <c:pt idx="20">
                  <c:v>45444</c:v>
                </c:pt>
                <c:pt idx="24">
                  <c:v>45474</c:v>
                </c:pt>
                <c:pt idx="28">
                  <c:v>45505</c:v>
                </c:pt>
                <c:pt idx="32">
                  <c:v>45536</c:v>
                </c:pt>
                <c:pt idx="36">
                  <c:v>45566</c:v>
                </c:pt>
                <c:pt idx="40">
                  <c:v>45597</c:v>
                </c:pt>
                <c:pt idx="44">
                  <c:v>45627</c:v>
                </c:pt>
              </c:numCache>
            </c:numRef>
          </c:cat>
          <c:val>
            <c:numRef>
              <c:f>Calculations!$M$55:$M$102</c:f>
              <c:numCache>
                <c:formatCode>_(* #,##0_);_(* \(#,##0\);_(* "-"_);_(@_)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22000</c:v>
                </c:pt>
                <c:pt idx="41">
                  <c:v>14490</c:v>
                </c:pt>
                <c:pt idx="42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20-1748-9181-0A24A94112E8}"/>
            </c:ext>
          </c:extLst>
        </c:ser>
        <c:ser>
          <c:idx val="1"/>
          <c:order val="1"/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320-1748-9181-0A24A94112E8}"/>
              </c:ext>
            </c:extLst>
          </c:dPt>
          <c:dPt>
            <c:idx val="2"/>
            <c:invertIfNegative val="0"/>
            <c:bubble3D val="0"/>
            <c:spPr>
              <a:solidFill>
                <a:srgbClr val="FFDFB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0320-1748-9181-0A24A94112E8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0320-1748-9181-0A24A94112E8}"/>
              </c:ext>
            </c:extLst>
          </c:dPt>
          <c:dPt>
            <c:idx val="6"/>
            <c:invertIfNegative val="0"/>
            <c:bubble3D val="0"/>
            <c:spPr>
              <a:solidFill>
                <a:srgbClr val="FFDFB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0320-1748-9181-0A24A94112E8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320-1748-9181-0A24A94112E8}"/>
              </c:ext>
            </c:extLst>
          </c:dPt>
          <c:dPt>
            <c:idx val="10"/>
            <c:invertIfNegative val="0"/>
            <c:bubble3D val="0"/>
            <c:spPr>
              <a:solidFill>
                <a:srgbClr val="FFDFB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0320-1748-9181-0A24A94112E8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0320-1748-9181-0A24A94112E8}"/>
              </c:ext>
            </c:extLst>
          </c:dPt>
          <c:dPt>
            <c:idx val="14"/>
            <c:invertIfNegative val="0"/>
            <c:bubble3D val="0"/>
            <c:spPr>
              <a:solidFill>
                <a:srgbClr val="FFDFB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C-0320-1748-9181-0A24A94112E8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320-1748-9181-0A24A94112E8}"/>
              </c:ext>
            </c:extLst>
          </c:dPt>
          <c:dPt>
            <c:idx val="18"/>
            <c:invertIfNegative val="0"/>
            <c:bubble3D val="0"/>
            <c:spPr>
              <a:solidFill>
                <a:srgbClr val="FFDFB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0320-1748-9181-0A24A94112E8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0320-1748-9181-0A24A94112E8}"/>
              </c:ext>
            </c:extLst>
          </c:dPt>
          <c:dPt>
            <c:idx val="22"/>
            <c:invertIfNegative val="0"/>
            <c:bubble3D val="0"/>
            <c:spPr>
              <a:solidFill>
                <a:srgbClr val="FFDFB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E-0320-1748-9181-0A24A94112E8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0320-1748-9181-0A24A94112E8}"/>
              </c:ext>
            </c:extLst>
          </c:dPt>
          <c:dPt>
            <c:idx val="26"/>
            <c:invertIfNegative val="0"/>
            <c:bubble3D val="0"/>
            <c:spPr>
              <a:solidFill>
                <a:srgbClr val="FFDFB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0320-1748-9181-0A24A94112E8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0320-1748-9181-0A24A94112E8}"/>
              </c:ext>
            </c:extLst>
          </c:dPt>
          <c:dPt>
            <c:idx val="30"/>
            <c:invertIfNegative val="0"/>
            <c:bubble3D val="0"/>
            <c:spPr>
              <a:solidFill>
                <a:srgbClr val="FFDFB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0-0320-1748-9181-0A24A94112E8}"/>
              </c:ext>
            </c:extLst>
          </c:dPt>
          <c:dPt>
            <c:idx val="33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0320-1748-9181-0A24A94112E8}"/>
              </c:ext>
            </c:extLst>
          </c:dPt>
          <c:dPt>
            <c:idx val="34"/>
            <c:invertIfNegative val="0"/>
            <c:bubble3D val="0"/>
            <c:spPr>
              <a:solidFill>
                <a:srgbClr val="FFDFB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0320-1748-9181-0A24A94112E8}"/>
              </c:ext>
            </c:extLst>
          </c:dPt>
          <c:dPt>
            <c:idx val="37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8-0320-1748-9181-0A24A94112E8}"/>
              </c:ext>
            </c:extLst>
          </c:dPt>
          <c:dPt>
            <c:idx val="38"/>
            <c:invertIfNegative val="0"/>
            <c:bubble3D val="0"/>
            <c:spPr>
              <a:solidFill>
                <a:srgbClr val="FFDFB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2-0320-1748-9181-0A24A94112E8}"/>
              </c:ext>
            </c:extLst>
          </c:dPt>
          <c:dPt>
            <c:idx val="41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0320-1748-9181-0A24A94112E8}"/>
              </c:ext>
            </c:extLst>
          </c:dPt>
          <c:dPt>
            <c:idx val="42"/>
            <c:invertIfNegative val="0"/>
            <c:bubble3D val="0"/>
            <c:spPr>
              <a:solidFill>
                <a:srgbClr val="FFDFB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0320-1748-9181-0A24A94112E8}"/>
              </c:ext>
            </c:extLst>
          </c:dPt>
          <c:dPt>
            <c:idx val="45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E-0320-1748-9181-0A24A94112E8}"/>
              </c:ext>
            </c:extLst>
          </c:dPt>
          <c:dPt>
            <c:idx val="46"/>
            <c:invertIfNegative val="0"/>
            <c:bubble3D val="0"/>
            <c:spPr>
              <a:solidFill>
                <a:srgbClr val="FFDFB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4-0320-1748-9181-0A24A94112E8}"/>
              </c:ext>
            </c:extLst>
          </c:dPt>
          <c:cat>
            <c:numRef>
              <c:f>Calculations!$D$55:$D$102</c:f>
              <c:numCache>
                <c:formatCode>mmm</c:formatCode>
                <c:ptCount val="48"/>
                <c:pt idx="0">
                  <c:v>45292</c:v>
                </c:pt>
                <c:pt idx="4">
                  <c:v>45323</c:v>
                </c:pt>
                <c:pt idx="8">
                  <c:v>45352</c:v>
                </c:pt>
                <c:pt idx="12">
                  <c:v>45383</c:v>
                </c:pt>
                <c:pt idx="16">
                  <c:v>45413</c:v>
                </c:pt>
                <c:pt idx="20">
                  <c:v>45444</c:v>
                </c:pt>
                <c:pt idx="24">
                  <c:v>45474</c:v>
                </c:pt>
                <c:pt idx="28">
                  <c:v>45505</c:v>
                </c:pt>
                <c:pt idx="32">
                  <c:v>45536</c:v>
                </c:pt>
                <c:pt idx="36">
                  <c:v>45566</c:v>
                </c:pt>
                <c:pt idx="40">
                  <c:v>45597</c:v>
                </c:pt>
                <c:pt idx="44">
                  <c:v>45627</c:v>
                </c:pt>
              </c:numCache>
            </c:numRef>
          </c:cat>
          <c:val>
            <c:numRef>
              <c:f>Calculations!$N$55:$N$102</c:f>
              <c:numCache>
                <c:formatCode>_(* #,##0_);_(* \(#,##0\);_(* "-"_);_(@_)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20-1748-9181-0A24A94112E8}"/>
            </c:ext>
          </c:extLst>
        </c:ser>
        <c:ser>
          <c:idx val="2"/>
          <c:order val="2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0320-1748-9181-0A24A94112E8}"/>
              </c:ext>
            </c:extLst>
          </c:dPt>
          <c:dPt>
            <c:idx val="2"/>
            <c:invertIfNegative val="0"/>
            <c:bubble3D val="0"/>
            <c:spPr>
              <a:solidFill>
                <a:srgbClr val="FFAE3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0320-1748-9181-0A24A94112E8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0320-1748-9181-0A24A94112E8}"/>
              </c:ext>
            </c:extLst>
          </c:dPt>
          <c:dPt>
            <c:idx val="6"/>
            <c:invertIfNegative val="0"/>
            <c:bubble3D val="0"/>
            <c:spPr>
              <a:solidFill>
                <a:srgbClr val="FFAE3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0320-1748-9181-0A24A94112E8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0320-1748-9181-0A24A94112E8}"/>
              </c:ext>
            </c:extLst>
          </c:dPt>
          <c:dPt>
            <c:idx val="10"/>
            <c:invertIfNegative val="0"/>
            <c:bubble3D val="0"/>
            <c:spPr>
              <a:solidFill>
                <a:srgbClr val="FFAE3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2-0320-1748-9181-0A24A94112E8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0320-1748-9181-0A24A94112E8}"/>
              </c:ext>
            </c:extLst>
          </c:dPt>
          <c:dPt>
            <c:idx val="14"/>
            <c:invertIfNegative val="0"/>
            <c:bubble3D val="0"/>
            <c:spPr>
              <a:solidFill>
                <a:srgbClr val="FFAE3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0320-1748-9181-0A24A94112E8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0320-1748-9181-0A24A94112E8}"/>
              </c:ext>
            </c:extLst>
          </c:dPt>
          <c:dPt>
            <c:idx val="18"/>
            <c:invertIfNegative val="0"/>
            <c:bubble3D val="0"/>
            <c:spPr>
              <a:solidFill>
                <a:srgbClr val="FFAE3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6-0320-1748-9181-0A24A94112E8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0320-1748-9181-0A24A94112E8}"/>
              </c:ext>
            </c:extLst>
          </c:dPt>
          <c:dPt>
            <c:idx val="22"/>
            <c:invertIfNegative val="0"/>
            <c:bubble3D val="0"/>
            <c:spPr>
              <a:solidFill>
                <a:srgbClr val="FFAE3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0320-1748-9181-0A24A94112E8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0320-1748-9181-0A24A94112E8}"/>
              </c:ext>
            </c:extLst>
          </c:dPt>
          <c:dPt>
            <c:idx val="26"/>
            <c:invertIfNegative val="0"/>
            <c:bubble3D val="0"/>
            <c:spPr>
              <a:solidFill>
                <a:srgbClr val="FFAE3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8-0320-1748-9181-0A24A94112E8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0320-1748-9181-0A24A94112E8}"/>
              </c:ext>
            </c:extLst>
          </c:dPt>
          <c:dPt>
            <c:idx val="30"/>
            <c:invertIfNegative val="0"/>
            <c:bubble3D val="0"/>
            <c:spPr>
              <a:solidFill>
                <a:srgbClr val="FFAE3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0320-1748-9181-0A24A94112E8}"/>
              </c:ext>
            </c:extLst>
          </c:dPt>
          <c:dPt>
            <c:idx val="33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6-0320-1748-9181-0A24A94112E8}"/>
              </c:ext>
            </c:extLst>
          </c:dPt>
          <c:dPt>
            <c:idx val="34"/>
            <c:invertIfNegative val="0"/>
            <c:bubble3D val="0"/>
            <c:spPr>
              <a:solidFill>
                <a:srgbClr val="FFAE3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A-0320-1748-9181-0A24A94112E8}"/>
              </c:ext>
            </c:extLst>
          </c:dPt>
          <c:dPt>
            <c:idx val="37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0320-1748-9181-0A24A94112E8}"/>
              </c:ext>
            </c:extLst>
          </c:dPt>
          <c:dPt>
            <c:idx val="38"/>
            <c:invertIfNegative val="0"/>
            <c:bubble3D val="0"/>
            <c:spPr>
              <a:solidFill>
                <a:srgbClr val="FFAE3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B-0320-1748-9181-0A24A94112E8}"/>
              </c:ext>
            </c:extLst>
          </c:dPt>
          <c:dPt>
            <c:idx val="4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C-0320-1748-9181-0A24A94112E8}"/>
              </c:ext>
            </c:extLst>
          </c:dPt>
          <c:dPt>
            <c:idx val="42"/>
            <c:invertIfNegative val="0"/>
            <c:bubble3D val="0"/>
            <c:spPr>
              <a:solidFill>
                <a:srgbClr val="FFAE3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C-0320-1748-9181-0A24A94112E8}"/>
              </c:ext>
            </c:extLst>
          </c:dPt>
          <c:dPt>
            <c:idx val="45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0320-1748-9181-0A24A94112E8}"/>
              </c:ext>
            </c:extLst>
          </c:dPt>
          <c:dPt>
            <c:idx val="46"/>
            <c:invertIfNegative val="0"/>
            <c:bubble3D val="0"/>
            <c:spPr>
              <a:solidFill>
                <a:srgbClr val="FFAE3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D-0320-1748-9181-0A24A94112E8}"/>
              </c:ext>
            </c:extLst>
          </c:dPt>
          <c:cat>
            <c:numRef>
              <c:f>Calculations!$D$55:$D$102</c:f>
              <c:numCache>
                <c:formatCode>mmm</c:formatCode>
                <c:ptCount val="48"/>
                <c:pt idx="0">
                  <c:v>45292</c:v>
                </c:pt>
                <c:pt idx="4">
                  <c:v>45323</c:v>
                </c:pt>
                <c:pt idx="8">
                  <c:v>45352</c:v>
                </c:pt>
                <c:pt idx="12">
                  <c:v>45383</c:v>
                </c:pt>
                <c:pt idx="16">
                  <c:v>45413</c:v>
                </c:pt>
                <c:pt idx="20">
                  <c:v>45444</c:v>
                </c:pt>
                <c:pt idx="24">
                  <c:v>45474</c:v>
                </c:pt>
                <c:pt idx="28">
                  <c:v>45505</c:v>
                </c:pt>
                <c:pt idx="32">
                  <c:v>45536</c:v>
                </c:pt>
                <c:pt idx="36">
                  <c:v>45566</c:v>
                </c:pt>
                <c:pt idx="40">
                  <c:v>45597</c:v>
                </c:pt>
                <c:pt idx="44">
                  <c:v>45627</c:v>
                </c:pt>
              </c:numCache>
            </c:numRef>
          </c:cat>
          <c:val>
            <c:numRef>
              <c:f>Calculations!$O$55:$O$102</c:f>
              <c:numCache>
                <c:formatCode>_(* #,##0_);_(* \(#,##0\);_(* "-"_);_(@_)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2">
                  <c:v>0</c:v>
                </c:pt>
                <c:pt idx="33">
                  <c:v>4863</c:v>
                </c:pt>
                <c:pt idx="34">
                  <c:v>100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2368</c:v>
                </c:pt>
                <c:pt idx="41">
                  <c:v>5009</c:v>
                </c:pt>
                <c:pt idx="42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20-1748-9181-0A24A94112E8}"/>
            </c:ext>
          </c:extLst>
        </c:ser>
        <c:ser>
          <c:idx val="3"/>
          <c:order val="3"/>
          <c:spPr>
            <a:solidFill>
              <a:schemeClr val="bg2"/>
            </a:solidFill>
            <a:ln>
              <a:noFill/>
            </a:ln>
            <a:effectLst/>
          </c:spPr>
          <c:invertIfNegative val="0"/>
          <c:cat>
            <c:numRef>
              <c:f>Calculations!$D$55:$D$102</c:f>
              <c:numCache>
                <c:formatCode>mmm</c:formatCode>
                <c:ptCount val="48"/>
                <c:pt idx="0">
                  <c:v>45292</c:v>
                </c:pt>
                <c:pt idx="4">
                  <c:v>45323</c:v>
                </c:pt>
                <c:pt idx="8">
                  <c:v>45352</c:v>
                </c:pt>
                <c:pt idx="12">
                  <c:v>45383</c:v>
                </c:pt>
                <c:pt idx="16">
                  <c:v>45413</c:v>
                </c:pt>
                <c:pt idx="20">
                  <c:v>45444</c:v>
                </c:pt>
                <c:pt idx="24">
                  <c:v>45474</c:v>
                </c:pt>
                <c:pt idx="28">
                  <c:v>45505</c:v>
                </c:pt>
                <c:pt idx="32">
                  <c:v>45536</c:v>
                </c:pt>
                <c:pt idx="36">
                  <c:v>45566</c:v>
                </c:pt>
                <c:pt idx="40">
                  <c:v>45597</c:v>
                </c:pt>
                <c:pt idx="44">
                  <c:v>45627</c:v>
                </c:pt>
              </c:numCache>
            </c:numRef>
          </c:cat>
          <c:val>
            <c:numRef>
              <c:f>Calculations!$P$55:$P$102</c:f>
              <c:numCache>
                <c:formatCode>_(* #,##0_);_(* \(#,##0\);_(* "-"_);_(@_)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17292</c:v>
                </c:pt>
                <c:pt idx="25">
                  <c:v>16947</c:v>
                </c:pt>
                <c:pt idx="26">
                  <c:v>0</c:v>
                </c:pt>
                <c:pt idx="28">
                  <c:v>11500</c:v>
                </c:pt>
                <c:pt idx="29">
                  <c:v>7919</c:v>
                </c:pt>
                <c:pt idx="30">
                  <c:v>0</c:v>
                </c:pt>
                <c:pt idx="32">
                  <c:v>20000</c:v>
                </c:pt>
                <c:pt idx="33">
                  <c:v>19800</c:v>
                </c:pt>
                <c:pt idx="34">
                  <c:v>0</c:v>
                </c:pt>
                <c:pt idx="36">
                  <c:v>12911.8</c:v>
                </c:pt>
                <c:pt idx="37">
                  <c:v>18727.449999999997</c:v>
                </c:pt>
                <c:pt idx="38">
                  <c:v>1800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320-1748-9181-0A24A94112E8}"/>
            </c:ext>
          </c:extLst>
        </c:ser>
        <c:ser>
          <c:idx val="4"/>
          <c:order val="4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  <c:invertIfNegative val="0"/>
          <c:cat>
            <c:numRef>
              <c:f>Calculations!$D$55:$D$102</c:f>
              <c:numCache>
                <c:formatCode>mmm</c:formatCode>
                <c:ptCount val="48"/>
                <c:pt idx="0">
                  <c:v>45292</c:v>
                </c:pt>
                <c:pt idx="4">
                  <c:v>45323</c:v>
                </c:pt>
                <c:pt idx="8">
                  <c:v>45352</c:v>
                </c:pt>
                <c:pt idx="12">
                  <c:v>45383</c:v>
                </c:pt>
                <c:pt idx="16">
                  <c:v>45413</c:v>
                </c:pt>
                <c:pt idx="20">
                  <c:v>45444</c:v>
                </c:pt>
                <c:pt idx="24">
                  <c:v>45474</c:v>
                </c:pt>
                <c:pt idx="28">
                  <c:v>45505</c:v>
                </c:pt>
                <c:pt idx="32">
                  <c:v>45536</c:v>
                </c:pt>
                <c:pt idx="36">
                  <c:v>45566</c:v>
                </c:pt>
                <c:pt idx="40">
                  <c:v>45597</c:v>
                </c:pt>
                <c:pt idx="44">
                  <c:v>45627</c:v>
                </c:pt>
              </c:numCache>
            </c:numRef>
          </c:cat>
          <c:val>
            <c:numRef>
              <c:f>Calculations!$Q$55:$Q$102</c:f>
              <c:numCache>
                <c:formatCode>_(* #,##0_);_(* \(#,##0\);_(* "-"_);_(@_)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6363</c:v>
                </c:pt>
                <c:pt idx="25">
                  <c:v>6208</c:v>
                </c:pt>
                <c:pt idx="26">
                  <c:v>500</c:v>
                </c:pt>
                <c:pt idx="28">
                  <c:v>0</c:v>
                </c:pt>
                <c:pt idx="29">
                  <c:v>3381</c:v>
                </c:pt>
                <c:pt idx="30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6">
                  <c:v>11088.2</c:v>
                </c:pt>
                <c:pt idx="37">
                  <c:v>1272.5500000000029</c:v>
                </c:pt>
                <c:pt idx="38">
                  <c:v>2000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4">
                  <c:v>18510</c:v>
                </c:pt>
                <c:pt idx="45">
                  <c:v>12490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320-1748-9181-0A24A94112E8}"/>
            </c:ext>
          </c:extLst>
        </c:ser>
        <c:ser>
          <c:idx val="5"/>
          <c:order val="5"/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numRef>
              <c:f>Calculations!$D$55:$D$102</c:f>
              <c:numCache>
                <c:formatCode>mmm</c:formatCode>
                <c:ptCount val="48"/>
                <c:pt idx="0">
                  <c:v>45292</c:v>
                </c:pt>
                <c:pt idx="4">
                  <c:v>45323</c:v>
                </c:pt>
                <c:pt idx="8">
                  <c:v>45352</c:v>
                </c:pt>
                <c:pt idx="12">
                  <c:v>45383</c:v>
                </c:pt>
                <c:pt idx="16">
                  <c:v>45413</c:v>
                </c:pt>
                <c:pt idx="20">
                  <c:v>45444</c:v>
                </c:pt>
                <c:pt idx="24">
                  <c:v>45474</c:v>
                </c:pt>
                <c:pt idx="28">
                  <c:v>45505</c:v>
                </c:pt>
                <c:pt idx="32">
                  <c:v>45536</c:v>
                </c:pt>
                <c:pt idx="36">
                  <c:v>45566</c:v>
                </c:pt>
                <c:pt idx="40">
                  <c:v>45597</c:v>
                </c:pt>
                <c:pt idx="44">
                  <c:v>45627</c:v>
                </c:pt>
              </c:numCache>
            </c:numRef>
          </c:cat>
          <c:val>
            <c:numRef>
              <c:f>Calculations!$R$55:$R$102</c:f>
              <c:numCache>
                <c:formatCode>_(* #,##0_);_(* \(#,##0\);_(* "-"_);_(@_)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8">
                  <c:v>1905</c:v>
                </c:pt>
                <c:pt idx="29">
                  <c:v>0</c:v>
                </c:pt>
                <c:pt idx="30">
                  <c:v>0</c:v>
                </c:pt>
                <c:pt idx="32">
                  <c:v>494</c:v>
                </c:pt>
                <c:pt idx="33">
                  <c:v>4863</c:v>
                </c:pt>
                <c:pt idx="34">
                  <c:v>100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320-1748-9181-0A24A9411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overlap val="100"/>
        <c:axId val="1405873231"/>
        <c:axId val="2091467711"/>
      </c:barChart>
      <c:catAx>
        <c:axId val="1405873231"/>
        <c:scaling>
          <c:orientation val="minMax"/>
        </c:scaling>
        <c:delete val="0"/>
        <c:axPos val="b"/>
        <c:numFmt formatCode="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K"/>
          </a:p>
        </c:txPr>
        <c:crossAx val="2091467711"/>
        <c:crosses val="autoZero"/>
        <c:auto val="0"/>
        <c:lblAlgn val="ctr"/>
        <c:lblOffset val="100"/>
        <c:noMultiLvlLbl val="0"/>
      </c:catAx>
      <c:valAx>
        <c:axId val="2091467711"/>
        <c:scaling>
          <c:orientation val="minMax"/>
        </c:scaling>
        <c:delete val="0"/>
        <c:axPos val="l"/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K"/>
          </a:p>
        </c:txPr>
        <c:crossAx val="1405873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008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690-394B-A6D5-C8A88C571F30}"/>
              </c:ext>
            </c:extLst>
          </c:dPt>
          <c:dPt>
            <c:idx val="1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690-394B-A6D5-C8A88C571F30}"/>
              </c:ext>
            </c:extLst>
          </c:dPt>
          <c:dPt>
            <c:idx val="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690-394B-A6D5-C8A88C571F30}"/>
              </c:ext>
            </c:extLst>
          </c:dPt>
          <c:dPt>
            <c:idx val="3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690-394B-A6D5-C8A88C571F30}"/>
              </c:ext>
            </c:extLst>
          </c:dPt>
          <c:dPt>
            <c:idx val="4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690-394B-A6D5-C8A88C571F30}"/>
              </c:ext>
            </c:extLst>
          </c:dPt>
          <c:dPt>
            <c:idx val="5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690-394B-A6D5-C8A88C571F30}"/>
              </c:ext>
            </c:extLst>
          </c:dPt>
          <c:cat>
            <c:strRef>
              <c:f>Calculations!$E$35:$E$40</c:f>
              <c:strCache>
                <c:ptCount val="2"/>
                <c:pt idx="0">
                  <c:v>Dividents</c:v>
                </c:pt>
                <c:pt idx="1">
                  <c:v>Employment</c:v>
                </c:pt>
              </c:strCache>
            </c:strRef>
          </c:cat>
          <c:val>
            <c:numRef>
              <c:f>Calculations!$F$35:$F$40</c:f>
              <c:numCache>
                <c:formatCode>_(* #,##0_);_(* \(#,##0\);_(* "-"_);_(@_)</c:formatCode>
                <c:ptCount val="6"/>
                <c:pt idx="0">
                  <c:v>13251</c:v>
                </c:pt>
                <c:pt idx="1">
                  <c:v>11117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690-394B-A6D5-C8A88C571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S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48E-BB40-A3E5-928D892BADA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48E-BB40-A3E5-928D892BADAF}"/>
              </c:ext>
            </c:extLst>
          </c:dPt>
          <c:dPt>
            <c:idx val="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48E-BB40-A3E5-928D892BADAF}"/>
              </c:ext>
            </c:extLst>
          </c:dPt>
          <c:dPt>
            <c:idx val="3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48E-BB40-A3E5-928D892BADAF}"/>
              </c:ext>
            </c:extLst>
          </c:dPt>
          <c:dPt>
            <c:idx val="4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48E-BB40-A3E5-928D892BADAF}"/>
              </c:ext>
            </c:extLst>
          </c:dPt>
          <c:dPt>
            <c:idx val="5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48E-BB40-A3E5-928D892BADAF}"/>
              </c:ext>
            </c:extLst>
          </c:dPt>
          <c:cat>
            <c:strRef>
              <c:f>Calculations!$I$35:$I$40</c:f>
              <c:strCache>
                <c:ptCount val="6"/>
                <c:pt idx="0">
                  <c:v>Housing</c:v>
                </c:pt>
                <c:pt idx="1">
                  <c:v>Extra</c:v>
                </c:pt>
                <c:pt idx="2">
                  <c:v>Gym</c:v>
                </c:pt>
                <c:pt idx="3">
                  <c:v>Groceries</c:v>
                </c:pt>
                <c:pt idx="4">
                  <c:v>FastFoods</c:v>
                </c:pt>
                <c:pt idx="5">
                  <c:v>Other</c:v>
                </c:pt>
              </c:strCache>
            </c:strRef>
          </c:cat>
          <c:val>
            <c:numRef>
              <c:f>Calculations!$J$35:$J$40</c:f>
              <c:numCache>
                <c:formatCode>_(* #,##0_);_(* \(#,##0\);_(* "-"_);_(@_)</c:formatCode>
                <c:ptCount val="6"/>
                <c:pt idx="0">
                  <c:v>8911</c:v>
                </c:pt>
                <c:pt idx="1">
                  <c:v>3575</c:v>
                </c:pt>
                <c:pt idx="2">
                  <c:v>2490</c:v>
                </c:pt>
                <c:pt idx="3">
                  <c:v>2022</c:v>
                </c:pt>
                <c:pt idx="4">
                  <c:v>1415</c:v>
                </c:pt>
                <c:pt idx="5">
                  <c:v>1086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48E-BB40-A3E5-928D892BA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S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FF7D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5EA-304A-804E-157688B287D5}"/>
              </c:ext>
            </c:extLst>
          </c:dPt>
          <c:dPt>
            <c:idx val="1"/>
            <c:bubble3D val="0"/>
            <c:spPr>
              <a:solidFill>
                <a:srgbClr val="FF93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5EA-304A-804E-157688B287D5}"/>
              </c:ext>
            </c:extLst>
          </c:dPt>
          <c:dPt>
            <c:idx val="2"/>
            <c:bubble3D val="0"/>
            <c:spPr>
              <a:solidFill>
                <a:srgbClr val="FFAE3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5EA-304A-804E-157688B287D5}"/>
              </c:ext>
            </c:extLst>
          </c:dPt>
          <c:dPt>
            <c:idx val="3"/>
            <c:bubble3D val="0"/>
            <c:spPr>
              <a:solidFill>
                <a:srgbClr val="FFC97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5EA-304A-804E-157688B287D5}"/>
              </c:ext>
            </c:extLst>
          </c:dPt>
          <c:dPt>
            <c:idx val="4"/>
            <c:bubble3D val="0"/>
            <c:spPr>
              <a:solidFill>
                <a:srgbClr val="FFDFB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5EA-304A-804E-157688B287D5}"/>
              </c:ext>
            </c:extLst>
          </c:dPt>
          <c:dPt>
            <c:idx val="5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5EA-304A-804E-157688B287D5}"/>
              </c:ext>
            </c:extLst>
          </c:dPt>
          <c:cat>
            <c:strRef>
              <c:f>Calculations!$M$35:$M$40</c:f>
            </c:strRef>
          </c:cat>
          <c:val>
            <c:numRef>
              <c:f>Calculations!$N$35:$N$40</c:f>
              <c:numCache>
                <c:formatCode>_(* #,##0_);_(* \(#,##0\);_(* "-"_);_(@_)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5EA-304A-804E-157688B28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S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055232923334505"/>
          <c:y val="6.0160415141602773E-2"/>
          <c:w val="0.85540750419776002"/>
          <c:h val="0.8677273005753293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10C-C946-AA8E-E54D8A1C2914}"/>
              </c:ext>
            </c:extLst>
          </c:dPt>
          <c:dPt>
            <c:idx val="2"/>
            <c:invertIfNegative val="0"/>
            <c:bubble3D val="0"/>
            <c:spPr>
              <a:solidFill>
                <a:srgbClr val="FFC97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10C-C946-AA8E-E54D8A1C2914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10C-C946-AA8E-E54D8A1C2914}"/>
              </c:ext>
            </c:extLst>
          </c:dPt>
          <c:dPt>
            <c:idx val="6"/>
            <c:invertIfNegative val="0"/>
            <c:bubble3D val="0"/>
            <c:spPr>
              <a:solidFill>
                <a:srgbClr val="FFC97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10C-C946-AA8E-E54D8A1C2914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10C-C946-AA8E-E54D8A1C2914}"/>
              </c:ext>
            </c:extLst>
          </c:dPt>
          <c:dPt>
            <c:idx val="10"/>
            <c:invertIfNegative val="0"/>
            <c:bubble3D val="0"/>
            <c:spPr>
              <a:solidFill>
                <a:srgbClr val="FFC97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10C-C946-AA8E-E54D8A1C2914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10C-C946-AA8E-E54D8A1C2914}"/>
              </c:ext>
            </c:extLst>
          </c:dPt>
          <c:dPt>
            <c:idx val="14"/>
            <c:invertIfNegative val="0"/>
            <c:bubble3D val="0"/>
            <c:spPr>
              <a:solidFill>
                <a:srgbClr val="FFC97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10C-C946-AA8E-E54D8A1C2914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210C-C946-AA8E-E54D8A1C2914}"/>
              </c:ext>
            </c:extLst>
          </c:dPt>
          <c:dPt>
            <c:idx val="18"/>
            <c:invertIfNegative val="0"/>
            <c:bubble3D val="0"/>
            <c:spPr>
              <a:solidFill>
                <a:srgbClr val="FFC97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210C-C946-AA8E-E54D8A1C2914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210C-C946-AA8E-E54D8A1C2914}"/>
              </c:ext>
            </c:extLst>
          </c:dPt>
          <c:dPt>
            <c:idx val="22"/>
            <c:invertIfNegative val="0"/>
            <c:bubble3D val="0"/>
            <c:spPr>
              <a:solidFill>
                <a:srgbClr val="FFC97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210C-C946-AA8E-E54D8A1C2914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210C-C946-AA8E-E54D8A1C2914}"/>
              </c:ext>
            </c:extLst>
          </c:dPt>
          <c:dPt>
            <c:idx val="26"/>
            <c:invertIfNegative val="0"/>
            <c:bubble3D val="0"/>
            <c:spPr>
              <a:solidFill>
                <a:srgbClr val="FFC97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10C-C946-AA8E-E54D8A1C2914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210C-C946-AA8E-E54D8A1C2914}"/>
              </c:ext>
            </c:extLst>
          </c:dPt>
          <c:dPt>
            <c:idx val="30"/>
            <c:invertIfNegative val="0"/>
            <c:bubble3D val="0"/>
            <c:spPr>
              <a:solidFill>
                <a:srgbClr val="FFC97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210C-C946-AA8E-E54D8A1C2914}"/>
              </c:ext>
            </c:extLst>
          </c:dPt>
          <c:dPt>
            <c:idx val="33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210C-C946-AA8E-E54D8A1C2914}"/>
              </c:ext>
            </c:extLst>
          </c:dPt>
          <c:dPt>
            <c:idx val="34"/>
            <c:invertIfNegative val="0"/>
            <c:bubble3D val="0"/>
            <c:spPr>
              <a:solidFill>
                <a:srgbClr val="FFC97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210C-C946-AA8E-E54D8A1C2914}"/>
              </c:ext>
            </c:extLst>
          </c:dPt>
          <c:dPt>
            <c:idx val="37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210C-C946-AA8E-E54D8A1C2914}"/>
              </c:ext>
            </c:extLst>
          </c:dPt>
          <c:dPt>
            <c:idx val="38"/>
            <c:invertIfNegative val="0"/>
            <c:bubble3D val="0"/>
            <c:spPr>
              <a:solidFill>
                <a:srgbClr val="FFC97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210C-C946-AA8E-E54D8A1C2914}"/>
              </c:ext>
            </c:extLst>
          </c:dPt>
          <c:dPt>
            <c:idx val="41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210C-C946-AA8E-E54D8A1C2914}"/>
              </c:ext>
            </c:extLst>
          </c:dPt>
          <c:dPt>
            <c:idx val="42"/>
            <c:invertIfNegative val="0"/>
            <c:bubble3D val="0"/>
            <c:spPr>
              <a:solidFill>
                <a:srgbClr val="FFC97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210C-C946-AA8E-E54D8A1C2914}"/>
              </c:ext>
            </c:extLst>
          </c:dPt>
          <c:dPt>
            <c:idx val="45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210C-C946-AA8E-E54D8A1C2914}"/>
              </c:ext>
            </c:extLst>
          </c:dPt>
          <c:dPt>
            <c:idx val="46"/>
            <c:invertIfNegative val="0"/>
            <c:bubble3D val="0"/>
            <c:spPr>
              <a:solidFill>
                <a:srgbClr val="FFC97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210C-C946-AA8E-E54D8A1C2914}"/>
              </c:ext>
            </c:extLst>
          </c:dPt>
          <c:cat>
            <c:numRef>
              <c:f>Calculations!$D$55:$D$102</c:f>
              <c:numCache>
                <c:formatCode>mmm</c:formatCode>
                <c:ptCount val="48"/>
                <c:pt idx="0">
                  <c:v>45292</c:v>
                </c:pt>
                <c:pt idx="4">
                  <c:v>45323</c:v>
                </c:pt>
                <c:pt idx="8">
                  <c:v>45352</c:v>
                </c:pt>
                <c:pt idx="12">
                  <c:v>45383</c:v>
                </c:pt>
                <c:pt idx="16">
                  <c:v>45413</c:v>
                </c:pt>
                <c:pt idx="20">
                  <c:v>45444</c:v>
                </c:pt>
                <c:pt idx="24">
                  <c:v>45474</c:v>
                </c:pt>
                <c:pt idx="28">
                  <c:v>45505</c:v>
                </c:pt>
                <c:pt idx="32">
                  <c:v>45536</c:v>
                </c:pt>
                <c:pt idx="36">
                  <c:v>45566</c:v>
                </c:pt>
                <c:pt idx="40">
                  <c:v>45597</c:v>
                </c:pt>
                <c:pt idx="44">
                  <c:v>45627</c:v>
                </c:pt>
              </c:numCache>
            </c:numRef>
          </c:cat>
          <c:val>
            <c:numRef>
              <c:f>Calculations!$M$55:$M$102</c:f>
              <c:numCache>
                <c:formatCode>_(* #,##0_);_(* \(#,##0\);_(* "-"_);_(@_)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22000</c:v>
                </c:pt>
                <c:pt idx="41">
                  <c:v>14490</c:v>
                </c:pt>
                <c:pt idx="42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210C-C946-AA8E-E54D8A1C2914}"/>
            </c:ext>
          </c:extLst>
        </c:ser>
        <c:ser>
          <c:idx val="1"/>
          <c:order val="1"/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2-210C-C946-AA8E-E54D8A1C2914}"/>
              </c:ext>
            </c:extLst>
          </c:dPt>
          <c:dPt>
            <c:idx val="2"/>
            <c:invertIfNegative val="0"/>
            <c:bubble3D val="0"/>
            <c:spPr>
              <a:solidFill>
                <a:srgbClr val="FFDFB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4-210C-C946-AA8E-E54D8A1C2914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6-210C-C946-AA8E-E54D8A1C2914}"/>
              </c:ext>
            </c:extLst>
          </c:dPt>
          <c:dPt>
            <c:idx val="6"/>
            <c:invertIfNegative val="0"/>
            <c:bubble3D val="0"/>
            <c:spPr>
              <a:solidFill>
                <a:srgbClr val="FFDFB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8-210C-C946-AA8E-E54D8A1C2914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A-210C-C946-AA8E-E54D8A1C2914}"/>
              </c:ext>
            </c:extLst>
          </c:dPt>
          <c:dPt>
            <c:idx val="10"/>
            <c:invertIfNegative val="0"/>
            <c:bubble3D val="0"/>
            <c:spPr>
              <a:solidFill>
                <a:srgbClr val="FFDFB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C-210C-C946-AA8E-E54D8A1C2914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E-210C-C946-AA8E-E54D8A1C2914}"/>
              </c:ext>
            </c:extLst>
          </c:dPt>
          <c:dPt>
            <c:idx val="14"/>
            <c:invertIfNegative val="0"/>
            <c:bubble3D val="0"/>
            <c:spPr>
              <a:solidFill>
                <a:srgbClr val="FFDFB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0-210C-C946-AA8E-E54D8A1C2914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2-210C-C946-AA8E-E54D8A1C2914}"/>
              </c:ext>
            </c:extLst>
          </c:dPt>
          <c:dPt>
            <c:idx val="18"/>
            <c:invertIfNegative val="0"/>
            <c:bubble3D val="0"/>
            <c:spPr>
              <a:solidFill>
                <a:srgbClr val="FFDFB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4-210C-C946-AA8E-E54D8A1C2914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6-210C-C946-AA8E-E54D8A1C2914}"/>
              </c:ext>
            </c:extLst>
          </c:dPt>
          <c:dPt>
            <c:idx val="22"/>
            <c:invertIfNegative val="0"/>
            <c:bubble3D val="0"/>
            <c:spPr>
              <a:solidFill>
                <a:srgbClr val="FFDFB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8-210C-C946-AA8E-E54D8A1C2914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A-210C-C946-AA8E-E54D8A1C2914}"/>
              </c:ext>
            </c:extLst>
          </c:dPt>
          <c:dPt>
            <c:idx val="26"/>
            <c:invertIfNegative val="0"/>
            <c:bubble3D val="0"/>
            <c:spPr>
              <a:solidFill>
                <a:srgbClr val="FFDFB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C-210C-C946-AA8E-E54D8A1C2914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E-210C-C946-AA8E-E54D8A1C2914}"/>
              </c:ext>
            </c:extLst>
          </c:dPt>
          <c:dPt>
            <c:idx val="30"/>
            <c:invertIfNegative val="0"/>
            <c:bubble3D val="0"/>
            <c:spPr>
              <a:solidFill>
                <a:srgbClr val="FFDFB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0-210C-C946-AA8E-E54D8A1C2914}"/>
              </c:ext>
            </c:extLst>
          </c:dPt>
          <c:dPt>
            <c:idx val="33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2-210C-C946-AA8E-E54D8A1C2914}"/>
              </c:ext>
            </c:extLst>
          </c:dPt>
          <c:dPt>
            <c:idx val="34"/>
            <c:invertIfNegative val="0"/>
            <c:bubble3D val="0"/>
            <c:spPr>
              <a:solidFill>
                <a:srgbClr val="FFDFB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4-210C-C946-AA8E-E54D8A1C2914}"/>
              </c:ext>
            </c:extLst>
          </c:dPt>
          <c:dPt>
            <c:idx val="37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6-210C-C946-AA8E-E54D8A1C2914}"/>
              </c:ext>
            </c:extLst>
          </c:dPt>
          <c:dPt>
            <c:idx val="38"/>
            <c:invertIfNegative val="0"/>
            <c:bubble3D val="0"/>
            <c:spPr>
              <a:solidFill>
                <a:srgbClr val="FFDFB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8-210C-C946-AA8E-E54D8A1C2914}"/>
              </c:ext>
            </c:extLst>
          </c:dPt>
          <c:dPt>
            <c:idx val="41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A-210C-C946-AA8E-E54D8A1C2914}"/>
              </c:ext>
            </c:extLst>
          </c:dPt>
          <c:dPt>
            <c:idx val="42"/>
            <c:invertIfNegative val="0"/>
            <c:bubble3D val="0"/>
            <c:spPr>
              <a:solidFill>
                <a:srgbClr val="FFDFB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C-210C-C946-AA8E-E54D8A1C2914}"/>
              </c:ext>
            </c:extLst>
          </c:dPt>
          <c:dPt>
            <c:idx val="45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E-210C-C946-AA8E-E54D8A1C2914}"/>
              </c:ext>
            </c:extLst>
          </c:dPt>
          <c:dPt>
            <c:idx val="46"/>
            <c:invertIfNegative val="0"/>
            <c:bubble3D val="0"/>
            <c:spPr>
              <a:solidFill>
                <a:srgbClr val="FFDFB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0-210C-C946-AA8E-E54D8A1C2914}"/>
              </c:ext>
            </c:extLst>
          </c:dPt>
          <c:cat>
            <c:numRef>
              <c:f>Calculations!$D$55:$D$102</c:f>
              <c:numCache>
                <c:formatCode>mmm</c:formatCode>
                <c:ptCount val="48"/>
                <c:pt idx="0">
                  <c:v>45292</c:v>
                </c:pt>
                <c:pt idx="4">
                  <c:v>45323</c:v>
                </c:pt>
                <c:pt idx="8">
                  <c:v>45352</c:v>
                </c:pt>
                <c:pt idx="12">
                  <c:v>45383</c:v>
                </c:pt>
                <c:pt idx="16">
                  <c:v>45413</c:v>
                </c:pt>
                <c:pt idx="20">
                  <c:v>45444</c:v>
                </c:pt>
                <c:pt idx="24">
                  <c:v>45474</c:v>
                </c:pt>
                <c:pt idx="28">
                  <c:v>45505</c:v>
                </c:pt>
                <c:pt idx="32">
                  <c:v>45536</c:v>
                </c:pt>
                <c:pt idx="36">
                  <c:v>45566</c:v>
                </c:pt>
                <c:pt idx="40">
                  <c:v>45597</c:v>
                </c:pt>
                <c:pt idx="44">
                  <c:v>45627</c:v>
                </c:pt>
              </c:numCache>
            </c:numRef>
          </c:cat>
          <c:val>
            <c:numRef>
              <c:f>Calculations!$N$55:$N$102</c:f>
              <c:numCache>
                <c:formatCode>_(* #,##0_);_(* \(#,##0\);_(* "-"_);_(@_)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210C-C946-AA8E-E54D8A1C2914}"/>
            </c:ext>
          </c:extLst>
        </c:ser>
        <c:ser>
          <c:idx val="2"/>
          <c:order val="2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3-210C-C946-AA8E-E54D8A1C2914}"/>
              </c:ext>
            </c:extLst>
          </c:dPt>
          <c:dPt>
            <c:idx val="2"/>
            <c:invertIfNegative val="0"/>
            <c:bubble3D val="0"/>
            <c:spPr>
              <a:solidFill>
                <a:srgbClr val="FFAE3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5-210C-C946-AA8E-E54D8A1C2914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7-210C-C946-AA8E-E54D8A1C2914}"/>
              </c:ext>
            </c:extLst>
          </c:dPt>
          <c:dPt>
            <c:idx val="6"/>
            <c:invertIfNegative val="0"/>
            <c:bubble3D val="0"/>
            <c:spPr>
              <a:solidFill>
                <a:srgbClr val="FFAE3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9-210C-C946-AA8E-E54D8A1C2914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B-210C-C946-AA8E-E54D8A1C2914}"/>
              </c:ext>
            </c:extLst>
          </c:dPt>
          <c:dPt>
            <c:idx val="10"/>
            <c:invertIfNegative val="0"/>
            <c:bubble3D val="0"/>
            <c:spPr>
              <a:solidFill>
                <a:srgbClr val="FFAE3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D-210C-C946-AA8E-E54D8A1C2914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F-210C-C946-AA8E-E54D8A1C2914}"/>
              </c:ext>
            </c:extLst>
          </c:dPt>
          <c:dPt>
            <c:idx val="14"/>
            <c:invertIfNegative val="0"/>
            <c:bubble3D val="0"/>
            <c:spPr>
              <a:solidFill>
                <a:srgbClr val="FFAE3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1-210C-C946-AA8E-E54D8A1C2914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3-210C-C946-AA8E-E54D8A1C2914}"/>
              </c:ext>
            </c:extLst>
          </c:dPt>
          <c:dPt>
            <c:idx val="18"/>
            <c:invertIfNegative val="0"/>
            <c:bubble3D val="0"/>
            <c:spPr>
              <a:solidFill>
                <a:srgbClr val="FFAE3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5-210C-C946-AA8E-E54D8A1C2914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7-210C-C946-AA8E-E54D8A1C2914}"/>
              </c:ext>
            </c:extLst>
          </c:dPt>
          <c:dPt>
            <c:idx val="22"/>
            <c:invertIfNegative val="0"/>
            <c:bubble3D val="0"/>
            <c:spPr>
              <a:solidFill>
                <a:srgbClr val="FFAE3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9-210C-C946-AA8E-E54D8A1C2914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B-210C-C946-AA8E-E54D8A1C2914}"/>
              </c:ext>
            </c:extLst>
          </c:dPt>
          <c:dPt>
            <c:idx val="26"/>
            <c:invertIfNegative val="0"/>
            <c:bubble3D val="0"/>
            <c:spPr>
              <a:solidFill>
                <a:srgbClr val="FFAE3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D-210C-C946-AA8E-E54D8A1C2914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F-210C-C946-AA8E-E54D8A1C2914}"/>
              </c:ext>
            </c:extLst>
          </c:dPt>
          <c:dPt>
            <c:idx val="30"/>
            <c:invertIfNegative val="0"/>
            <c:bubble3D val="0"/>
            <c:spPr>
              <a:solidFill>
                <a:srgbClr val="FFAE3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1-210C-C946-AA8E-E54D8A1C2914}"/>
              </c:ext>
            </c:extLst>
          </c:dPt>
          <c:dPt>
            <c:idx val="33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3-210C-C946-AA8E-E54D8A1C2914}"/>
              </c:ext>
            </c:extLst>
          </c:dPt>
          <c:dPt>
            <c:idx val="34"/>
            <c:invertIfNegative val="0"/>
            <c:bubble3D val="0"/>
            <c:spPr>
              <a:solidFill>
                <a:srgbClr val="FFAE3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5-210C-C946-AA8E-E54D8A1C2914}"/>
              </c:ext>
            </c:extLst>
          </c:dPt>
          <c:dPt>
            <c:idx val="37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7-210C-C946-AA8E-E54D8A1C2914}"/>
              </c:ext>
            </c:extLst>
          </c:dPt>
          <c:dPt>
            <c:idx val="38"/>
            <c:invertIfNegative val="0"/>
            <c:bubble3D val="0"/>
            <c:spPr>
              <a:solidFill>
                <a:srgbClr val="FFAE3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9-210C-C946-AA8E-E54D8A1C2914}"/>
              </c:ext>
            </c:extLst>
          </c:dPt>
          <c:dPt>
            <c:idx val="4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B-210C-C946-AA8E-E54D8A1C2914}"/>
              </c:ext>
            </c:extLst>
          </c:dPt>
          <c:dPt>
            <c:idx val="42"/>
            <c:invertIfNegative val="0"/>
            <c:bubble3D val="0"/>
            <c:spPr>
              <a:solidFill>
                <a:srgbClr val="FFAE3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D-210C-C946-AA8E-E54D8A1C2914}"/>
              </c:ext>
            </c:extLst>
          </c:dPt>
          <c:dPt>
            <c:idx val="45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F-210C-C946-AA8E-E54D8A1C2914}"/>
              </c:ext>
            </c:extLst>
          </c:dPt>
          <c:dPt>
            <c:idx val="46"/>
            <c:invertIfNegative val="0"/>
            <c:bubble3D val="0"/>
            <c:spPr>
              <a:solidFill>
                <a:srgbClr val="FFAE3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1-210C-C946-AA8E-E54D8A1C2914}"/>
              </c:ext>
            </c:extLst>
          </c:dPt>
          <c:cat>
            <c:numRef>
              <c:f>Calculations!$D$55:$D$102</c:f>
              <c:numCache>
                <c:formatCode>mmm</c:formatCode>
                <c:ptCount val="48"/>
                <c:pt idx="0">
                  <c:v>45292</c:v>
                </c:pt>
                <c:pt idx="4">
                  <c:v>45323</c:v>
                </c:pt>
                <c:pt idx="8">
                  <c:v>45352</c:v>
                </c:pt>
                <c:pt idx="12">
                  <c:v>45383</c:v>
                </c:pt>
                <c:pt idx="16">
                  <c:v>45413</c:v>
                </c:pt>
                <c:pt idx="20">
                  <c:v>45444</c:v>
                </c:pt>
                <c:pt idx="24">
                  <c:v>45474</c:v>
                </c:pt>
                <c:pt idx="28">
                  <c:v>45505</c:v>
                </c:pt>
                <c:pt idx="32">
                  <c:v>45536</c:v>
                </c:pt>
                <c:pt idx="36">
                  <c:v>45566</c:v>
                </c:pt>
                <c:pt idx="40">
                  <c:v>45597</c:v>
                </c:pt>
                <c:pt idx="44">
                  <c:v>45627</c:v>
                </c:pt>
              </c:numCache>
            </c:numRef>
          </c:cat>
          <c:val>
            <c:numRef>
              <c:f>Calculations!$O$55:$O$102</c:f>
              <c:numCache>
                <c:formatCode>_(* #,##0_);_(* \(#,##0\);_(* "-"_);_(@_)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2">
                  <c:v>0</c:v>
                </c:pt>
                <c:pt idx="33">
                  <c:v>4863</c:v>
                </c:pt>
                <c:pt idx="34">
                  <c:v>100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2368</c:v>
                </c:pt>
                <c:pt idx="41">
                  <c:v>5009</c:v>
                </c:pt>
                <c:pt idx="42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2-210C-C946-AA8E-E54D8A1C2914}"/>
            </c:ext>
          </c:extLst>
        </c:ser>
        <c:ser>
          <c:idx val="3"/>
          <c:order val="3"/>
          <c:spPr>
            <a:solidFill>
              <a:schemeClr val="bg2"/>
            </a:solidFill>
            <a:ln>
              <a:noFill/>
            </a:ln>
            <a:effectLst/>
          </c:spPr>
          <c:invertIfNegative val="0"/>
          <c:cat>
            <c:numRef>
              <c:f>Calculations!$D$55:$D$102</c:f>
              <c:numCache>
                <c:formatCode>mmm</c:formatCode>
                <c:ptCount val="48"/>
                <c:pt idx="0">
                  <c:v>45292</c:v>
                </c:pt>
                <c:pt idx="4">
                  <c:v>45323</c:v>
                </c:pt>
                <c:pt idx="8">
                  <c:v>45352</c:v>
                </c:pt>
                <c:pt idx="12">
                  <c:v>45383</c:v>
                </c:pt>
                <c:pt idx="16">
                  <c:v>45413</c:v>
                </c:pt>
                <c:pt idx="20">
                  <c:v>45444</c:v>
                </c:pt>
                <c:pt idx="24">
                  <c:v>45474</c:v>
                </c:pt>
                <c:pt idx="28">
                  <c:v>45505</c:v>
                </c:pt>
                <c:pt idx="32">
                  <c:v>45536</c:v>
                </c:pt>
                <c:pt idx="36">
                  <c:v>45566</c:v>
                </c:pt>
                <c:pt idx="40">
                  <c:v>45597</c:v>
                </c:pt>
                <c:pt idx="44">
                  <c:v>45627</c:v>
                </c:pt>
              </c:numCache>
            </c:numRef>
          </c:cat>
          <c:val>
            <c:numRef>
              <c:f>Calculations!$P$55:$P$102</c:f>
              <c:numCache>
                <c:formatCode>_(* #,##0_);_(* \(#,##0\);_(* "-"_);_(@_)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17292</c:v>
                </c:pt>
                <c:pt idx="25">
                  <c:v>16947</c:v>
                </c:pt>
                <c:pt idx="26">
                  <c:v>0</c:v>
                </c:pt>
                <c:pt idx="28">
                  <c:v>11500</c:v>
                </c:pt>
                <c:pt idx="29">
                  <c:v>7919</c:v>
                </c:pt>
                <c:pt idx="30">
                  <c:v>0</c:v>
                </c:pt>
                <c:pt idx="32">
                  <c:v>20000</c:v>
                </c:pt>
                <c:pt idx="33">
                  <c:v>19800</c:v>
                </c:pt>
                <c:pt idx="34">
                  <c:v>0</c:v>
                </c:pt>
                <c:pt idx="36">
                  <c:v>12911.8</c:v>
                </c:pt>
                <c:pt idx="37">
                  <c:v>18727.449999999997</c:v>
                </c:pt>
                <c:pt idx="38">
                  <c:v>1800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3-210C-C946-AA8E-E54D8A1C2914}"/>
            </c:ext>
          </c:extLst>
        </c:ser>
        <c:ser>
          <c:idx val="4"/>
          <c:order val="4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  <c:invertIfNegative val="0"/>
          <c:cat>
            <c:numRef>
              <c:f>Calculations!$D$55:$D$102</c:f>
              <c:numCache>
                <c:formatCode>mmm</c:formatCode>
                <c:ptCount val="48"/>
                <c:pt idx="0">
                  <c:v>45292</c:v>
                </c:pt>
                <c:pt idx="4">
                  <c:v>45323</c:v>
                </c:pt>
                <c:pt idx="8">
                  <c:v>45352</c:v>
                </c:pt>
                <c:pt idx="12">
                  <c:v>45383</c:v>
                </c:pt>
                <c:pt idx="16">
                  <c:v>45413</c:v>
                </c:pt>
                <c:pt idx="20">
                  <c:v>45444</c:v>
                </c:pt>
                <c:pt idx="24">
                  <c:v>45474</c:v>
                </c:pt>
                <c:pt idx="28">
                  <c:v>45505</c:v>
                </c:pt>
                <c:pt idx="32">
                  <c:v>45536</c:v>
                </c:pt>
                <c:pt idx="36">
                  <c:v>45566</c:v>
                </c:pt>
                <c:pt idx="40">
                  <c:v>45597</c:v>
                </c:pt>
                <c:pt idx="44">
                  <c:v>45627</c:v>
                </c:pt>
              </c:numCache>
            </c:numRef>
          </c:cat>
          <c:val>
            <c:numRef>
              <c:f>Calculations!$Q$55:$Q$102</c:f>
              <c:numCache>
                <c:formatCode>_(* #,##0_);_(* \(#,##0\);_(* "-"_);_(@_)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6363</c:v>
                </c:pt>
                <c:pt idx="25">
                  <c:v>6208</c:v>
                </c:pt>
                <c:pt idx="26">
                  <c:v>500</c:v>
                </c:pt>
                <c:pt idx="28">
                  <c:v>0</c:v>
                </c:pt>
                <c:pt idx="29">
                  <c:v>3381</c:v>
                </c:pt>
                <c:pt idx="30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6">
                  <c:v>11088.2</c:v>
                </c:pt>
                <c:pt idx="37">
                  <c:v>1272.5500000000029</c:v>
                </c:pt>
                <c:pt idx="38">
                  <c:v>2000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4">
                  <c:v>18510</c:v>
                </c:pt>
                <c:pt idx="45">
                  <c:v>12490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4-210C-C946-AA8E-E54D8A1C2914}"/>
            </c:ext>
          </c:extLst>
        </c:ser>
        <c:ser>
          <c:idx val="5"/>
          <c:order val="5"/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numRef>
              <c:f>Calculations!$D$55:$D$102</c:f>
              <c:numCache>
                <c:formatCode>mmm</c:formatCode>
                <c:ptCount val="48"/>
                <c:pt idx="0">
                  <c:v>45292</c:v>
                </c:pt>
                <c:pt idx="4">
                  <c:v>45323</c:v>
                </c:pt>
                <c:pt idx="8">
                  <c:v>45352</c:v>
                </c:pt>
                <c:pt idx="12">
                  <c:v>45383</c:v>
                </c:pt>
                <c:pt idx="16">
                  <c:v>45413</c:v>
                </c:pt>
                <c:pt idx="20">
                  <c:v>45444</c:v>
                </c:pt>
                <c:pt idx="24">
                  <c:v>45474</c:v>
                </c:pt>
                <c:pt idx="28">
                  <c:v>45505</c:v>
                </c:pt>
                <c:pt idx="32">
                  <c:v>45536</c:v>
                </c:pt>
                <c:pt idx="36">
                  <c:v>45566</c:v>
                </c:pt>
                <c:pt idx="40">
                  <c:v>45597</c:v>
                </c:pt>
                <c:pt idx="44">
                  <c:v>45627</c:v>
                </c:pt>
              </c:numCache>
            </c:numRef>
          </c:cat>
          <c:val>
            <c:numRef>
              <c:f>Calculations!$R$55:$R$102</c:f>
              <c:numCache>
                <c:formatCode>_(* #,##0_);_(* \(#,##0\);_(* "-"_);_(@_)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8">
                  <c:v>1905</c:v>
                </c:pt>
                <c:pt idx="29">
                  <c:v>0</c:v>
                </c:pt>
                <c:pt idx="30">
                  <c:v>0</c:v>
                </c:pt>
                <c:pt idx="32">
                  <c:v>494</c:v>
                </c:pt>
                <c:pt idx="33">
                  <c:v>4863</c:v>
                </c:pt>
                <c:pt idx="34">
                  <c:v>100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5-210C-C946-AA8E-E54D8A1C2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overlap val="100"/>
        <c:axId val="1405873231"/>
        <c:axId val="2091467711"/>
      </c:barChart>
      <c:catAx>
        <c:axId val="1405873231"/>
        <c:scaling>
          <c:orientation val="minMax"/>
        </c:scaling>
        <c:delete val="0"/>
        <c:axPos val="b"/>
        <c:numFmt formatCode="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K"/>
          </a:p>
        </c:txPr>
        <c:crossAx val="2091467711"/>
        <c:crosses val="autoZero"/>
        <c:auto val="0"/>
        <c:lblAlgn val="ctr"/>
        <c:lblOffset val="100"/>
        <c:noMultiLvlLbl val="0"/>
      </c:catAx>
      <c:valAx>
        <c:axId val="2091467711"/>
        <c:scaling>
          <c:orientation val="minMax"/>
        </c:scaling>
        <c:delete val="0"/>
        <c:axPos val="l"/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K"/>
          </a:p>
        </c:txPr>
        <c:crossAx val="1405873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S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Calculations!$E$24</c:f>
              <c:numCache>
                <c:formatCode>0%</c:formatCode>
                <c:ptCount val="1"/>
                <c:pt idx="0">
                  <c:v>0.6333333333333333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EE-6747-A5BB-D7F702D52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202639248"/>
        <c:axId val="1132998704"/>
      </c:barChart>
      <c:catAx>
        <c:axId val="1202639248"/>
        <c:scaling>
          <c:orientation val="minMax"/>
        </c:scaling>
        <c:delete val="1"/>
        <c:axPos val="l"/>
        <c:majorTickMark val="none"/>
        <c:minorTickMark val="none"/>
        <c:tickLblPos val="nextTo"/>
        <c:crossAx val="1132998704"/>
        <c:crosses val="autoZero"/>
        <c:auto val="1"/>
        <c:lblAlgn val="ctr"/>
        <c:lblOffset val="100"/>
        <c:noMultiLvlLbl val="0"/>
      </c:catAx>
      <c:valAx>
        <c:axId val="1132998704"/>
        <c:scaling>
          <c:orientation val="minMax"/>
          <c:max val="1"/>
        </c:scaling>
        <c:delete val="1"/>
        <c:axPos val="b"/>
        <c:numFmt formatCode="0%" sourceLinked="1"/>
        <c:majorTickMark val="none"/>
        <c:minorTickMark val="none"/>
        <c:tickLblPos val="nextTo"/>
        <c:crossAx val="1202639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checked="Checked" fmlaLink="Calculations!$E$46" lockText="1"/>
</file>

<file path=xl/ctrlProps/ctrlProp2.xml><?xml version="1.0" encoding="utf-8"?>
<formControlPr xmlns="http://schemas.microsoft.com/office/spreadsheetml/2009/9/main" objectType="CheckBox" checked="Checked" fmlaLink="Calculations!$E$47" lockText="1"/>
</file>

<file path=xl/ctrlProps/ctrlProp3.xml><?xml version="1.0" encoding="utf-8"?>
<formControlPr xmlns="http://schemas.microsoft.com/office/spreadsheetml/2009/9/main" objectType="CheckBox" checked="Checked" fmlaLink="Calculations!$E$48" lockText="1"/>
</file>

<file path=xl/ctrlProps/ctrlProp4.xml><?xml version="1.0" encoding="utf-8"?>
<formControlPr xmlns="http://schemas.microsoft.com/office/spreadsheetml/2009/9/main" objectType="CheckBox" checked="Checked" fmlaLink="Calculations!$E$49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361950</xdr:colOff>
      <xdr:row>58</xdr:row>
      <xdr:rowOff>127000</xdr:rowOff>
    </xdr:from>
    <xdr:to>
      <xdr:col>27</xdr:col>
      <xdr:colOff>254000</xdr:colOff>
      <xdr:row>82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EBB4F2-031D-C648-8B96-B05F1575C7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4</xdr:row>
      <xdr:rowOff>139700</xdr:rowOff>
    </xdr:from>
    <xdr:to>
      <xdr:col>3</xdr:col>
      <xdr:colOff>342900</xdr:colOff>
      <xdr:row>8</xdr:row>
      <xdr:rowOff>177800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143E6C88-DFC5-0120-B26F-78BCAB3CDDB6}"/>
            </a:ext>
          </a:extLst>
        </xdr:cNvPr>
        <xdr:cNvGrpSpPr/>
      </xdr:nvGrpSpPr>
      <xdr:grpSpPr>
        <a:xfrm>
          <a:off x="1905000" y="952500"/>
          <a:ext cx="1612900" cy="850900"/>
          <a:chOff x="1905000" y="952500"/>
          <a:chExt cx="1612900" cy="850900"/>
        </a:xfrm>
      </xdr:grpSpPr>
      <xdr:sp macro="" textlink="">
        <xdr:nvSpPr>
          <xdr:cNvPr id="2" name="Rounded Rectangle 1">
            <a:extLst>
              <a:ext uri="{FF2B5EF4-FFF2-40B4-BE49-F238E27FC236}">
                <a16:creationId xmlns:a16="http://schemas.microsoft.com/office/drawing/2014/main" id="{B299F072-CFE8-B123-7392-843CBE35E3CB}"/>
              </a:ext>
            </a:extLst>
          </xdr:cNvPr>
          <xdr:cNvSpPr/>
        </xdr:nvSpPr>
        <xdr:spPr>
          <a:xfrm>
            <a:off x="1905000" y="952500"/>
            <a:ext cx="1612900" cy="850900"/>
          </a:xfrm>
          <a:prstGeom prst="roundRect">
            <a:avLst/>
          </a:prstGeom>
          <a:solidFill>
            <a:schemeClr val="bg1"/>
          </a:solidFill>
          <a:ln w="6350">
            <a:solidFill>
              <a:schemeClr val="bg1">
                <a:lumMod val="85000"/>
              </a:schemeClr>
            </a:solidFill>
          </a:ln>
          <a:effectLst>
            <a:outerShdw blurRad="825500" dist="127000" dir="5400000" sx="95000" sy="95000" algn="ctr" rotWithShape="0">
              <a:prstClr val="black">
                <a:alpha val="2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B1EA3AAA-556D-0C8E-D8F8-2E0183FFD339}"/>
              </a:ext>
            </a:extLst>
          </xdr:cNvPr>
          <xdr:cNvSpPr txBox="1"/>
        </xdr:nvSpPr>
        <xdr:spPr>
          <a:xfrm>
            <a:off x="2006600" y="1054100"/>
            <a:ext cx="1435100" cy="355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GB" sz="1400" b="1"/>
              <a:t>Date of</a:t>
            </a:r>
            <a:r>
              <a:rPr lang="en-GB" sz="1400" b="1" baseline="0"/>
              <a:t> Today</a:t>
            </a:r>
            <a:endParaRPr lang="en-GB" sz="1400" b="1"/>
          </a:p>
        </xdr:txBody>
      </xdr:sp>
      <xdr:sp macro="" textlink="Calculations!E8">
        <xdr:nvSpPr>
          <xdr:cNvPr id="5" name="TextBox 4">
            <a:extLst>
              <a:ext uri="{FF2B5EF4-FFF2-40B4-BE49-F238E27FC236}">
                <a16:creationId xmlns:a16="http://schemas.microsoft.com/office/drawing/2014/main" id="{4E015A87-B16F-F749-82F6-04A44DBC0119}"/>
              </a:ext>
            </a:extLst>
          </xdr:cNvPr>
          <xdr:cNvSpPr txBox="1"/>
        </xdr:nvSpPr>
        <xdr:spPr>
          <a:xfrm>
            <a:off x="2095500" y="1409700"/>
            <a:ext cx="1143000" cy="355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22E7BF74-E9F7-444C-A90A-B4D3B4B7DF81}" type="TxLink">
              <a:rPr lang="en-US" sz="1200" b="0" i="0" u="none" strike="noStrike">
                <a:solidFill>
                  <a:srgbClr val="000000"/>
                </a:solidFill>
                <a:latin typeface="Arial"/>
                <a:cs typeface="Arial"/>
              </a:rPr>
              <a:pPr algn="l"/>
              <a:t>19. Nov. 2024</a:t>
            </a:fld>
            <a:endParaRPr lang="en-GB" sz="1100" b="1"/>
          </a:p>
        </xdr:txBody>
      </xdr:sp>
    </xdr:grpSp>
    <xdr:clientData/>
  </xdr:twoCellAnchor>
  <xdr:twoCellAnchor editAs="absolute">
    <xdr:from>
      <xdr:col>3</xdr:col>
      <xdr:colOff>635000</xdr:colOff>
      <xdr:row>4</xdr:row>
      <xdr:rowOff>139700</xdr:rowOff>
    </xdr:from>
    <xdr:to>
      <xdr:col>5</xdr:col>
      <xdr:colOff>393700</xdr:colOff>
      <xdr:row>8</xdr:row>
      <xdr:rowOff>177800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59562245-216F-F05C-6071-1C85235CB901}"/>
            </a:ext>
          </a:extLst>
        </xdr:cNvPr>
        <xdr:cNvGrpSpPr/>
      </xdr:nvGrpSpPr>
      <xdr:grpSpPr>
        <a:xfrm>
          <a:off x="3810000" y="952500"/>
          <a:ext cx="2641600" cy="850900"/>
          <a:chOff x="3911600" y="952500"/>
          <a:chExt cx="2298700" cy="850900"/>
        </a:xfrm>
      </xdr:grpSpPr>
      <xdr:sp macro="" textlink="">
        <xdr:nvSpPr>
          <xdr:cNvPr id="6" name="Rounded Rectangle 5">
            <a:extLst>
              <a:ext uri="{FF2B5EF4-FFF2-40B4-BE49-F238E27FC236}">
                <a16:creationId xmlns:a16="http://schemas.microsoft.com/office/drawing/2014/main" id="{822344F4-5BBE-334C-9E44-596ECEA209FD}"/>
              </a:ext>
            </a:extLst>
          </xdr:cNvPr>
          <xdr:cNvSpPr/>
        </xdr:nvSpPr>
        <xdr:spPr>
          <a:xfrm>
            <a:off x="3911600" y="952500"/>
            <a:ext cx="2197100" cy="850900"/>
          </a:xfrm>
          <a:prstGeom prst="roundRect">
            <a:avLst/>
          </a:prstGeom>
          <a:solidFill>
            <a:schemeClr val="bg1"/>
          </a:solidFill>
          <a:ln w="6350">
            <a:solidFill>
              <a:schemeClr val="bg1">
                <a:lumMod val="85000"/>
              </a:schemeClr>
            </a:solidFill>
          </a:ln>
          <a:effectLst>
            <a:outerShdw blurRad="825500" dist="127000" dir="5400000" sx="95000" sy="95000" algn="ctr" rotWithShape="0">
              <a:prstClr val="black">
                <a:alpha val="2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2A441634-007B-D74F-80F4-75165F4A1332}"/>
              </a:ext>
            </a:extLst>
          </xdr:cNvPr>
          <xdr:cNvSpPr txBox="1"/>
        </xdr:nvSpPr>
        <xdr:spPr>
          <a:xfrm>
            <a:off x="4013200" y="1054100"/>
            <a:ext cx="1955800" cy="355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GB" sz="1400" b="1"/>
              <a:t>Date of</a:t>
            </a:r>
            <a:r>
              <a:rPr lang="en-GB" sz="1400" b="1" baseline="0"/>
              <a:t> Last Record</a:t>
            </a:r>
            <a:endParaRPr lang="en-GB" sz="1400" b="1"/>
          </a:p>
        </xdr:txBody>
      </xdr:sp>
      <xdr:sp macro="" textlink="Calculations!E9">
        <xdr:nvSpPr>
          <xdr:cNvPr id="8" name="TextBox 7">
            <a:extLst>
              <a:ext uri="{FF2B5EF4-FFF2-40B4-BE49-F238E27FC236}">
                <a16:creationId xmlns:a16="http://schemas.microsoft.com/office/drawing/2014/main" id="{79B365A6-CFF6-7F45-B657-E0D6E17E1E63}"/>
              </a:ext>
            </a:extLst>
          </xdr:cNvPr>
          <xdr:cNvSpPr txBox="1"/>
        </xdr:nvSpPr>
        <xdr:spPr>
          <a:xfrm>
            <a:off x="4102100" y="1397000"/>
            <a:ext cx="1028700" cy="355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F6948F9C-AFCB-364C-8296-A2336BE7ED9B}" type="TxLink">
              <a:rPr lang="en-US" sz="1200" b="0" i="0" u="none" strike="noStrike">
                <a:solidFill>
                  <a:srgbClr val="000000"/>
                </a:solidFill>
                <a:latin typeface="Arial"/>
                <a:cs typeface="Arial"/>
              </a:rPr>
              <a:pPr algn="l"/>
              <a:t>19. Nov. 2024</a:t>
            </a:fld>
            <a:endParaRPr lang="en-GB" sz="1100" b="1"/>
          </a:p>
        </xdr:txBody>
      </xdr:sp>
      <xdr:sp macro="" textlink="Calculations!E10">
        <xdr:nvSpPr>
          <xdr:cNvPr id="9" name="TextBox 8">
            <a:extLst>
              <a:ext uri="{FF2B5EF4-FFF2-40B4-BE49-F238E27FC236}">
                <a16:creationId xmlns:a16="http://schemas.microsoft.com/office/drawing/2014/main" id="{B398E098-FBB4-774F-B760-CBCB288F0CD1}"/>
              </a:ext>
            </a:extLst>
          </xdr:cNvPr>
          <xdr:cNvSpPr txBox="1"/>
        </xdr:nvSpPr>
        <xdr:spPr>
          <a:xfrm>
            <a:off x="5130800" y="1422400"/>
            <a:ext cx="1079500" cy="2794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DF8D6B49-9C8C-5941-B5B0-5909BE3E7875}" type="TxLink">
              <a:rPr lang="en-US" sz="1000" b="0" i="0" u="none" strike="noStrike">
                <a:solidFill>
                  <a:srgbClr val="000000"/>
                </a:solidFill>
                <a:latin typeface="Arial"/>
                <a:cs typeface="Arial"/>
              </a:rPr>
              <a:pPr algn="l"/>
              <a:t>(0 days ago)</a:t>
            </a:fld>
            <a:endParaRPr lang="en-GB" sz="600" b="1"/>
          </a:p>
        </xdr:txBody>
      </xdr:sp>
    </xdr:grpSp>
    <xdr:clientData/>
  </xdr:twoCellAnchor>
  <xdr:twoCellAnchor editAs="absolute">
    <xdr:from>
      <xdr:col>5</xdr:col>
      <xdr:colOff>596900</xdr:colOff>
      <xdr:row>4</xdr:row>
      <xdr:rowOff>139700</xdr:rowOff>
    </xdr:from>
    <xdr:to>
      <xdr:col>6</xdr:col>
      <xdr:colOff>1841500</xdr:colOff>
      <xdr:row>8</xdr:row>
      <xdr:rowOff>177800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99CAD975-5F7F-D2C2-2243-C21727D8C502}"/>
            </a:ext>
          </a:extLst>
        </xdr:cNvPr>
        <xdr:cNvGrpSpPr/>
      </xdr:nvGrpSpPr>
      <xdr:grpSpPr>
        <a:xfrm>
          <a:off x="6654800" y="952500"/>
          <a:ext cx="2514600" cy="850900"/>
          <a:chOff x="6223000" y="952500"/>
          <a:chExt cx="2514600" cy="850900"/>
        </a:xfrm>
      </xdr:grpSpPr>
      <xdr:sp macro="" textlink="">
        <xdr:nvSpPr>
          <xdr:cNvPr id="10" name="Rounded Rectangle 9">
            <a:extLst>
              <a:ext uri="{FF2B5EF4-FFF2-40B4-BE49-F238E27FC236}">
                <a16:creationId xmlns:a16="http://schemas.microsoft.com/office/drawing/2014/main" id="{4C371F2D-AF85-434A-8552-9CACA1994394}"/>
              </a:ext>
            </a:extLst>
          </xdr:cNvPr>
          <xdr:cNvSpPr/>
        </xdr:nvSpPr>
        <xdr:spPr>
          <a:xfrm>
            <a:off x="6223000" y="952500"/>
            <a:ext cx="2362200" cy="850900"/>
          </a:xfrm>
          <a:prstGeom prst="roundRect">
            <a:avLst/>
          </a:prstGeom>
          <a:solidFill>
            <a:schemeClr val="bg1"/>
          </a:solidFill>
          <a:ln w="6350">
            <a:solidFill>
              <a:schemeClr val="bg1">
                <a:lumMod val="85000"/>
              </a:schemeClr>
            </a:solidFill>
          </a:ln>
          <a:effectLst>
            <a:outerShdw blurRad="825500" dist="127000" dir="5400000" sx="95000" sy="95000" algn="ctr" rotWithShape="0">
              <a:prstClr val="black">
                <a:alpha val="2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D8F4D1A6-9F5F-254E-A9C0-DE18D1BFE23A}"/>
              </a:ext>
            </a:extLst>
          </xdr:cNvPr>
          <xdr:cNvSpPr txBox="1"/>
        </xdr:nvSpPr>
        <xdr:spPr>
          <a:xfrm>
            <a:off x="6324600" y="1054100"/>
            <a:ext cx="2260600" cy="355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GB" sz="1400" b="1"/>
              <a:t>No.</a:t>
            </a:r>
            <a:r>
              <a:rPr lang="en-GB" sz="1400" b="1" baseline="0"/>
              <a:t> of Tracked Records</a:t>
            </a:r>
            <a:endParaRPr lang="en-GB" sz="1400" b="1"/>
          </a:p>
        </xdr:txBody>
      </xdr:sp>
      <xdr:sp macro="" textlink="Calculations!E11">
        <xdr:nvSpPr>
          <xdr:cNvPr id="12" name="TextBox 11">
            <a:extLst>
              <a:ext uri="{FF2B5EF4-FFF2-40B4-BE49-F238E27FC236}">
                <a16:creationId xmlns:a16="http://schemas.microsoft.com/office/drawing/2014/main" id="{533B4745-1E53-6245-9180-36806AFFCB40}"/>
              </a:ext>
            </a:extLst>
          </xdr:cNvPr>
          <xdr:cNvSpPr txBox="1"/>
        </xdr:nvSpPr>
        <xdr:spPr>
          <a:xfrm>
            <a:off x="6413500" y="1397000"/>
            <a:ext cx="1028700" cy="355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06C7ED55-1B8A-2140-829A-56621D9927B6}" type="TxLink">
              <a:rPr lang="en-US" sz="1200" b="1" i="0" u="none" strike="noStrike">
                <a:solidFill>
                  <a:srgbClr val="000000"/>
                </a:solidFill>
                <a:latin typeface="Arial"/>
                <a:cs typeface="Arial"/>
              </a:rPr>
              <a:pPr algn="l"/>
              <a:t>202</a:t>
            </a:fld>
            <a:endParaRPr lang="en-GB" sz="1100" b="1"/>
          </a:p>
        </xdr:txBody>
      </xdr:sp>
      <xdr:sp macro="" textlink="Calculations!E12">
        <xdr:nvSpPr>
          <xdr:cNvPr id="13" name="TextBox 12">
            <a:extLst>
              <a:ext uri="{FF2B5EF4-FFF2-40B4-BE49-F238E27FC236}">
                <a16:creationId xmlns:a16="http://schemas.microsoft.com/office/drawing/2014/main" id="{034FF0EB-742B-D548-8368-ACC42072393F}"/>
              </a:ext>
            </a:extLst>
          </xdr:cNvPr>
          <xdr:cNvSpPr txBox="1"/>
        </xdr:nvSpPr>
        <xdr:spPr>
          <a:xfrm>
            <a:off x="7658100" y="1422400"/>
            <a:ext cx="1079500" cy="2794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766C04EB-9C92-264A-9043-015C35037C87}" type="TxLink">
              <a:rPr lang="en-US" sz="1000" b="0" i="0" u="none" strike="noStrike">
                <a:solidFill>
                  <a:srgbClr val="000000"/>
                </a:solidFill>
                <a:latin typeface="Arial"/>
                <a:cs typeface="Arial"/>
              </a:rPr>
              <a:pPr algn="l"/>
              <a:t>(202 this year)</a:t>
            </a:fld>
            <a:endParaRPr lang="en-GB" sz="300" b="1"/>
          </a:p>
        </xdr:txBody>
      </xdr:sp>
    </xdr:grpSp>
    <xdr:clientData/>
  </xdr:twoCellAnchor>
  <xdr:twoCellAnchor editAs="absolute">
    <xdr:from>
      <xdr:col>6</xdr:col>
      <xdr:colOff>2006600</xdr:colOff>
      <xdr:row>4</xdr:row>
      <xdr:rowOff>139700</xdr:rowOff>
    </xdr:from>
    <xdr:to>
      <xdr:col>8</xdr:col>
      <xdr:colOff>965200</xdr:colOff>
      <xdr:row>8</xdr:row>
      <xdr:rowOff>177800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5057DDF1-3B84-2856-7B1D-00148E7B483B}"/>
            </a:ext>
          </a:extLst>
        </xdr:cNvPr>
        <xdr:cNvGrpSpPr/>
      </xdr:nvGrpSpPr>
      <xdr:grpSpPr>
        <a:xfrm>
          <a:off x="9334500" y="952500"/>
          <a:ext cx="4356100" cy="850900"/>
          <a:chOff x="8991600" y="952500"/>
          <a:chExt cx="4356100" cy="850900"/>
        </a:xfrm>
      </xdr:grpSpPr>
      <xdr:sp macro="" textlink="">
        <xdr:nvSpPr>
          <xdr:cNvPr id="14" name="Rounded Rectangle 13">
            <a:extLst>
              <a:ext uri="{FF2B5EF4-FFF2-40B4-BE49-F238E27FC236}">
                <a16:creationId xmlns:a16="http://schemas.microsoft.com/office/drawing/2014/main" id="{DE50494D-D70E-3E49-9607-FBD1260E12A5}"/>
              </a:ext>
            </a:extLst>
          </xdr:cNvPr>
          <xdr:cNvSpPr/>
        </xdr:nvSpPr>
        <xdr:spPr>
          <a:xfrm>
            <a:off x="8991600" y="952500"/>
            <a:ext cx="4356100" cy="850900"/>
          </a:xfrm>
          <a:prstGeom prst="roundRect">
            <a:avLst/>
          </a:prstGeom>
          <a:solidFill>
            <a:schemeClr val="bg1"/>
          </a:solidFill>
          <a:ln w="6350">
            <a:solidFill>
              <a:schemeClr val="bg1">
                <a:lumMod val="85000"/>
              </a:schemeClr>
            </a:solidFill>
          </a:ln>
          <a:effectLst>
            <a:outerShdw blurRad="825500" dist="127000" dir="5400000" sx="95000" sy="95000" algn="ctr" rotWithShape="0">
              <a:prstClr val="black">
                <a:alpha val="2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87B165B3-D1E0-C642-A6AE-3287ECEFB4A8}"/>
              </a:ext>
            </a:extLst>
          </xdr:cNvPr>
          <xdr:cNvSpPr txBox="1"/>
        </xdr:nvSpPr>
        <xdr:spPr>
          <a:xfrm>
            <a:off x="9093200" y="1054100"/>
            <a:ext cx="2260600" cy="355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GB" sz="1400" b="1"/>
              <a:t>Total Tracking Balance</a:t>
            </a:r>
          </a:p>
        </xdr:txBody>
      </xdr:sp>
      <xdr:sp macro="" textlink="Calculations!E13">
        <xdr:nvSpPr>
          <xdr:cNvPr id="16" name="TextBox 15">
            <a:extLst>
              <a:ext uri="{FF2B5EF4-FFF2-40B4-BE49-F238E27FC236}">
                <a16:creationId xmlns:a16="http://schemas.microsoft.com/office/drawing/2014/main" id="{821E47F0-A5D1-8E44-83B7-3C63F2C18FE5}"/>
              </a:ext>
            </a:extLst>
          </xdr:cNvPr>
          <xdr:cNvSpPr txBox="1"/>
        </xdr:nvSpPr>
        <xdr:spPr>
          <a:xfrm>
            <a:off x="9118600" y="1397000"/>
            <a:ext cx="749300" cy="355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00380C6D-F48B-034E-8C47-501B0B6A260C}" type="TxLink">
              <a:rPr lang="en-US" sz="1200" b="0" i="0" u="none" strike="noStrike">
                <a:solidFill>
                  <a:srgbClr val="000000"/>
                </a:solidFill>
                <a:latin typeface="Arial"/>
                <a:cs typeface="Arial"/>
              </a:rPr>
              <a:pPr algn="l"/>
              <a:t> 3 610 </a:t>
            </a:fld>
            <a:endParaRPr lang="en-GB" sz="1100" b="1"/>
          </a:p>
        </xdr:txBody>
      </xdr:sp>
      <xdr:sp macro="" textlink="Calculations!E14">
        <xdr:nvSpPr>
          <xdr:cNvPr id="17" name="TextBox 16">
            <a:extLst>
              <a:ext uri="{FF2B5EF4-FFF2-40B4-BE49-F238E27FC236}">
                <a16:creationId xmlns:a16="http://schemas.microsoft.com/office/drawing/2014/main" id="{8FC1D7CA-12DA-BE4E-BFB6-F705F1B2C334}"/>
              </a:ext>
            </a:extLst>
          </xdr:cNvPr>
          <xdr:cNvSpPr txBox="1"/>
        </xdr:nvSpPr>
        <xdr:spPr>
          <a:xfrm>
            <a:off x="9880600" y="1384300"/>
            <a:ext cx="279400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A83B660E-0462-F443-9829-7C22837B2550}" type="TxLink">
              <a:rPr lang="en-US" sz="1200" b="0" i="0" u="none" strike="noStrike">
                <a:solidFill>
                  <a:srgbClr val="000000"/>
                </a:solidFill>
                <a:latin typeface="Arial"/>
                <a:cs typeface="Arial"/>
              </a:rPr>
              <a:pPr algn="l"/>
              <a:t> of tracked income left to be allocated</a:t>
            </a:fld>
            <a:endParaRPr lang="en-GB" sz="300" b="1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182878</xdr:colOff>
      <xdr:row>12</xdr:row>
      <xdr:rowOff>152399</xdr:rowOff>
    </xdr:from>
    <xdr:to>
      <xdr:col>32</xdr:col>
      <xdr:colOff>1511301</xdr:colOff>
      <xdr:row>14</xdr:row>
      <xdr:rowOff>81281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69E2F3B-3E4C-D541-16AC-EB2B2953563F}"/>
            </a:ext>
          </a:extLst>
        </xdr:cNvPr>
        <xdr:cNvSpPr txBox="1"/>
      </xdr:nvSpPr>
      <xdr:spPr>
        <a:xfrm rot="10800000" flipV="1">
          <a:off x="8598745" y="2861732"/>
          <a:ext cx="2987889" cy="33528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500" b="1">
              <a:solidFill>
                <a:srgbClr val="008F01"/>
              </a:solidFill>
            </a:rPr>
            <a:t>Income</a:t>
          </a:r>
          <a:r>
            <a:rPr lang="en-GB" sz="1500" b="1"/>
            <a:t> Categories</a:t>
          </a:r>
          <a:r>
            <a:rPr lang="en-GB" sz="1500" b="1" baseline="0"/>
            <a:t> (Tracked)</a:t>
          </a:r>
          <a:endParaRPr lang="en-GB" sz="1500" b="1"/>
        </a:p>
      </xdr:txBody>
    </xdr:sp>
    <xdr:clientData/>
  </xdr:twoCellAnchor>
  <xdr:twoCellAnchor editAs="oneCell">
    <xdr:from>
      <xdr:col>31</xdr:col>
      <xdr:colOff>320887</xdr:colOff>
      <xdr:row>14</xdr:row>
      <xdr:rowOff>45357</xdr:rowOff>
    </xdr:from>
    <xdr:to>
      <xdr:col>32</xdr:col>
      <xdr:colOff>1466548</xdr:colOff>
      <xdr:row>26</xdr:row>
      <xdr:rowOff>151190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E96A5B-51A9-C148-B071-8E34CBC8FB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31</xdr:col>
      <xdr:colOff>182878</xdr:colOff>
      <xdr:row>30</xdr:row>
      <xdr:rowOff>152399</xdr:rowOff>
    </xdr:from>
    <xdr:ext cx="3030222" cy="33528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E066A34-D8F0-D340-8ACC-A9192F432C8A}"/>
            </a:ext>
          </a:extLst>
        </xdr:cNvPr>
        <xdr:cNvSpPr txBox="1"/>
      </xdr:nvSpPr>
      <xdr:spPr>
        <a:xfrm rot="10800000" flipV="1">
          <a:off x="8598745" y="5706532"/>
          <a:ext cx="3030222" cy="33528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500" b="1">
              <a:solidFill>
                <a:schemeClr val="accent5">
                  <a:lumMod val="60000"/>
                  <a:lumOff val="40000"/>
                </a:schemeClr>
              </a:solidFill>
            </a:rPr>
            <a:t>Expenses</a:t>
          </a:r>
          <a:r>
            <a:rPr lang="en-GB" sz="1500" b="1"/>
            <a:t> Categories</a:t>
          </a:r>
          <a:r>
            <a:rPr lang="en-GB" sz="1500" b="1" baseline="0"/>
            <a:t> (Tracked)</a:t>
          </a:r>
          <a:endParaRPr lang="en-GB" sz="1500" b="1"/>
        </a:p>
      </xdr:txBody>
    </xdr:sp>
    <xdr:clientData/>
  </xdr:oneCellAnchor>
  <xdr:oneCellAnchor>
    <xdr:from>
      <xdr:col>31</xdr:col>
      <xdr:colOff>320887</xdr:colOff>
      <xdr:row>32</xdr:row>
      <xdr:rowOff>45356</xdr:rowOff>
    </xdr:from>
    <xdr:ext cx="2797688" cy="2543285"/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8715B09-13F3-7340-8350-AEE1D71572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38</xdr:col>
      <xdr:colOff>182878</xdr:colOff>
      <xdr:row>30</xdr:row>
      <xdr:rowOff>152399</xdr:rowOff>
    </xdr:from>
    <xdr:ext cx="3030222" cy="33528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AFC35C9-4BA1-D84F-9E26-6479DE689E4C}"/>
            </a:ext>
          </a:extLst>
        </xdr:cNvPr>
        <xdr:cNvSpPr txBox="1"/>
      </xdr:nvSpPr>
      <xdr:spPr>
        <a:xfrm rot="10800000" flipV="1">
          <a:off x="15778478" y="5706532"/>
          <a:ext cx="3030222" cy="33528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500" b="1">
              <a:solidFill>
                <a:srgbClr val="FF9300"/>
              </a:solidFill>
            </a:rPr>
            <a:t>Savings</a:t>
          </a:r>
          <a:r>
            <a:rPr lang="en-GB" sz="1500" b="1"/>
            <a:t> Categories</a:t>
          </a:r>
          <a:r>
            <a:rPr lang="en-GB" sz="1500" b="1" baseline="0"/>
            <a:t> (Tracked)</a:t>
          </a:r>
          <a:endParaRPr lang="en-GB" sz="1500" b="1"/>
        </a:p>
      </xdr:txBody>
    </xdr:sp>
    <xdr:clientData/>
  </xdr:oneCellAnchor>
  <xdr:oneCellAnchor>
    <xdr:from>
      <xdr:col>38</xdr:col>
      <xdr:colOff>320887</xdr:colOff>
      <xdr:row>32</xdr:row>
      <xdr:rowOff>45356</xdr:rowOff>
    </xdr:from>
    <xdr:ext cx="2797688" cy="2543285"/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B043550-040F-004F-AF26-F53EAC92A6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  <xdr:twoCellAnchor editAs="oneCell">
    <xdr:from>
      <xdr:col>38</xdr:col>
      <xdr:colOff>182878</xdr:colOff>
      <xdr:row>12</xdr:row>
      <xdr:rowOff>152398</xdr:rowOff>
    </xdr:from>
    <xdr:to>
      <xdr:col>39</xdr:col>
      <xdr:colOff>1511300</xdr:colOff>
      <xdr:row>14</xdr:row>
      <xdr:rowOff>81280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246E5B6-BF4C-5C4B-A9BB-D5A11298F751}"/>
            </a:ext>
          </a:extLst>
        </xdr:cNvPr>
        <xdr:cNvSpPr txBox="1"/>
      </xdr:nvSpPr>
      <xdr:spPr>
        <a:xfrm rot="10800000" flipV="1">
          <a:off x="15778478" y="2861731"/>
          <a:ext cx="2987889" cy="33528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500" b="1">
              <a:solidFill>
                <a:schemeClr val="tx1"/>
              </a:solidFill>
            </a:rPr>
            <a:t>Tracked (vs. Budget)</a:t>
          </a:r>
        </a:p>
      </xdr:txBody>
    </xdr:sp>
    <xdr:clientData/>
  </xdr:twoCellAnchor>
  <xdr:twoCellAnchor>
    <xdr:from>
      <xdr:col>38</xdr:col>
      <xdr:colOff>120953</xdr:colOff>
      <xdr:row>15</xdr:row>
      <xdr:rowOff>120953</xdr:rowOff>
    </xdr:from>
    <xdr:to>
      <xdr:col>43</xdr:col>
      <xdr:colOff>437881</xdr:colOff>
      <xdr:row>27</xdr:row>
      <xdr:rowOff>75595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6793827-F3E0-5944-88BB-8CF8CCDC14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1104900</xdr:colOff>
          <xdr:row>13</xdr:row>
          <xdr:rowOff>63500</xdr:rowOff>
        </xdr:from>
        <xdr:to>
          <xdr:col>41</xdr:col>
          <xdr:colOff>114300</xdr:colOff>
          <xdr:row>14</xdr:row>
          <xdr:rowOff>165100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5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Aptos Narrow" charset="0"/>
                </a:rPr>
                <a:t>Income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228600</xdr:colOff>
          <xdr:row>13</xdr:row>
          <xdr:rowOff>63500</xdr:rowOff>
        </xdr:from>
        <xdr:to>
          <xdr:col>41</xdr:col>
          <xdr:colOff>1143000</xdr:colOff>
          <xdr:row>14</xdr:row>
          <xdr:rowOff>165100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5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Aptos Narrow" charset="0"/>
                </a:rPr>
                <a:t>Expenses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1244600</xdr:colOff>
          <xdr:row>13</xdr:row>
          <xdr:rowOff>63500</xdr:rowOff>
        </xdr:from>
        <xdr:to>
          <xdr:col>42</xdr:col>
          <xdr:colOff>342900</xdr:colOff>
          <xdr:row>14</xdr:row>
          <xdr:rowOff>165100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5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Aptos Narrow" charset="0"/>
                </a:rPr>
                <a:t>Savings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457200</xdr:colOff>
          <xdr:row>13</xdr:row>
          <xdr:rowOff>50800</xdr:rowOff>
        </xdr:from>
        <xdr:to>
          <xdr:col>43</xdr:col>
          <xdr:colOff>355600</xdr:colOff>
          <xdr:row>14</xdr:row>
          <xdr:rowOff>165100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5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Aptos Narrow" charset="0"/>
                </a:rPr>
                <a:t>Budget</a:t>
              </a:r>
            </a:p>
          </xdr:txBody>
        </xdr:sp>
        <xdr:clientData/>
      </xdr:twoCellAnchor>
    </mc:Choice>
    <mc:Fallback/>
  </mc:AlternateContent>
  <xdr:twoCellAnchor>
    <xdr:from>
      <xdr:col>39</xdr:col>
      <xdr:colOff>876905</xdr:colOff>
      <xdr:row>12</xdr:row>
      <xdr:rowOff>151191</xdr:rowOff>
    </xdr:from>
    <xdr:to>
      <xdr:col>43</xdr:col>
      <xdr:colOff>468690</xdr:colOff>
      <xdr:row>15</xdr:row>
      <xdr:rowOff>30238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6D778E4-903E-473D-B94C-3FCE6008E5C6}"/>
            </a:ext>
          </a:extLst>
        </xdr:cNvPr>
        <xdr:cNvSpPr/>
      </xdr:nvSpPr>
      <xdr:spPr>
        <a:xfrm>
          <a:off x="18067262" y="2781905"/>
          <a:ext cx="4293809" cy="46869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26</xdr:col>
      <xdr:colOff>844774</xdr:colOff>
      <xdr:row>4</xdr:row>
      <xdr:rowOff>90594</xdr:rowOff>
    </xdr:from>
    <xdr:to>
      <xdr:col>28</xdr:col>
      <xdr:colOff>512157</xdr:colOff>
      <xdr:row>9</xdr:row>
      <xdr:rowOff>49470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64BEFEC2-7A4D-436B-6E07-15FF477AAED1}"/>
            </a:ext>
          </a:extLst>
        </xdr:cNvPr>
        <xdr:cNvGrpSpPr/>
      </xdr:nvGrpSpPr>
      <xdr:grpSpPr>
        <a:xfrm>
          <a:off x="5090936" y="1168170"/>
          <a:ext cx="1565968" cy="985138"/>
          <a:chOff x="4954617" y="1173549"/>
          <a:chExt cx="1576327" cy="984342"/>
        </a:xfrm>
      </xdr:grpSpPr>
      <xdr:sp macro="" textlink="">
        <xdr:nvSpPr>
          <xdr:cNvPr id="19" name="Rounded Rectangle 18">
            <a:extLst>
              <a:ext uri="{FF2B5EF4-FFF2-40B4-BE49-F238E27FC236}">
                <a16:creationId xmlns:a16="http://schemas.microsoft.com/office/drawing/2014/main" id="{191EB66D-DB18-6547-9CD6-B18435DDBE91}"/>
              </a:ext>
            </a:extLst>
          </xdr:cNvPr>
          <xdr:cNvSpPr/>
        </xdr:nvSpPr>
        <xdr:spPr>
          <a:xfrm>
            <a:off x="4954617" y="1173549"/>
            <a:ext cx="1576327" cy="984342"/>
          </a:xfrm>
          <a:prstGeom prst="roundRect">
            <a:avLst/>
          </a:prstGeom>
          <a:solidFill>
            <a:schemeClr val="bg1"/>
          </a:solidFill>
          <a:ln w="6350">
            <a:solidFill>
              <a:schemeClr val="bg1">
                <a:lumMod val="85000"/>
              </a:schemeClr>
            </a:solidFill>
          </a:ln>
          <a:effectLst>
            <a:outerShdw blurRad="825500" dist="127000" dir="5400000" sx="95000" sy="95000" algn="ctr" rotWithShape="0">
              <a:prstClr val="black">
                <a:alpha val="2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2B1B474B-708E-5145-8E47-557EED6DCF7A}"/>
              </a:ext>
            </a:extLst>
          </xdr:cNvPr>
          <xdr:cNvSpPr txBox="1"/>
        </xdr:nvSpPr>
        <xdr:spPr>
          <a:xfrm>
            <a:off x="5056218" y="1283694"/>
            <a:ext cx="1444490" cy="3756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GB" sz="1400" b="1"/>
              <a:t>Period</a:t>
            </a:r>
            <a:r>
              <a:rPr lang="en-GB" sz="1400" b="1" baseline="0"/>
              <a:t> Compl.</a:t>
            </a:r>
          </a:p>
          <a:p>
            <a:pPr algn="l"/>
            <a:endParaRPr lang="en-GB" sz="1400" b="1" baseline="0"/>
          </a:p>
        </xdr:txBody>
      </xdr:sp>
      <xdr:graphicFrame macro="">
        <xdr:nvGraphicFramePr>
          <xdr:cNvPr id="13" name="Chart 12">
            <a:extLst>
              <a:ext uri="{FF2B5EF4-FFF2-40B4-BE49-F238E27FC236}">
                <a16:creationId xmlns:a16="http://schemas.microsoft.com/office/drawing/2014/main" id="{47DD3B16-B0C9-E049-87FD-34A3F1354990}"/>
              </a:ext>
            </a:extLst>
          </xdr:cNvPr>
          <xdr:cNvGraphicFramePr>
            <a:graphicFrameLocks/>
          </xdr:cNvGraphicFramePr>
        </xdr:nvGraphicFramePr>
        <xdr:xfrm>
          <a:off x="5136046" y="1523257"/>
          <a:ext cx="1213469" cy="61528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Calculations!$E$24">
        <xdr:nvSpPr>
          <xdr:cNvPr id="12" name="TextBox 11">
            <a:extLst>
              <a:ext uri="{FF2B5EF4-FFF2-40B4-BE49-F238E27FC236}">
                <a16:creationId xmlns:a16="http://schemas.microsoft.com/office/drawing/2014/main" id="{BE68ED78-3B5C-1440-9DE3-B818467AC545}"/>
              </a:ext>
            </a:extLst>
          </xdr:cNvPr>
          <xdr:cNvSpPr txBox="1"/>
        </xdr:nvSpPr>
        <xdr:spPr>
          <a:xfrm>
            <a:off x="5364929" y="1640278"/>
            <a:ext cx="758243" cy="3726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441DFBE1-D8E0-AE47-B589-3F8243A14329}" type="TxLink">
              <a:rPr lang="en-US" sz="1200" b="1" i="0" u="none" strike="noStrike">
                <a:solidFill>
                  <a:srgbClr val="000000"/>
                </a:solidFill>
                <a:latin typeface="Arial"/>
                <a:cs typeface="Arial"/>
              </a:rPr>
              <a:pPr algn="ctr"/>
              <a:t>63%</a:t>
            </a:fld>
            <a:endParaRPr lang="en-GB" sz="1100" b="1"/>
          </a:p>
        </xdr:txBody>
      </xdr:sp>
    </xdr:grpSp>
    <xdr:clientData/>
  </xdr:twoCellAnchor>
  <xdr:twoCellAnchor>
    <xdr:from>
      <xdr:col>1</xdr:col>
      <xdr:colOff>761999</xdr:colOff>
      <xdr:row>4</xdr:row>
      <xdr:rowOff>90594</xdr:rowOff>
    </xdr:from>
    <xdr:to>
      <xdr:col>26</xdr:col>
      <xdr:colOff>386080</xdr:colOff>
      <xdr:row>9</xdr:row>
      <xdr:rowOff>49470</xdr:rowOff>
    </xdr:to>
    <xdr:grpSp>
      <xdr:nvGrpSpPr>
        <xdr:cNvPr id="45" name="Group 44">
          <a:extLst>
            <a:ext uri="{FF2B5EF4-FFF2-40B4-BE49-F238E27FC236}">
              <a16:creationId xmlns:a16="http://schemas.microsoft.com/office/drawing/2014/main" id="{AA9B7034-562D-F374-3739-9F29B6E65095}"/>
            </a:ext>
          </a:extLst>
        </xdr:cNvPr>
        <xdr:cNvGrpSpPr/>
      </xdr:nvGrpSpPr>
      <xdr:grpSpPr>
        <a:xfrm>
          <a:off x="954423" y="1168170"/>
          <a:ext cx="3677819" cy="985138"/>
          <a:chOff x="951316" y="1163389"/>
          <a:chExt cx="3694391" cy="984342"/>
        </a:xfrm>
      </xdr:grpSpPr>
      <xdr:sp macro="" textlink="">
        <xdr:nvSpPr>
          <xdr:cNvPr id="14" name="Rounded Rectangle 13">
            <a:extLst>
              <a:ext uri="{FF2B5EF4-FFF2-40B4-BE49-F238E27FC236}">
                <a16:creationId xmlns:a16="http://schemas.microsoft.com/office/drawing/2014/main" id="{3531598A-13CA-4F46-8F2D-F1D7AD68272C}"/>
              </a:ext>
            </a:extLst>
          </xdr:cNvPr>
          <xdr:cNvSpPr/>
        </xdr:nvSpPr>
        <xdr:spPr>
          <a:xfrm>
            <a:off x="951316" y="1163389"/>
            <a:ext cx="3694391" cy="984342"/>
          </a:xfrm>
          <a:prstGeom prst="roundRect">
            <a:avLst/>
          </a:prstGeom>
          <a:solidFill>
            <a:schemeClr val="bg1"/>
          </a:solidFill>
          <a:ln w="6350">
            <a:solidFill>
              <a:schemeClr val="bg1">
                <a:lumMod val="85000"/>
              </a:schemeClr>
            </a:solidFill>
          </a:ln>
          <a:effectLst>
            <a:outerShdw blurRad="825500" dist="127000" dir="5400000" sx="95000" sy="95000" algn="ctr" rotWithShape="0">
              <a:prstClr val="black">
                <a:alpha val="2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BB6235B2-28B4-5E4E-841B-C652680FCFC1}"/>
              </a:ext>
            </a:extLst>
          </xdr:cNvPr>
          <xdr:cNvSpPr txBox="1"/>
        </xdr:nvSpPr>
        <xdr:spPr>
          <a:xfrm>
            <a:off x="1056070" y="1283694"/>
            <a:ext cx="2858451" cy="40096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GB" sz="1400" b="1"/>
              <a:t>Selected Year &amp;</a:t>
            </a:r>
            <a:r>
              <a:rPr lang="en-GB" sz="1400" b="1" baseline="0"/>
              <a:t> Period</a:t>
            </a:r>
            <a:endParaRPr lang="en-GB" sz="1400" b="1"/>
          </a:p>
        </xdr:txBody>
      </xdr:sp>
      <xdr:sp macro="" textlink="">
        <xdr:nvSpPr>
          <xdr:cNvPr id="18" name="Rounded Rectangle 17">
            <a:extLst>
              <a:ext uri="{FF2B5EF4-FFF2-40B4-BE49-F238E27FC236}">
                <a16:creationId xmlns:a16="http://schemas.microsoft.com/office/drawing/2014/main" id="{DDD5282C-9FA4-CD28-0394-E50622A0E4A7}"/>
              </a:ext>
            </a:extLst>
          </xdr:cNvPr>
          <xdr:cNvSpPr/>
        </xdr:nvSpPr>
        <xdr:spPr>
          <a:xfrm>
            <a:off x="2777303" y="1640278"/>
            <a:ext cx="1457108" cy="350552"/>
          </a:xfrm>
          <a:prstGeom prst="roundRect">
            <a:avLst>
              <a:gd name="adj" fmla="val 50000"/>
            </a:avLst>
          </a:prstGeom>
          <a:noFill/>
          <a:ln>
            <a:solidFill>
              <a:schemeClr val="bg1">
                <a:lumMod val="7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selectedPeriodDisplay">
        <xdr:nvSpPr>
          <xdr:cNvPr id="17" name="TextBox 16">
            <a:extLst>
              <a:ext uri="{FF2B5EF4-FFF2-40B4-BE49-F238E27FC236}">
                <a16:creationId xmlns:a16="http://schemas.microsoft.com/office/drawing/2014/main" id="{D19E947B-DF92-A34B-920E-08E6AFC864BE}"/>
              </a:ext>
            </a:extLst>
          </xdr:cNvPr>
          <xdr:cNvSpPr txBox="1"/>
        </xdr:nvSpPr>
        <xdr:spPr>
          <a:xfrm>
            <a:off x="2933568" y="1640278"/>
            <a:ext cx="1144578" cy="368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FEDAE0EE-7D6F-134B-A38D-1164B95BCD7A}" type="TxLink">
              <a:rPr lang="en-US" sz="1200" b="1" i="0" u="none" strike="noStrike">
                <a:solidFill>
                  <a:srgbClr val="000000"/>
                </a:solidFill>
                <a:latin typeface="Arial"/>
                <a:cs typeface="Arial"/>
              </a:rPr>
              <a:pPr algn="ctr"/>
              <a:t>November</a:t>
            </a:fld>
            <a:endParaRPr lang="en-GB" sz="1100" b="1"/>
          </a:p>
        </xdr:txBody>
      </xdr:sp>
      <xdr:sp macro="" textlink="">
        <xdr:nvSpPr>
          <xdr:cNvPr id="24" name="Rounded Rectangle 23">
            <a:extLst>
              <a:ext uri="{FF2B5EF4-FFF2-40B4-BE49-F238E27FC236}">
                <a16:creationId xmlns:a16="http://schemas.microsoft.com/office/drawing/2014/main" id="{E457AC4F-D571-EF46-9146-2C614AAA5066}"/>
              </a:ext>
            </a:extLst>
          </xdr:cNvPr>
          <xdr:cNvSpPr/>
        </xdr:nvSpPr>
        <xdr:spPr>
          <a:xfrm>
            <a:off x="1053863" y="1640278"/>
            <a:ext cx="1455530" cy="350552"/>
          </a:xfrm>
          <a:prstGeom prst="roundRect">
            <a:avLst>
              <a:gd name="adj" fmla="val 50000"/>
            </a:avLst>
          </a:prstGeom>
          <a:noFill/>
          <a:ln>
            <a:solidFill>
              <a:schemeClr val="bg1">
                <a:lumMod val="7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selectedYear">
        <xdr:nvSpPr>
          <xdr:cNvPr id="25" name="TextBox 24">
            <a:extLst>
              <a:ext uri="{FF2B5EF4-FFF2-40B4-BE49-F238E27FC236}">
                <a16:creationId xmlns:a16="http://schemas.microsoft.com/office/drawing/2014/main" id="{653F33D0-30A3-5941-9AD2-36F50E56FB6D}"/>
              </a:ext>
            </a:extLst>
          </xdr:cNvPr>
          <xdr:cNvSpPr txBox="1"/>
        </xdr:nvSpPr>
        <xdr:spPr>
          <a:xfrm>
            <a:off x="1210128" y="1640278"/>
            <a:ext cx="1143000" cy="368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6FB93713-77C8-6E42-99C6-D7CFD7C4C3FD}" type="TxLink">
              <a:rPr lang="en-US" sz="1200" b="1" i="0" u="none" strike="noStrike">
                <a:solidFill>
                  <a:srgbClr val="000000"/>
                </a:solidFill>
                <a:latin typeface="Arial"/>
                <a:cs typeface="Arial"/>
              </a:rPr>
              <a:pPr algn="ctr"/>
              <a:t>2024</a:t>
            </a:fld>
            <a:endParaRPr lang="en-GB" sz="1100" b="1"/>
          </a:p>
        </xdr:txBody>
      </xdr:sp>
    </xdr:grpSp>
    <xdr:clientData/>
  </xdr:twoCellAnchor>
  <xdr:twoCellAnchor editAs="absolute">
    <xdr:from>
      <xdr:col>29</xdr:col>
      <xdr:colOff>16379</xdr:colOff>
      <xdr:row>4</xdr:row>
      <xdr:rowOff>90594</xdr:rowOff>
    </xdr:from>
    <xdr:to>
      <xdr:col>32</xdr:col>
      <xdr:colOff>1395031</xdr:colOff>
      <xdr:row>9</xdr:row>
      <xdr:rowOff>30480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6618AD50-78A6-A549-AA91-4B7ED3ABBDFB}"/>
            </a:ext>
          </a:extLst>
        </xdr:cNvPr>
        <xdr:cNvGrpSpPr/>
      </xdr:nvGrpSpPr>
      <xdr:grpSpPr>
        <a:xfrm>
          <a:off x="7110419" y="1168170"/>
          <a:ext cx="4354814" cy="966148"/>
          <a:chOff x="8991600" y="952500"/>
          <a:chExt cx="4356100" cy="850900"/>
        </a:xfrm>
      </xdr:grpSpPr>
      <xdr:sp macro="" textlink="">
        <xdr:nvSpPr>
          <xdr:cNvPr id="31" name="Rounded Rectangle 30">
            <a:extLst>
              <a:ext uri="{FF2B5EF4-FFF2-40B4-BE49-F238E27FC236}">
                <a16:creationId xmlns:a16="http://schemas.microsoft.com/office/drawing/2014/main" id="{F700F209-875A-5176-F82F-3F083FE28612}"/>
              </a:ext>
            </a:extLst>
          </xdr:cNvPr>
          <xdr:cNvSpPr/>
        </xdr:nvSpPr>
        <xdr:spPr>
          <a:xfrm>
            <a:off x="8991600" y="952500"/>
            <a:ext cx="4356100" cy="850900"/>
          </a:xfrm>
          <a:prstGeom prst="roundRect">
            <a:avLst/>
          </a:prstGeom>
          <a:solidFill>
            <a:schemeClr val="bg1"/>
          </a:solidFill>
          <a:ln w="6350">
            <a:solidFill>
              <a:schemeClr val="bg1">
                <a:lumMod val="85000"/>
              </a:schemeClr>
            </a:solidFill>
          </a:ln>
          <a:effectLst>
            <a:outerShdw blurRad="825500" dist="127000" dir="5400000" sx="95000" sy="95000" algn="ctr" rotWithShape="0">
              <a:prstClr val="black">
                <a:alpha val="2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2" name="TextBox 31">
            <a:extLst>
              <a:ext uri="{FF2B5EF4-FFF2-40B4-BE49-F238E27FC236}">
                <a16:creationId xmlns:a16="http://schemas.microsoft.com/office/drawing/2014/main" id="{F1A3B31E-BAA3-337C-EAD0-5ECFEAD7CD58}"/>
              </a:ext>
            </a:extLst>
          </xdr:cNvPr>
          <xdr:cNvSpPr txBox="1"/>
        </xdr:nvSpPr>
        <xdr:spPr>
          <a:xfrm>
            <a:off x="9093200" y="1054100"/>
            <a:ext cx="2260600" cy="355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GB" sz="1400" b="1"/>
              <a:t>Total Period Balance</a:t>
            </a:r>
          </a:p>
        </xdr:txBody>
      </xdr:sp>
      <xdr:sp macro="" textlink="Calculations!$E$25">
        <xdr:nvSpPr>
          <xdr:cNvPr id="33" name="TextBox 32">
            <a:extLst>
              <a:ext uri="{FF2B5EF4-FFF2-40B4-BE49-F238E27FC236}">
                <a16:creationId xmlns:a16="http://schemas.microsoft.com/office/drawing/2014/main" id="{23A9B056-823A-3D71-057A-BC9D40247097}"/>
              </a:ext>
            </a:extLst>
          </xdr:cNvPr>
          <xdr:cNvSpPr txBox="1"/>
        </xdr:nvSpPr>
        <xdr:spPr>
          <a:xfrm>
            <a:off x="9118600" y="1397000"/>
            <a:ext cx="749300" cy="355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230E3E6D-167F-9443-B35C-A7D7BE9C5BEF}" type="TxLink">
              <a:rPr lang="en-US" sz="1200" b="0" i="0" u="none" strike="noStrike">
                <a:solidFill>
                  <a:srgbClr val="000000"/>
                </a:solidFill>
                <a:latin typeface="Arial"/>
                <a:cs typeface="Arial"/>
              </a:rPr>
              <a:pPr algn="l"/>
              <a:t> 4 869 </a:t>
            </a:fld>
            <a:endParaRPr lang="en-GB" sz="1100" b="1"/>
          </a:p>
        </xdr:txBody>
      </xdr:sp>
      <xdr:sp macro="" textlink="Calculations!$E$26">
        <xdr:nvSpPr>
          <xdr:cNvPr id="34" name="TextBox 33">
            <a:extLst>
              <a:ext uri="{FF2B5EF4-FFF2-40B4-BE49-F238E27FC236}">
                <a16:creationId xmlns:a16="http://schemas.microsoft.com/office/drawing/2014/main" id="{43780CDF-EED7-DF06-C526-5B886901CDC5}"/>
              </a:ext>
            </a:extLst>
          </xdr:cNvPr>
          <xdr:cNvSpPr txBox="1"/>
        </xdr:nvSpPr>
        <xdr:spPr>
          <a:xfrm>
            <a:off x="9880600" y="1384300"/>
            <a:ext cx="279400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534D336B-6AA3-014D-8976-9939562ADB9B}" type="TxLink">
              <a:rPr lang="en-US" sz="1200" b="0" i="0" u="none" strike="noStrike">
                <a:solidFill>
                  <a:srgbClr val="000000"/>
                </a:solidFill>
                <a:latin typeface="Arial"/>
                <a:cs typeface="Arial"/>
              </a:rPr>
              <a:pPr algn="l"/>
              <a:t> of tracked income left to be allocated</a:t>
            </a:fld>
            <a:endParaRPr lang="en-GB" sz="300" b="1"/>
          </a:p>
        </xdr:txBody>
      </xdr:sp>
    </xdr:grpSp>
    <xdr:clientData/>
  </xdr:twoCellAnchor>
  <xdr:twoCellAnchor>
    <xdr:from>
      <xdr:col>33</xdr:col>
      <xdr:colOff>205092</xdr:colOff>
      <xdr:row>4</xdr:row>
      <xdr:rowOff>90594</xdr:rowOff>
    </xdr:from>
    <xdr:to>
      <xdr:col>36</xdr:col>
      <xdr:colOff>496955</xdr:colOff>
      <xdr:row>9</xdr:row>
      <xdr:rowOff>30480</xdr:rowOff>
    </xdr:to>
    <xdr:grpSp>
      <xdr:nvGrpSpPr>
        <xdr:cNvPr id="43" name="Group 42">
          <a:extLst>
            <a:ext uri="{FF2B5EF4-FFF2-40B4-BE49-F238E27FC236}">
              <a16:creationId xmlns:a16="http://schemas.microsoft.com/office/drawing/2014/main" id="{BE4D2D1D-3DD8-E607-652F-1BA952863922}"/>
            </a:ext>
          </a:extLst>
        </xdr:cNvPr>
        <xdr:cNvGrpSpPr/>
      </xdr:nvGrpSpPr>
      <xdr:grpSpPr>
        <a:xfrm>
          <a:off x="11930143" y="1168170"/>
          <a:ext cx="3306509" cy="966148"/>
          <a:chOff x="11950620" y="1183709"/>
          <a:chExt cx="3305155" cy="965352"/>
        </a:xfrm>
      </xdr:grpSpPr>
      <xdr:sp macro="" textlink="">
        <xdr:nvSpPr>
          <xdr:cNvPr id="36" name="Rounded Rectangle 35">
            <a:extLst>
              <a:ext uri="{FF2B5EF4-FFF2-40B4-BE49-F238E27FC236}">
                <a16:creationId xmlns:a16="http://schemas.microsoft.com/office/drawing/2014/main" id="{63B03DAB-F578-AD4A-4D7E-F35D7A2C5184}"/>
              </a:ext>
            </a:extLst>
          </xdr:cNvPr>
          <xdr:cNvSpPr/>
        </xdr:nvSpPr>
        <xdr:spPr>
          <a:xfrm>
            <a:off x="11950620" y="1183709"/>
            <a:ext cx="3305155" cy="965352"/>
          </a:xfrm>
          <a:prstGeom prst="roundRect">
            <a:avLst/>
          </a:prstGeom>
          <a:solidFill>
            <a:schemeClr val="bg1"/>
          </a:solidFill>
          <a:ln w="6350">
            <a:solidFill>
              <a:schemeClr val="bg1">
                <a:lumMod val="85000"/>
              </a:schemeClr>
            </a:solidFill>
          </a:ln>
          <a:effectLst>
            <a:outerShdw blurRad="825500" dist="127000" dir="5400000" sx="95000" sy="95000" algn="ctr" rotWithShape="0">
              <a:prstClr val="black">
                <a:alpha val="2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E89AF565-0B02-0BE6-5023-7EB3E60A6A7F}"/>
              </a:ext>
            </a:extLst>
          </xdr:cNvPr>
          <xdr:cNvSpPr txBox="1"/>
        </xdr:nvSpPr>
        <xdr:spPr>
          <a:xfrm>
            <a:off x="12052628" y="1300487"/>
            <a:ext cx="2263702" cy="4030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GB" sz="1400" b="1"/>
              <a:t>Period Savings Rate:</a:t>
            </a:r>
          </a:p>
        </xdr:txBody>
      </xdr:sp>
      <xdr:sp macro="" textlink="Calculations!$E$27">
        <xdr:nvSpPr>
          <xdr:cNvPr id="39" name="TextBox 38">
            <a:extLst>
              <a:ext uri="{FF2B5EF4-FFF2-40B4-BE49-F238E27FC236}">
                <a16:creationId xmlns:a16="http://schemas.microsoft.com/office/drawing/2014/main" id="{3E7D3964-BE3A-A8E1-59A8-13F9B6FD1DA9}"/>
              </a:ext>
            </a:extLst>
          </xdr:cNvPr>
          <xdr:cNvSpPr txBox="1"/>
        </xdr:nvSpPr>
        <xdr:spPr>
          <a:xfrm>
            <a:off x="13230998" y="1682780"/>
            <a:ext cx="758264" cy="32034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4A8CCFDA-8577-E943-99DA-7A12F8EEC48A}" type="TxLink">
              <a:rPr lang="en-US" sz="1200" b="1" i="0" u="none" strike="noStrike">
                <a:solidFill>
                  <a:srgbClr val="FF7D00"/>
                </a:solidFill>
                <a:latin typeface="Arial"/>
                <a:cs typeface="Arial"/>
              </a:rPr>
              <a:pPr algn="ctr"/>
              <a:t>20,0%</a:t>
            </a:fld>
            <a:endParaRPr lang="en-GB" sz="300" b="1">
              <a:solidFill>
                <a:srgbClr val="FF7D00"/>
              </a:solidFill>
            </a:endParaRPr>
          </a:p>
        </xdr:txBody>
      </xdr:sp>
      <xdr:sp macro="" textlink="">
        <xdr:nvSpPr>
          <xdr:cNvPr id="41" name="TextBox 40">
            <a:extLst>
              <a:ext uri="{FF2B5EF4-FFF2-40B4-BE49-F238E27FC236}">
                <a16:creationId xmlns:a16="http://schemas.microsoft.com/office/drawing/2014/main" id="{C31F39F5-77A9-B0C1-7C9E-FB1C15160A9B}"/>
              </a:ext>
            </a:extLst>
          </xdr:cNvPr>
          <xdr:cNvSpPr txBox="1"/>
        </xdr:nvSpPr>
        <xdr:spPr>
          <a:xfrm>
            <a:off x="12043548" y="1637859"/>
            <a:ext cx="1224402" cy="410187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1200"/>
              <a:t>You are</a:t>
            </a:r>
            <a:r>
              <a:rPr lang="en-GB" sz="1200" baseline="0"/>
              <a:t> saving</a:t>
            </a:r>
          </a:p>
        </xdr:txBody>
      </xdr:sp>
      <xdr:sp macro="" textlink="">
        <xdr:nvSpPr>
          <xdr:cNvPr id="42" name="TextBox 41">
            <a:extLst>
              <a:ext uri="{FF2B5EF4-FFF2-40B4-BE49-F238E27FC236}">
                <a16:creationId xmlns:a16="http://schemas.microsoft.com/office/drawing/2014/main" id="{5276440B-A703-3B45-982E-4D9527AEB782}"/>
              </a:ext>
            </a:extLst>
          </xdr:cNvPr>
          <xdr:cNvSpPr txBox="1"/>
        </xdr:nvSpPr>
        <xdr:spPr>
          <a:xfrm>
            <a:off x="13962111" y="1637859"/>
            <a:ext cx="1245855" cy="410187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1200"/>
              <a:t>of your income.</a:t>
            </a:r>
            <a:endParaRPr lang="en-GB" sz="1200" baseline="0"/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E1C6CD-C91E-4C46-8F4A-8AB1E79514D1}" name="Income" displayName="Income" ref="C9:C12" totalsRowShown="0" headerRowDxfId="107" dataDxfId="106">
  <autoFilter ref="C9:C12" xr:uid="{DFE1C6CD-C91E-4C46-8F4A-8AB1E79514D1}">
    <filterColumn colId="0" hiddenButton="1"/>
  </autoFilter>
  <tableColumns count="1">
    <tableColumn id="1" xr3:uid="{92CC0A59-B175-C74E-B90C-A740713D043E}" name="Income" dataDxfId="105"/>
  </tableColumns>
  <tableStyleInfo name="Income Table 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F28F5E-A8AC-B64D-BBFD-41F755614227}" name="Expenses" displayName="Expenses" ref="C23:C35" totalsRowShown="0" headerRowDxfId="104" dataDxfId="103">
  <autoFilter ref="C23:C35" xr:uid="{4FF28F5E-A8AC-B64D-BBFD-41F755614227}">
    <filterColumn colId="0" hiddenButton="1"/>
  </autoFilter>
  <tableColumns count="1">
    <tableColumn id="1" xr3:uid="{0504EAA0-F6C9-B74C-902D-5982E7A090ED}" name="Expenses" dataDxfId="102"/>
  </tableColumns>
  <tableStyleInfo name="Expenses Table 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659FCF9-5CEE-F84F-8689-D2815A862337}" name="Savings" displayName="Savings" ref="C54:C58" totalsRowShown="0" headerRowDxfId="101" dataDxfId="100">
  <autoFilter ref="C54:C58" xr:uid="{8659FCF9-5CEE-F84F-8689-D2815A862337}">
    <filterColumn colId="0" hiddenButton="1"/>
  </autoFilter>
  <tableColumns count="1">
    <tableColumn id="1" xr3:uid="{39A3B2DD-B63F-D14D-9E1A-2092AA4CE64A}" name="Savings" dataDxfId="99"/>
  </tableColumns>
  <tableStyleInfo name="Savings Table Styl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D6FD036-AD62-D743-B547-1EB98A33AB9D}" name="Tracking" displayName="Tracking" ref="C11:I213" totalsRowShown="0" headerRowDxfId="98" dataDxfId="97">
  <autoFilter ref="C11:I213" xr:uid="{2D6FD036-AD62-D743-B547-1EB98A33AB9D}"/>
  <sortState xmlns:xlrd2="http://schemas.microsoft.com/office/spreadsheetml/2017/richdata2" ref="C12:I35">
    <sortCondition ref="C11:C35"/>
  </sortState>
  <tableColumns count="7">
    <tableColumn id="1" xr3:uid="{580AF65A-3855-0A46-996C-9E74A88C6972}" name="Date" dataDxfId="96"/>
    <tableColumn id="2" xr3:uid="{CB71B55B-263B-1F4E-9C6C-6EC9A0639DE1}" name="Type" dataDxfId="95"/>
    <tableColumn id="3" xr3:uid="{93519152-CD22-414D-87AA-81E2732DD0EB}" name="Category" dataDxfId="94"/>
    <tableColumn id="4" xr3:uid="{DCDF5164-D19D-DA4B-B11B-33B828FF0F28}" name="Amount" dataDxfId="93"/>
    <tableColumn id="5" xr3:uid="{B7044330-C713-1640-8FC1-94D008AC7194}" name="Details" dataDxfId="92"/>
    <tableColumn id="6" xr3:uid="{F13ED164-E79C-904B-A0AC-8586CA28E24F}" name="Balance" dataDxfId="91">
      <calculatedColumnFormula array="1">SUMPRODUCT(Tracking[Amount],--(Tracking[Date]&lt;=Tracking[[#This Row],[Date]]), (Tracking[Type]&lt;&gt;"Income") * (-1) + (Tracking[Type]="Income"))</calculatedColumnFormula>
    </tableColumn>
    <tableColumn id="7" xr3:uid="{3DAEEA1B-376D-064C-BD82-DAB69E7D48A9}" name="Effective Date" dataDxfId="90">
      <calculatedColumnFormula>IF(AND(Tracking[[#This Row],[Type]]="Income", shiftLateIncomeStatus="Active", DAY(Tracking[[#This Row],[Date]])&gt;=shiftLateIncomeStartingDate),  DATE(YEAR(Tracking[[#This Row],[Date]]),MONTH(Tracking[[#This Row],[Date]])+1,1),Tracking[[#This Row],[Date]])</calculatedColumnFormula>
    </tableColumn>
  </tableColumns>
  <tableStyleInfo name="Tracking Table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59BB-D7A4-D944-BFDA-B241462184CB}">
  <dimension ref="A1:E22"/>
  <sheetViews>
    <sheetView showGridLines="0" workbookViewId="0">
      <selection activeCell="H26" sqref="H26"/>
    </sheetView>
  </sheetViews>
  <sheetFormatPr baseColWidth="10" defaultRowHeight="16" x14ac:dyDescent="0.2"/>
  <cols>
    <col min="2" max="2" width="14.28515625" customWidth="1"/>
    <col min="5" max="5" width="15.7109375" customWidth="1"/>
  </cols>
  <sheetData>
    <row r="1" spans="1:5" s="117" customFormat="1" x14ac:dyDescent="0.2">
      <c r="A1" s="117" t="s">
        <v>52</v>
      </c>
    </row>
    <row r="2" spans="1:5" s="117" customFormat="1" x14ac:dyDescent="0.2"/>
    <row r="3" spans="1:5" s="117" customFormat="1" x14ac:dyDescent="0.2"/>
    <row r="6" spans="1:5" x14ac:dyDescent="0.2">
      <c r="B6" s="44" t="s">
        <v>53</v>
      </c>
      <c r="E6" s="44" t="s">
        <v>55</v>
      </c>
    </row>
    <row r="7" spans="1:5" x14ac:dyDescent="0.2">
      <c r="B7" s="48" t="s">
        <v>54</v>
      </c>
      <c r="E7" s="48" t="s">
        <v>56</v>
      </c>
    </row>
    <row r="8" spans="1:5" x14ac:dyDescent="0.2">
      <c r="B8" s="48">
        <f>startingYear</f>
        <v>2024</v>
      </c>
      <c r="E8" s="48" t="s">
        <v>57</v>
      </c>
    </row>
    <row r="9" spans="1:5" x14ac:dyDescent="0.2">
      <c r="B9" s="48">
        <f>B8+1</f>
        <v>2025</v>
      </c>
      <c r="E9" s="51">
        <v>36526</v>
      </c>
    </row>
    <row r="10" spans="1:5" x14ac:dyDescent="0.2">
      <c r="B10" s="48">
        <f>B9+1</f>
        <v>2026</v>
      </c>
      <c r="E10" s="51">
        <v>36557</v>
      </c>
    </row>
    <row r="11" spans="1:5" x14ac:dyDescent="0.2">
      <c r="B11" s="48">
        <f t="shared" ref="B11:B15" si="0">B10+1</f>
        <v>2027</v>
      </c>
      <c r="E11" s="51">
        <v>36586</v>
      </c>
    </row>
    <row r="12" spans="1:5" x14ac:dyDescent="0.2">
      <c r="B12" s="48">
        <f t="shared" si="0"/>
        <v>2028</v>
      </c>
      <c r="E12" s="51">
        <v>36617</v>
      </c>
    </row>
    <row r="13" spans="1:5" x14ac:dyDescent="0.2">
      <c r="B13" s="48">
        <f t="shared" si="0"/>
        <v>2029</v>
      </c>
      <c r="E13" s="51">
        <v>36647</v>
      </c>
    </row>
    <row r="14" spans="1:5" x14ac:dyDescent="0.2">
      <c r="B14" s="48">
        <f t="shared" si="0"/>
        <v>2030</v>
      </c>
      <c r="E14" s="51">
        <v>36678</v>
      </c>
    </row>
    <row r="15" spans="1:5" x14ac:dyDescent="0.2">
      <c r="B15" s="48">
        <f t="shared" si="0"/>
        <v>2031</v>
      </c>
      <c r="E15" s="51">
        <v>36708</v>
      </c>
    </row>
    <row r="16" spans="1:5" x14ac:dyDescent="0.2">
      <c r="B16" s="49">
        <f>B15+1</f>
        <v>2032</v>
      </c>
      <c r="E16" s="51">
        <v>36739</v>
      </c>
    </row>
    <row r="17" spans="2:5" x14ac:dyDescent="0.2">
      <c r="B17" s="47"/>
      <c r="E17" s="51">
        <v>36770</v>
      </c>
    </row>
    <row r="18" spans="2:5" x14ac:dyDescent="0.2">
      <c r="B18" s="47"/>
      <c r="E18" s="51">
        <v>36800</v>
      </c>
    </row>
    <row r="19" spans="2:5" x14ac:dyDescent="0.2">
      <c r="E19" s="51">
        <v>36831</v>
      </c>
    </row>
    <row r="20" spans="2:5" x14ac:dyDescent="0.2">
      <c r="E20" s="52">
        <v>36861</v>
      </c>
    </row>
    <row r="21" spans="2:5" x14ac:dyDescent="0.2">
      <c r="E21" s="50"/>
    </row>
    <row r="22" spans="2:5" x14ac:dyDescent="0.2">
      <c r="E22" s="50"/>
    </row>
  </sheetData>
  <mergeCells count="1">
    <mergeCell ref="A1:XF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4D31-5556-8741-B511-9F909106D187}">
  <dimension ref="A1:Z106"/>
  <sheetViews>
    <sheetView showGridLines="0" zoomScale="91" zoomScaleNormal="100" workbookViewId="0">
      <selection activeCell="H26" sqref="H26"/>
    </sheetView>
  </sheetViews>
  <sheetFormatPr baseColWidth="10" defaultRowHeight="16" x14ac:dyDescent="0.2"/>
  <cols>
    <col min="2" max="2" width="2.85546875" customWidth="1"/>
    <col min="3" max="3" width="3" customWidth="1"/>
    <col min="4" max="4" width="20" customWidth="1"/>
    <col min="5" max="5" width="30" customWidth="1"/>
    <col min="6" max="6" width="11.42578125" customWidth="1"/>
    <col min="7" max="7" width="8.7109375" customWidth="1"/>
    <col min="8" max="8" width="17.140625" customWidth="1"/>
    <col min="9" max="9" width="18.5703125" customWidth="1"/>
    <col min="10" max="10" width="11.42578125" customWidth="1"/>
    <col min="11" max="11" width="8.7109375" customWidth="1"/>
    <col min="12" max="12" width="17.140625" customWidth="1"/>
    <col min="13" max="13" width="18.5703125" customWidth="1"/>
    <col min="14" max="14" width="11.42578125" customWidth="1"/>
    <col min="16" max="16" width="18.5703125" customWidth="1"/>
    <col min="17" max="17" width="11.42578125" customWidth="1"/>
  </cols>
  <sheetData>
    <row r="1" spans="1:26" ht="16" customHeight="1" x14ac:dyDescent="0.2">
      <c r="A1" s="82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</row>
    <row r="2" spans="1:26" ht="24" customHeight="1" x14ac:dyDescent="0.2">
      <c r="A2" s="82"/>
      <c r="B2" s="82"/>
      <c r="C2" s="82" t="s">
        <v>40</v>
      </c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</row>
    <row r="3" spans="1:26" ht="16" customHeight="1" x14ac:dyDescent="0.2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</row>
    <row r="6" spans="1:26" x14ac:dyDescent="0.2">
      <c r="B6" s="83"/>
      <c r="C6" s="83"/>
      <c r="D6" s="83" t="s">
        <v>41</v>
      </c>
      <c r="E6" s="83"/>
      <c r="F6" s="83"/>
    </row>
    <row r="8" spans="1:26" x14ac:dyDescent="0.2">
      <c r="D8" s="40" t="s">
        <v>42</v>
      </c>
      <c r="E8" s="39" cm="1">
        <f t="array" aca="1" ref="E8" ca="1">currentDate</f>
        <v>45615</v>
      </c>
    </row>
    <row r="9" spans="1:26" x14ac:dyDescent="0.2">
      <c r="D9" s="40" t="s">
        <v>43</v>
      </c>
      <c r="E9" s="39">
        <f>MAX(Tracking[Date])</f>
        <v>45615</v>
      </c>
    </row>
    <row r="10" spans="1:26" x14ac:dyDescent="0.2">
      <c r="D10" s="40" t="s">
        <v>44</v>
      </c>
      <c r="E10" t="str">
        <f ca="1">IF(E9=0,"(","("&amp;_xlfn.DAYS(E8,E9)&amp;" days ago)")</f>
        <v>(0 days ago)</v>
      </c>
    </row>
    <row r="11" spans="1:26" x14ac:dyDescent="0.2">
      <c r="D11" s="40" t="s">
        <v>45</v>
      </c>
      <c r="E11">
        <f>COUNT(Tracking[Date])</f>
        <v>202</v>
      </c>
    </row>
    <row r="12" spans="1:26" x14ac:dyDescent="0.2">
      <c r="D12" s="40" t="s">
        <v>46</v>
      </c>
      <c r="E12" t="str" cm="1">
        <f t="array" aca="1" ref="E12" ca="1">"(" &amp; SUMPRODUCT(--(YEAR(Tracking[Date])=YEAR(currentDate))) &amp; " this year)"</f>
        <v>(202 this year)</v>
      </c>
    </row>
    <row r="13" spans="1:26" x14ac:dyDescent="0.2">
      <c r="D13" s="40" t="s">
        <v>47</v>
      </c>
      <c r="E13" s="41">
        <f>_xlfn.IFNA(INDEX(Tracking[Balance], MATCH(Calculations!E9, Tracking[Date],0)),"-")</f>
        <v>3610.3500000000022</v>
      </c>
    </row>
    <row r="14" spans="1:26" x14ac:dyDescent="0.2">
      <c r="D14" s="40" t="s">
        <v>48</v>
      </c>
      <c r="E14" s="42" t="str">
        <f>IF(E13&gt;=0, " of tracked income left to be allocated","allocated not covered by income")</f>
        <v xml:space="preserve"> of tracked income left to be allocated</v>
      </c>
    </row>
    <row r="17" spans="2:14" x14ac:dyDescent="0.2">
      <c r="B17" s="83"/>
      <c r="C17" s="83"/>
      <c r="D17" s="84" t="s">
        <v>58</v>
      </c>
      <c r="E17" s="83"/>
      <c r="F17" s="83"/>
    </row>
    <row r="19" spans="2:14" x14ac:dyDescent="0.2">
      <c r="D19" s="53" t="s">
        <v>59</v>
      </c>
      <c r="E19" cm="1">
        <f t="array" aca="1" ref="E19" ca="1">IF('Budget Dashboard'!$AQ$6="Current Year", YEAR(currentDate),'Budget Dashboard'!$AQ$6)</f>
        <v>2024</v>
      </c>
    </row>
    <row r="20" spans="2:14" x14ac:dyDescent="0.2">
      <c r="B20" s="54"/>
      <c r="C20" s="54"/>
      <c r="D20" s="56" t="s">
        <v>60</v>
      </c>
      <c r="E20" s="57" cm="1">
        <f t="array" aca="1" ref="E20" ca="1">IF('Budget Dashboard'!$AQ$9="Total Year","Total Year",   IF('Budget Dashboard'!$AQ$9="Current Month", MONTH(currentDate),  MONTH('Budget Dashboard'!$AQ$9)))</f>
        <v>11</v>
      </c>
      <c r="F20" s="54"/>
    </row>
    <row r="21" spans="2:14" x14ac:dyDescent="0.2">
      <c r="D21" s="53" t="s">
        <v>61</v>
      </c>
      <c r="E21" s="55" t="str">
        <f ca="1">IF(selectedPeriod="Total Year",  "Total Year",  TEXT(DATE(selectedYear,selectedPeriod,1), "mmmm"))</f>
        <v>November</v>
      </c>
    </row>
    <row r="22" spans="2:14" x14ac:dyDescent="0.2">
      <c r="D22" s="53" t="s">
        <v>125</v>
      </c>
      <c r="E22">
        <f ca="1">IF(selectedPeriod="Total Year", DATE(selectedYear, 12,31) - DATE(selectedYear-1,12,31),DAY(EOMONTH(DATE(selectedYear,selectedPeriod,1),0)))</f>
        <v>30</v>
      </c>
    </row>
    <row r="23" spans="2:14" x14ac:dyDescent="0.2">
      <c r="D23" s="53" t="s">
        <v>126</v>
      </c>
      <c r="E23" cm="1">
        <f t="array" aca="1" ref="E23" ca="1">IF(selectedYear=YEAR(currentDate),
IF(selectedPeriod="Total Year",currentDate-DATE(selectedYear-1,12,31), IF(selectedPeriod=MONTH(currentDate),DAY(currentDate),
IF(selectedPeriod&lt;MONTH(currentDate),E22, 0))),
IF(selectedYear&lt;YEAR(currentDate), E22,0))</f>
        <v>19</v>
      </c>
    </row>
    <row r="24" spans="2:14" x14ac:dyDescent="0.2">
      <c r="D24" s="53" t="s">
        <v>127</v>
      </c>
      <c r="E24" s="109">
        <f ca="1">E23/E22</f>
        <v>0.6333333333333333</v>
      </c>
    </row>
    <row r="25" spans="2:14" x14ac:dyDescent="0.2">
      <c r="D25" s="53" t="s">
        <v>128</v>
      </c>
      <c r="E25" s="41">
        <f ca="1">F41-(J41+N41)</f>
        <v>4869</v>
      </c>
    </row>
    <row r="26" spans="2:14" x14ac:dyDescent="0.2">
      <c r="D26" s="110" t="s">
        <v>48</v>
      </c>
      <c r="E26" s="42" t="str">
        <f ca="1">IF(E25&gt;=0, " of tracked income left to be allocated","allocated not covered by income")</f>
        <v xml:space="preserve"> of tracked income left to be allocated</v>
      </c>
    </row>
    <row r="27" spans="2:14" x14ac:dyDescent="0.2">
      <c r="D27" s="53" t="s">
        <v>129</v>
      </c>
      <c r="E27" s="111">
        <f ca="1">IFERROR(IF(savingsRateType="% allocated to Savings", N41/F41,(F41-J41)/F41),"-")</f>
        <v>0.19981122783978988</v>
      </c>
    </row>
    <row r="32" spans="2:14" x14ac:dyDescent="0.2">
      <c r="C32" s="81"/>
      <c r="D32" s="85" t="s">
        <v>106</v>
      </c>
      <c r="E32" s="81"/>
      <c r="F32" s="81"/>
      <c r="G32" s="81"/>
      <c r="H32" s="81"/>
      <c r="I32" s="81"/>
      <c r="J32" s="81"/>
      <c r="K32" s="81"/>
      <c r="L32" s="81"/>
      <c r="M32" s="81"/>
      <c r="N32" s="81"/>
    </row>
    <row r="34" spans="3:14" x14ac:dyDescent="0.2">
      <c r="D34" s="89" t="s">
        <v>5</v>
      </c>
      <c r="E34" s="89" t="s">
        <v>28</v>
      </c>
      <c r="F34" s="89" t="s">
        <v>29</v>
      </c>
      <c r="H34" s="89" t="s">
        <v>11</v>
      </c>
      <c r="I34" s="89" t="s">
        <v>28</v>
      </c>
      <c r="J34" s="89" t="s">
        <v>29</v>
      </c>
      <c r="L34" s="89" t="s">
        <v>16</v>
      </c>
      <c r="M34" s="89" t="s">
        <v>28</v>
      </c>
      <c r="N34" s="89" t="s">
        <v>29</v>
      </c>
    </row>
    <row r="35" spans="3:14" x14ac:dyDescent="0.2">
      <c r="D35" s="86">
        <v>1</v>
      </c>
      <c r="E35" s="86" t="str" cm="1">
        <f t="array" aca="1" ref="E35" ca="1">IF(F35="","", INDEX('Budget Dashboard'!$J:$J, MATCH(incomeHeaderRow +Calculations!D35,  'Budget Dashboard'!$X:$X,0)))</f>
        <v>Dividents</v>
      </c>
      <c r="F35" s="93" cm="1">
        <f t="array" aca="1" ref="F35" ca="1">IF(D35&gt;COUNTA(Income[]),"",
  IF(INDEX('Budget Dashboard'!$K:$K, MATCH(incomeHeaderRow +Calculations!D35,  'Budget Dashboard'!$X:$X,0))=0,"",
  INDEX('Budget Dashboard'!$K:$K, MATCH(incomeHeaderRow +Calculations!D35,  'Budget Dashboard'!$X:$X,0))))</f>
        <v>13251</v>
      </c>
      <c r="H35" s="86">
        <v>1</v>
      </c>
      <c r="I35" s="86" t="str" cm="1">
        <f t="array" aca="1" ref="I35" ca="1">IF(J35="","", INDEX('Budget Dashboard'!$J:$J, MATCH(expensesHeaderRow +Calculations!H35,  'Budget Dashboard'!$X:$X,0)))</f>
        <v>Housing</v>
      </c>
      <c r="J35" s="93" cm="1">
        <f t="array" aca="1" ref="J35" ca="1">IF(H35&gt;COUNTA(Expenses[]),"",
  IF(INDEX('Budget Dashboard'!$K:$K, MATCH(expensesHeaderRow +Calculations!H35,  'Budget Dashboard'!$X:$X,0))=0,"",
  INDEX('Budget Dashboard'!$K:$K, MATCH(expensesHeaderRow +Calculations!H35,  'Budget Dashboard'!$X:$X,0))))</f>
        <v>8911</v>
      </c>
      <c r="L35" s="86">
        <v>1</v>
      </c>
      <c r="M35" s="86" t="str" cm="1">
        <f t="array" aca="1" ref="M35" ca="1">IF(N35="","", INDEX('Budget Dashboard'!$J:$J, MATCH(savingsHeaderRow +Calculations!L35,  'Budget Dashboard'!$X:$X,0)))</f>
        <v/>
      </c>
      <c r="N35" s="93" t="str" cm="1">
        <f t="array" aca="1" ref="N35" ca="1">IF(L35&gt;COUNTA(Savings[]),"",
  IF(INDEX('Budget Dashboard'!$K:$K, MATCH(savingsHeaderRow +Calculations!L35,  'Budget Dashboard'!$X:$X,0))=0,"",
  INDEX('Budget Dashboard'!$K:$K, MATCH(savingsHeaderRow +Calculations!L35,  'Budget Dashboard'!$X:$X,0))))</f>
        <v/>
      </c>
    </row>
    <row r="36" spans="3:14" x14ac:dyDescent="0.2">
      <c r="D36" s="86">
        <v>2</v>
      </c>
      <c r="E36" s="86" t="str" cm="1">
        <f t="array" aca="1" ref="E36" ca="1">IF(F36="","", INDEX('Budget Dashboard'!$J:$J, MATCH(incomeHeaderRow +Calculations!D36,  'Budget Dashboard'!$X:$X,0)))</f>
        <v>Employment</v>
      </c>
      <c r="F36" s="93" cm="1">
        <f t="array" aca="1" ref="F36" ca="1">IF(D36&gt;COUNTA(Income[]),"",
  IF(INDEX('Budget Dashboard'!$K:$K, MATCH(incomeHeaderRow +Calculations!D36,  'Budget Dashboard'!$X:$X,0))=0,"",
  INDEX('Budget Dashboard'!$K:$K, MATCH(incomeHeaderRow +Calculations!D36,  'Budget Dashboard'!$X:$X,0))))</f>
        <v>11117</v>
      </c>
      <c r="H36" s="86">
        <v>2</v>
      </c>
      <c r="I36" s="86" t="str" cm="1">
        <f t="array" aca="1" ref="I36" ca="1">IF(J36="","", INDEX('Budget Dashboard'!$J:$J, MATCH(expensesHeaderRow +Calculations!H36,  'Budget Dashboard'!$X:$X,0)))</f>
        <v>Extra</v>
      </c>
      <c r="J36" s="93" cm="1">
        <f t="array" aca="1" ref="J36" ca="1">IF(H36&gt;COUNTA(Expenses[]),"",
  IF(INDEX('Budget Dashboard'!$K:$K, MATCH(expensesHeaderRow +Calculations!H36,  'Budget Dashboard'!$X:$X,0))=0,"",
  INDEX('Budget Dashboard'!$K:$K, MATCH(expensesHeaderRow +Calculations!H36,  'Budget Dashboard'!$X:$X,0))))</f>
        <v>3575</v>
      </c>
      <c r="L36" s="86">
        <v>2</v>
      </c>
      <c r="M36" s="86" t="str" cm="1">
        <f t="array" aca="1" ref="M36" ca="1">IF(N36="","", INDEX('Budget Dashboard'!$J:$J, MATCH(savingsHeaderRow +Calculations!L36,  'Budget Dashboard'!$X:$X,0)))</f>
        <v/>
      </c>
      <c r="N36" s="93" t="str" cm="1">
        <f t="array" aca="1" ref="N36" ca="1">IF(L36&gt;COUNTA(Savings[]),"",
  IF(INDEX('Budget Dashboard'!$K:$K, MATCH(savingsHeaderRow +Calculations!L36,  'Budget Dashboard'!$X:$X,0))=0,"",
  INDEX('Budget Dashboard'!$K:$K, MATCH(savingsHeaderRow +Calculations!L36,  'Budget Dashboard'!$X:$X,0))))</f>
        <v/>
      </c>
    </row>
    <row r="37" spans="3:14" x14ac:dyDescent="0.2">
      <c r="D37" s="86">
        <v>3</v>
      </c>
      <c r="E37" s="86" t="str" cm="1">
        <f t="array" aca="1" ref="E37" ca="1">IF(F37="","", INDEX('Budget Dashboard'!$J:$J, MATCH(incomeHeaderRow +Calculations!D37,  'Budget Dashboard'!$X:$X,0)))</f>
        <v/>
      </c>
      <c r="F37" s="93" t="str" cm="1">
        <f t="array" aca="1" ref="F37" ca="1">IF(D37&gt;COUNTA(Income[]),"",
  IF(INDEX('Budget Dashboard'!$K:$K, MATCH(incomeHeaderRow +Calculations!D37,  'Budget Dashboard'!$X:$X,0))=0,"",
  INDEX('Budget Dashboard'!$K:$K, MATCH(incomeHeaderRow +Calculations!D37,  'Budget Dashboard'!$X:$X,0))))</f>
        <v/>
      </c>
      <c r="H37" s="86">
        <v>3</v>
      </c>
      <c r="I37" s="86" t="str" cm="1">
        <f t="array" aca="1" ref="I37" ca="1">IF(J37="","", INDEX('Budget Dashboard'!$J:$J, MATCH(expensesHeaderRow +Calculations!H37,  'Budget Dashboard'!$X:$X,0)))</f>
        <v>Gym</v>
      </c>
      <c r="J37" s="93" cm="1">
        <f t="array" aca="1" ref="J37" ca="1">IF(H37&gt;COUNTA(Expenses[]),"",
  IF(INDEX('Budget Dashboard'!$K:$K, MATCH(expensesHeaderRow +Calculations!H37,  'Budget Dashboard'!$X:$X,0))=0,"",
  INDEX('Budget Dashboard'!$K:$K, MATCH(expensesHeaderRow +Calculations!H37,  'Budget Dashboard'!$X:$X,0))))</f>
        <v>2490</v>
      </c>
      <c r="L37" s="86">
        <v>3</v>
      </c>
      <c r="M37" s="86" t="str" cm="1">
        <f t="array" aca="1" ref="M37" ca="1">IF(N37="","", INDEX('Budget Dashboard'!$J:$J, MATCH(savingsHeaderRow +Calculations!L37,  'Budget Dashboard'!$X:$X,0)))</f>
        <v/>
      </c>
      <c r="N37" s="93" t="str" cm="1">
        <f t="array" aca="1" ref="N37" ca="1">IF(L37&gt;COUNTA(Savings[]),"",
  IF(INDEX('Budget Dashboard'!$K:$K, MATCH(savingsHeaderRow +Calculations!L37,  'Budget Dashboard'!$X:$X,0))=0,"",
  INDEX('Budget Dashboard'!$K:$K, MATCH(savingsHeaderRow +Calculations!L37,  'Budget Dashboard'!$X:$X,0))))</f>
        <v/>
      </c>
    </row>
    <row r="38" spans="3:14" x14ac:dyDescent="0.2">
      <c r="D38" s="86">
        <v>4</v>
      </c>
      <c r="E38" s="86" t="str" cm="1">
        <f t="array" ref="E38">IF(F38="","", INDEX('Budget Dashboard'!$J:$J, MATCH(incomeHeaderRow +Calculations!D38,  'Budget Dashboard'!$X:$X,0)))</f>
        <v/>
      </c>
      <c r="F38" s="93" t="str" cm="1">
        <f t="array" ref="F38">IF(D38&gt;COUNTA(Income[]),"",
  IF(INDEX('Budget Dashboard'!$K:$K, MATCH(incomeHeaderRow +Calculations!D38,  'Budget Dashboard'!$X:$X,0))=0,"",
  INDEX('Budget Dashboard'!$K:$K, MATCH(incomeHeaderRow +Calculations!D38,  'Budget Dashboard'!$X:$X,0))))</f>
        <v/>
      </c>
      <c r="H38" s="86">
        <v>4</v>
      </c>
      <c r="I38" s="86" t="str" cm="1">
        <f t="array" aca="1" ref="I38" ca="1">IF(J38="","", INDEX('Budget Dashboard'!$J:$J, MATCH(expensesHeaderRow +Calculations!H38,  'Budget Dashboard'!$X:$X,0)))</f>
        <v>Groceries</v>
      </c>
      <c r="J38" s="93" cm="1">
        <f t="array" aca="1" ref="J38" ca="1">IF(H38&gt;COUNTA(Expenses[]),"",
  IF(INDEX('Budget Dashboard'!$K:$K, MATCH(expensesHeaderRow +Calculations!H38,  'Budget Dashboard'!$X:$X,0))=0,"",
  INDEX('Budget Dashboard'!$K:$K, MATCH(expensesHeaderRow +Calculations!H38,  'Budget Dashboard'!$X:$X,0))))</f>
        <v>2022</v>
      </c>
      <c r="L38" s="86">
        <v>4</v>
      </c>
      <c r="M38" s="86" t="str" cm="1">
        <f t="array" aca="1" ref="M38" ca="1">IF(N38="","", INDEX('Budget Dashboard'!$J:$J, MATCH(savingsHeaderRow +Calculations!L38,  'Budget Dashboard'!$X:$X,0)))</f>
        <v/>
      </c>
      <c r="N38" s="93" t="str" cm="1">
        <f t="array" aca="1" ref="N38" ca="1">IF(L38&gt;COUNTA(Savings[]),"",
  IF(INDEX('Budget Dashboard'!$K:$K, MATCH(savingsHeaderRow +Calculations!L38,  'Budget Dashboard'!$X:$X,0))=0,"",
  INDEX('Budget Dashboard'!$K:$K, MATCH(savingsHeaderRow +Calculations!L38,  'Budget Dashboard'!$X:$X,0))))</f>
        <v/>
      </c>
    </row>
    <row r="39" spans="3:14" x14ac:dyDescent="0.2">
      <c r="D39" s="86">
        <v>5</v>
      </c>
      <c r="E39" s="86" t="str" cm="1">
        <f t="array" ref="E39">IF(F39="","", INDEX('Budget Dashboard'!$J:$J, MATCH(incomeHeaderRow +Calculations!D39,  'Budget Dashboard'!$X:$X,0)))</f>
        <v/>
      </c>
      <c r="F39" s="93" t="str" cm="1">
        <f t="array" ref="F39">IF(D39&gt;COUNTA(Income[]),"",
  IF(INDEX('Budget Dashboard'!$K:$K, MATCH(incomeHeaderRow +Calculations!D39,  'Budget Dashboard'!$X:$X,0))=0,"",
  INDEX('Budget Dashboard'!$K:$K, MATCH(incomeHeaderRow +Calculations!D39,  'Budget Dashboard'!$X:$X,0))))</f>
        <v/>
      </c>
      <c r="H39" s="86">
        <v>5</v>
      </c>
      <c r="I39" s="86" t="str" cm="1">
        <f t="array" aca="1" ref="I39" ca="1">IF(J39="","", INDEX('Budget Dashboard'!$J:$J, MATCH(expensesHeaderRow +Calculations!H39,  'Budget Dashboard'!$X:$X,0)))</f>
        <v>FastFoods</v>
      </c>
      <c r="J39" s="93" cm="1">
        <f t="array" aca="1" ref="J39" ca="1">IF(H39&gt;COUNTA(Expenses[]),"",
  IF(INDEX('Budget Dashboard'!$K:$K, MATCH(expensesHeaderRow +Calculations!H39,  'Budget Dashboard'!$X:$X,0))=0,"",
  INDEX('Budget Dashboard'!$K:$K, MATCH(expensesHeaderRow +Calculations!H39,  'Budget Dashboard'!$X:$X,0))))</f>
        <v>1415</v>
      </c>
      <c r="L39" s="86">
        <v>5</v>
      </c>
      <c r="M39" s="86" t="str" cm="1">
        <f t="array" ref="M39">IF(N39="","", INDEX('Budget Dashboard'!$J:$J, MATCH(savingsHeaderRow +Calculations!L39,  'Budget Dashboard'!$X:$X,0)))</f>
        <v/>
      </c>
      <c r="N39" s="93" t="str" cm="1">
        <f t="array" ref="N39">IF(L39&gt;COUNTA(Savings[]),"",
  IF(INDEX('Budget Dashboard'!$K:$K, MATCH(savingsHeaderRow +Calculations!L39,  'Budget Dashboard'!$X:$X,0))=0,"",
  INDEX('Budget Dashboard'!$K:$K, MATCH(savingsHeaderRow +Calculations!L39,  'Budget Dashboard'!$X:$X,0))))</f>
        <v/>
      </c>
    </row>
    <row r="40" spans="3:14" ht="17" thickBot="1" x14ac:dyDescent="0.25">
      <c r="D40" s="87">
        <v>6</v>
      </c>
      <c r="E40" s="87" t="str">
        <f ca="1">IF(F40="","", "Other")</f>
        <v/>
      </c>
      <c r="F40" s="94" t="str">
        <f ca="1">IF(F41-SUM(F35:F39)=0,"",F41-SUM(F35:F39))</f>
        <v/>
      </c>
      <c r="H40" s="87">
        <v>6</v>
      </c>
      <c r="I40" s="87" t="str">
        <f ca="1">IF(J40="","", "Other")</f>
        <v>Other</v>
      </c>
      <c r="J40" s="94">
        <f ca="1">IF(J41-SUM(J35:J39)=0,"",J41-SUM(J35:J39))</f>
        <v>1086</v>
      </c>
      <c r="L40" s="87">
        <v>6</v>
      </c>
      <c r="M40" s="87" t="str">
        <f ca="1">IF(N40="","", "Other")</f>
        <v/>
      </c>
      <c r="N40" s="94" t="str">
        <f ca="1">IF(N41-SUM(N35:N39)=0,"",N41-SUM(N35:N39))</f>
        <v/>
      </c>
    </row>
    <row r="41" spans="3:14" ht="17" thickTop="1" x14ac:dyDescent="0.2">
      <c r="D41" s="86"/>
      <c r="E41" s="88" t="s">
        <v>7</v>
      </c>
      <c r="F41" s="95" cm="1">
        <f t="array" aca="1" ref="F41" ca="1" xml:space="preserve"> INDEX('Budget Dashboard'!$K:$K, MATCH(incomeTotalRow,  'Budget Dashboard'!$X:$X,0))</f>
        <v>24368</v>
      </c>
      <c r="H41" s="86"/>
      <c r="I41" s="88" t="s">
        <v>7</v>
      </c>
      <c r="J41" s="95" cm="1">
        <f t="array" aca="1" ref="J41" ca="1" xml:space="preserve"> INDEX('Budget Dashboard'!$K:$K, MATCH(expensesTotalRow,  'Budget Dashboard'!$X:$X,0))</f>
        <v>19499</v>
      </c>
      <c r="L41" s="86"/>
      <c r="M41" s="88" t="s">
        <v>7</v>
      </c>
      <c r="N41" s="95" cm="1">
        <f t="array" aca="1" ref="N41" ca="1" xml:space="preserve"> INDEX('Budget Dashboard'!$K:$K, MATCH(savingsTotalRow,  'Budget Dashboard'!$X:$X,0))</f>
        <v>0</v>
      </c>
    </row>
    <row r="42" spans="3:14" x14ac:dyDescent="0.2">
      <c r="D42" s="86"/>
      <c r="E42" s="86"/>
      <c r="F42" s="86"/>
    </row>
    <row r="44" spans="3:14" x14ac:dyDescent="0.2">
      <c r="C44" s="81"/>
      <c r="D44" s="97" t="s">
        <v>107</v>
      </c>
      <c r="E44" s="81"/>
      <c r="F44" s="81"/>
      <c r="G44" s="81"/>
      <c r="H44" s="81"/>
      <c r="I44" s="81"/>
      <c r="J44" s="81"/>
      <c r="K44" s="81"/>
      <c r="L44" s="81"/>
      <c r="M44" s="81"/>
      <c r="N44" s="81"/>
    </row>
    <row r="46" spans="3:14" x14ac:dyDescent="0.2">
      <c r="D46" s="53" t="s">
        <v>121</v>
      </c>
      <c r="E46" s="46" t="b">
        <v>1</v>
      </c>
    </row>
    <row r="47" spans="3:14" x14ac:dyDescent="0.2">
      <c r="D47" s="53" t="s">
        <v>122</v>
      </c>
      <c r="E47" s="46" t="b">
        <v>1</v>
      </c>
    </row>
    <row r="48" spans="3:14" x14ac:dyDescent="0.2">
      <c r="D48" s="53" t="s">
        <v>123</v>
      </c>
      <c r="E48" s="46" t="b">
        <v>1</v>
      </c>
    </row>
    <row r="49" spans="4:18" x14ac:dyDescent="0.2">
      <c r="D49" s="106" t="s">
        <v>124</v>
      </c>
      <c r="E49" s="46" t="b">
        <v>1</v>
      </c>
    </row>
    <row r="53" spans="4:18" x14ac:dyDescent="0.2">
      <c r="M53" s="121" t="s">
        <v>115</v>
      </c>
      <c r="N53" s="121"/>
      <c r="O53" s="121"/>
      <c r="P53" s="122" t="s">
        <v>119</v>
      </c>
      <c r="Q53" s="122"/>
      <c r="R53" s="122"/>
    </row>
    <row r="54" spans="4:18" x14ac:dyDescent="0.2">
      <c r="D54" s="98" t="s">
        <v>108</v>
      </c>
      <c r="E54" s="98" t="s">
        <v>27</v>
      </c>
      <c r="F54" s="98" t="s">
        <v>109</v>
      </c>
      <c r="G54" s="98" t="s">
        <v>120</v>
      </c>
      <c r="H54" s="98" t="s">
        <v>110</v>
      </c>
      <c r="I54" s="98" t="s">
        <v>111</v>
      </c>
      <c r="J54" s="98" t="s">
        <v>112</v>
      </c>
      <c r="K54" s="98" t="s">
        <v>113</v>
      </c>
      <c r="L54" s="98" t="s">
        <v>114</v>
      </c>
      <c r="M54" s="98" t="s">
        <v>116</v>
      </c>
      <c r="N54" s="98" t="s">
        <v>117</v>
      </c>
      <c r="O54" s="98" t="s">
        <v>118</v>
      </c>
      <c r="P54" s="98" t="s">
        <v>116</v>
      </c>
      <c r="Q54" s="98" t="s">
        <v>117</v>
      </c>
      <c r="R54" s="98" t="s">
        <v>118</v>
      </c>
    </row>
    <row r="55" spans="4:18" x14ac:dyDescent="0.2">
      <c r="D55" s="119">
        <f ca="1">DATE(selectedYear,1,1)</f>
        <v>45292</v>
      </c>
      <c r="E55" s="100" t="s">
        <v>5</v>
      </c>
      <c r="F55" s="100">
        <f ca="1">MONTH(D55)</f>
        <v>1</v>
      </c>
      <c r="G55" s="100">
        <f ca="1">IF(selectedPeriod="Total Year",1,IF(selectedPeriod=ccMonthNumber,1,0))</f>
        <v>0</v>
      </c>
      <c r="H55" s="100">
        <f>1*$E$46</f>
        <v>1</v>
      </c>
      <c r="I55" s="100">
        <f>1*$E$49</f>
        <v>1</v>
      </c>
      <c r="J55" s="107" cm="1">
        <f t="array" aca="1" ref="J55" ca="1">SUM(Tracking[Amount] * (Tracking[Type]=ccType)*(YEAR(Tracking[Effective Date])=selectedYear) * (MONTH(Tracking[Effective Date])=ccMonthNumber))</f>
        <v>0</v>
      </c>
      <c r="K55" s="107" cm="1">
        <f t="array" aca="1" ref="K55" ca="1">INDEX('Budget Planning'!$E:$DY,incomeTotalRow,MATCH(DATE(selectedYear,ccMonthNumber,1),'Budget Planning'!$E$23:$DY$23,0))</f>
        <v>0</v>
      </c>
      <c r="L55" s="107">
        <f ca="1">ccBudget-ccTracked</f>
        <v>0</v>
      </c>
      <c r="M55" s="104">
        <f ca="1">ccInFocus*ccShowType*MIN(ccTracked,ccBudget)</f>
        <v>0</v>
      </c>
      <c r="N55" s="104">
        <f ca="1">ccInFocus*ccShowType*ccShowRemBudget*IF(ccDelta&gt;0,ccDelta,0)</f>
        <v>0</v>
      </c>
      <c r="O55" s="104">
        <f ca="1">ccInFocus*ccShowType*IF(ccDelta&lt;0,ABS(ccDelta),0)</f>
        <v>0</v>
      </c>
      <c r="P55" s="104">
        <f ca="1">NOT(ccInFocus)*ccShowType*MIN(ccTracked,ccBudget)</f>
        <v>0</v>
      </c>
      <c r="Q55" s="104">
        <f ca="1">NOT(ccInFocus)*ccShowType*ccShowRemBudget*IF(ccDelta&gt;0,ccDelta,0)</f>
        <v>0</v>
      </c>
      <c r="R55" s="104">
        <f ca="1">NOT(ccInFocus)*ccShowType*IF(ccDelta&lt;0,ABS(ccDelta),0)</f>
        <v>0</v>
      </c>
    </row>
    <row r="56" spans="4:18" x14ac:dyDescent="0.2">
      <c r="D56" s="119"/>
      <c r="E56" s="100" t="s">
        <v>11</v>
      </c>
      <c r="F56" s="100">
        <f ca="1">MONTH(D55)</f>
        <v>1</v>
      </c>
      <c r="G56" s="100">
        <f ca="1">IF(selectedPeriod="Total Year",1,IF(selectedPeriod=ccMonthNumber,1,0))</f>
        <v>0</v>
      </c>
      <c r="H56" s="100">
        <f>1*$E$47</f>
        <v>1</v>
      </c>
      <c r="I56" s="100">
        <f>1*$E$49</f>
        <v>1</v>
      </c>
      <c r="J56" s="107" cm="1">
        <f t="array" aca="1" ref="J56" ca="1">SUM(Tracking[Amount] * (Tracking[Type]=ccType)*(YEAR(Tracking[Effective Date])=selectedYear) * (MONTH(Tracking[Effective Date])=ccMonthNumber))</f>
        <v>0</v>
      </c>
      <c r="K56" s="107" cm="1">
        <f t="array" aca="1" ref="K56" ca="1">INDEX('Budget Planning'!$E:$DY,expensesTotalRow,MATCH(DATE(selectedYear,ccMonthNumber,1),'Budget Planning'!$E$23:$DY$23,0))</f>
        <v>0</v>
      </c>
      <c r="L56" s="107">
        <f ca="1">ccBudget-ccTracked</f>
        <v>0</v>
      </c>
      <c r="M56" s="104">
        <f ca="1">ccInFocus*ccShowType*MIN(ccTracked,ccBudget)</f>
        <v>0</v>
      </c>
      <c r="N56" s="104">
        <f ca="1">ccInFocus*ccShowType*ccShowRemBudget*IF(ccDelta&gt;0,ccDelta,0)</f>
        <v>0</v>
      </c>
      <c r="O56" s="104">
        <f ca="1">IF(ccDelta&lt;0,ABS(ccDelta),0)</f>
        <v>0</v>
      </c>
      <c r="P56" s="104">
        <f ca="1">NOT(ccInFocus)*ccShowType*MIN(ccTracked,ccBudget)</f>
        <v>0</v>
      </c>
      <c r="Q56" s="104">
        <f ca="1">NOT(ccInFocus)*ccShowType*ccShowRemBudget*IF(ccDelta&gt;0,ccDelta,0)</f>
        <v>0</v>
      </c>
      <c r="R56" s="104">
        <f ca="1">NOT(ccInFocus)*ccShowType*IF(ccDelta&lt;0,ABS(ccDelta),0)</f>
        <v>0</v>
      </c>
    </row>
    <row r="57" spans="4:18" x14ac:dyDescent="0.2">
      <c r="D57" s="119"/>
      <c r="E57" s="100" t="s">
        <v>16</v>
      </c>
      <c r="F57" s="100">
        <f ca="1">MONTH(D55)</f>
        <v>1</v>
      </c>
      <c r="G57" s="100">
        <f ca="1">IF(selectedPeriod="Total Year",1,IF(selectedPeriod=ccMonthNumber,1,0))</f>
        <v>0</v>
      </c>
      <c r="H57" s="100">
        <f>1*$E$48</f>
        <v>1</v>
      </c>
      <c r="I57" s="100">
        <f>1*$E$49</f>
        <v>1</v>
      </c>
      <c r="J57" s="107" cm="1">
        <f t="array" aca="1" ref="J57" ca="1">SUM(Tracking[Amount] * (Tracking[Type]=ccType)*(YEAR(Tracking[Effective Date])=selectedYear) * (MONTH(Tracking[Effective Date])=ccMonthNumber))</f>
        <v>0</v>
      </c>
      <c r="K57" s="107" cm="1">
        <f t="array" aca="1" ref="K57" ca="1">INDEX('Budget Planning'!$E:$DY,savingsTotalRow,MATCH(DATE(selectedYear,ccMonthNumber,1),'Budget Planning'!$E$23:$DY$23,0))</f>
        <v>0</v>
      </c>
      <c r="L57" s="107">
        <f ca="1">ccBudget-ccTracked</f>
        <v>0</v>
      </c>
      <c r="M57" s="104">
        <f ca="1">ccInFocus*ccShowType*MIN(ccTracked,ccBudget)</f>
        <v>0</v>
      </c>
      <c r="N57" s="104">
        <f ca="1">ccInFocus*ccShowType*ccShowRemBudget*IF(ccDelta&gt;0,ccDelta,0)</f>
        <v>0</v>
      </c>
      <c r="O57" s="104">
        <f ca="1">IF(ccDelta&lt;0,ABS(ccDelta),0)</f>
        <v>0</v>
      </c>
      <c r="P57" s="104">
        <f ca="1">NOT(ccInFocus)*ccShowType*MIN(ccTracked,ccBudget)</f>
        <v>0</v>
      </c>
      <c r="Q57" s="104">
        <f ca="1">NOT(ccInFocus)*ccShowType*ccShowRemBudget*IF(ccDelta&gt;0,ccDelta,0)</f>
        <v>0</v>
      </c>
      <c r="R57" s="104">
        <f ca="1">NOT(ccInFocus)*ccShowType*IF(ccDelta&lt;0,ABS(ccDelta),0)</f>
        <v>0</v>
      </c>
    </row>
    <row r="58" spans="4:18" x14ac:dyDescent="0.2">
      <c r="D58" s="119"/>
      <c r="E58" s="101"/>
      <c r="F58" s="101"/>
      <c r="G58" s="101"/>
      <c r="H58" s="101"/>
      <c r="I58" s="101"/>
      <c r="J58" s="108"/>
      <c r="K58" s="108"/>
      <c r="L58" s="108"/>
      <c r="M58" s="105"/>
      <c r="N58" s="105"/>
      <c r="O58" s="105"/>
      <c r="P58" s="105"/>
      <c r="Q58" s="105"/>
      <c r="R58" s="105"/>
    </row>
    <row r="59" spans="4:18" x14ac:dyDescent="0.2">
      <c r="D59" s="118">
        <f ca="1">DATE(selectedYear,2,1)</f>
        <v>45323</v>
      </c>
      <c r="E59" s="99" t="s">
        <v>5</v>
      </c>
      <c r="F59" s="100">
        <f t="shared" ref="F59" ca="1" si="0">MONTH(D59)</f>
        <v>2</v>
      </c>
      <c r="G59" s="100">
        <f ca="1">IF(selectedPeriod="Total Year",1,IF(selectedPeriod=ccMonthNumber,1,0))</f>
        <v>0</v>
      </c>
      <c r="H59" s="100">
        <f t="shared" ref="H59" si="1">1*$E$46</f>
        <v>1</v>
      </c>
      <c r="I59" s="100">
        <f t="shared" ref="I59:I61" si="2">1*$E$49</f>
        <v>1</v>
      </c>
      <c r="J59" s="107" cm="1">
        <f t="array" aca="1" ref="J59" ca="1">SUM(Tracking[Amount] * (Tracking[Type]=ccType)*(YEAR(Tracking[Effective Date])=selectedYear) * (MONTH(Tracking[Effective Date])=ccMonthNumber))</f>
        <v>0</v>
      </c>
      <c r="K59" s="107" cm="1">
        <f t="array" aca="1" ref="K59" ca="1">INDEX('Budget Planning'!$E:$DY,incomeTotalRow,MATCH(DATE(selectedYear,ccMonthNumber,1),'Budget Planning'!$E$23:$DY$23,0))</f>
        <v>0</v>
      </c>
      <c r="L59" s="107">
        <f ca="1">ccBudget-ccTracked</f>
        <v>0</v>
      </c>
      <c r="M59" s="104">
        <f ca="1">ccInFocus*ccShowType*MIN(ccTracked,ccBudget)</f>
        <v>0</v>
      </c>
      <c r="N59" s="104">
        <f ca="1">ccInFocus*ccShowType*ccShowRemBudget*IF(ccDelta&gt;0,ccDelta,0)</f>
        <v>0</v>
      </c>
      <c r="O59" s="104">
        <f ca="1">ccInFocus*ccShowType*IF(ccDelta&lt;0,ABS(ccDelta),0)</f>
        <v>0</v>
      </c>
      <c r="P59" s="104">
        <f ca="1">NOT(ccInFocus)*ccShowType*MIN(ccTracked,ccBudget)</f>
        <v>0</v>
      </c>
      <c r="Q59" s="104">
        <f ca="1">NOT(ccInFocus)*ccShowType*ccShowRemBudget*IF(ccDelta&gt;0,ccDelta,0)</f>
        <v>0</v>
      </c>
      <c r="R59" s="104">
        <f ca="1">NOT(ccInFocus)*ccShowType*IF(ccDelta&lt;0,ABS(ccDelta),0)</f>
        <v>0</v>
      </c>
    </row>
    <row r="60" spans="4:18" x14ac:dyDescent="0.2">
      <c r="D60" s="119"/>
      <c r="E60" s="100" t="s">
        <v>11</v>
      </c>
      <c r="F60" s="100">
        <f t="shared" ref="F60" ca="1" si="3">MONTH(D59)</f>
        <v>2</v>
      </c>
      <c r="G60" s="100">
        <f ca="1">IF(selectedPeriod="Total Year",1,IF(selectedPeriod=ccMonthNumber,1,0))</f>
        <v>0</v>
      </c>
      <c r="H60" s="100">
        <f t="shared" ref="H60" si="4">1*$E$47</f>
        <v>1</v>
      </c>
      <c r="I60" s="100">
        <f t="shared" si="2"/>
        <v>1</v>
      </c>
      <c r="J60" s="107" cm="1">
        <f t="array" aca="1" ref="J60" ca="1">SUM(Tracking[Amount] * (Tracking[Type]=ccType)*(YEAR(Tracking[Effective Date])=selectedYear) * (MONTH(Tracking[Effective Date])=ccMonthNumber))</f>
        <v>0</v>
      </c>
      <c r="K60" s="107" cm="1">
        <f t="array" aca="1" ref="K60" ca="1">INDEX('Budget Planning'!$E:$DY,expensesTotalRow,MATCH(DATE(selectedYear,ccMonthNumber,1),'Budget Planning'!$E$23:$DY$23,0))</f>
        <v>0</v>
      </c>
      <c r="L60" s="107">
        <f ca="1">ccBudget-ccTracked</f>
        <v>0</v>
      </c>
      <c r="M60" s="104">
        <f ca="1">ccInFocus*ccShowType*MIN(ccTracked,ccBudget)</f>
        <v>0</v>
      </c>
      <c r="N60" s="104">
        <f ca="1">ccInFocus*ccShowType*ccShowRemBudget*IF(ccDelta&gt;0,ccDelta,0)</f>
        <v>0</v>
      </c>
      <c r="O60" s="104">
        <f ca="1">IF(ccDelta&lt;0,ABS(ccDelta),0)</f>
        <v>0</v>
      </c>
      <c r="P60" s="104">
        <f ca="1">NOT(ccInFocus)*ccShowType*MIN(ccTracked,ccBudget)</f>
        <v>0</v>
      </c>
      <c r="Q60" s="104">
        <f ca="1">NOT(ccInFocus)*ccShowType*ccShowRemBudget*IF(ccDelta&gt;0,ccDelta,0)</f>
        <v>0</v>
      </c>
      <c r="R60" s="104">
        <f ca="1">NOT(ccInFocus)*ccShowType*IF(ccDelta&lt;0,ABS(ccDelta),0)</f>
        <v>0</v>
      </c>
    </row>
    <row r="61" spans="4:18" x14ac:dyDescent="0.2">
      <c r="D61" s="119"/>
      <c r="E61" s="100" t="s">
        <v>16</v>
      </c>
      <c r="F61" s="100">
        <f t="shared" ref="F61" ca="1" si="5">MONTH(D59)</f>
        <v>2</v>
      </c>
      <c r="G61" s="100">
        <f ca="1">IF(selectedPeriod="Total Year",1,IF(selectedPeriod=ccMonthNumber,1,0))</f>
        <v>0</v>
      </c>
      <c r="H61" s="100">
        <f t="shared" ref="H61" si="6">1*$E$48</f>
        <v>1</v>
      </c>
      <c r="I61" s="100">
        <f t="shared" si="2"/>
        <v>1</v>
      </c>
      <c r="J61" s="107" cm="1">
        <f t="array" aca="1" ref="J61" ca="1">SUM(Tracking[Amount] * (Tracking[Type]=ccType)*(YEAR(Tracking[Effective Date])=selectedYear) * (MONTH(Tracking[Effective Date])=ccMonthNumber))</f>
        <v>0</v>
      </c>
      <c r="K61" s="107" cm="1">
        <f t="array" aca="1" ref="K61" ca="1">INDEX('Budget Planning'!$E:$DY,savingsTotalRow,MATCH(DATE(selectedYear,ccMonthNumber,1),'Budget Planning'!$E$23:$DY$23,0))</f>
        <v>0</v>
      </c>
      <c r="L61" s="107">
        <f ca="1">ccBudget-ccTracked</f>
        <v>0</v>
      </c>
      <c r="M61" s="104">
        <f ca="1">ccInFocus*ccShowType*MIN(ccTracked,ccBudget)</f>
        <v>0</v>
      </c>
      <c r="N61" s="104">
        <f ca="1">ccInFocus*ccShowType*ccShowRemBudget*IF(ccDelta&gt;0,ccDelta,0)</f>
        <v>0</v>
      </c>
      <c r="O61" s="104">
        <f ca="1">IF(ccDelta&lt;0,ABS(ccDelta),0)</f>
        <v>0</v>
      </c>
      <c r="P61" s="104">
        <f ca="1">NOT(ccInFocus)*ccShowType*MIN(ccTracked,ccBudget)</f>
        <v>0</v>
      </c>
      <c r="Q61" s="104">
        <f ca="1">NOT(ccInFocus)*ccShowType*ccShowRemBudget*IF(ccDelta&gt;0,ccDelta,0)</f>
        <v>0</v>
      </c>
      <c r="R61" s="104">
        <f ca="1">NOT(ccInFocus)*ccShowType*IF(ccDelta&lt;0,ABS(ccDelta),0)</f>
        <v>0</v>
      </c>
    </row>
    <row r="62" spans="4:18" x14ac:dyDescent="0.2">
      <c r="D62" s="119"/>
      <c r="E62" s="101"/>
      <c r="F62" s="101"/>
      <c r="G62" s="101"/>
      <c r="H62" s="101"/>
      <c r="I62" s="101"/>
      <c r="J62" s="108"/>
      <c r="K62" s="108"/>
      <c r="L62" s="108"/>
      <c r="M62" s="105"/>
      <c r="N62" s="105"/>
      <c r="O62" s="105"/>
      <c r="P62" s="105"/>
      <c r="Q62" s="105"/>
      <c r="R62" s="105"/>
    </row>
    <row r="63" spans="4:18" x14ac:dyDescent="0.2">
      <c r="D63" s="118">
        <f ca="1">DATE(selectedYear,3,1)</f>
        <v>45352</v>
      </c>
      <c r="E63" s="99" t="s">
        <v>5</v>
      </c>
      <c r="F63" s="100">
        <f t="shared" ref="F63" ca="1" si="7">MONTH(D63)</f>
        <v>3</v>
      </c>
      <c r="G63" s="100">
        <f ca="1">IF(selectedPeriod="Total Year",1,IF(selectedPeriod=ccMonthNumber,1,0))</f>
        <v>0</v>
      </c>
      <c r="H63" s="100">
        <f t="shared" ref="H63" si="8">1*$E$46</f>
        <v>1</v>
      </c>
      <c r="I63" s="100">
        <f t="shared" ref="I63:I65" si="9">1*$E$49</f>
        <v>1</v>
      </c>
      <c r="J63" s="107" cm="1">
        <f t="array" aca="1" ref="J63" ca="1">SUM(Tracking[Amount] * (Tracking[Type]=ccType)*(YEAR(Tracking[Effective Date])=selectedYear) * (MONTH(Tracking[Effective Date])=ccMonthNumber))</f>
        <v>0</v>
      </c>
      <c r="K63" s="107" cm="1">
        <f t="array" aca="1" ref="K63" ca="1">INDEX('Budget Planning'!$E:$DY,incomeTotalRow,MATCH(DATE(selectedYear,ccMonthNumber,1),'Budget Planning'!$E$23:$DY$23,0))</f>
        <v>0</v>
      </c>
      <c r="L63" s="107">
        <f ca="1">ccBudget-ccTracked</f>
        <v>0</v>
      </c>
      <c r="M63" s="104">
        <f ca="1">ccInFocus*ccShowType*MIN(ccTracked,ccBudget)</f>
        <v>0</v>
      </c>
      <c r="N63" s="104">
        <f ca="1">ccInFocus*ccShowType*ccShowRemBudget*IF(ccDelta&gt;0,ccDelta,0)</f>
        <v>0</v>
      </c>
      <c r="O63" s="104">
        <f ca="1">ccInFocus*ccShowType*IF(ccDelta&lt;0,ABS(ccDelta),0)</f>
        <v>0</v>
      </c>
      <c r="P63" s="104">
        <f ca="1">NOT(ccInFocus)*ccShowType*MIN(ccTracked,ccBudget)</f>
        <v>0</v>
      </c>
      <c r="Q63" s="104">
        <f ca="1">NOT(ccInFocus)*ccShowType*ccShowRemBudget*IF(ccDelta&gt;0,ccDelta,0)</f>
        <v>0</v>
      </c>
      <c r="R63" s="104">
        <f ca="1">NOT(ccInFocus)*ccShowType*IF(ccDelta&lt;0,ABS(ccDelta),0)</f>
        <v>0</v>
      </c>
    </row>
    <row r="64" spans="4:18" x14ac:dyDescent="0.2">
      <c r="D64" s="119"/>
      <c r="E64" s="100" t="s">
        <v>11</v>
      </c>
      <c r="F64" s="100">
        <f t="shared" ref="F64" ca="1" si="10">MONTH(D63)</f>
        <v>3</v>
      </c>
      <c r="G64" s="100">
        <f ca="1">IF(selectedPeriod="Total Year",1,IF(selectedPeriod=ccMonthNumber,1,0))</f>
        <v>0</v>
      </c>
      <c r="H64" s="100">
        <f t="shared" ref="H64" si="11">1*$E$47</f>
        <v>1</v>
      </c>
      <c r="I64" s="100">
        <f t="shared" si="9"/>
        <v>1</v>
      </c>
      <c r="J64" s="107" cm="1">
        <f t="array" aca="1" ref="J64" ca="1">SUM(Tracking[Amount] * (Tracking[Type]=ccType)*(YEAR(Tracking[Effective Date])=selectedYear) * (MONTH(Tracking[Effective Date])=ccMonthNumber))</f>
        <v>0</v>
      </c>
      <c r="K64" s="107" cm="1">
        <f t="array" aca="1" ref="K64" ca="1">INDEX('Budget Planning'!$E:$DY,expensesTotalRow,MATCH(DATE(selectedYear,ccMonthNumber,1),'Budget Planning'!$E$23:$DY$23,0))</f>
        <v>0</v>
      </c>
      <c r="L64" s="107">
        <f ca="1">ccBudget-ccTracked</f>
        <v>0</v>
      </c>
      <c r="M64" s="104">
        <f ca="1">ccInFocus*ccShowType*MIN(ccTracked,ccBudget)</f>
        <v>0</v>
      </c>
      <c r="N64" s="104">
        <f ca="1">ccInFocus*ccShowType*ccShowRemBudget*IF(ccDelta&gt;0,ccDelta,0)</f>
        <v>0</v>
      </c>
      <c r="O64" s="104">
        <f ca="1">IF(ccDelta&lt;0,ABS(ccDelta),0)</f>
        <v>0</v>
      </c>
      <c r="P64" s="104">
        <f ca="1">NOT(ccInFocus)*ccShowType*MIN(ccTracked,ccBudget)</f>
        <v>0</v>
      </c>
      <c r="Q64" s="104">
        <f ca="1">NOT(ccInFocus)*ccShowType*ccShowRemBudget*IF(ccDelta&gt;0,ccDelta,0)</f>
        <v>0</v>
      </c>
      <c r="R64" s="104">
        <f ca="1">NOT(ccInFocus)*ccShowType*IF(ccDelta&lt;0,ABS(ccDelta),0)</f>
        <v>0</v>
      </c>
    </row>
    <row r="65" spans="4:18" x14ac:dyDescent="0.2">
      <c r="D65" s="119"/>
      <c r="E65" s="100" t="s">
        <v>16</v>
      </c>
      <c r="F65" s="100">
        <f t="shared" ref="F65" ca="1" si="12">MONTH(D63)</f>
        <v>3</v>
      </c>
      <c r="G65" s="100">
        <f ca="1">IF(selectedPeriod="Total Year",1,IF(selectedPeriod=ccMonthNumber,1,0))</f>
        <v>0</v>
      </c>
      <c r="H65" s="100">
        <f t="shared" ref="H65" si="13">1*$E$48</f>
        <v>1</v>
      </c>
      <c r="I65" s="100">
        <f t="shared" si="9"/>
        <v>1</v>
      </c>
      <c r="J65" s="107" cm="1">
        <f t="array" aca="1" ref="J65" ca="1">SUM(Tracking[Amount] * (Tracking[Type]=ccType)*(YEAR(Tracking[Effective Date])=selectedYear) * (MONTH(Tracking[Effective Date])=ccMonthNumber))</f>
        <v>0</v>
      </c>
      <c r="K65" s="107" cm="1">
        <f t="array" aca="1" ref="K65" ca="1">INDEX('Budget Planning'!$E:$DY,savingsTotalRow,MATCH(DATE(selectedYear,ccMonthNumber,1),'Budget Planning'!$E$23:$DY$23,0))</f>
        <v>0</v>
      </c>
      <c r="L65" s="107">
        <f ca="1">ccBudget-ccTracked</f>
        <v>0</v>
      </c>
      <c r="M65" s="104">
        <f ca="1">ccInFocus*ccShowType*MIN(ccTracked,ccBudget)</f>
        <v>0</v>
      </c>
      <c r="N65" s="104">
        <f ca="1">ccInFocus*ccShowType*ccShowRemBudget*IF(ccDelta&gt;0,ccDelta,0)</f>
        <v>0</v>
      </c>
      <c r="O65" s="104">
        <f ca="1">IF(ccDelta&lt;0,ABS(ccDelta),0)</f>
        <v>0</v>
      </c>
      <c r="P65" s="104">
        <f ca="1">NOT(ccInFocus)*ccShowType*MIN(ccTracked,ccBudget)</f>
        <v>0</v>
      </c>
      <c r="Q65" s="104">
        <f ca="1">NOT(ccInFocus)*ccShowType*ccShowRemBudget*IF(ccDelta&gt;0,ccDelta,0)</f>
        <v>0</v>
      </c>
      <c r="R65" s="104">
        <f ca="1">NOT(ccInFocus)*ccShowType*IF(ccDelta&lt;0,ABS(ccDelta),0)</f>
        <v>0</v>
      </c>
    </row>
    <row r="66" spans="4:18" x14ac:dyDescent="0.2">
      <c r="D66" s="119"/>
      <c r="E66" s="101"/>
      <c r="F66" s="101"/>
      <c r="G66" s="101"/>
      <c r="H66" s="101"/>
      <c r="I66" s="101"/>
      <c r="J66" s="108"/>
      <c r="K66" s="108"/>
      <c r="L66" s="108"/>
      <c r="M66" s="105"/>
      <c r="N66" s="105"/>
      <c r="O66" s="105"/>
      <c r="P66" s="105"/>
      <c r="Q66" s="105"/>
      <c r="R66" s="105"/>
    </row>
    <row r="67" spans="4:18" x14ac:dyDescent="0.2">
      <c r="D67" s="118">
        <f ca="1">DATE(selectedYear,4,1)</f>
        <v>45383</v>
      </c>
      <c r="E67" s="99" t="s">
        <v>5</v>
      </c>
      <c r="F67" s="100">
        <f t="shared" ref="F67" ca="1" si="14">MONTH(D67)</f>
        <v>4</v>
      </c>
      <c r="G67" s="100">
        <f ca="1">IF(selectedPeriod="Total Year",1,IF(selectedPeriod=ccMonthNumber,1,0))</f>
        <v>0</v>
      </c>
      <c r="H67" s="100">
        <f t="shared" ref="H67" si="15">1*$E$46</f>
        <v>1</v>
      </c>
      <c r="I67" s="100">
        <f t="shared" ref="I67:I69" si="16">1*$E$49</f>
        <v>1</v>
      </c>
      <c r="J67" s="107" cm="1">
        <f t="array" aca="1" ref="J67" ca="1">SUM(Tracking[Amount] * (Tracking[Type]=ccType)*(YEAR(Tracking[Effective Date])=selectedYear) * (MONTH(Tracking[Effective Date])=ccMonthNumber))</f>
        <v>0</v>
      </c>
      <c r="K67" s="107" cm="1">
        <f t="array" aca="1" ref="K67" ca="1">INDEX('Budget Planning'!$E:$DY,incomeTotalRow,MATCH(DATE(selectedYear,ccMonthNumber,1),'Budget Planning'!$E$23:$DY$23,0))</f>
        <v>0</v>
      </c>
      <c r="L67" s="107">
        <f ca="1">ccBudget-ccTracked</f>
        <v>0</v>
      </c>
      <c r="M67" s="104">
        <f ca="1">ccInFocus*ccShowType*MIN(ccTracked,ccBudget)</f>
        <v>0</v>
      </c>
      <c r="N67" s="104">
        <f ca="1">ccInFocus*ccShowType*ccShowRemBudget*IF(ccDelta&gt;0,ccDelta,0)</f>
        <v>0</v>
      </c>
      <c r="O67" s="104">
        <f ca="1">ccInFocus*ccShowType*IF(ccDelta&lt;0,ABS(ccDelta),0)</f>
        <v>0</v>
      </c>
      <c r="P67" s="104">
        <f ca="1">NOT(ccInFocus)*ccShowType*MIN(ccTracked,ccBudget)</f>
        <v>0</v>
      </c>
      <c r="Q67" s="104">
        <f ca="1">NOT(ccInFocus)*ccShowType*ccShowRemBudget*IF(ccDelta&gt;0,ccDelta,0)</f>
        <v>0</v>
      </c>
      <c r="R67" s="104">
        <f ca="1">NOT(ccInFocus)*ccShowType*IF(ccDelta&lt;0,ABS(ccDelta),0)</f>
        <v>0</v>
      </c>
    </row>
    <row r="68" spans="4:18" x14ac:dyDescent="0.2">
      <c r="D68" s="119"/>
      <c r="E68" s="100" t="s">
        <v>11</v>
      </c>
      <c r="F68" s="100">
        <f t="shared" ref="F68" ca="1" si="17">MONTH(D67)</f>
        <v>4</v>
      </c>
      <c r="G68" s="100">
        <f ca="1">IF(selectedPeriod="Total Year",1,IF(selectedPeriod=ccMonthNumber,1,0))</f>
        <v>0</v>
      </c>
      <c r="H68" s="100">
        <f t="shared" ref="H68" si="18">1*$E$47</f>
        <v>1</v>
      </c>
      <c r="I68" s="100">
        <f t="shared" si="16"/>
        <v>1</v>
      </c>
      <c r="J68" s="107" cm="1">
        <f t="array" aca="1" ref="J68" ca="1">SUM(Tracking[Amount] * (Tracking[Type]=ccType)*(YEAR(Tracking[Effective Date])=selectedYear) * (MONTH(Tracking[Effective Date])=ccMonthNumber))</f>
        <v>0</v>
      </c>
      <c r="K68" s="107" cm="1">
        <f t="array" aca="1" ref="K68" ca="1">INDEX('Budget Planning'!$E:$DY,expensesTotalRow,MATCH(DATE(selectedYear,ccMonthNumber,1),'Budget Planning'!$E$23:$DY$23,0))</f>
        <v>0</v>
      </c>
      <c r="L68" s="107">
        <f ca="1">ccBudget-ccTracked</f>
        <v>0</v>
      </c>
      <c r="M68" s="104">
        <f ca="1">ccInFocus*ccShowType*MIN(ccTracked,ccBudget)</f>
        <v>0</v>
      </c>
      <c r="N68" s="104">
        <f ca="1">ccInFocus*ccShowType*ccShowRemBudget*IF(ccDelta&gt;0,ccDelta,0)</f>
        <v>0</v>
      </c>
      <c r="O68" s="104">
        <f ca="1">IF(ccDelta&lt;0,ABS(ccDelta),0)</f>
        <v>0</v>
      </c>
      <c r="P68" s="104">
        <f ca="1">NOT(ccInFocus)*ccShowType*MIN(ccTracked,ccBudget)</f>
        <v>0</v>
      </c>
      <c r="Q68" s="104">
        <f ca="1">NOT(ccInFocus)*ccShowType*ccShowRemBudget*IF(ccDelta&gt;0,ccDelta,0)</f>
        <v>0</v>
      </c>
      <c r="R68" s="104">
        <f ca="1">NOT(ccInFocus)*ccShowType*IF(ccDelta&lt;0,ABS(ccDelta),0)</f>
        <v>0</v>
      </c>
    </row>
    <row r="69" spans="4:18" x14ac:dyDescent="0.2">
      <c r="D69" s="119"/>
      <c r="E69" s="100" t="s">
        <v>16</v>
      </c>
      <c r="F69" s="100">
        <f t="shared" ref="F69" ca="1" si="19">MONTH(D67)</f>
        <v>4</v>
      </c>
      <c r="G69" s="100">
        <f ca="1">IF(selectedPeriod="Total Year",1,IF(selectedPeriod=ccMonthNumber,1,0))</f>
        <v>0</v>
      </c>
      <c r="H69" s="100">
        <f t="shared" ref="H69" si="20">1*$E$48</f>
        <v>1</v>
      </c>
      <c r="I69" s="100">
        <f t="shared" si="16"/>
        <v>1</v>
      </c>
      <c r="J69" s="107" cm="1">
        <f t="array" aca="1" ref="J69" ca="1">SUM(Tracking[Amount] * (Tracking[Type]=ccType)*(YEAR(Tracking[Effective Date])=selectedYear) * (MONTH(Tracking[Effective Date])=ccMonthNumber))</f>
        <v>0</v>
      </c>
      <c r="K69" s="107" cm="1">
        <f t="array" aca="1" ref="K69" ca="1">INDEX('Budget Planning'!$E:$DY,savingsTotalRow,MATCH(DATE(selectedYear,ccMonthNumber,1),'Budget Planning'!$E$23:$DY$23,0))</f>
        <v>0</v>
      </c>
      <c r="L69" s="107">
        <f ca="1">ccBudget-ccTracked</f>
        <v>0</v>
      </c>
      <c r="M69" s="104">
        <f ca="1">ccInFocus*ccShowType*MIN(ccTracked,ccBudget)</f>
        <v>0</v>
      </c>
      <c r="N69" s="104">
        <f ca="1">ccInFocus*ccShowType*ccShowRemBudget*IF(ccDelta&gt;0,ccDelta,0)</f>
        <v>0</v>
      </c>
      <c r="O69" s="104">
        <f ca="1">IF(ccDelta&lt;0,ABS(ccDelta),0)</f>
        <v>0</v>
      </c>
      <c r="P69" s="104">
        <f ca="1">NOT(ccInFocus)*ccShowType*MIN(ccTracked,ccBudget)</f>
        <v>0</v>
      </c>
      <c r="Q69" s="104">
        <f ca="1">NOT(ccInFocus)*ccShowType*ccShowRemBudget*IF(ccDelta&gt;0,ccDelta,0)</f>
        <v>0</v>
      </c>
      <c r="R69" s="104">
        <f ca="1">NOT(ccInFocus)*ccShowType*IF(ccDelta&lt;0,ABS(ccDelta),0)</f>
        <v>0</v>
      </c>
    </row>
    <row r="70" spans="4:18" x14ac:dyDescent="0.2">
      <c r="D70" s="119"/>
      <c r="E70" s="101"/>
      <c r="F70" s="101"/>
      <c r="G70" s="101"/>
      <c r="H70" s="101"/>
      <c r="I70" s="101"/>
      <c r="J70" s="108"/>
      <c r="K70" s="108"/>
      <c r="L70" s="108"/>
      <c r="M70" s="105"/>
      <c r="N70" s="105"/>
      <c r="O70" s="105"/>
      <c r="P70" s="105"/>
      <c r="Q70" s="105"/>
      <c r="R70" s="105"/>
    </row>
    <row r="71" spans="4:18" x14ac:dyDescent="0.2">
      <c r="D71" s="118">
        <f ca="1">DATE(selectedYear,5,1)</f>
        <v>45413</v>
      </c>
      <c r="E71" s="99" t="s">
        <v>5</v>
      </c>
      <c r="F71" s="100">
        <f t="shared" ref="F71" ca="1" si="21">MONTH(D71)</f>
        <v>5</v>
      </c>
      <c r="G71" s="100">
        <f ca="1">IF(selectedPeriod="Total Year",1,IF(selectedPeriod=ccMonthNumber,1,0))</f>
        <v>0</v>
      </c>
      <c r="H71" s="100">
        <f t="shared" ref="H71" si="22">1*$E$46</f>
        <v>1</v>
      </c>
      <c r="I71" s="100">
        <f t="shared" ref="I71:I73" si="23">1*$E$49</f>
        <v>1</v>
      </c>
      <c r="J71" s="107" cm="1">
        <f t="array" aca="1" ref="J71" ca="1">SUM(Tracking[Amount] * (Tracking[Type]=ccType)*(YEAR(Tracking[Effective Date])=selectedYear) * (MONTH(Tracking[Effective Date])=ccMonthNumber))</f>
        <v>0</v>
      </c>
      <c r="K71" s="107" cm="1">
        <f t="array" aca="1" ref="K71" ca="1">INDEX('Budget Planning'!$E:$DY,incomeTotalRow,MATCH(DATE(selectedYear,ccMonthNumber,1),'Budget Planning'!$E$23:$DY$23,0))</f>
        <v>0</v>
      </c>
      <c r="L71" s="107">
        <f ca="1">ccBudget-ccTracked</f>
        <v>0</v>
      </c>
      <c r="M71" s="104">
        <f ca="1">ccInFocus*ccShowType*MIN(ccTracked,ccBudget)</f>
        <v>0</v>
      </c>
      <c r="N71" s="104">
        <f ca="1">ccInFocus*ccShowType*ccShowRemBudget*IF(ccDelta&gt;0,ccDelta,0)</f>
        <v>0</v>
      </c>
      <c r="O71" s="104">
        <f ca="1">ccInFocus*ccShowType*IF(ccDelta&lt;0,ABS(ccDelta),0)</f>
        <v>0</v>
      </c>
      <c r="P71" s="104">
        <f ca="1">NOT(ccInFocus)*ccShowType*MIN(ccTracked,ccBudget)</f>
        <v>0</v>
      </c>
      <c r="Q71" s="104">
        <f ca="1">NOT(ccInFocus)*ccShowType*ccShowRemBudget*IF(ccDelta&gt;0,ccDelta,0)</f>
        <v>0</v>
      </c>
      <c r="R71" s="104">
        <f ca="1">NOT(ccInFocus)*ccShowType*IF(ccDelta&lt;0,ABS(ccDelta),0)</f>
        <v>0</v>
      </c>
    </row>
    <row r="72" spans="4:18" x14ac:dyDescent="0.2">
      <c r="D72" s="119"/>
      <c r="E72" s="100" t="s">
        <v>11</v>
      </c>
      <c r="F72" s="100">
        <f t="shared" ref="F72" ca="1" si="24">MONTH(D71)</f>
        <v>5</v>
      </c>
      <c r="G72" s="100">
        <f ca="1">IF(selectedPeriod="Total Year",1,IF(selectedPeriod=ccMonthNumber,1,0))</f>
        <v>0</v>
      </c>
      <c r="H72" s="100">
        <f t="shared" ref="H72" si="25">1*$E$47</f>
        <v>1</v>
      </c>
      <c r="I72" s="100">
        <f t="shared" si="23"/>
        <v>1</v>
      </c>
      <c r="J72" s="107" cm="1">
        <f t="array" aca="1" ref="J72" ca="1">SUM(Tracking[Amount] * (Tracking[Type]=ccType)*(YEAR(Tracking[Effective Date])=selectedYear) * (MONTH(Tracking[Effective Date])=ccMonthNumber))</f>
        <v>0</v>
      </c>
      <c r="K72" s="107" cm="1">
        <f t="array" aca="1" ref="K72" ca="1">INDEX('Budget Planning'!$E:$DY,expensesTotalRow,MATCH(DATE(selectedYear,ccMonthNumber,1),'Budget Planning'!$E$23:$DY$23,0))</f>
        <v>0</v>
      </c>
      <c r="L72" s="107">
        <f ca="1">ccBudget-ccTracked</f>
        <v>0</v>
      </c>
      <c r="M72" s="104">
        <f ca="1">ccInFocus*ccShowType*MIN(ccTracked,ccBudget)</f>
        <v>0</v>
      </c>
      <c r="N72" s="104">
        <f ca="1">ccInFocus*ccShowType*ccShowRemBudget*IF(ccDelta&gt;0,ccDelta,0)</f>
        <v>0</v>
      </c>
      <c r="O72" s="104">
        <f ca="1">IF(ccDelta&lt;0,ABS(ccDelta),0)</f>
        <v>0</v>
      </c>
      <c r="P72" s="104">
        <f ca="1">NOT(ccInFocus)*ccShowType*MIN(ccTracked,ccBudget)</f>
        <v>0</v>
      </c>
      <c r="Q72" s="104">
        <f ca="1">NOT(ccInFocus)*ccShowType*ccShowRemBudget*IF(ccDelta&gt;0,ccDelta,0)</f>
        <v>0</v>
      </c>
      <c r="R72" s="104">
        <f ca="1">NOT(ccInFocus)*ccShowType*IF(ccDelta&lt;0,ABS(ccDelta),0)</f>
        <v>0</v>
      </c>
    </row>
    <row r="73" spans="4:18" x14ac:dyDescent="0.2">
      <c r="D73" s="119"/>
      <c r="E73" s="100" t="s">
        <v>16</v>
      </c>
      <c r="F73" s="100">
        <f t="shared" ref="F73" ca="1" si="26">MONTH(D71)</f>
        <v>5</v>
      </c>
      <c r="G73" s="100">
        <f ca="1">IF(selectedPeriod="Total Year",1,IF(selectedPeriod=ccMonthNumber,1,0))</f>
        <v>0</v>
      </c>
      <c r="H73" s="100">
        <f t="shared" ref="H73" si="27">1*$E$48</f>
        <v>1</v>
      </c>
      <c r="I73" s="100">
        <f t="shared" si="23"/>
        <v>1</v>
      </c>
      <c r="J73" s="107" cm="1">
        <f t="array" aca="1" ref="J73" ca="1">SUM(Tracking[Amount] * (Tracking[Type]=ccType)*(YEAR(Tracking[Effective Date])=selectedYear) * (MONTH(Tracking[Effective Date])=ccMonthNumber))</f>
        <v>0</v>
      </c>
      <c r="K73" s="107" cm="1">
        <f t="array" aca="1" ref="K73" ca="1">INDEX('Budget Planning'!$E:$DY,savingsTotalRow,MATCH(DATE(selectedYear,ccMonthNumber,1),'Budget Planning'!$E$23:$DY$23,0))</f>
        <v>0</v>
      </c>
      <c r="L73" s="107">
        <f ca="1">ccBudget-ccTracked</f>
        <v>0</v>
      </c>
      <c r="M73" s="104">
        <f ca="1">ccInFocus*ccShowType*MIN(ccTracked,ccBudget)</f>
        <v>0</v>
      </c>
      <c r="N73" s="104">
        <f ca="1">ccInFocus*ccShowType*ccShowRemBudget*IF(ccDelta&gt;0,ccDelta,0)</f>
        <v>0</v>
      </c>
      <c r="O73" s="104">
        <f ca="1">IF(ccDelta&lt;0,ABS(ccDelta),0)</f>
        <v>0</v>
      </c>
      <c r="P73" s="104">
        <f ca="1">NOT(ccInFocus)*ccShowType*MIN(ccTracked,ccBudget)</f>
        <v>0</v>
      </c>
      <c r="Q73" s="104">
        <f ca="1">NOT(ccInFocus)*ccShowType*ccShowRemBudget*IF(ccDelta&gt;0,ccDelta,0)</f>
        <v>0</v>
      </c>
      <c r="R73" s="104">
        <f ca="1">NOT(ccInFocus)*ccShowType*IF(ccDelta&lt;0,ABS(ccDelta),0)</f>
        <v>0</v>
      </c>
    </row>
    <row r="74" spans="4:18" x14ac:dyDescent="0.2">
      <c r="D74" s="119"/>
      <c r="E74" s="101"/>
      <c r="F74" s="101"/>
      <c r="G74" s="101"/>
      <c r="H74" s="101"/>
      <c r="I74" s="101"/>
      <c r="J74" s="108"/>
      <c r="K74" s="108"/>
      <c r="L74" s="108"/>
      <c r="M74" s="105"/>
      <c r="N74" s="105"/>
      <c r="O74" s="105"/>
      <c r="P74" s="105"/>
      <c r="Q74" s="105"/>
      <c r="R74" s="105"/>
    </row>
    <row r="75" spans="4:18" x14ac:dyDescent="0.2">
      <c r="D75" s="118">
        <f ca="1">DATE(selectedYear,6,1)</f>
        <v>45444</v>
      </c>
      <c r="E75" s="99" t="s">
        <v>5</v>
      </c>
      <c r="F75" s="100">
        <f t="shared" ref="F75" ca="1" si="28">MONTH(D75)</f>
        <v>6</v>
      </c>
      <c r="G75" s="100">
        <f ca="1">IF(selectedPeriod="Total Year",1,IF(selectedPeriod=ccMonthNumber,1,0))</f>
        <v>0</v>
      </c>
      <c r="H75" s="100">
        <f t="shared" ref="H75" si="29">1*$E$46</f>
        <v>1</v>
      </c>
      <c r="I75" s="100">
        <f t="shared" ref="I75:I77" si="30">1*$E$49</f>
        <v>1</v>
      </c>
      <c r="J75" s="107" cm="1">
        <f t="array" aca="1" ref="J75" ca="1">SUM(Tracking[Amount] * (Tracking[Type]=ccType)*(YEAR(Tracking[Effective Date])=selectedYear) * (MONTH(Tracking[Effective Date])=ccMonthNumber))</f>
        <v>0</v>
      </c>
      <c r="K75" s="107" cm="1">
        <f t="array" aca="1" ref="K75" ca="1">INDEX('Budget Planning'!$E:$DY,incomeTotalRow,MATCH(DATE(selectedYear,ccMonthNumber,1),'Budget Planning'!$E$23:$DY$23,0))</f>
        <v>0</v>
      </c>
      <c r="L75" s="107">
        <f ca="1">ccBudget-ccTracked</f>
        <v>0</v>
      </c>
      <c r="M75" s="104">
        <f ca="1">ccInFocus*ccShowType*MIN(ccTracked,ccBudget)</f>
        <v>0</v>
      </c>
      <c r="N75" s="104">
        <f ca="1">ccInFocus*ccShowType*ccShowRemBudget*IF(ccDelta&gt;0,ccDelta,0)</f>
        <v>0</v>
      </c>
      <c r="O75" s="104">
        <f ca="1">ccInFocus*ccShowType*IF(ccDelta&lt;0,ABS(ccDelta),0)</f>
        <v>0</v>
      </c>
      <c r="P75" s="104">
        <f ca="1">NOT(ccInFocus)*ccShowType*MIN(ccTracked,ccBudget)</f>
        <v>0</v>
      </c>
      <c r="Q75" s="104">
        <f ca="1">NOT(ccInFocus)*ccShowType*ccShowRemBudget*IF(ccDelta&gt;0,ccDelta,0)</f>
        <v>0</v>
      </c>
      <c r="R75" s="104">
        <f ca="1">NOT(ccInFocus)*ccShowType*IF(ccDelta&lt;0,ABS(ccDelta),0)</f>
        <v>0</v>
      </c>
    </row>
    <row r="76" spans="4:18" x14ac:dyDescent="0.2">
      <c r="D76" s="119"/>
      <c r="E76" s="100" t="s">
        <v>11</v>
      </c>
      <c r="F76" s="100">
        <f t="shared" ref="F76" ca="1" si="31">MONTH(D75)</f>
        <v>6</v>
      </c>
      <c r="G76" s="100">
        <f ca="1">IF(selectedPeriod="Total Year",1,IF(selectedPeriod=ccMonthNumber,1,0))</f>
        <v>0</v>
      </c>
      <c r="H76" s="100">
        <f t="shared" ref="H76" si="32">1*$E$47</f>
        <v>1</v>
      </c>
      <c r="I76" s="100">
        <f t="shared" si="30"/>
        <v>1</v>
      </c>
      <c r="J76" s="107" cm="1">
        <f t="array" aca="1" ref="J76" ca="1">SUM(Tracking[Amount] * (Tracking[Type]=ccType)*(YEAR(Tracking[Effective Date])=selectedYear) * (MONTH(Tracking[Effective Date])=ccMonthNumber))</f>
        <v>0</v>
      </c>
      <c r="K76" s="107" cm="1">
        <f t="array" aca="1" ref="K76" ca="1">INDEX('Budget Planning'!$E:$DY,expensesTotalRow,MATCH(DATE(selectedYear,ccMonthNumber,1),'Budget Planning'!$E$23:$DY$23,0))</f>
        <v>0</v>
      </c>
      <c r="L76" s="107">
        <f ca="1">ccBudget-ccTracked</f>
        <v>0</v>
      </c>
      <c r="M76" s="104">
        <f ca="1">ccInFocus*ccShowType*MIN(ccTracked,ccBudget)</f>
        <v>0</v>
      </c>
      <c r="N76" s="104">
        <f ca="1">ccInFocus*ccShowType*ccShowRemBudget*IF(ccDelta&gt;0,ccDelta,0)</f>
        <v>0</v>
      </c>
      <c r="O76" s="104">
        <f ca="1">IF(ccDelta&lt;0,ABS(ccDelta),0)</f>
        <v>0</v>
      </c>
      <c r="P76" s="104">
        <f ca="1">NOT(ccInFocus)*ccShowType*MIN(ccTracked,ccBudget)</f>
        <v>0</v>
      </c>
      <c r="Q76" s="104">
        <f ca="1">NOT(ccInFocus)*ccShowType*ccShowRemBudget*IF(ccDelta&gt;0,ccDelta,0)</f>
        <v>0</v>
      </c>
      <c r="R76" s="104">
        <f ca="1">NOT(ccInFocus)*ccShowType*IF(ccDelta&lt;0,ABS(ccDelta),0)</f>
        <v>0</v>
      </c>
    </row>
    <row r="77" spans="4:18" x14ac:dyDescent="0.2">
      <c r="D77" s="119"/>
      <c r="E77" s="100" t="s">
        <v>16</v>
      </c>
      <c r="F77" s="100">
        <f t="shared" ref="F77" ca="1" si="33">MONTH(D75)</f>
        <v>6</v>
      </c>
      <c r="G77" s="100">
        <f ca="1">IF(selectedPeriod="Total Year",1,IF(selectedPeriod=ccMonthNumber,1,0))</f>
        <v>0</v>
      </c>
      <c r="H77" s="100">
        <f t="shared" ref="H77" si="34">1*$E$48</f>
        <v>1</v>
      </c>
      <c r="I77" s="100">
        <f t="shared" si="30"/>
        <v>1</v>
      </c>
      <c r="J77" s="107" cm="1">
        <f t="array" aca="1" ref="J77" ca="1">SUM(Tracking[Amount] * (Tracking[Type]=ccType)*(YEAR(Tracking[Effective Date])=selectedYear) * (MONTH(Tracking[Effective Date])=ccMonthNumber))</f>
        <v>0</v>
      </c>
      <c r="K77" s="107" cm="1">
        <f t="array" aca="1" ref="K77" ca="1">INDEX('Budget Planning'!$E:$DY,savingsTotalRow,MATCH(DATE(selectedYear,ccMonthNumber,1),'Budget Planning'!$E$23:$DY$23,0))</f>
        <v>0</v>
      </c>
      <c r="L77" s="107">
        <f ca="1">ccBudget-ccTracked</f>
        <v>0</v>
      </c>
      <c r="M77" s="104">
        <f ca="1">ccInFocus*ccShowType*MIN(ccTracked,ccBudget)</f>
        <v>0</v>
      </c>
      <c r="N77" s="104">
        <f ca="1">ccInFocus*ccShowType*ccShowRemBudget*IF(ccDelta&gt;0,ccDelta,0)</f>
        <v>0</v>
      </c>
      <c r="O77" s="104">
        <f ca="1">IF(ccDelta&lt;0,ABS(ccDelta),0)</f>
        <v>0</v>
      </c>
      <c r="P77" s="104">
        <f ca="1">NOT(ccInFocus)*ccShowType*MIN(ccTracked,ccBudget)</f>
        <v>0</v>
      </c>
      <c r="Q77" s="104">
        <f ca="1">NOT(ccInFocus)*ccShowType*ccShowRemBudget*IF(ccDelta&gt;0,ccDelta,0)</f>
        <v>0</v>
      </c>
      <c r="R77" s="104">
        <f ca="1">NOT(ccInFocus)*ccShowType*IF(ccDelta&lt;0,ABS(ccDelta),0)</f>
        <v>0</v>
      </c>
    </row>
    <row r="78" spans="4:18" x14ac:dyDescent="0.2">
      <c r="D78" s="119"/>
      <c r="E78" s="101"/>
      <c r="F78" s="101"/>
      <c r="G78" s="101"/>
      <c r="H78" s="101"/>
      <c r="I78" s="101"/>
      <c r="J78" s="108"/>
      <c r="K78" s="108"/>
      <c r="L78" s="108"/>
      <c r="M78" s="105"/>
      <c r="N78" s="105"/>
      <c r="O78" s="105"/>
      <c r="P78" s="105"/>
      <c r="Q78" s="105"/>
      <c r="R78" s="105"/>
    </row>
    <row r="79" spans="4:18" x14ac:dyDescent="0.2">
      <c r="D79" s="118">
        <f ca="1">DATE(selectedYear,7,1)</f>
        <v>45474</v>
      </c>
      <c r="E79" s="99" t="s">
        <v>5</v>
      </c>
      <c r="F79" s="100">
        <f t="shared" ref="F79" ca="1" si="35">MONTH(D79)</f>
        <v>7</v>
      </c>
      <c r="G79" s="100">
        <f ca="1">IF(selectedPeriod="Total Year",1,IF(selectedPeriod=ccMonthNumber,1,0))</f>
        <v>0</v>
      </c>
      <c r="H79" s="100">
        <f t="shared" ref="H79" si="36">1*$E$46</f>
        <v>1</v>
      </c>
      <c r="I79" s="100">
        <f t="shared" ref="I79:I81" si="37">1*$E$49</f>
        <v>1</v>
      </c>
      <c r="J79" s="107" cm="1">
        <f t="array" aca="1" ref="J79" ca="1">SUM(Tracking[Amount] * (Tracking[Type]=ccType)*(YEAR(Tracking[Effective Date])=selectedYear) * (MONTH(Tracking[Effective Date])=ccMonthNumber))</f>
        <v>17292</v>
      </c>
      <c r="K79" s="107" cm="1">
        <f t="array" aca="1" ref="K79" ca="1">INDEX('Budget Planning'!$E:$DY,incomeTotalRow,MATCH(DATE(selectedYear,ccMonthNumber,1),'Budget Planning'!$E$23:$DY$23,0))</f>
        <v>23655</v>
      </c>
      <c r="L79" s="107">
        <f ca="1">ccBudget-ccTracked</f>
        <v>6363</v>
      </c>
      <c r="M79" s="104">
        <f ca="1">ccInFocus*ccShowType*MIN(ccTracked,ccBudget)</f>
        <v>0</v>
      </c>
      <c r="N79" s="104">
        <f ca="1">ccInFocus*ccShowType*ccShowRemBudget*IF(ccDelta&gt;0,ccDelta,0)</f>
        <v>0</v>
      </c>
      <c r="O79" s="104">
        <f ca="1">ccInFocus*ccShowType*IF(ccDelta&lt;0,ABS(ccDelta),0)</f>
        <v>0</v>
      </c>
      <c r="P79" s="104">
        <f ca="1">NOT(ccInFocus)*ccShowType*MIN(ccTracked,ccBudget)</f>
        <v>17292</v>
      </c>
      <c r="Q79" s="104">
        <f ca="1">NOT(ccInFocus)*ccShowType*ccShowRemBudget*IF(ccDelta&gt;0,ccDelta,0)</f>
        <v>6363</v>
      </c>
      <c r="R79" s="104">
        <f ca="1">NOT(ccInFocus)*ccShowType*IF(ccDelta&lt;0,ABS(ccDelta),0)</f>
        <v>0</v>
      </c>
    </row>
    <row r="80" spans="4:18" x14ac:dyDescent="0.2">
      <c r="D80" s="119"/>
      <c r="E80" s="100" t="s">
        <v>11</v>
      </c>
      <c r="F80" s="100">
        <f t="shared" ref="F80" ca="1" si="38">MONTH(D79)</f>
        <v>7</v>
      </c>
      <c r="G80" s="100">
        <f ca="1">IF(selectedPeriod="Total Year",1,IF(selectedPeriod=ccMonthNumber,1,0))</f>
        <v>0</v>
      </c>
      <c r="H80" s="100">
        <f t="shared" ref="H80" si="39">1*$E$47</f>
        <v>1</v>
      </c>
      <c r="I80" s="100">
        <f t="shared" si="37"/>
        <v>1</v>
      </c>
      <c r="J80" s="107" cm="1">
        <f t="array" aca="1" ref="J80" ca="1">SUM(Tracking[Amount] * (Tracking[Type]=ccType)*(YEAR(Tracking[Effective Date])=selectedYear) * (MONTH(Tracking[Effective Date])=ccMonthNumber))</f>
        <v>16947</v>
      </c>
      <c r="K80" s="107" cm="1">
        <f t="array" aca="1" ref="K80" ca="1">INDEX('Budget Planning'!$E:$DY,expensesTotalRow,MATCH(DATE(selectedYear,ccMonthNumber,1),'Budget Planning'!$E$23:$DY$23,0))</f>
        <v>23155</v>
      </c>
      <c r="L80" s="107">
        <f ca="1">ccBudget-ccTracked</f>
        <v>6208</v>
      </c>
      <c r="M80" s="104">
        <f ca="1">ccInFocus*ccShowType*MIN(ccTracked,ccBudget)</f>
        <v>0</v>
      </c>
      <c r="N80" s="104">
        <f ca="1">ccInFocus*ccShowType*ccShowRemBudget*IF(ccDelta&gt;0,ccDelta,0)</f>
        <v>0</v>
      </c>
      <c r="O80" s="104">
        <f ca="1">IF(ccDelta&lt;0,ABS(ccDelta),0)</f>
        <v>0</v>
      </c>
      <c r="P80" s="104">
        <f ca="1">NOT(ccInFocus)*ccShowType*MIN(ccTracked,ccBudget)</f>
        <v>16947</v>
      </c>
      <c r="Q80" s="104">
        <f ca="1">NOT(ccInFocus)*ccShowType*ccShowRemBudget*IF(ccDelta&gt;0,ccDelta,0)</f>
        <v>6208</v>
      </c>
      <c r="R80" s="104">
        <f ca="1">NOT(ccInFocus)*ccShowType*IF(ccDelta&lt;0,ABS(ccDelta),0)</f>
        <v>0</v>
      </c>
    </row>
    <row r="81" spans="4:18" x14ac:dyDescent="0.2">
      <c r="D81" s="119"/>
      <c r="E81" s="100" t="s">
        <v>16</v>
      </c>
      <c r="F81" s="100">
        <f t="shared" ref="F81" ca="1" si="40">MONTH(D79)</f>
        <v>7</v>
      </c>
      <c r="G81" s="100">
        <f ca="1">IF(selectedPeriod="Total Year",1,IF(selectedPeriod=ccMonthNumber,1,0))</f>
        <v>0</v>
      </c>
      <c r="H81" s="100">
        <f t="shared" ref="H81" si="41">1*$E$48</f>
        <v>1</v>
      </c>
      <c r="I81" s="100">
        <f t="shared" si="37"/>
        <v>1</v>
      </c>
      <c r="J81" s="107" cm="1">
        <f t="array" aca="1" ref="J81" ca="1">SUM(Tracking[Amount] * (Tracking[Type]=ccType)*(YEAR(Tracking[Effective Date])=selectedYear) * (MONTH(Tracking[Effective Date])=ccMonthNumber))</f>
        <v>0</v>
      </c>
      <c r="K81" s="107" cm="1">
        <f t="array" aca="1" ref="K81" ca="1">INDEX('Budget Planning'!$E:$DY,savingsTotalRow,MATCH(DATE(selectedYear,ccMonthNumber,1),'Budget Planning'!$E$23:$DY$23,0))</f>
        <v>500</v>
      </c>
      <c r="L81" s="107">
        <f ca="1">ccBudget-ccTracked</f>
        <v>500</v>
      </c>
      <c r="M81" s="104">
        <f ca="1">ccInFocus*ccShowType*MIN(ccTracked,ccBudget)</f>
        <v>0</v>
      </c>
      <c r="N81" s="104">
        <f ca="1">ccInFocus*ccShowType*ccShowRemBudget*IF(ccDelta&gt;0,ccDelta,0)</f>
        <v>0</v>
      </c>
      <c r="O81" s="104">
        <f ca="1">IF(ccDelta&lt;0,ABS(ccDelta),0)</f>
        <v>0</v>
      </c>
      <c r="P81" s="104">
        <f ca="1">NOT(ccInFocus)*ccShowType*MIN(ccTracked,ccBudget)</f>
        <v>0</v>
      </c>
      <c r="Q81" s="104">
        <f ca="1">NOT(ccInFocus)*ccShowType*ccShowRemBudget*IF(ccDelta&gt;0,ccDelta,0)</f>
        <v>500</v>
      </c>
      <c r="R81" s="104">
        <f ca="1">NOT(ccInFocus)*ccShowType*IF(ccDelta&lt;0,ABS(ccDelta),0)</f>
        <v>0</v>
      </c>
    </row>
    <row r="82" spans="4:18" x14ac:dyDescent="0.2">
      <c r="D82" s="119"/>
      <c r="E82" s="101"/>
      <c r="F82" s="101"/>
      <c r="G82" s="101"/>
      <c r="H82" s="101"/>
      <c r="I82" s="101"/>
      <c r="J82" s="108"/>
      <c r="K82" s="108"/>
      <c r="L82" s="108"/>
      <c r="M82" s="105"/>
      <c r="N82" s="105"/>
      <c r="O82" s="105"/>
      <c r="P82" s="105"/>
      <c r="Q82" s="105"/>
      <c r="R82" s="105"/>
    </row>
    <row r="83" spans="4:18" x14ac:dyDescent="0.2">
      <c r="D83" s="118">
        <f ca="1">DATE(selectedYear,8,1)</f>
        <v>45505</v>
      </c>
      <c r="E83" s="99" t="s">
        <v>5</v>
      </c>
      <c r="F83" s="100">
        <f t="shared" ref="F83" ca="1" si="42">MONTH(D83)</f>
        <v>8</v>
      </c>
      <c r="G83" s="100">
        <f ca="1">IF(selectedPeriod="Total Year",1,IF(selectedPeriod=ccMonthNumber,1,0))</f>
        <v>0</v>
      </c>
      <c r="H83" s="100">
        <f t="shared" ref="H83" si="43">1*$E$46</f>
        <v>1</v>
      </c>
      <c r="I83" s="100">
        <f t="shared" ref="I83:I85" si="44">1*$E$49</f>
        <v>1</v>
      </c>
      <c r="J83" s="107" cm="1">
        <f t="array" aca="1" ref="J83" ca="1">SUM(Tracking[Amount] * (Tracking[Type]=ccType)*(YEAR(Tracking[Effective Date])=selectedYear) * (MONTH(Tracking[Effective Date])=ccMonthNumber))</f>
        <v>13405</v>
      </c>
      <c r="K83" s="107" cm="1">
        <f t="array" aca="1" ref="K83" ca="1">INDEX('Budget Planning'!$E:$DY,incomeTotalRow,MATCH(DATE(selectedYear,ccMonthNumber,1),'Budget Planning'!$E$23:$DY$23,0))</f>
        <v>11500</v>
      </c>
      <c r="L83" s="107">
        <f ca="1">ccBudget-ccTracked</f>
        <v>-1905</v>
      </c>
      <c r="M83" s="104">
        <f ca="1">ccInFocus*ccShowType*MIN(ccTracked,ccBudget)</f>
        <v>0</v>
      </c>
      <c r="N83" s="104">
        <f ca="1">ccInFocus*ccShowType*ccShowRemBudget*IF(ccDelta&gt;0,ccDelta,0)</f>
        <v>0</v>
      </c>
      <c r="O83" s="104">
        <f ca="1">ccInFocus*ccShowType*IF(ccDelta&lt;0,ABS(ccDelta),0)</f>
        <v>0</v>
      </c>
      <c r="P83" s="104">
        <f ca="1">NOT(ccInFocus)*ccShowType*MIN(ccTracked,ccBudget)</f>
        <v>11500</v>
      </c>
      <c r="Q83" s="104">
        <f ca="1">NOT(ccInFocus)*ccShowType*ccShowRemBudget*IF(ccDelta&gt;0,ccDelta,0)</f>
        <v>0</v>
      </c>
      <c r="R83" s="104">
        <f ca="1">NOT(ccInFocus)*ccShowType*IF(ccDelta&lt;0,ABS(ccDelta),0)</f>
        <v>1905</v>
      </c>
    </row>
    <row r="84" spans="4:18" x14ac:dyDescent="0.2">
      <c r="D84" s="119"/>
      <c r="E84" s="100" t="s">
        <v>11</v>
      </c>
      <c r="F84" s="100">
        <f t="shared" ref="F84" ca="1" si="45">MONTH(D83)</f>
        <v>8</v>
      </c>
      <c r="G84" s="100">
        <f ca="1">IF(selectedPeriod="Total Year",1,IF(selectedPeriod=ccMonthNumber,1,0))</f>
        <v>0</v>
      </c>
      <c r="H84" s="100">
        <f t="shared" ref="H84" si="46">1*$E$47</f>
        <v>1</v>
      </c>
      <c r="I84" s="100">
        <f t="shared" si="44"/>
        <v>1</v>
      </c>
      <c r="J84" s="107" cm="1">
        <f t="array" aca="1" ref="J84" ca="1">SUM(Tracking[Amount] * (Tracking[Type]=ccType)*(YEAR(Tracking[Effective Date])=selectedYear) * (MONTH(Tracking[Effective Date])=ccMonthNumber))</f>
        <v>7919</v>
      </c>
      <c r="K84" s="107" cm="1">
        <f t="array" aca="1" ref="K84" ca="1">INDEX('Budget Planning'!$E:$DY,expensesTotalRow,MATCH(DATE(selectedYear,ccMonthNumber,1),'Budget Planning'!$E$23:$DY$23,0))</f>
        <v>11300</v>
      </c>
      <c r="L84" s="107">
        <f ca="1">ccBudget-ccTracked</f>
        <v>3381</v>
      </c>
      <c r="M84" s="104">
        <f ca="1">ccInFocus*ccShowType*MIN(ccTracked,ccBudget)</f>
        <v>0</v>
      </c>
      <c r="N84" s="104">
        <f ca="1">ccInFocus*ccShowType*ccShowRemBudget*IF(ccDelta&gt;0,ccDelta,0)</f>
        <v>0</v>
      </c>
      <c r="O84" s="104">
        <f ca="1">IF(ccDelta&lt;0,ABS(ccDelta),0)</f>
        <v>0</v>
      </c>
      <c r="P84" s="104">
        <f ca="1">NOT(ccInFocus)*ccShowType*MIN(ccTracked,ccBudget)</f>
        <v>7919</v>
      </c>
      <c r="Q84" s="104">
        <f ca="1">NOT(ccInFocus)*ccShowType*ccShowRemBudget*IF(ccDelta&gt;0,ccDelta,0)</f>
        <v>3381</v>
      </c>
      <c r="R84" s="104">
        <f ca="1">NOT(ccInFocus)*ccShowType*IF(ccDelta&lt;0,ABS(ccDelta),0)</f>
        <v>0</v>
      </c>
    </row>
    <row r="85" spans="4:18" x14ac:dyDescent="0.2">
      <c r="D85" s="119"/>
      <c r="E85" s="100" t="s">
        <v>16</v>
      </c>
      <c r="F85" s="100">
        <f t="shared" ref="F85" ca="1" si="47">MONTH(D83)</f>
        <v>8</v>
      </c>
      <c r="G85" s="100">
        <f ca="1">IF(selectedPeriod="Total Year",1,IF(selectedPeriod=ccMonthNumber,1,0))</f>
        <v>0</v>
      </c>
      <c r="H85" s="100">
        <f t="shared" ref="H85" si="48">1*$E$48</f>
        <v>1</v>
      </c>
      <c r="I85" s="100">
        <f t="shared" si="44"/>
        <v>1</v>
      </c>
      <c r="J85" s="107" cm="1">
        <f t="array" aca="1" ref="J85" ca="1">SUM(Tracking[Amount] * (Tracking[Type]=ccType)*(YEAR(Tracking[Effective Date])=selectedYear) * (MONTH(Tracking[Effective Date])=ccMonthNumber))</f>
        <v>0</v>
      </c>
      <c r="K85" s="107" cm="1">
        <f t="array" aca="1" ref="K85" ca="1">INDEX('Budget Planning'!$E:$DY,savingsTotalRow,MATCH(DATE(selectedYear,ccMonthNumber,1),'Budget Planning'!$E$23:$DY$23,0))</f>
        <v>0</v>
      </c>
      <c r="L85" s="107">
        <f ca="1">ccBudget-ccTracked</f>
        <v>0</v>
      </c>
      <c r="M85" s="104">
        <f ca="1">ccInFocus*ccShowType*MIN(ccTracked,ccBudget)</f>
        <v>0</v>
      </c>
      <c r="N85" s="104">
        <f ca="1">ccInFocus*ccShowType*ccShowRemBudget*IF(ccDelta&gt;0,ccDelta,0)</f>
        <v>0</v>
      </c>
      <c r="O85" s="104">
        <f ca="1">IF(ccDelta&lt;0,ABS(ccDelta),0)</f>
        <v>0</v>
      </c>
      <c r="P85" s="104">
        <f ca="1">NOT(ccInFocus)*ccShowType*MIN(ccTracked,ccBudget)</f>
        <v>0</v>
      </c>
      <c r="Q85" s="104">
        <f ca="1">NOT(ccInFocus)*ccShowType*ccShowRemBudget*IF(ccDelta&gt;0,ccDelta,0)</f>
        <v>0</v>
      </c>
      <c r="R85" s="104">
        <f ca="1">NOT(ccInFocus)*ccShowType*IF(ccDelta&lt;0,ABS(ccDelta),0)</f>
        <v>0</v>
      </c>
    </row>
    <row r="86" spans="4:18" x14ac:dyDescent="0.2">
      <c r="D86" s="119"/>
      <c r="E86" s="101"/>
      <c r="F86" s="101"/>
      <c r="G86" s="101"/>
      <c r="H86" s="101"/>
      <c r="I86" s="101"/>
      <c r="J86" s="108"/>
      <c r="K86" s="108"/>
      <c r="L86" s="108"/>
      <c r="M86" s="105"/>
      <c r="N86" s="105"/>
      <c r="O86" s="105"/>
      <c r="P86" s="105"/>
      <c r="Q86" s="105"/>
      <c r="R86" s="105"/>
    </row>
    <row r="87" spans="4:18" x14ac:dyDescent="0.2">
      <c r="D87" s="118">
        <f ca="1">DATE(selectedYear,9,1)</f>
        <v>45536</v>
      </c>
      <c r="E87" s="99" t="s">
        <v>5</v>
      </c>
      <c r="F87" s="100">
        <f t="shared" ref="F87" ca="1" si="49">MONTH(D87)</f>
        <v>9</v>
      </c>
      <c r="G87" s="100">
        <f ca="1">IF(selectedPeriod="Total Year",1,IF(selectedPeriod=ccMonthNumber,1,0))</f>
        <v>0</v>
      </c>
      <c r="H87" s="100">
        <f t="shared" ref="H87" si="50">1*$E$46</f>
        <v>1</v>
      </c>
      <c r="I87" s="100">
        <f t="shared" ref="I87:I89" si="51">1*$E$49</f>
        <v>1</v>
      </c>
      <c r="J87" s="107" cm="1">
        <f t="array" aca="1" ref="J87" ca="1">SUM(Tracking[Amount] * (Tracking[Type]=ccType)*(YEAR(Tracking[Effective Date])=selectedYear) * (MONTH(Tracking[Effective Date])=ccMonthNumber))</f>
        <v>20494</v>
      </c>
      <c r="K87" s="107" cm="1">
        <f t="array" aca="1" ref="K87" ca="1">INDEX('Budget Planning'!$E:$DY,incomeTotalRow,MATCH(DATE(selectedYear,ccMonthNumber,1),'Budget Planning'!$E$23:$DY$23,0))</f>
        <v>20000</v>
      </c>
      <c r="L87" s="107">
        <f ca="1">ccBudget-ccTracked</f>
        <v>-494</v>
      </c>
      <c r="M87" s="104">
        <f ca="1">ccInFocus*ccShowType*MIN(ccTracked,ccBudget)</f>
        <v>0</v>
      </c>
      <c r="N87" s="104">
        <f ca="1">ccInFocus*ccShowType*ccShowRemBudget*IF(ccDelta&gt;0,ccDelta,0)</f>
        <v>0</v>
      </c>
      <c r="O87" s="104">
        <f ca="1">ccInFocus*ccShowType*IF(ccDelta&lt;0,ABS(ccDelta),0)</f>
        <v>0</v>
      </c>
      <c r="P87" s="104">
        <f ca="1">NOT(ccInFocus)*ccShowType*MIN(ccTracked,ccBudget)</f>
        <v>20000</v>
      </c>
      <c r="Q87" s="104">
        <f ca="1">NOT(ccInFocus)*ccShowType*ccShowRemBudget*IF(ccDelta&gt;0,ccDelta,0)</f>
        <v>0</v>
      </c>
      <c r="R87" s="104">
        <f ca="1">NOT(ccInFocus)*ccShowType*IF(ccDelta&lt;0,ABS(ccDelta),0)</f>
        <v>494</v>
      </c>
    </row>
    <row r="88" spans="4:18" x14ac:dyDescent="0.2">
      <c r="D88" s="119"/>
      <c r="E88" s="100" t="s">
        <v>11</v>
      </c>
      <c r="F88" s="100">
        <f t="shared" ref="F88" ca="1" si="52">MONTH(D87)</f>
        <v>9</v>
      </c>
      <c r="G88" s="100">
        <f ca="1">IF(selectedPeriod="Total Year",1,IF(selectedPeriod=ccMonthNumber,1,0))</f>
        <v>0</v>
      </c>
      <c r="H88" s="100">
        <f t="shared" ref="H88" si="53">1*$E$47</f>
        <v>1</v>
      </c>
      <c r="I88" s="100">
        <f t="shared" si="51"/>
        <v>1</v>
      </c>
      <c r="J88" s="107" cm="1">
        <f t="array" aca="1" ref="J88" ca="1">SUM(Tracking[Amount] * (Tracking[Type]=ccType)*(YEAR(Tracking[Effective Date])=selectedYear) * (MONTH(Tracking[Effective Date])=ccMonthNumber))</f>
        <v>24663</v>
      </c>
      <c r="K88" s="107" cm="1">
        <f t="array" aca="1" ref="K88" ca="1">INDEX('Budget Planning'!$E:$DY,expensesTotalRow,MATCH(DATE(selectedYear,ccMonthNumber,1),'Budget Planning'!$E$23:$DY$23,0))</f>
        <v>19800</v>
      </c>
      <c r="L88" s="107">
        <f ca="1">ccBudget-ccTracked</f>
        <v>-4863</v>
      </c>
      <c r="M88" s="104">
        <f ca="1">ccInFocus*ccShowType*MIN(ccTracked,ccBudget)</f>
        <v>0</v>
      </c>
      <c r="N88" s="104">
        <f ca="1">ccInFocus*ccShowType*ccShowRemBudget*IF(ccDelta&gt;0,ccDelta,0)</f>
        <v>0</v>
      </c>
      <c r="O88" s="104">
        <f ca="1">IF(ccDelta&lt;0,ABS(ccDelta),0)</f>
        <v>4863</v>
      </c>
      <c r="P88" s="104">
        <f ca="1">NOT(ccInFocus)*ccShowType*MIN(ccTracked,ccBudget)</f>
        <v>19800</v>
      </c>
      <c r="Q88" s="104">
        <f ca="1">NOT(ccInFocus)*ccShowType*ccShowRemBudget*IF(ccDelta&gt;0,ccDelta,0)</f>
        <v>0</v>
      </c>
      <c r="R88" s="104">
        <f ca="1">NOT(ccInFocus)*ccShowType*IF(ccDelta&lt;0,ABS(ccDelta),0)</f>
        <v>4863</v>
      </c>
    </row>
    <row r="89" spans="4:18" x14ac:dyDescent="0.2">
      <c r="D89" s="119"/>
      <c r="E89" s="100" t="s">
        <v>16</v>
      </c>
      <c r="F89" s="100">
        <f t="shared" ref="F89" ca="1" si="54">MONTH(D87)</f>
        <v>9</v>
      </c>
      <c r="G89" s="100">
        <f ca="1">IF(selectedPeriod="Total Year",1,IF(selectedPeriod=ccMonthNumber,1,0))</f>
        <v>0</v>
      </c>
      <c r="H89" s="100">
        <f t="shared" ref="H89" si="55">1*$E$48</f>
        <v>1</v>
      </c>
      <c r="I89" s="100">
        <f t="shared" si="51"/>
        <v>1</v>
      </c>
      <c r="J89" s="107" cm="1">
        <f t="array" aca="1" ref="J89" ca="1">SUM(Tracking[Amount] * (Tracking[Type]=ccType)*(YEAR(Tracking[Effective Date])=selectedYear) * (MONTH(Tracking[Effective Date])=ccMonthNumber))</f>
        <v>100</v>
      </c>
      <c r="K89" s="107" cm="1">
        <f t="array" aca="1" ref="K89" ca="1">INDEX('Budget Planning'!$E:$DY,savingsTotalRow,MATCH(DATE(selectedYear,ccMonthNumber,1),'Budget Planning'!$E$23:$DY$23,0))</f>
        <v>0</v>
      </c>
      <c r="L89" s="107">
        <f ca="1">ccBudget-ccTracked</f>
        <v>-100</v>
      </c>
      <c r="M89" s="104">
        <f ca="1">ccInFocus*ccShowType*MIN(ccTracked,ccBudget)</f>
        <v>0</v>
      </c>
      <c r="N89" s="104">
        <f ca="1">ccInFocus*ccShowType*ccShowRemBudget*IF(ccDelta&gt;0,ccDelta,0)</f>
        <v>0</v>
      </c>
      <c r="O89" s="104">
        <f ca="1">IF(ccDelta&lt;0,ABS(ccDelta),0)</f>
        <v>100</v>
      </c>
      <c r="P89" s="104">
        <f ca="1">NOT(ccInFocus)*ccShowType*MIN(ccTracked,ccBudget)</f>
        <v>0</v>
      </c>
      <c r="Q89" s="104">
        <f ca="1">NOT(ccInFocus)*ccShowType*ccShowRemBudget*IF(ccDelta&gt;0,ccDelta,0)</f>
        <v>0</v>
      </c>
      <c r="R89" s="104">
        <f ca="1">NOT(ccInFocus)*ccShowType*IF(ccDelta&lt;0,ABS(ccDelta),0)</f>
        <v>100</v>
      </c>
    </row>
    <row r="90" spans="4:18" x14ac:dyDescent="0.2">
      <c r="D90" s="119"/>
      <c r="E90" s="101"/>
      <c r="F90" s="101"/>
      <c r="G90" s="101"/>
      <c r="H90" s="101"/>
      <c r="I90" s="101"/>
      <c r="J90" s="108"/>
      <c r="K90" s="108"/>
      <c r="L90" s="108"/>
      <c r="M90" s="105"/>
      <c r="N90" s="105"/>
      <c r="O90" s="105"/>
      <c r="P90" s="105"/>
      <c r="Q90" s="105"/>
      <c r="R90" s="105"/>
    </row>
    <row r="91" spans="4:18" x14ac:dyDescent="0.2">
      <c r="D91" s="118">
        <f ca="1">DATE(selectedYear,10,1)</f>
        <v>45566</v>
      </c>
      <c r="E91" s="99" t="s">
        <v>5</v>
      </c>
      <c r="F91" s="100">
        <f t="shared" ref="F91" ca="1" si="56">MONTH(D91)</f>
        <v>10</v>
      </c>
      <c r="G91" s="100">
        <f ca="1">IF(selectedPeriod="Total Year",1,IF(selectedPeriod=ccMonthNumber,1,0))</f>
        <v>0</v>
      </c>
      <c r="H91" s="100">
        <f t="shared" ref="H91" si="57">1*$E$46</f>
        <v>1</v>
      </c>
      <c r="I91" s="100">
        <f t="shared" ref="I91:I93" si="58">1*$E$49</f>
        <v>1</v>
      </c>
      <c r="J91" s="107" cm="1">
        <f t="array" aca="1" ref="J91" ca="1">SUM(Tracking[Amount] * (Tracking[Type]=ccType)*(YEAR(Tracking[Effective Date])=selectedYear) * (MONTH(Tracking[Effective Date])=ccMonthNumber))</f>
        <v>12911.8</v>
      </c>
      <c r="K91" s="107" cm="1">
        <f t="array" aca="1" ref="K91" ca="1">INDEX('Budget Planning'!$E:$DY,incomeTotalRow,MATCH(DATE(selectedYear,ccMonthNumber,1),'Budget Planning'!$E$23:$DY$23,0))</f>
        <v>24000</v>
      </c>
      <c r="L91" s="107">
        <f ca="1">ccBudget-ccTracked</f>
        <v>11088.2</v>
      </c>
      <c r="M91" s="104">
        <f ca="1">ccInFocus*ccShowType*MIN(ccTracked,ccBudget)</f>
        <v>0</v>
      </c>
      <c r="N91" s="104">
        <f ca="1">ccInFocus*ccShowType*ccShowRemBudget*IF(ccDelta&gt;0,ccDelta,0)</f>
        <v>0</v>
      </c>
      <c r="O91" s="104">
        <f ca="1">ccInFocus*ccShowType*IF(ccDelta&lt;0,ABS(ccDelta),0)</f>
        <v>0</v>
      </c>
      <c r="P91" s="104">
        <f ca="1">NOT(ccInFocus)*ccShowType*MIN(ccTracked,ccBudget)</f>
        <v>12911.8</v>
      </c>
      <c r="Q91" s="104">
        <f ca="1">NOT(ccInFocus)*ccShowType*ccShowRemBudget*IF(ccDelta&gt;0,ccDelta,0)</f>
        <v>11088.2</v>
      </c>
      <c r="R91" s="104">
        <f ca="1">NOT(ccInFocus)*ccShowType*IF(ccDelta&lt;0,ABS(ccDelta),0)</f>
        <v>0</v>
      </c>
    </row>
    <row r="92" spans="4:18" x14ac:dyDescent="0.2">
      <c r="D92" s="119"/>
      <c r="E92" s="100" t="s">
        <v>11</v>
      </c>
      <c r="F92" s="100">
        <f t="shared" ref="F92" ca="1" si="59">MONTH(D91)</f>
        <v>10</v>
      </c>
      <c r="G92" s="100">
        <f ca="1">IF(selectedPeriod="Total Year",1,IF(selectedPeriod=ccMonthNumber,1,0))</f>
        <v>0</v>
      </c>
      <c r="H92" s="100">
        <f t="shared" ref="H92" si="60">1*$E$47</f>
        <v>1</v>
      </c>
      <c r="I92" s="100">
        <f t="shared" si="58"/>
        <v>1</v>
      </c>
      <c r="J92" s="107" cm="1">
        <f t="array" aca="1" ref="J92" ca="1">SUM(Tracking[Amount] * (Tracking[Type]=ccType)*(YEAR(Tracking[Effective Date])=selectedYear) * (MONTH(Tracking[Effective Date])=ccMonthNumber))</f>
        <v>18727.449999999997</v>
      </c>
      <c r="K92" s="107" cm="1">
        <f t="array" aca="1" ref="K92" ca="1">INDEX('Budget Planning'!$E:$DY,expensesTotalRow,MATCH(DATE(selectedYear,ccMonthNumber,1),'Budget Planning'!$E$23:$DY$23,0))</f>
        <v>20000</v>
      </c>
      <c r="L92" s="107">
        <f ca="1">ccBudget-ccTracked</f>
        <v>1272.5500000000029</v>
      </c>
      <c r="M92" s="104">
        <f ca="1">ccInFocus*ccShowType*MIN(ccTracked,ccBudget)</f>
        <v>0</v>
      </c>
      <c r="N92" s="104">
        <f ca="1">ccInFocus*ccShowType*ccShowRemBudget*IF(ccDelta&gt;0,ccDelta,0)</f>
        <v>0</v>
      </c>
      <c r="O92" s="104">
        <f ca="1">IF(ccDelta&lt;0,ABS(ccDelta),0)</f>
        <v>0</v>
      </c>
      <c r="P92" s="104">
        <f ca="1">NOT(ccInFocus)*ccShowType*MIN(ccTracked,ccBudget)</f>
        <v>18727.449999999997</v>
      </c>
      <c r="Q92" s="104">
        <f ca="1">NOT(ccInFocus)*ccShowType*ccShowRemBudget*IF(ccDelta&gt;0,ccDelta,0)</f>
        <v>1272.5500000000029</v>
      </c>
      <c r="R92" s="104">
        <f ca="1">NOT(ccInFocus)*ccShowType*IF(ccDelta&lt;0,ABS(ccDelta),0)</f>
        <v>0</v>
      </c>
    </row>
    <row r="93" spans="4:18" x14ac:dyDescent="0.2">
      <c r="D93" s="119"/>
      <c r="E93" s="100" t="s">
        <v>16</v>
      </c>
      <c r="F93" s="100">
        <f t="shared" ref="F93" ca="1" si="61">MONTH(D91)</f>
        <v>10</v>
      </c>
      <c r="G93" s="100">
        <f ca="1">IF(selectedPeriod="Total Year",1,IF(selectedPeriod=ccMonthNumber,1,0))</f>
        <v>0</v>
      </c>
      <c r="H93" s="100">
        <f t="shared" ref="H93" si="62">1*$E$48</f>
        <v>1</v>
      </c>
      <c r="I93" s="100">
        <f t="shared" si="58"/>
        <v>1</v>
      </c>
      <c r="J93" s="107" cm="1">
        <f t="array" aca="1" ref="J93" ca="1">SUM(Tracking[Amount] * (Tracking[Type]=ccType)*(YEAR(Tracking[Effective Date])=selectedYear) * (MONTH(Tracking[Effective Date])=ccMonthNumber))</f>
        <v>1800</v>
      </c>
      <c r="K93" s="107" cm="1">
        <f t="array" aca="1" ref="K93" ca="1">INDEX('Budget Planning'!$E:$DY,savingsTotalRow,MATCH(DATE(selectedYear,ccMonthNumber,1),'Budget Planning'!$E$23:$DY$23,0))</f>
        <v>3800</v>
      </c>
      <c r="L93" s="107">
        <f ca="1">ccBudget-ccTracked</f>
        <v>2000</v>
      </c>
      <c r="M93" s="104">
        <f ca="1">ccInFocus*ccShowType*MIN(ccTracked,ccBudget)</f>
        <v>0</v>
      </c>
      <c r="N93" s="104">
        <f ca="1">ccInFocus*ccShowType*ccShowRemBudget*IF(ccDelta&gt;0,ccDelta,0)</f>
        <v>0</v>
      </c>
      <c r="O93" s="104">
        <f ca="1">IF(ccDelta&lt;0,ABS(ccDelta),0)</f>
        <v>0</v>
      </c>
      <c r="P93" s="104">
        <f ca="1">NOT(ccInFocus)*ccShowType*MIN(ccTracked,ccBudget)</f>
        <v>1800</v>
      </c>
      <c r="Q93" s="104">
        <f ca="1">NOT(ccInFocus)*ccShowType*ccShowRemBudget*IF(ccDelta&gt;0,ccDelta,0)</f>
        <v>2000</v>
      </c>
      <c r="R93" s="104">
        <f ca="1">NOT(ccInFocus)*ccShowType*IF(ccDelta&lt;0,ABS(ccDelta),0)</f>
        <v>0</v>
      </c>
    </row>
    <row r="94" spans="4:18" x14ac:dyDescent="0.2">
      <c r="D94" s="119"/>
      <c r="E94" s="101"/>
      <c r="F94" s="101"/>
      <c r="G94" s="101"/>
      <c r="H94" s="101"/>
      <c r="I94" s="101"/>
      <c r="J94" s="108"/>
      <c r="K94" s="108"/>
      <c r="L94" s="108"/>
      <c r="M94" s="105"/>
      <c r="N94" s="105"/>
      <c r="O94" s="105"/>
      <c r="P94" s="105"/>
      <c r="Q94" s="105"/>
      <c r="R94" s="105"/>
    </row>
    <row r="95" spans="4:18" x14ac:dyDescent="0.2">
      <c r="D95" s="118">
        <f ca="1">DATE(selectedYear,11,1)</f>
        <v>45597</v>
      </c>
      <c r="E95" s="99" t="s">
        <v>5</v>
      </c>
      <c r="F95" s="100">
        <f t="shared" ref="F95" ca="1" si="63">MONTH(D95)</f>
        <v>11</v>
      </c>
      <c r="G95" s="100">
        <f ca="1">IF(selectedPeriod="Total Year",1,IF(selectedPeriod=ccMonthNumber,1,0))</f>
        <v>1</v>
      </c>
      <c r="H95" s="100">
        <f t="shared" ref="H95" si="64">1*$E$46</f>
        <v>1</v>
      </c>
      <c r="I95" s="100">
        <f t="shared" ref="I95:I97" si="65">1*$E$49</f>
        <v>1</v>
      </c>
      <c r="J95" s="107" cm="1">
        <f t="array" aca="1" ref="J95" ca="1">SUM(Tracking[Amount] * (Tracking[Type]=ccType)*(YEAR(Tracking[Effective Date])=selectedYear) * (MONTH(Tracking[Effective Date])=ccMonthNumber))</f>
        <v>24368</v>
      </c>
      <c r="K95" s="107" cm="1">
        <f t="array" aca="1" ref="K95" ca="1">INDEX('Budget Planning'!$E:$DY,incomeTotalRow,MATCH(DATE(selectedYear,ccMonthNumber,1),'Budget Planning'!$E$23:$DY$23,0))</f>
        <v>22000</v>
      </c>
      <c r="L95" s="107">
        <f ca="1">ccBudget-ccTracked</f>
        <v>-2368</v>
      </c>
      <c r="M95" s="104">
        <f ca="1">ccInFocus*ccShowType*MIN(ccTracked,ccBudget)</f>
        <v>22000</v>
      </c>
      <c r="N95" s="104">
        <f ca="1">ccInFocus*ccShowType*ccShowRemBudget*IF(ccDelta&gt;0,ccDelta,0)</f>
        <v>0</v>
      </c>
      <c r="O95" s="104">
        <f ca="1">ccInFocus*ccShowType*IF(ccDelta&lt;0,ABS(ccDelta),0)</f>
        <v>2368</v>
      </c>
      <c r="P95" s="104">
        <f ca="1">NOT(ccInFocus)*ccShowType*MIN(ccTracked,ccBudget)</f>
        <v>0</v>
      </c>
      <c r="Q95" s="104">
        <f ca="1">NOT(ccInFocus)*ccShowType*ccShowRemBudget*IF(ccDelta&gt;0,ccDelta,0)</f>
        <v>0</v>
      </c>
      <c r="R95" s="104">
        <f ca="1">NOT(ccInFocus)*ccShowType*IF(ccDelta&lt;0,ABS(ccDelta),0)</f>
        <v>0</v>
      </c>
    </row>
    <row r="96" spans="4:18" x14ac:dyDescent="0.2">
      <c r="D96" s="119"/>
      <c r="E96" s="100" t="s">
        <v>11</v>
      </c>
      <c r="F96" s="100">
        <f t="shared" ref="F96" ca="1" si="66">MONTH(D95)</f>
        <v>11</v>
      </c>
      <c r="G96" s="100">
        <f ca="1">IF(selectedPeriod="Total Year",1,IF(selectedPeriod=ccMonthNumber,1,0))</f>
        <v>1</v>
      </c>
      <c r="H96" s="100">
        <f t="shared" ref="H96" si="67">1*$E$47</f>
        <v>1</v>
      </c>
      <c r="I96" s="100">
        <f t="shared" si="65"/>
        <v>1</v>
      </c>
      <c r="J96" s="107" cm="1">
        <f t="array" aca="1" ref="J96" ca="1">SUM(Tracking[Amount] * (Tracking[Type]=ccType)*(YEAR(Tracking[Effective Date])=selectedYear) * (MONTH(Tracking[Effective Date])=ccMonthNumber))</f>
        <v>19499</v>
      </c>
      <c r="K96" s="107" cm="1">
        <f t="array" aca="1" ref="K96" ca="1">INDEX('Budget Planning'!$E:$DY,expensesTotalRow,MATCH(DATE(selectedYear,ccMonthNumber,1),'Budget Planning'!$E$23:$DY$23,0))</f>
        <v>14490</v>
      </c>
      <c r="L96" s="107">
        <f ca="1">ccBudget-ccTracked</f>
        <v>-5009</v>
      </c>
      <c r="M96" s="104">
        <f ca="1">ccInFocus*ccShowType*MIN(ccTracked,ccBudget)</f>
        <v>14490</v>
      </c>
      <c r="N96" s="104">
        <f ca="1">ccInFocus*ccShowType*ccShowRemBudget*IF(ccDelta&gt;0,ccDelta,0)</f>
        <v>0</v>
      </c>
      <c r="O96" s="104">
        <f ca="1">IF(ccDelta&lt;0,ABS(ccDelta),0)</f>
        <v>5009</v>
      </c>
      <c r="P96" s="104">
        <f ca="1">NOT(ccInFocus)*ccShowType*MIN(ccTracked,ccBudget)</f>
        <v>0</v>
      </c>
      <c r="Q96" s="104">
        <f ca="1">NOT(ccInFocus)*ccShowType*ccShowRemBudget*IF(ccDelta&gt;0,ccDelta,0)</f>
        <v>0</v>
      </c>
      <c r="R96" s="104">
        <f ca="1">NOT(ccInFocus)*ccShowType*IF(ccDelta&lt;0,ABS(ccDelta),0)</f>
        <v>0</v>
      </c>
    </row>
    <row r="97" spans="4:18" x14ac:dyDescent="0.2">
      <c r="D97" s="119"/>
      <c r="E97" s="100" t="s">
        <v>16</v>
      </c>
      <c r="F97" s="100">
        <f t="shared" ref="F97" ca="1" si="68">MONTH(D95)</f>
        <v>11</v>
      </c>
      <c r="G97" s="100">
        <f ca="1">IF(selectedPeriod="Total Year",1,IF(selectedPeriod=ccMonthNumber,1,0))</f>
        <v>1</v>
      </c>
      <c r="H97" s="100">
        <f t="shared" ref="H97" si="69">1*$E$48</f>
        <v>1</v>
      </c>
      <c r="I97" s="100">
        <f t="shared" si="65"/>
        <v>1</v>
      </c>
      <c r="J97" s="107" cm="1">
        <f t="array" aca="1" ref="J97" ca="1">SUM(Tracking[Amount] * (Tracking[Type]=ccType)*(YEAR(Tracking[Effective Date])=selectedYear) * (MONTH(Tracking[Effective Date])=ccMonthNumber))</f>
        <v>0</v>
      </c>
      <c r="K97" s="107" cm="1">
        <f t="array" aca="1" ref="K97" ca="1">INDEX('Budget Planning'!$E:$DY,savingsTotalRow,MATCH(DATE(selectedYear,ccMonthNumber,1),'Budget Planning'!$E$23:$DY$23,0))</f>
        <v>0</v>
      </c>
      <c r="L97" s="107">
        <f ca="1">ccBudget-ccTracked</f>
        <v>0</v>
      </c>
      <c r="M97" s="104">
        <f ca="1">ccInFocus*ccShowType*MIN(ccTracked,ccBudget)</f>
        <v>0</v>
      </c>
      <c r="N97" s="104">
        <f ca="1">ccInFocus*ccShowType*ccShowRemBudget*IF(ccDelta&gt;0,ccDelta,0)</f>
        <v>0</v>
      </c>
      <c r="O97" s="104">
        <f ca="1">IF(ccDelta&lt;0,ABS(ccDelta),0)</f>
        <v>0</v>
      </c>
      <c r="P97" s="104">
        <f ca="1">NOT(ccInFocus)*ccShowType*MIN(ccTracked,ccBudget)</f>
        <v>0</v>
      </c>
      <c r="Q97" s="104">
        <f ca="1">NOT(ccInFocus)*ccShowType*ccShowRemBudget*IF(ccDelta&gt;0,ccDelta,0)</f>
        <v>0</v>
      </c>
      <c r="R97" s="104">
        <f ca="1">NOT(ccInFocus)*ccShowType*IF(ccDelta&lt;0,ABS(ccDelta),0)</f>
        <v>0</v>
      </c>
    </row>
    <row r="98" spans="4:18" x14ac:dyDescent="0.2">
      <c r="D98" s="119"/>
      <c r="E98" s="101"/>
      <c r="F98" s="101"/>
      <c r="G98" s="101"/>
      <c r="H98" s="101"/>
      <c r="I98" s="101"/>
      <c r="J98" s="108"/>
      <c r="K98" s="108"/>
      <c r="L98" s="108"/>
      <c r="M98" s="105"/>
      <c r="N98" s="105"/>
      <c r="O98" s="105"/>
      <c r="P98" s="105"/>
      <c r="Q98" s="105"/>
      <c r="R98" s="105"/>
    </row>
    <row r="99" spans="4:18" x14ac:dyDescent="0.2">
      <c r="D99" s="118">
        <f ca="1">DATE(selectedYear,12,1)</f>
        <v>45627</v>
      </c>
      <c r="E99" s="99" t="s">
        <v>5</v>
      </c>
      <c r="F99" s="100">
        <f t="shared" ref="F99" ca="1" si="70">MONTH(D99)</f>
        <v>12</v>
      </c>
      <c r="G99" s="100">
        <f ca="1">IF(selectedPeriod="Total Year",1,IF(selectedPeriod=ccMonthNumber,1,0))</f>
        <v>0</v>
      </c>
      <c r="H99" s="100">
        <f t="shared" ref="H99" si="71">1*$E$46</f>
        <v>1</v>
      </c>
      <c r="I99" s="100">
        <f t="shared" ref="I99:I101" si="72">1*$E$49</f>
        <v>1</v>
      </c>
      <c r="J99" s="107" cm="1">
        <f t="array" aca="1" ref="J99" ca="1">SUM(Tracking[Amount] * (Tracking[Type]=ccType)*(YEAR(Tracking[Effective Date])=selectedYear) * (MONTH(Tracking[Effective Date])=ccMonthNumber))</f>
        <v>0</v>
      </c>
      <c r="K99" s="107" cm="1">
        <f t="array" aca="1" ref="K99" ca="1">INDEX('Budget Planning'!$E:$DY,incomeTotalRow,MATCH(DATE(selectedYear,ccMonthNumber,1),'Budget Planning'!$E$23:$DY$23,0))</f>
        <v>18510</v>
      </c>
      <c r="L99" s="107">
        <f ca="1">ccBudget-ccTracked</f>
        <v>18510</v>
      </c>
      <c r="M99" s="104">
        <f ca="1">ccInFocus*ccShowType*MIN(ccTracked,ccBudget)</f>
        <v>0</v>
      </c>
      <c r="N99" s="104">
        <f ca="1">ccInFocus*ccShowType*ccShowRemBudget*IF(ccDelta&gt;0,ccDelta,0)</f>
        <v>0</v>
      </c>
      <c r="O99" s="104">
        <f ca="1">ccInFocus*ccShowType*IF(ccDelta&lt;0,ABS(ccDelta),0)</f>
        <v>0</v>
      </c>
      <c r="P99" s="104">
        <f ca="1">NOT(ccInFocus)*ccShowType*MIN(ccTracked,ccBudget)</f>
        <v>0</v>
      </c>
      <c r="Q99" s="104">
        <f ca="1">NOT(ccInFocus)*ccShowType*ccShowRemBudget*IF(ccDelta&gt;0,ccDelta,0)</f>
        <v>18510</v>
      </c>
      <c r="R99" s="104">
        <f ca="1">NOT(ccInFocus)*ccShowType*IF(ccDelta&lt;0,ABS(ccDelta),0)</f>
        <v>0</v>
      </c>
    </row>
    <row r="100" spans="4:18" x14ac:dyDescent="0.2">
      <c r="D100" s="119"/>
      <c r="E100" s="100" t="s">
        <v>11</v>
      </c>
      <c r="F100" s="100">
        <f t="shared" ref="F100" ca="1" si="73">MONTH(D99)</f>
        <v>12</v>
      </c>
      <c r="G100" s="100">
        <f ca="1">IF(selectedPeriod="Total Year",1,IF(selectedPeriod=ccMonthNumber,1,0))</f>
        <v>0</v>
      </c>
      <c r="H100" s="100">
        <f t="shared" ref="H100" si="74">1*$E$47</f>
        <v>1</v>
      </c>
      <c r="I100" s="100">
        <f t="shared" si="72"/>
        <v>1</v>
      </c>
      <c r="J100" s="107" cm="1">
        <f t="array" aca="1" ref="J100" ca="1">SUM(Tracking[Amount] * (Tracking[Type]=ccType)*(YEAR(Tracking[Effective Date])=selectedYear) * (MONTH(Tracking[Effective Date])=ccMonthNumber))</f>
        <v>0</v>
      </c>
      <c r="K100" s="107" cm="1">
        <f t="array" aca="1" ref="K100" ca="1">INDEX('Budget Planning'!$E:$DY,expensesTotalRow,MATCH(DATE(selectedYear,ccMonthNumber,1),'Budget Planning'!$E$23:$DY$23,0))</f>
        <v>12490</v>
      </c>
      <c r="L100" s="107">
        <f ca="1">ccBudget-ccTracked</f>
        <v>12490</v>
      </c>
      <c r="M100" s="104">
        <f ca="1">ccInFocus*ccShowType*MIN(ccTracked,ccBudget)</f>
        <v>0</v>
      </c>
      <c r="N100" s="104">
        <f ca="1">ccInFocus*ccShowType*ccShowRemBudget*IF(ccDelta&gt;0,ccDelta,0)</f>
        <v>0</v>
      </c>
      <c r="O100" s="104">
        <f ca="1">IF(ccDelta&lt;0,ABS(ccDelta),0)</f>
        <v>0</v>
      </c>
      <c r="P100" s="104">
        <f ca="1">NOT(ccInFocus)*ccShowType*MIN(ccTracked,ccBudget)</f>
        <v>0</v>
      </c>
      <c r="Q100" s="104">
        <f ca="1">NOT(ccInFocus)*ccShowType*ccShowRemBudget*IF(ccDelta&gt;0,ccDelta,0)</f>
        <v>12490</v>
      </c>
      <c r="R100" s="104">
        <f ca="1">NOT(ccInFocus)*ccShowType*IF(ccDelta&lt;0,ABS(ccDelta),0)</f>
        <v>0</v>
      </c>
    </row>
    <row r="101" spans="4:18" x14ac:dyDescent="0.2">
      <c r="D101" s="119"/>
      <c r="E101" s="100" t="s">
        <v>16</v>
      </c>
      <c r="F101" s="100">
        <f t="shared" ref="F101" ca="1" si="75">MONTH(D99)</f>
        <v>12</v>
      </c>
      <c r="G101" s="100">
        <f ca="1">IF(selectedPeriod="Total Year",1,IF(selectedPeriod=ccMonthNumber,1,0))</f>
        <v>0</v>
      </c>
      <c r="H101" s="100">
        <f t="shared" ref="H101" si="76">1*$E$48</f>
        <v>1</v>
      </c>
      <c r="I101" s="100">
        <f t="shared" si="72"/>
        <v>1</v>
      </c>
      <c r="J101" s="107" cm="1">
        <f t="array" aca="1" ref="J101" ca="1">SUM(Tracking[Amount] * (Tracking[Type]=ccType)*(YEAR(Tracking[Effective Date])=selectedYear) * (MONTH(Tracking[Effective Date])=ccMonthNumber))</f>
        <v>0</v>
      </c>
      <c r="K101" s="107" cm="1">
        <f t="array" aca="1" ref="K101" ca="1">INDEX('Budget Planning'!$E:$DY,savingsTotalRow,MATCH(DATE(selectedYear,ccMonthNumber,1),'Budget Planning'!$E$23:$DY$23,0))</f>
        <v>0</v>
      </c>
      <c r="L101" s="107">
        <f ca="1">ccBudget-ccTracked</f>
        <v>0</v>
      </c>
      <c r="M101" s="104">
        <f ca="1">ccInFocus*ccShowType*MIN(ccTracked,ccBudget)</f>
        <v>0</v>
      </c>
      <c r="N101" s="104">
        <f ca="1">ccInFocus*ccShowType*ccShowRemBudget*IF(ccDelta&gt;0,ccDelta,0)</f>
        <v>0</v>
      </c>
      <c r="O101" s="104">
        <f ca="1">IF(ccDelta&lt;0,ABS(ccDelta),0)</f>
        <v>0</v>
      </c>
      <c r="P101" s="104">
        <f ca="1">NOT(ccInFocus)*ccShowType*MIN(ccTracked,ccBudget)</f>
        <v>0</v>
      </c>
      <c r="Q101" s="104">
        <f ca="1">NOT(ccInFocus)*ccShowType*ccShowRemBudget*IF(ccDelta&gt;0,ccDelta,0)</f>
        <v>0</v>
      </c>
      <c r="R101" s="104">
        <f ca="1">NOT(ccInFocus)*ccShowType*IF(ccDelta&lt;0,ABS(ccDelta),0)</f>
        <v>0</v>
      </c>
    </row>
    <row r="102" spans="4:18" x14ac:dyDescent="0.2">
      <c r="D102" s="120"/>
      <c r="E102" s="101"/>
      <c r="F102" s="101"/>
      <c r="G102" s="101"/>
      <c r="H102" s="101"/>
      <c r="I102" s="101"/>
      <c r="J102" s="108"/>
      <c r="K102" s="108"/>
      <c r="L102" s="108"/>
      <c r="M102" s="105"/>
      <c r="N102" s="105"/>
      <c r="O102" s="105"/>
      <c r="P102" s="105"/>
      <c r="Q102" s="105"/>
      <c r="R102" s="105"/>
    </row>
    <row r="103" spans="4:18" x14ac:dyDescent="0.2"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</row>
    <row r="104" spans="4:18" x14ac:dyDescent="0.2">
      <c r="E104" s="103"/>
      <c r="F104" s="103"/>
      <c r="G104" s="103"/>
      <c r="H104" s="103"/>
      <c r="I104" s="103"/>
      <c r="J104" s="103"/>
      <c r="K104" s="103"/>
      <c r="L104" s="103"/>
      <c r="M104" s="103"/>
      <c r="N104" s="103"/>
      <c r="O104" s="103"/>
      <c r="P104" s="103"/>
      <c r="Q104" s="103"/>
      <c r="R104" s="103"/>
    </row>
    <row r="105" spans="4:18" x14ac:dyDescent="0.2">
      <c r="E105" s="103"/>
      <c r="F105" s="103"/>
      <c r="G105" s="103"/>
      <c r="H105" s="103"/>
      <c r="I105" s="103"/>
      <c r="J105" s="103"/>
      <c r="K105" s="103"/>
      <c r="L105" s="103"/>
      <c r="M105" s="103"/>
      <c r="N105" s="103"/>
      <c r="O105" s="103"/>
      <c r="P105" s="103"/>
      <c r="Q105" s="103"/>
      <c r="R105" s="103"/>
    </row>
    <row r="106" spans="4:18" x14ac:dyDescent="0.2">
      <c r="E106" s="103"/>
      <c r="F106" s="103"/>
      <c r="G106" s="103"/>
      <c r="H106" s="103"/>
      <c r="I106" s="103"/>
      <c r="J106" s="103"/>
      <c r="K106" s="103"/>
      <c r="L106" s="103"/>
      <c r="M106" s="103"/>
      <c r="N106" s="103"/>
      <c r="O106" s="103"/>
      <c r="P106" s="103"/>
      <c r="Q106" s="103"/>
      <c r="R106" s="103"/>
    </row>
  </sheetData>
  <mergeCells count="14">
    <mergeCell ref="D95:D98"/>
    <mergeCell ref="D99:D102"/>
    <mergeCell ref="M53:O53"/>
    <mergeCell ref="P53:R53"/>
    <mergeCell ref="D75:D78"/>
    <mergeCell ref="D79:D82"/>
    <mergeCell ref="D83:D86"/>
    <mergeCell ref="D87:D90"/>
    <mergeCell ref="D91:D94"/>
    <mergeCell ref="D55:D58"/>
    <mergeCell ref="D59:D62"/>
    <mergeCell ref="D63:D66"/>
    <mergeCell ref="D67:D70"/>
    <mergeCell ref="D71:D74"/>
  </mergeCells>
  <phoneticPr fontId="29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9675C-AF37-1B48-A4A7-F56458F24A33}">
  <dimension ref="A1:Z27"/>
  <sheetViews>
    <sheetView showGridLines="0" workbookViewId="0">
      <selection activeCell="H26" sqref="H26"/>
    </sheetView>
  </sheetViews>
  <sheetFormatPr baseColWidth="10" defaultRowHeight="16" x14ac:dyDescent="0.2"/>
  <cols>
    <col min="1" max="1" width="10.7109375" style="1"/>
    <col min="2" max="2" width="3.28515625" style="1" customWidth="1"/>
    <col min="3" max="3" width="30.7109375" style="1" customWidth="1"/>
    <col min="4" max="4" width="23.85546875" style="1" customWidth="1"/>
    <col min="5" max="5" width="4" style="1" customWidth="1"/>
    <col min="6" max="6" width="49.85546875" style="1" customWidth="1"/>
    <col min="7" max="7" width="19.85546875" style="1" customWidth="1"/>
    <col min="8" max="8" width="3.42578125" style="1" customWidth="1"/>
    <col min="9" max="16384" width="10.7109375" style="1"/>
  </cols>
  <sheetData>
    <row r="1" spans="1:26" ht="16" customHeight="1" x14ac:dyDescent="0.2">
      <c r="A1" s="125" t="s">
        <v>0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</row>
    <row r="2" spans="1:26" ht="16" customHeight="1" x14ac:dyDescent="0.2">
      <c r="A2" s="126"/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</row>
    <row r="3" spans="1:26" x14ac:dyDescent="0.2">
      <c r="A3" s="126"/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</row>
    <row r="6" spans="1:26" x14ac:dyDescent="0.2">
      <c r="B6" s="127" t="s">
        <v>1</v>
      </c>
      <c r="C6" s="128"/>
      <c r="D6" s="128"/>
      <c r="E6" s="128"/>
      <c r="F6" s="128"/>
      <c r="G6" s="128"/>
      <c r="H6" s="128"/>
    </row>
    <row r="7" spans="1:26" x14ac:dyDescent="0.2">
      <c r="B7" s="2"/>
      <c r="H7" s="3"/>
    </row>
    <row r="8" spans="1:26" x14ac:dyDescent="0.2">
      <c r="B8" s="2"/>
      <c r="C8" s="8" t="s">
        <v>3</v>
      </c>
      <c r="D8" s="7">
        <v>2024</v>
      </c>
      <c r="F8" s="129" t="s">
        <v>33</v>
      </c>
      <c r="G8" s="129"/>
      <c r="H8" s="3"/>
    </row>
    <row r="9" spans="1:26" x14ac:dyDescent="0.2">
      <c r="B9" s="4"/>
      <c r="C9" s="5"/>
      <c r="D9" s="5"/>
      <c r="E9" s="5"/>
      <c r="F9" s="5"/>
      <c r="G9" s="5"/>
      <c r="H9" s="6"/>
    </row>
    <row r="11" spans="1:26" x14ac:dyDescent="0.2">
      <c r="B11" s="127" t="s">
        <v>34</v>
      </c>
      <c r="C11" s="128"/>
      <c r="D11" s="128"/>
      <c r="E11" s="128"/>
      <c r="F11" s="128"/>
      <c r="G11" s="128"/>
      <c r="H11" s="128"/>
    </row>
    <row r="12" spans="1:26" x14ac:dyDescent="0.2">
      <c r="B12" s="2"/>
      <c r="H12" s="3"/>
    </row>
    <row r="13" spans="1:26" ht="18" x14ac:dyDescent="0.2">
      <c r="B13" s="2"/>
      <c r="C13" s="35" t="s">
        <v>35</v>
      </c>
      <c r="H13" s="3"/>
    </row>
    <row r="14" spans="1:26" x14ac:dyDescent="0.2">
      <c r="B14" s="2"/>
      <c r="C14" s="8"/>
      <c r="D14" s="31"/>
      <c r="F14" s="30"/>
      <c r="G14" s="30"/>
      <c r="H14" s="3"/>
    </row>
    <row r="15" spans="1:26" x14ac:dyDescent="0.2">
      <c r="B15" s="2"/>
      <c r="C15" s="8"/>
      <c r="D15" s="31"/>
      <c r="F15" s="30"/>
      <c r="G15" s="30"/>
      <c r="H15" s="3"/>
    </row>
    <row r="16" spans="1:26" x14ac:dyDescent="0.2">
      <c r="B16" s="2"/>
      <c r="C16" s="32" t="s">
        <v>36</v>
      </c>
      <c r="D16" s="7" t="s">
        <v>39</v>
      </c>
      <c r="F16" s="124" t="s">
        <v>38</v>
      </c>
      <c r="G16" s="124"/>
      <c r="H16" s="3"/>
    </row>
    <row r="17" spans="2:8" ht="8" customHeight="1" x14ac:dyDescent="0.2">
      <c r="B17" s="2"/>
      <c r="C17" s="33"/>
      <c r="F17" s="124"/>
      <c r="G17" s="124"/>
      <c r="H17" s="3"/>
    </row>
    <row r="18" spans="2:8" x14ac:dyDescent="0.2">
      <c r="B18" s="2"/>
      <c r="C18" s="34" t="s">
        <v>37</v>
      </c>
      <c r="D18" s="7">
        <v>12</v>
      </c>
      <c r="F18" s="124"/>
      <c r="G18" s="124"/>
      <c r="H18" s="3"/>
    </row>
    <row r="19" spans="2:8" x14ac:dyDescent="0.2">
      <c r="B19" s="2"/>
      <c r="H19" s="3"/>
    </row>
    <row r="20" spans="2:8" x14ac:dyDescent="0.2">
      <c r="B20" s="2"/>
      <c r="H20" s="3"/>
    </row>
    <row r="21" spans="2:8" ht="18" x14ac:dyDescent="0.2">
      <c r="B21" s="2"/>
      <c r="C21" s="35" t="s">
        <v>130</v>
      </c>
      <c r="D21" s="1" t="s">
        <v>2</v>
      </c>
      <c r="H21" s="3"/>
    </row>
    <row r="22" spans="2:8" ht="16" customHeight="1" x14ac:dyDescent="0.2">
      <c r="B22" s="2"/>
      <c r="F22" s="123" t="s">
        <v>133</v>
      </c>
      <c r="G22" s="123"/>
      <c r="H22" s="3"/>
    </row>
    <row r="23" spans="2:8" x14ac:dyDescent="0.2">
      <c r="B23" s="2"/>
      <c r="F23" s="123"/>
      <c r="G23" s="123"/>
      <c r="H23" s="3"/>
    </row>
    <row r="24" spans="2:8" ht="16" customHeight="1" x14ac:dyDescent="0.2">
      <c r="B24" s="2"/>
      <c r="C24" s="34" t="s">
        <v>131</v>
      </c>
      <c r="D24" s="7" t="s">
        <v>132</v>
      </c>
      <c r="F24" s="123"/>
      <c r="G24" s="123"/>
      <c r="H24" s="3"/>
    </row>
    <row r="25" spans="2:8" x14ac:dyDescent="0.2">
      <c r="B25" s="2"/>
      <c r="F25" s="124"/>
      <c r="G25" s="124"/>
      <c r="H25" s="3"/>
    </row>
    <row r="26" spans="2:8" x14ac:dyDescent="0.2">
      <c r="B26" s="2"/>
      <c r="F26" s="124"/>
      <c r="G26" s="124"/>
      <c r="H26" s="3"/>
    </row>
    <row r="27" spans="2:8" x14ac:dyDescent="0.2">
      <c r="B27" s="4"/>
      <c r="C27" s="5"/>
      <c r="D27" s="5"/>
      <c r="E27" s="5"/>
      <c r="F27" s="5"/>
      <c r="G27" s="5"/>
      <c r="H27" s="6"/>
    </row>
  </sheetData>
  <mergeCells count="7">
    <mergeCell ref="F22:G24"/>
    <mergeCell ref="F25:G26"/>
    <mergeCell ref="A1:Z3"/>
    <mergeCell ref="B6:H6"/>
    <mergeCell ref="B11:H11"/>
    <mergeCell ref="F8:G8"/>
    <mergeCell ref="F16:G18"/>
  </mergeCells>
  <conditionalFormatting sqref="D18">
    <cfRule type="expression" dxfId="89" priority="1">
      <formula>shiftLateIncomeStatus="Inactive"</formula>
    </cfRule>
  </conditionalFormatting>
  <dataValidations count="2">
    <dataValidation type="list" allowBlank="1" showInputMessage="1" showErrorMessage="1" sqref="D16" xr:uid="{7298BA32-623D-B740-A4F6-CC7FD7C84A60}">
      <formula1>"Active, Inactive"</formula1>
    </dataValidation>
    <dataValidation type="list" allowBlank="1" showInputMessage="1" showErrorMessage="1" sqref="D24" xr:uid="{DF73927C-06A1-C44C-99DF-B58DC9F5E87C}">
      <formula1>"% allocated to Savings, % not allocated to Expenses"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4638C-C149-C243-8980-01EBAB0979CB}">
  <dimension ref="C1:DY66"/>
  <sheetViews>
    <sheetView showGridLines="0" zoomScaleNormal="100" workbookViewId="0">
      <pane xSplit="4" ySplit="3" topLeftCell="E4" activePane="bottomRight" state="frozen"/>
      <selection activeCell="H26" sqref="H26"/>
      <selection pane="topRight" activeCell="H26" sqref="H26"/>
      <selection pane="bottomLeft" activeCell="H26" sqref="H26"/>
      <selection pane="bottomRight" activeCell="O33" sqref="O33"/>
    </sheetView>
  </sheetViews>
  <sheetFormatPr baseColWidth="10" defaultRowHeight="16" outlineLevelCol="1" x14ac:dyDescent="0.2"/>
  <cols>
    <col min="1" max="2" width="10.7109375" style="1"/>
    <col min="3" max="3" width="28.5703125" style="1" customWidth="1"/>
    <col min="4" max="4" width="2.85546875" style="1" customWidth="1"/>
    <col min="5" max="8" width="10.7109375" style="1" customWidth="1" outlineLevel="1"/>
    <col min="9" max="9" width="8.7109375" style="1" customWidth="1" outlineLevel="1"/>
    <col min="10" max="10" width="8.5703125" style="1" customWidth="1" outlineLevel="1"/>
    <col min="11" max="16" width="8.42578125" style="1" customWidth="1" outlineLevel="1"/>
    <col min="17" max="17" width="8.42578125" style="1" customWidth="1"/>
    <col min="18" max="18" width="2.85546875" style="1" customWidth="1"/>
    <col min="19" max="22" width="10.7109375" style="1" hidden="1" customWidth="1" outlineLevel="1"/>
    <col min="23" max="23" width="8.7109375" style="1" hidden="1" customWidth="1" outlineLevel="1"/>
    <col min="24" max="24" width="8.5703125" style="1" hidden="1" customWidth="1" outlineLevel="1"/>
    <col min="25" max="30" width="8.42578125" style="1" hidden="1" customWidth="1" outlineLevel="1"/>
    <col min="31" max="31" width="8.42578125" style="1" customWidth="1" collapsed="1"/>
    <col min="32" max="32" width="2.85546875" style="1" customWidth="1"/>
    <col min="33" max="36" width="10.7109375" style="1" hidden="1" customWidth="1" outlineLevel="1"/>
    <col min="37" max="37" width="8.7109375" style="1" hidden="1" customWidth="1" outlineLevel="1"/>
    <col min="38" max="38" width="8.5703125" style="1" hidden="1" customWidth="1" outlineLevel="1"/>
    <col min="39" max="44" width="8.42578125" style="1" hidden="1" customWidth="1" outlineLevel="1"/>
    <col min="45" max="45" width="8.42578125" style="1" customWidth="1" collapsed="1"/>
    <col min="46" max="46" width="2.85546875" style="1" customWidth="1"/>
    <col min="47" max="50" width="10.7109375" style="1" hidden="1" customWidth="1" outlineLevel="1"/>
    <col min="51" max="51" width="8.7109375" style="1" hidden="1" customWidth="1" outlineLevel="1"/>
    <col min="52" max="52" width="8.5703125" style="1" hidden="1" customWidth="1" outlineLevel="1"/>
    <col min="53" max="58" width="8.42578125" style="1" hidden="1" customWidth="1" outlineLevel="1"/>
    <col min="59" max="59" width="8.42578125" style="1" customWidth="1" collapsed="1"/>
    <col min="60" max="60" width="2.85546875" style="1" customWidth="1"/>
    <col min="61" max="64" width="10.7109375" style="1" hidden="1" customWidth="1" outlineLevel="1"/>
    <col min="65" max="65" width="8.7109375" style="1" hidden="1" customWidth="1" outlineLevel="1"/>
    <col min="66" max="66" width="8.5703125" style="1" hidden="1" customWidth="1" outlineLevel="1"/>
    <col min="67" max="72" width="8.42578125" style="1" hidden="1" customWidth="1" outlineLevel="1"/>
    <col min="73" max="73" width="8.42578125" style="1" customWidth="1" collapsed="1"/>
    <col min="74" max="74" width="2.85546875" style="1" customWidth="1"/>
    <col min="75" max="78" width="0" style="1" hidden="1" customWidth="1" outlineLevel="1"/>
    <col min="79" max="79" width="8.7109375" style="1" hidden="1" customWidth="1" outlineLevel="1"/>
    <col min="80" max="80" width="8.5703125" style="1" hidden="1" customWidth="1" outlineLevel="1"/>
    <col min="81" max="86" width="8.42578125" style="1" hidden="1" customWidth="1" outlineLevel="1"/>
    <col min="87" max="87" width="8.42578125" style="1" customWidth="1" collapsed="1"/>
    <col min="88" max="88" width="2.85546875" style="1" customWidth="1"/>
    <col min="89" max="92" width="0" style="1" hidden="1" customWidth="1" outlineLevel="1"/>
    <col min="93" max="93" width="8.7109375" style="1" hidden="1" customWidth="1" outlineLevel="1"/>
    <col min="94" max="94" width="8.5703125" style="1" hidden="1" customWidth="1" outlineLevel="1"/>
    <col min="95" max="100" width="8.42578125" style="1" hidden="1" customWidth="1" outlineLevel="1"/>
    <col min="101" max="101" width="8.42578125" style="1" customWidth="1" collapsed="1"/>
    <col min="102" max="102" width="2.85546875" style="1" customWidth="1"/>
    <col min="103" max="106" width="0" style="1" hidden="1" customWidth="1" outlineLevel="1"/>
    <col min="107" max="107" width="8.7109375" style="1" hidden="1" customWidth="1" outlineLevel="1"/>
    <col min="108" max="108" width="8.5703125" style="1" hidden="1" customWidth="1" outlineLevel="1"/>
    <col min="109" max="114" width="8.42578125" style="1" hidden="1" customWidth="1" outlineLevel="1"/>
    <col min="115" max="115" width="8.42578125" style="1" customWidth="1" collapsed="1"/>
    <col min="116" max="116" width="2.85546875" style="1" customWidth="1"/>
    <col min="117" max="120" width="10.7109375" style="1" hidden="1" customWidth="1" outlineLevel="1"/>
    <col min="121" max="121" width="8.7109375" style="1" hidden="1" customWidth="1" outlineLevel="1"/>
    <col min="122" max="122" width="8.5703125" style="1" hidden="1" customWidth="1" outlineLevel="1"/>
    <col min="123" max="128" width="8.42578125" style="1" hidden="1" customWidth="1" outlineLevel="1"/>
    <col min="129" max="129" width="8.42578125" style="1" customWidth="1" collapsed="1"/>
    <col min="130" max="130" width="2.85546875" style="1" customWidth="1"/>
    <col min="131" max="16384" width="10.7109375" style="1"/>
  </cols>
  <sheetData>
    <row r="1" spans="3:129" s="60" customFormat="1" ht="16" customHeight="1" x14ac:dyDescent="0.2">
      <c r="C1" s="131" t="s">
        <v>73</v>
      </c>
    </row>
    <row r="2" spans="3:129" s="60" customFormat="1" ht="16" customHeight="1" x14ac:dyDescent="0.2">
      <c r="C2" s="131"/>
    </row>
    <row r="3" spans="3:129" s="60" customFormat="1" ht="16" customHeight="1" x14ac:dyDescent="0.2">
      <c r="C3" s="131"/>
    </row>
    <row r="5" spans="3:129" ht="20" customHeight="1" x14ac:dyDescent="0.2">
      <c r="C5" s="24" t="s">
        <v>4</v>
      </c>
      <c r="E5" s="130">
        <f>startingYear</f>
        <v>2024</v>
      </c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S5" s="130">
        <f>startingYear+1</f>
        <v>2025</v>
      </c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G5" s="130">
        <f>startingYear+2</f>
        <v>2026</v>
      </c>
      <c r="AH5" s="130"/>
      <c r="AI5" s="130"/>
      <c r="AJ5" s="130"/>
      <c r="AK5" s="130"/>
      <c r="AL5" s="130"/>
      <c r="AM5" s="130"/>
      <c r="AN5" s="130"/>
      <c r="AO5" s="130"/>
      <c r="AP5" s="130"/>
      <c r="AQ5" s="130"/>
      <c r="AR5" s="130"/>
      <c r="AS5" s="130"/>
      <c r="AU5" s="130">
        <f>startingYear+3</f>
        <v>2027</v>
      </c>
      <c r="AV5" s="130"/>
      <c r="AW5" s="130"/>
      <c r="AX5" s="130"/>
      <c r="AY5" s="130"/>
      <c r="AZ5" s="130"/>
      <c r="BA5" s="130"/>
      <c r="BB5" s="130"/>
      <c r="BC5" s="130"/>
      <c r="BD5" s="130"/>
      <c r="BE5" s="130"/>
      <c r="BF5" s="130"/>
      <c r="BG5" s="130"/>
      <c r="BI5" s="130">
        <f>startingYear+4</f>
        <v>2028</v>
      </c>
      <c r="BJ5" s="130"/>
      <c r="BK5" s="130"/>
      <c r="BL5" s="130"/>
      <c r="BM5" s="130"/>
      <c r="BN5" s="130"/>
      <c r="BO5" s="130"/>
      <c r="BP5" s="130"/>
      <c r="BQ5" s="130"/>
      <c r="BR5" s="130"/>
      <c r="BS5" s="130"/>
      <c r="BT5" s="130"/>
      <c r="BU5" s="130"/>
      <c r="BW5" s="130">
        <f>startingYear+5</f>
        <v>2029</v>
      </c>
      <c r="BX5" s="130"/>
      <c r="BY5" s="130"/>
      <c r="BZ5" s="130"/>
      <c r="CA5" s="130"/>
      <c r="CB5" s="130"/>
      <c r="CC5" s="130"/>
      <c r="CD5" s="130"/>
      <c r="CE5" s="130"/>
      <c r="CF5" s="130"/>
      <c r="CG5" s="130"/>
      <c r="CH5" s="130"/>
      <c r="CI5" s="130"/>
      <c r="CK5" s="130">
        <f>startingYear+6</f>
        <v>2030</v>
      </c>
      <c r="CL5" s="130"/>
      <c r="CM5" s="130"/>
      <c r="CN5" s="130"/>
      <c r="CO5" s="130"/>
      <c r="CP5" s="130"/>
      <c r="CQ5" s="130"/>
      <c r="CR5" s="130"/>
      <c r="CS5" s="130"/>
      <c r="CT5" s="130"/>
      <c r="CU5" s="130"/>
      <c r="CV5" s="130"/>
      <c r="CW5" s="130"/>
      <c r="CY5" s="130">
        <f>startingYear+7</f>
        <v>2031</v>
      </c>
      <c r="CZ5" s="130"/>
      <c r="DA5" s="130"/>
      <c r="DB5" s="130"/>
      <c r="DC5" s="130"/>
      <c r="DD5" s="130"/>
      <c r="DE5" s="130"/>
      <c r="DF5" s="130"/>
      <c r="DG5" s="130"/>
      <c r="DH5" s="130"/>
      <c r="DI5" s="130"/>
      <c r="DJ5" s="130"/>
      <c r="DK5" s="130"/>
      <c r="DM5" s="130">
        <f>startingYear+8</f>
        <v>2032</v>
      </c>
      <c r="DN5" s="130"/>
      <c r="DO5" s="130"/>
      <c r="DP5" s="130"/>
      <c r="DQ5" s="130"/>
      <c r="DR5" s="130"/>
      <c r="DS5" s="130"/>
      <c r="DT5" s="130"/>
      <c r="DU5" s="130"/>
      <c r="DV5" s="130"/>
      <c r="DW5" s="130"/>
      <c r="DX5" s="130"/>
      <c r="DY5" s="130"/>
    </row>
    <row r="6" spans="3:129" x14ac:dyDescent="0.2">
      <c r="E6" s="22" t="str">
        <f ca="1">IF(E7&gt;=0,"Jan 🎯","Jan")</f>
        <v>Jan 🎯</v>
      </c>
      <c r="F6" s="22" t="str">
        <f ca="1">IF(F7&gt;=0,"Feb 🎯","Feb")</f>
        <v>Feb 🎯</v>
      </c>
      <c r="G6" s="22" t="str">
        <f ca="1">IF(G7&gt;=0,"Mar  🎯","Mar")</f>
        <v>Mar  🎯</v>
      </c>
      <c r="H6" s="22" t="str">
        <f ca="1">IF(H7&gt;=0,"Apr 🎯","Apr")</f>
        <v>Apr 🎯</v>
      </c>
      <c r="I6" s="22" t="str">
        <f ca="1">IF(I7&gt;=0,"May 🎯","May")</f>
        <v>May 🎯</v>
      </c>
      <c r="J6" s="22" t="str">
        <f ca="1">IF(J7&gt;=0,"Jun 🎯","Jun")</f>
        <v>Jun 🎯</v>
      </c>
      <c r="K6" s="22" t="str">
        <f ca="1">IF(K7&gt;=0,"Jul 🎯","Jul")</f>
        <v>Jul 🎯</v>
      </c>
      <c r="L6" s="22" t="str">
        <f ca="1">IF(L7&gt;=0,"Aug 🎯","Aug")</f>
        <v>Aug 🎯</v>
      </c>
      <c r="M6" s="22" t="str">
        <f ca="1">IF(M7&gt;=0,"Sep 🎯","Sep")</f>
        <v>Sep 🎯</v>
      </c>
      <c r="N6" s="22" t="str">
        <f ca="1">IF(N7&gt;=0,"Oct 🎯","Oct")</f>
        <v>Oct 🎯</v>
      </c>
      <c r="O6" s="22" t="str">
        <f ca="1">IF(O7&gt;=0,"Nov 🎯","Nov")</f>
        <v>Nov 🎯</v>
      </c>
      <c r="P6" s="22" t="str">
        <f ca="1">IF(P7&gt;=0,"Dec 🎯","Dec")</f>
        <v>Dec 🎯</v>
      </c>
      <c r="Q6" s="22" t="str">
        <f ca="1">IF(Q7&gt;=0,"Total 🎯","Total")</f>
        <v>Total 🎯</v>
      </c>
      <c r="S6" s="22" t="str">
        <f ca="1">IF(S7=0,"Jan 🎯","Jan")</f>
        <v>Jan 🎯</v>
      </c>
      <c r="T6" s="22" t="str">
        <f ca="1">IF(T7=0,"Feb 🎯","Feb")</f>
        <v>Feb 🎯</v>
      </c>
      <c r="U6" s="22" t="str">
        <f ca="1">IF(U7=0,"Mar  🎯","Mar")</f>
        <v>Mar  🎯</v>
      </c>
      <c r="V6" s="22" t="str">
        <f ca="1">IF(V7=0,"Apr 🎯","Apr")</f>
        <v>Apr 🎯</v>
      </c>
      <c r="W6" s="22" t="str">
        <f ca="1">IF(W7=0,"May 🎯","May")</f>
        <v>May 🎯</v>
      </c>
      <c r="X6" s="22" t="str">
        <f ca="1">IF(X7=0,"Jun 🎯","Jun")</f>
        <v>Jun 🎯</v>
      </c>
      <c r="Y6" s="22" t="str">
        <f ca="1">IF(Y7=0,"Jul 🎯","Jul")</f>
        <v>Jul 🎯</v>
      </c>
      <c r="Z6" s="22" t="str">
        <f ca="1">IF(Z7=0,"Aug 🎯","Aug")</f>
        <v>Aug 🎯</v>
      </c>
      <c r="AA6" s="22" t="str">
        <f ca="1">IF(AA7=0,"Sep 🎯","Sep")</f>
        <v>Sep 🎯</v>
      </c>
      <c r="AB6" s="22" t="str">
        <f ca="1">IF(AB7=0,"Oct 🎯","Oct")</f>
        <v>Oct 🎯</v>
      </c>
      <c r="AC6" s="22" t="str">
        <f ca="1">IF(AC7=0,"Nov 🎯","Nov")</f>
        <v>Nov 🎯</v>
      </c>
      <c r="AD6" s="22" t="str">
        <f ca="1">IF(AD7=0,"Dec 🎯","Dec")</f>
        <v>Dec 🎯</v>
      </c>
      <c r="AE6" s="22" t="str">
        <f ca="1">IF(AE7=0,"Total 🎯","Total")</f>
        <v>Total 🎯</v>
      </c>
      <c r="AG6" s="22" t="str">
        <f ca="1">IF(AG7=0,"Jan 🎯","Jan")</f>
        <v>Jan 🎯</v>
      </c>
      <c r="AH6" s="22" t="str">
        <f ca="1">IF(AH7=0,"Feb 🎯","Feb")</f>
        <v>Feb 🎯</v>
      </c>
      <c r="AI6" s="22" t="str">
        <f ca="1">IF(AI7=0,"Mar  🎯","Mar")</f>
        <v>Mar  🎯</v>
      </c>
      <c r="AJ6" s="22" t="str">
        <f ca="1">IF(AJ7=0,"Apr 🎯","Apr")</f>
        <v>Apr 🎯</v>
      </c>
      <c r="AK6" s="22" t="str">
        <f ca="1">IF(AK7=0,"May 🎯","May")</f>
        <v>May 🎯</v>
      </c>
      <c r="AL6" s="22" t="str">
        <f ca="1">IF(AL7=0,"Jun 🎯","Jun")</f>
        <v>Jun 🎯</v>
      </c>
      <c r="AM6" s="22" t="str">
        <f ca="1">IF(AM7=0,"Jul 🎯","Jul")</f>
        <v>Jul 🎯</v>
      </c>
      <c r="AN6" s="22" t="str">
        <f ca="1">IF(AN7=0,"Aug 🎯","Aug")</f>
        <v>Aug 🎯</v>
      </c>
      <c r="AO6" s="22" t="str">
        <f ca="1">IF(AO7=0,"Sep 🎯","Sep")</f>
        <v>Sep 🎯</v>
      </c>
      <c r="AP6" s="22" t="str">
        <f ca="1">IF(AP7=0,"Oct 🎯","Oct")</f>
        <v>Oct 🎯</v>
      </c>
      <c r="AQ6" s="22" t="str">
        <f ca="1">IF(AQ7=0,"Nov 🎯","Nov")</f>
        <v>Nov 🎯</v>
      </c>
      <c r="AR6" s="22" t="str">
        <f ca="1">IF(AR7=0,"Dec 🎯","Dec")</f>
        <v>Dec 🎯</v>
      </c>
      <c r="AS6" s="22" t="str">
        <f ca="1">IF(AS7=0,"Total 🎯","Total")</f>
        <v>Total 🎯</v>
      </c>
      <c r="AU6" s="22" t="str">
        <f ca="1">IF(AU7=0,"Jan 🎯","Jan")</f>
        <v>Jan 🎯</v>
      </c>
      <c r="AV6" s="22" t="str">
        <f ca="1">IF(AV7=0,"Feb 🎯","Feb")</f>
        <v>Feb 🎯</v>
      </c>
      <c r="AW6" s="22" t="str">
        <f ca="1">IF(AW7=0,"Mar  🎯","Mar")</f>
        <v>Mar  🎯</v>
      </c>
      <c r="AX6" s="22" t="str">
        <f ca="1">IF(AX7=0,"Apr 🎯","Apr")</f>
        <v>Apr 🎯</v>
      </c>
      <c r="AY6" s="22" t="str">
        <f ca="1">IF(AY7=0,"May 🎯","May")</f>
        <v>May 🎯</v>
      </c>
      <c r="AZ6" s="22" t="str">
        <f ca="1">IF(AZ7=0,"Jun 🎯","Jun")</f>
        <v>Jun 🎯</v>
      </c>
      <c r="BA6" s="22" t="str">
        <f ca="1">IF(BA7=0,"Jul 🎯","Jul")</f>
        <v>Jul 🎯</v>
      </c>
      <c r="BB6" s="22" t="str">
        <f ca="1">IF(BB7=0,"Aug 🎯","Aug")</f>
        <v>Aug 🎯</v>
      </c>
      <c r="BC6" s="22" t="str">
        <f ca="1">IF(BC7=0,"Sep 🎯","Sep")</f>
        <v>Sep 🎯</v>
      </c>
      <c r="BD6" s="22" t="str">
        <f ca="1">IF(BD7=0,"Oct 🎯","Oct")</f>
        <v>Oct 🎯</v>
      </c>
      <c r="BE6" s="22" t="str">
        <f ca="1">IF(BE7=0,"Nov 🎯","Nov")</f>
        <v>Nov 🎯</v>
      </c>
      <c r="BF6" s="22" t="str">
        <f ca="1">IF(BF7=0,"Dec 🎯","Dec")</f>
        <v>Dec 🎯</v>
      </c>
      <c r="BG6" s="22" t="str">
        <f ca="1">IF(BG7=0,"Total 🎯","Total")</f>
        <v>Total 🎯</v>
      </c>
      <c r="BI6" s="22" t="str">
        <f ca="1">IF(BI7=0,"Jan 🎯","Jan")</f>
        <v>Jan 🎯</v>
      </c>
      <c r="BJ6" s="22" t="str">
        <f ca="1">IF(BJ7=0,"Feb 🎯","Feb")</f>
        <v>Feb 🎯</v>
      </c>
      <c r="BK6" s="22" t="str">
        <f ca="1">IF(BK7=0,"Mar  🎯","Mar")</f>
        <v>Mar  🎯</v>
      </c>
      <c r="BL6" s="22" t="str">
        <f ca="1">IF(BL7=0,"Apr 🎯","Apr")</f>
        <v>Apr 🎯</v>
      </c>
      <c r="BM6" s="22" t="str">
        <f ca="1">IF(BM7=0,"May 🎯","May")</f>
        <v>May 🎯</v>
      </c>
      <c r="BN6" s="22" t="str">
        <f ca="1">IF(BN7=0,"Jun 🎯","Jun")</f>
        <v>Jun 🎯</v>
      </c>
      <c r="BO6" s="22" t="str">
        <f ca="1">IF(BO7=0,"Jul 🎯","Jul")</f>
        <v>Jul 🎯</v>
      </c>
      <c r="BP6" s="22" t="str">
        <f ca="1">IF(BP7=0,"Aug 🎯","Aug")</f>
        <v>Aug 🎯</v>
      </c>
      <c r="BQ6" s="22" t="str">
        <f ca="1">IF(BQ7=0,"Sep 🎯","Sep")</f>
        <v>Sep 🎯</v>
      </c>
      <c r="BR6" s="22" t="str">
        <f ca="1">IF(BR7=0,"Oct 🎯","Oct")</f>
        <v>Oct 🎯</v>
      </c>
      <c r="BS6" s="22" t="str">
        <f ca="1">IF(BS7=0,"Nov 🎯","Nov")</f>
        <v>Nov 🎯</v>
      </c>
      <c r="BT6" s="22" t="str">
        <f ca="1">IF(BT7=0,"Dec 🎯","Dec")</f>
        <v>Dec 🎯</v>
      </c>
      <c r="BU6" s="22" t="str">
        <f ca="1">IF(BU7=0,"Total 🎯","Total")</f>
        <v>Total 🎯</v>
      </c>
      <c r="BW6" s="22" t="str">
        <f ca="1">IF(BW7=0,"Jan 🎯","Jan")</f>
        <v>Jan 🎯</v>
      </c>
      <c r="BX6" s="22" t="str">
        <f ca="1">IF(BX7=0,"Feb 🎯","Feb")</f>
        <v>Feb 🎯</v>
      </c>
      <c r="BY6" s="22" t="str">
        <f ca="1">IF(BY7=0,"Mar  🎯","Mar")</f>
        <v>Mar  🎯</v>
      </c>
      <c r="BZ6" s="22" t="str">
        <f ca="1">IF(BZ7=0,"Apr 🎯","Apr")</f>
        <v>Apr 🎯</v>
      </c>
      <c r="CA6" s="22" t="str">
        <f ca="1">IF(CA7=0,"May 🎯","May")</f>
        <v>May 🎯</v>
      </c>
      <c r="CB6" s="22" t="str">
        <f ca="1">IF(CB7=0,"Jun 🎯","Jun")</f>
        <v>Jun 🎯</v>
      </c>
      <c r="CC6" s="22" t="str">
        <f ca="1">IF(CC7=0,"Jul 🎯","Jul")</f>
        <v>Jul 🎯</v>
      </c>
      <c r="CD6" s="22" t="str">
        <f ca="1">IF(CD7=0,"Aug 🎯","Aug")</f>
        <v>Aug 🎯</v>
      </c>
      <c r="CE6" s="22" t="str">
        <f ca="1">IF(CE7=0,"Sep 🎯","Sep")</f>
        <v>Sep 🎯</v>
      </c>
      <c r="CF6" s="22" t="str">
        <f ca="1">IF(CF7=0,"Oct 🎯","Oct")</f>
        <v>Oct 🎯</v>
      </c>
      <c r="CG6" s="22" t="str">
        <f ca="1">IF(CG7=0,"Nov 🎯","Nov")</f>
        <v>Nov 🎯</v>
      </c>
      <c r="CH6" s="22" t="str">
        <f ca="1">IF(CH7=0,"Dec 🎯","Dec")</f>
        <v>Dec 🎯</v>
      </c>
      <c r="CI6" s="22" t="str">
        <f ca="1">IF(CI7=0,"Total 🎯","Total")</f>
        <v>Total 🎯</v>
      </c>
      <c r="CK6" s="22" t="str">
        <f ca="1">IF(CK7=0,"Jan 🎯","Jan")</f>
        <v>Jan 🎯</v>
      </c>
      <c r="CL6" s="22" t="str">
        <f ca="1">IF(CL7=0,"Feb 🎯","Feb")</f>
        <v>Feb 🎯</v>
      </c>
      <c r="CM6" s="22" t="str">
        <f ca="1">IF(CM7=0,"Mar  🎯","Mar")</f>
        <v>Mar  🎯</v>
      </c>
      <c r="CN6" s="22" t="str">
        <f ca="1">IF(CN7=0,"Apr 🎯","Apr")</f>
        <v>Apr 🎯</v>
      </c>
      <c r="CO6" s="22" t="str">
        <f ca="1">IF(CO7=0,"May 🎯","May")</f>
        <v>May 🎯</v>
      </c>
      <c r="CP6" s="22" t="str">
        <f ca="1">IF(CP7=0,"Jun 🎯","Jun")</f>
        <v>Jun 🎯</v>
      </c>
      <c r="CQ6" s="22" t="str">
        <f ca="1">IF(CQ7=0,"Jul 🎯","Jul")</f>
        <v>Jul 🎯</v>
      </c>
      <c r="CR6" s="22" t="str">
        <f ca="1">IF(CR7=0,"Aug 🎯","Aug")</f>
        <v>Aug 🎯</v>
      </c>
      <c r="CS6" s="22" t="str">
        <f ca="1">IF(CS7=0,"Sep 🎯","Sep")</f>
        <v>Sep 🎯</v>
      </c>
      <c r="CT6" s="22" t="str">
        <f ca="1">IF(CT7=0,"Oct 🎯","Oct")</f>
        <v>Oct 🎯</v>
      </c>
      <c r="CU6" s="22" t="str">
        <f ca="1">IF(CU7=0,"Nov 🎯","Nov")</f>
        <v>Nov 🎯</v>
      </c>
      <c r="CV6" s="22" t="str">
        <f ca="1">IF(CV7=0,"Dec 🎯","Dec")</f>
        <v>Dec 🎯</v>
      </c>
      <c r="CW6" s="22" t="str">
        <f ca="1">IF(CW7=0,"Total 🎯","Total")</f>
        <v>Total 🎯</v>
      </c>
      <c r="CY6" s="22" t="str">
        <f ca="1">IF(CY7=0,"Jan 🎯","Jan")</f>
        <v>Jan 🎯</v>
      </c>
      <c r="CZ6" s="22" t="str">
        <f ca="1">IF(CZ7=0,"Feb 🎯","Feb")</f>
        <v>Feb 🎯</v>
      </c>
      <c r="DA6" s="22" t="str">
        <f ca="1">IF(DA7=0,"Mar  🎯","Mar")</f>
        <v>Mar  🎯</v>
      </c>
      <c r="DB6" s="22" t="str">
        <f ca="1">IF(DB7=0,"Apr 🎯","Apr")</f>
        <v>Apr 🎯</v>
      </c>
      <c r="DC6" s="22" t="str">
        <f ca="1">IF(DC7=0,"May 🎯","May")</f>
        <v>May 🎯</v>
      </c>
      <c r="DD6" s="22" t="str">
        <f ca="1">IF(DD7=0,"Jun 🎯","Jun")</f>
        <v>Jun 🎯</v>
      </c>
      <c r="DE6" s="22" t="str">
        <f ca="1">IF(DE7=0,"Jul 🎯","Jul")</f>
        <v>Jul 🎯</v>
      </c>
      <c r="DF6" s="22" t="str">
        <f ca="1">IF(DF7=0,"Aug 🎯","Aug")</f>
        <v>Aug 🎯</v>
      </c>
      <c r="DG6" s="22" t="str">
        <f ca="1">IF(DG7=0,"Sep 🎯","Sep")</f>
        <v>Sep 🎯</v>
      </c>
      <c r="DH6" s="22" t="str">
        <f ca="1">IF(DH7=0,"Oct 🎯","Oct")</f>
        <v>Oct 🎯</v>
      </c>
      <c r="DI6" s="22" t="str">
        <f ca="1">IF(DI7=0,"Nov 🎯","Nov")</f>
        <v>Nov 🎯</v>
      </c>
      <c r="DJ6" s="22" t="str">
        <f ca="1">IF(DJ7=0,"Dec 🎯","Dec")</f>
        <v>Dec 🎯</v>
      </c>
      <c r="DK6" s="22" t="str">
        <f ca="1">IF(DK7=0,"Total 🎯","Total")</f>
        <v>Total 🎯</v>
      </c>
      <c r="DM6" s="22" t="str">
        <f ca="1">IF(DM7=0,"Jan 🎯","Jan")</f>
        <v>Jan 🎯</v>
      </c>
      <c r="DN6" s="22" t="str">
        <f ca="1">IF(DN7=0,"Feb 🎯","Feb")</f>
        <v>Feb 🎯</v>
      </c>
      <c r="DO6" s="22" t="str">
        <f ca="1">IF(DO7=0,"Mar  🎯","Mar")</f>
        <v>Mar  🎯</v>
      </c>
      <c r="DP6" s="22" t="str">
        <f ca="1">IF(DP7=0,"Apr 🎯","Apr")</f>
        <v>Apr 🎯</v>
      </c>
      <c r="DQ6" s="22" t="str">
        <f ca="1">IF(DQ7=0,"May 🎯","May")</f>
        <v>May 🎯</v>
      </c>
      <c r="DR6" s="22" t="str">
        <f ca="1">IF(DR7=0,"Jun 🎯","Jun")</f>
        <v>Jun 🎯</v>
      </c>
      <c r="DS6" s="22" t="str">
        <f ca="1">IF(DS7=0,"Jul 🎯","Jul")</f>
        <v>Jul 🎯</v>
      </c>
      <c r="DT6" s="22" t="str">
        <f ca="1">IF(DT7=0,"Aug 🎯","Aug")</f>
        <v>Aug 🎯</v>
      </c>
      <c r="DU6" s="22" t="str">
        <f ca="1">IF(DU7=0,"Sep 🎯","Sep")</f>
        <v>Sep 🎯</v>
      </c>
      <c r="DV6" s="22" t="str">
        <f ca="1">IF(DV7=0,"Oct 🎯","Oct")</f>
        <v>Oct 🎯</v>
      </c>
      <c r="DW6" s="22" t="str">
        <f ca="1">IF(DW7=0,"Nov 🎯","Nov")</f>
        <v>Nov 🎯</v>
      </c>
      <c r="DX6" s="22" t="str">
        <f ca="1">IF(DX7=0,"Dec 🎯","Dec")</f>
        <v>Dec 🎯</v>
      </c>
      <c r="DY6" s="22" t="str">
        <f ca="1">IF(DY7=0,"Total 🎯","Total")</f>
        <v>Total 🎯</v>
      </c>
    </row>
    <row r="7" spans="3:129" x14ac:dyDescent="0.2">
      <c r="C7" s="18" t="s">
        <v>22</v>
      </c>
      <c r="E7" s="23">
        <f ca="1">E21-(E52+E66)</f>
        <v>0</v>
      </c>
      <c r="F7" s="23">
        <f t="shared" ref="F7:Q7" ca="1" si="0">F21-(F52+F66)</f>
        <v>0</v>
      </c>
      <c r="G7" s="23">
        <f t="shared" ca="1" si="0"/>
        <v>0</v>
      </c>
      <c r="H7" s="23">
        <f t="shared" ca="1" si="0"/>
        <v>0</v>
      </c>
      <c r="I7" s="23">
        <f t="shared" ca="1" si="0"/>
        <v>0</v>
      </c>
      <c r="J7" s="23">
        <f t="shared" ca="1" si="0"/>
        <v>0</v>
      </c>
      <c r="K7" s="23">
        <f t="shared" ca="1" si="0"/>
        <v>0</v>
      </c>
      <c r="L7" s="23">
        <f ca="1">L21-(L52+L66)</f>
        <v>200</v>
      </c>
      <c r="M7" s="23">
        <f t="shared" ca="1" si="0"/>
        <v>200</v>
      </c>
      <c r="N7" s="23">
        <f t="shared" ca="1" si="0"/>
        <v>200</v>
      </c>
      <c r="O7" s="23">
        <f t="shared" ca="1" si="0"/>
        <v>7510</v>
      </c>
      <c r="P7" s="23">
        <f t="shared" ca="1" si="0"/>
        <v>6020</v>
      </c>
      <c r="Q7" s="23">
        <f t="shared" ca="1" si="0"/>
        <v>14130</v>
      </c>
      <c r="S7" s="23">
        <f ca="1">S21-(S52+S66)</f>
        <v>0</v>
      </c>
      <c r="T7" s="23">
        <f t="shared" ref="T7:AE7" ca="1" si="1">T21-(T52+T66)</f>
        <v>0</v>
      </c>
      <c r="U7" s="23">
        <f t="shared" ca="1" si="1"/>
        <v>0</v>
      </c>
      <c r="V7" s="23">
        <f t="shared" ca="1" si="1"/>
        <v>0</v>
      </c>
      <c r="W7" s="23">
        <f t="shared" ca="1" si="1"/>
        <v>0</v>
      </c>
      <c r="X7" s="23">
        <f t="shared" ca="1" si="1"/>
        <v>0</v>
      </c>
      <c r="Y7" s="23">
        <f t="shared" ca="1" si="1"/>
        <v>0</v>
      </c>
      <c r="Z7" s="23">
        <f t="shared" ca="1" si="1"/>
        <v>0</v>
      </c>
      <c r="AA7" s="23">
        <f t="shared" ca="1" si="1"/>
        <v>0</v>
      </c>
      <c r="AB7" s="23">
        <f t="shared" ca="1" si="1"/>
        <v>0</v>
      </c>
      <c r="AC7" s="23">
        <f t="shared" ca="1" si="1"/>
        <v>0</v>
      </c>
      <c r="AD7" s="23">
        <f t="shared" ca="1" si="1"/>
        <v>0</v>
      </c>
      <c r="AE7" s="23">
        <f t="shared" ca="1" si="1"/>
        <v>0</v>
      </c>
      <c r="AG7" s="23">
        <f ca="1">AG21-(AG52+AG66)</f>
        <v>0</v>
      </c>
      <c r="AH7" s="23">
        <f t="shared" ref="AH7:AS7" ca="1" si="2">AH21-(AH52+AH66)</f>
        <v>0</v>
      </c>
      <c r="AI7" s="23">
        <f t="shared" ca="1" si="2"/>
        <v>0</v>
      </c>
      <c r="AJ7" s="23">
        <f t="shared" ca="1" si="2"/>
        <v>0</v>
      </c>
      <c r="AK7" s="23">
        <f t="shared" ca="1" si="2"/>
        <v>0</v>
      </c>
      <c r="AL7" s="23">
        <f t="shared" ca="1" si="2"/>
        <v>0</v>
      </c>
      <c r="AM7" s="23">
        <f t="shared" ca="1" si="2"/>
        <v>0</v>
      </c>
      <c r="AN7" s="23">
        <f t="shared" ca="1" si="2"/>
        <v>0</v>
      </c>
      <c r="AO7" s="23">
        <f t="shared" ca="1" si="2"/>
        <v>0</v>
      </c>
      <c r="AP7" s="23">
        <f t="shared" ca="1" si="2"/>
        <v>0</v>
      </c>
      <c r="AQ7" s="23">
        <f t="shared" ca="1" si="2"/>
        <v>0</v>
      </c>
      <c r="AR7" s="23">
        <f t="shared" ca="1" si="2"/>
        <v>0</v>
      </c>
      <c r="AS7" s="23">
        <f t="shared" ca="1" si="2"/>
        <v>0</v>
      </c>
      <c r="AU7" s="23">
        <f ca="1">AU21-(AU52+AU66)</f>
        <v>0</v>
      </c>
      <c r="AV7" s="23">
        <f t="shared" ref="AV7:BG7" ca="1" si="3">AV21-(AV52+AV66)</f>
        <v>0</v>
      </c>
      <c r="AW7" s="23">
        <f t="shared" ca="1" si="3"/>
        <v>0</v>
      </c>
      <c r="AX7" s="23">
        <f t="shared" ca="1" si="3"/>
        <v>0</v>
      </c>
      <c r="AY7" s="23">
        <f t="shared" ca="1" si="3"/>
        <v>0</v>
      </c>
      <c r="AZ7" s="23">
        <f t="shared" ca="1" si="3"/>
        <v>0</v>
      </c>
      <c r="BA7" s="23">
        <f t="shared" ca="1" si="3"/>
        <v>0</v>
      </c>
      <c r="BB7" s="23">
        <f t="shared" ca="1" si="3"/>
        <v>0</v>
      </c>
      <c r="BC7" s="23">
        <f t="shared" ca="1" si="3"/>
        <v>0</v>
      </c>
      <c r="BD7" s="23">
        <f t="shared" ca="1" si="3"/>
        <v>0</v>
      </c>
      <c r="BE7" s="23">
        <f t="shared" ca="1" si="3"/>
        <v>0</v>
      </c>
      <c r="BF7" s="23">
        <f t="shared" ca="1" si="3"/>
        <v>0</v>
      </c>
      <c r="BG7" s="23">
        <f t="shared" ca="1" si="3"/>
        <v>0</v>
      </c>
      <c r="BI7" s="23">
        <f ca="1">BI21-(BI52+BI66)</f>
        <v>0</v>
      </c>
      <c r="BJ7" s="23">
        <f t="shared" ref="BJ7:BU7" ca="1" si="4">BJ21-(BJ52+BJ66)</f>
        <v>0</v>
      </c>
      <c r="BK7" s="23">
        <f t="shared" ca="1" si="4"/>
        <v>0</v>
      </c>
      <c r="BL7" s="23">
        <f t="shared" ca="1" si="4"/>
        <v>0</v>
      </c>
      <c r="BM7" s="23">
        <f t="shared" ca="1" si="4"/>
        <v>0</v>
      </c>
      <c r="BN7" s="23">
        <f t="shared" ca="1" si="4"/>
        <v>0</v>
      </c>
      <c r="BO7" s="23">
        <f t="shared" ca="1" si="4"/>
        <v>0</v>
      </c>
      <c r="BP7" s="23">
        <f t="shared" ca="1" si="4"/>
        <v>0</v>
      </c>
      <c r="BQ7" s="23">
        <f t="shared" ca="1" si="4"/>
        <v>0</v>
      </c>
      <c r="BR7" s="23">
        <f t="shared" ca="1" si="4"/>
        <v>0</v>
      </c>
      <c r="BS7" s="23">
        <f t="shared" ca="1" si="4"/>
        <v>0</v>
      </c>
      <c r="BT7" s="23">
        <f t="shared" ca="1" si="4"/>
        <v>0</v>
      </c>
      <c r="BU7" s="23">
        <f t="shared" ca="1" si="4"/>
        <v>0</v>
      </c>
      <c r="BW7" s="23">
        <f ca="1">BW21-(BW52+BW66)</f>
        <v>0</v>
      </c>
      <c r="BX7" s="23">
        <f t="shared" ref="BX7:CI7" ca="1" si="5">BX21-(BX52+BX66)</f>
        <v>0</v>
      </c>
      <c r="BY7" s="23">
        <f t="shared" ca="1" si="5"/>
        <v>0</v>
      </c>
      <c r="BZ7" s="23">
        <f t="shared" ca="1" si="5"/>
        <v>0</v>
      </c>
      <c r="CA7" s="23">
        <f t="shared" ca="1" si="5"/>
        <v>0</v>
      </c>
      <c r="CB7" s="23">
        <f t="shared" ca="1" si="5"/>
        <v>0</v>
      </c>
      <c r="CC7" s="23">
        <f t="shared" ca="1" si="5"/>
        <v>0</v>
      </c>
      <c r="CD7" s="23">
        <f t="shared" ca="1" si="5"/>
        <v>0</v>
      </c>
      <c r="CE7" s="23">
        <f t="shared" ca="1" si="5"/>
        <v>0</v>
      </c>
      <c r="CF7" s="23">
        <f t="shared" ca="1" si="5"/>
        <v>0</v>
      </c>
      <c r="CG7" s="23">
        <f t="shared" ca="1" si="5"/>
        <v>0</v>
      </c>
      <c r="CH7" s="23">
        <f t="shared" ca="1" si="5"/>
        <v>0</v>
      </c>
      <c r="CI7" s="23">
        <f t="shared" ca="1" si="5"/>
        <v>0</v>
      </c>
      <c r="CK7" s="23">
        <f ca="1">CK21-(CK52+CK66)</f>
        <v>0</v>
      </c>
      <c r="CL7" s="23">
        <f t="shared" ref="CL7:CW7" ca="1" si="6">CL21-(CL52+CL66)</f>
        <v>0</v>
      </c>
      <c r="CM7" s="23">
        <f t="shared" ca="1" si="6"/>
        <v>0</v>
      </c>
      <c r="CN7" s="23">
        <f t="shared" ca="1" si="6"/>
        <v>0</v>
      </c>
      <c r="CO7" s="23">
        <f t="shared" ca="1" si="6"/>
        <v>0</v>
      </c>
      <c r="CP7" s="23">
        <f t="shared" ca="1" si="6"/>
        <v>0</v>
      </c>
      <c r="CQ7" s="23">
        <f t="shared" ca="1" si="6"/>
        <v>0</v>
      </c>
      <c r="CR7" s="23">
        <f t="shared" ca="1" si="6"/>
        <v>0</v>
      </c>
      <c r="CS7" s="23">
        <f t="shared" ca="1" si="6"/>
        <v>0</v>
      </c>
      <c r="CT7" s="23">
        <f t="shared" ca="1" si="6"/>
        <v>0</v>
      </c>
      <c r="CU7" s="23">
        <f t="shared" ca="1" si="6"/>
        <v>0</v>
      </c>
      <c r="CV7" s="23">
        <f t="shared" ca="1" si="6"/>
        <v>0</v>
      </c>
      <c r="CW7" s="23">
        <f t="shared" ca="1" si="6"/>
        <v>0</v>
      </c>
      <c r="CY7" s="23">
        <f ca="1">CY21-(CY52+CY66)</f>
        <v>0</v>
      </c>
      <c r="CZ7" s="23">
        <f t="shared" ref="CZ7:DK7" ca="1" si="7">CZ21-(CZ52+CZ66)</f>
        <v>0</v>
      </c>
      <c r="DA7" s="23">
        <f t="shared" ca="1" si="7"/>
        <v>0</v>
      </c>
      <c r="DB7" s="23">
        <f t="shared" ca="1" si="7"/>
        <v>0</v>
      </c>
      <c r="DC7" s="23">
        <f t="shared" ca="1" si="7"/>
        <v>0</v>
      </c>
      <c r="DD7" s="23">
        <f t="shared" ca="1" si="7"/>
        <v>0</v>
      </c>
      <c r="DE7" s="23">
        <f t="shared" ca="1" si="7"/>
        <v>0</v>
      </c>
      <c r="DF7" s="23">
        <f t="shared" ca="1" si="7"/>
        <v>0</v>
      </c>
      <c r="DG7" s="23">
        <f t="shared" ca="1" si="7"/>
        <v>0</v>
      </c>
      <c r="DH7" s="23">
        <f t="shared" ca="1" si="7"/>
        <v>0</v>
      </c>
      <c r="DI7" s="23">
        <f t="shared" ca="1" si="7"/>
        <v>0</v>
      </c>
      <c r="DJ7" s="23">
        <f t="shared" ca="1" si="7"/>
        <v>0</v>
      </c>
      <c r="DK7" s="23">
        <f t="shared" ca="1" si="7"/>
        <v>0</v>
      </c>
      <c r="DM7" s="23">
        <f ca="1">DM21-(DM52+DM66)</f>
        <v>0</v>
      </c>
      <c r="DN7" s="23">
        <f t="shared" ref="DN7:DY7" ca="1" si="8">DN21-(DN52+DN66)</f>
        <v>0</v>
      </c>
      <c r="DO7" s="23">
        <f t="shared" ca="1" si="8"/>
        <v>0</v>
      </c>
      <c r="DP7" s="23">
        <f t="shared" ca="1" si="8"/>
        <v>0</v>
      </c>
      <c r="DQ7" s="23">
        <f t="shared" ca="1" si="8"/>
        <v>0</v>
      </c>
      <c r="DR7" s="23">
        <f t="shared" ca="1" si="8"/>
        <v>0</v>
      </c>
      <c r="DS7" s="23">
        <f t="shared" ca="1" si="8"/>
        <v>0</v>
      </c>
      <c r="DT7" s="23">
        <f t="shared" ca="1" si="8"/>
        <v>0</v>
      </c>
      <c r="DU7" s="23">
        <f t="shared" ca="1" si="8"/>
        <v>0</v>
      </c>
      <c r="DV7" s="23">
        <f t="shared" ca="1" si="8"/>
        <v>0</v>
      </c>
      <c r="DW7" s="23">
        <f t="shared" ca="1" si="8"/>
        <v>0</v>
      </c>
      <c r="DX7" s="23">
        <f t="shared" ca="1" si="8"/>
        <v>0</v>
      </c>
      <c r="DY7" s="23">
        <f t="shared" ca="1" si="8"/>
        <v>0</v>
      </c>
    </row>
    <row r="9" spans="3:129" x14ac:dyDescent="0.2">
      <c r="C9" s="9" t="s">
        <v>5</v>
      </c>
      <c r="E9" s="12">
        <f>DATE(E$5,1,1)</f>
        <v>45292</v>
      </c>
      <c r="F9" s="12">
        <f>DATE(E$5,2,1)</f>
        <v>45323</v>
      </c>
      <c r="G9" s="12">
        <f>DATE(E$5,3,1)</f>
        <v>45352</v>
      </c>
      <c r="H9" s="12">
        <f>DATE(E$5,4,1)</f>
        <v>45383</v>
      </c>
      <c r="I9" s="12">
        <f>DATE(E$5,5,1)</f>
        <v>45413</v>
      </c>
      <c r="J9" s="12">
        <f>DATE(E$5,6,1)</f>
        <v>45444</v>
      </c>
      <c r="K9" s="12">
        <f>DATE(E$5,7,1)</f>
        <v>45474</v>
      </c>
      <c r="L9" s="12">
        <f>DATE(E$5,8,1)</f>
        <v>45505</v>
      </c>
      <c r="M9" s="12">
        <f>DATE(E$5,9,1)</f>
        <v>45536</v>
      </c>
      <c r="N9" s="12">
        <f>DATE(E$5,10,1)</f>
        <v>45566</v>
      </c>
      <c r="O9" s="12">
        <f>DATE(E$5,11,1)</f>
        <v>45597</v>
      </c>
      <c r="P9" s="12">
        <f>DATE(E$5,12,1)</f>
        <v>45627</v>
      </c>
      <c r="Q9" s="11">
        <f>E$5</f>
        <v>2024</v>
      </c>
      <c r="S9" s="12">
        <f>DATE(S$5,1,1)</f>
        <v>45658</v>
      </c>
      <c r="T9" s="12">
        <f>DATE(S$5,2,1)</f>
        <v>45689</v>
      </c>
      <c r="U9" s="12">
        <f>DATE(S$5,3,1)</f>
        <v>45717</v>
      </c>
      <c r="V9" s="12">
        <f>DATE(S$5,4,1)</f>
        <v>45748</v>
      </c>
      <c r="W9" s="12">
        <f>DATE(S$5,5,1)</f>
        <v>45778</v>
      </c>
      <c r="X9" s="12">
        <f>DATE(S$5,6,1)</f>
        <v>45809</v>
      </c>
      <c r="Y9" s="12">
        <f>DATE(S$5,7,1)</f>
        <v>45839</v>
      </c>
      <c r="Z9" s="12">
        <f>DATE(S$5,8,1)</f>
        <v>45870</v>
      </c>
      <c r="AA9" s="12">
        <f>DATE(S$5,9,1)</f>
        <v>45901</v>
      </c>
      <c r="AB9" s="12">
        <f>DATE(S$5,10,1)</f>
        <v>45931</v>
      </c>
      <c r="AC9" s="12">
        <f>DATE(S$5,11,1)</f>
        <v>45962</v>
      </c>
      <c r="AD9" s="12">
        <f>DATE(S$5,12,1)</f>
        <v>45992</v>
      </c>
      <c r="AE9" s="11">
        <f>S$5</f>
        <v>2025</v>
      </c>
      <c r="AG9" s="12">
        <f>DATE(AG$5,1,1)</f>
        <v>46023</v>
      </c>
      <c r="AH9" s="12">
        <f>DATE(AG$5,2,1)</f>
        <v>46054</v>
      </c>
      <c r="AI9" s="12">
        <f>DATE(AG$5,3,1)</f>
        <v>46082</v>
      </c>
      <c r="AJ9" s="12">
        <f>DATE(AG$5,4,1)</f>
        <v>46113</v>
      </c>
      <c r="AK9" s="12">
        <f>DATE(AG$5,5,1)</f>
        <v>46143</v>
      </c>
      <c r="AL9" s="12">
        <f>DATE(AG$5,6,1)</f>
        <v>46174</v>
      </c>
      <c r="AM9" s="12">
        <f>DATE(AG$5,7,1)</f>
        <v>46204</v>
      </c>
      <c r="AN9" s="12">
        <f>DATE(AG$5,8,1)</f>
        <v>46235</v>
      </c>
      <c r="AO9" s="12">
        <f>DATE(AG$5,9,1)</f>
        <v>46266</v>
      </c>
      <c r="AP9" s="12">
        <f>DATE(AG$5,10,1)</f>
        <v>46296</v>
      </c>
      <c r="AQ9" s="12">
        <f>DATE(AG$5,11,1)</f>
        <v>46327</v>
      </c>
      <c r="AR9" s="12">
        <f>DATE(AG$5,12,1)</f>
        <v>46357</v>
      </c>
      <c r="AS9" s="11">
        <f>AG$5</f>
        <v>2026</v>
      </c>
      <c r="AU9" s="12">
        <f>DATE(AU$5,1,1)</f>
        <v>46388</v>
      </c>
      <c r="AV9" s="12">
        <f>DATE(AU$5,2,1)</f>
        <v>46419</v>
      </c>
      <c r="AW9" s="12">
        <f>DATE(AU$5,3,1)</f>
        <v>46447</v>
      </c>
      <c r="AX9" s="12">
        <f>DATE(AU$5,4,1)</f>
        <v>46478</v>
      </c>
      <c r="AY9" s="12">
        <f>DATE(AU$5,5,1)</f>
        <v>46508</v>
      </c>
      <c r="AZ9" s="12">
        <f>DATE(AU$5,6,1)</f>
        <v>46539</v>
      </c>
      <c r="BA9" s="12">
        <f>DATE(AU$5,7,1)</f>
        <v>46569</v>
      </c>
      <c r="BB9" s="12">
        <f>DATE(AU$5,8,1)</f>
        <v>46600</v>
      </c>
      <c r="BC9" s="12">
        <f>DATE(AU$5,9,1)</f>
        <v>46631</v>
      </c>
      <c r="BD9" s="12">
        <f>DATE(AU$5,10,1)</f>
        <v>46661</v>
      </c>
      <c r="BE9" s="12">
        <f>DATE(AU$5,11,1)</f>
        <v>46692</v>
      </c>
      <c r="BF9" s="12">
        <f>DATE(AU$5,12,1)</f>
        <v>46722</v>
      </c>
      <c r="BG9" s="11">
        <f>AU$5</f>
        <v>2027</v>
      </c>
      <c r="BI9" s="12">
        <f>DATE(BI$5,1,1)</f>
        <v>46753</v>
      </c>
      <c r="BJ9" s="12">
        <f>DATE(BI$5,2,1)</f>
        <v>46784</v>
      </c>
      <c r="BK9" s="12">
        <f>DATE(BI$5,3,1)</f>
        <v>46813</v>
      </c>
      <c r="BL9" s="12">
        <f>DATE(BI$5,4,1)</f>
        <v>46844</v>
      </c>
      <c r="BM9" s="12">
        <f>DATE(BI$5,5,1)</f>
        <v>46874</v>
      </c>
      <c r="BN9" s="12">
        <f>DATE(BI$5,6,1)</f>
        <v>46905</v>
      </c>
      <c r="BO9" s="12">
        <f>DATE(BI$5,7,1)</f>
        <v>46935</v>
      </c>
      <c r="BP9" s="12">
        <f>DATE(BI$5,8,1)</f>
        <v>46966</v>
      </c>
      <c r="BQ9" s="12">
        <f>DATE(BI$5,9,1)</f>
        <v>46997</v>
      </c>
      <c r="BR9" s="12">
        <f>DATE(BI$5,10,1)</f>
        <v>47027</v>
      </c>
      <c r="BS9" s="12">
        <f>DATE(BI$5,11,1)</f>
        <v>47058</v>
      </c>
      <c r="BT9" s="12">
        <f>DATE(BI$5,12,1)</f>
        <v>47088</v>
      </c>
      <c r="BU9" s="11">
        <f>BI$5</f>
        <v>2028</v>
      </c>
      <c r="BW9" s="12">
        <f>DATE(BW$5,1,1)</f>
        <v>47119</v>
      </c>
      <c r="BX9" s="12">
        <f>DATE(BW$5,2,1)</f>
        <v>47150</v>
      </c>
      <c r="BY9" s="12">
        <f>DATE(BW$5,3,1)</f>
        <v>47178</v>
      </c>
      <c r="BZ9" s="12">
        <f>DATE(BW$5,4,1)</f>
        <v>47209</v>
      </c>
      <c r="CA9" s="12">
        <f>DATE(BW$5,5,1)</f>
        <v>47239</v>
      </c>
      <c r="CB9" s="12">
        <f>DATE(BW$5,6,1)</f>
        <v>47270</v>
      </c>
      <c r="CC9" s="12">
        <f>DATE(BW$5,7,1)</f>
        <v>47300</v>
      </c>
      <c r="CD9" s="12">
        <f>DATE(BW$5,8,1)</f>
        <v>47331</v>
      </c>
      <c r="CE9" s="12">
        <f>DATE(BW$5,9,1)</f>
        <v>47362</v>
      </c>
      <c r="CF9" s="12">
        <f>DATE(BW$5,10,1)</f>
        <v>47392</v>
      </c>
      <c r="CG9" s="12">
        <f>DATE(BW$5,11,1)</f>
        <v>47423</v>
      </c>
      <c r="CH9" s="12">
        <f>DATE(BW$5,12,1)</f>
        <v>47453</v>
      </c>
      <c r="CI9" s="11">
        <f>BW$5</f>
        <v>2029</v>
      </c>
      <c r="CK9" s="12">
        <f>DATE(CK$5,1,1)</f>
        <v>47484</v>
      </c>
      <c r="CL9" s="12">
        <f>DATE(CK$5,2,1)</f>
        <v>47515</v>
      </c>
      <c r="CM9" s="12">
        <f>DATE(CK$5,3,1)</f>
        <v>47543</v>
      </c>
      <c r="CN9" s="12">
        <f>DATE(CK$5,4,1)</f>
        <v>47574</v>
      </c>
      <c r="CO9" s="12">
        <f>DATE(CK$5,5,1)</f>
        <v>47604</v>
      </c>
      <c r="CP9" s="12">
        <f>DATE(CK$5,6,1)</f>
        <v>47635</v>
      </c>
      <c r="CQ9" s="12">
        <f>DATE(CK$5,7,1)</f>
        <v>47665</v>
      </c>
      <c r="CR9" s="12">
        <f>DATE(CK$5,8,1)</f>
        <v>47696</v>
      </c>
      <c r="CS9" s="12">
        <f>DATE(CK$5,9,1)</f>
        <v>47727</v>
      </c>
      <c r="CT9" s="12">
        <f>DATE(CK$5,10,1)</f>
        <v>47757</v>
      </c>
      <c r="CU9" s="12">
        <f>DATE(CK$5,11,1)</f>
        <v>47788</v>
      </c>
      <c r="CV9" s="12">
        <f>DATE(CK$5,12,1)</f>
        <v>47818</v>
      </c>
      <c r="CW9" s="11">
        <f>CK$5</f>
        <v>2030</v>
      </c>
      <c r="CY9" s="12">
        <f>DATE(CY$5,1,1)</f>
        <v>47849</v>
      </c>
      <c r="CZ9" s="12">
        <f>DATE(CY$5,2,1)</f>
        <v>47880</v>
      </c>
      <c r="DA9" s="12">
        <f>DATE(CY$5,3,1)</f>
        <v>47908</v>
      </c>
      <c r="DB9" s="12">
        <f>DATE(CY$5,4,1)</f>
        <v>47939</v>
      </c>
      <c r="DC9" s="12">
        <f>DATE(CY$5,5,1)</f>
        <v>47969</v>
      </c>
      <c r="DD9" s="12">
        <f>DATE(CY$5,6,1)</f>
        <v>48000</v>
      </c>
      <c r="DE9" s="12">
        <f>DATE(CY$5,7,1)</f>
        <v>48030</v>
      </c>
      <c r="DF9" s="12">
        <f>DATE(CY$5,8,1)</f>
        <v>48061</v>
      </c>
      <c r="DG9" s="12">
        <f>DATE(CY$5,9,1)</f>
        <v>48092</v>
      </c>
      <c r="DH9" s="12">
        <f>DATE(CY$5,10,1)</f>
        <v>48122</v>
      </c>
      <c r="DI9" s="12">
        <f>DATE(CY$5,11,1)</f>
        <v>48153</v>
      </c>
      <c r="DJ9" s="12">
        <f>DATE(CY$5,12,1)</f>
        <v>48183</v>
      </c>
      <c r="DK9" s="11">
        <f>CY$5</f>
        <v>2031</v>
      </c>
      <c r="DM9" s="12">
        <f>DATE(DM$5,1,1)</f>
        <v>48214</v>
      </c>
      <c r="DN9" s="12">
        <f>DATE(DM$5,2,1)</f>
        <v>48245</v>
      </c>
      <c r="DO9" s="12">
        <f>DATE(DM$5,3,1)</f>
        <v>48274</v>
      </c>
      <c r="DP9" s="12">
        <f>DATE(DM$5,4,1)</f>
        <v>48305</v>
      </c>
      <c r="DQ9" s="12">
        <f>DATE(DM$5,5,1)</f>
        <v>48335</v>
      </c>
      <c r="DR9" s="12">
        <f>DATE(DM$5,6,1)</f>
        <v>48366</v>
      </c>
      <c r="DS9" s="12">
        <f>DATE(DM$5,7,1)</f>
        <v>48396</v>
      </c>
      <c r="DT9" s="12">
        <f>DATE(DM$5,8,1)</f>
        <v>48427</v>
      </c>
      <c r="DU9" s="12">
        <f>DATE(DM$5,9,1)</f>
        <v>48458</v>
      </c>
      <c r="DV9" s="12">
        <f>DATE(DM$5,10,1)</f>
        <v>48488</v>
      </c>
      <c r="DW9" s="12">
        <f>DATE(DM$5,11,1)</f>
        <v>48519</v>
      </c>
      <c r="DX9" s="12">
        <f>DATE(DM$5,12,1)</f>
        <v>48549</v>
      </c>
      <c r="DY9" s="11">
        <f>DM$5</f>
        <v>2032</v>
      </c>
    </row>
    <row r="10" spans="3:129" x14ac:dyDescent="0.2">
      <c r="C10" s="13" t="s">
        <v>8</v>
      </c>
      <c r="E10" s="19"/>
      <c r="F10" s="19"/>
      <c r="G10" s="19"/>
      <c r="H10" s="19"/>
      <c r="I10" s="19"/>
      <c r="J10" s="19"/>
      <c r="K10" s="19">
        <v>12500</v>
      </c>
      <c r="L10" s="19">
        <v>0</v>
      </c>
      <c r="M10" s="19">
        <v>8500</v>
      </c>
      <c r="N10" s="19">
        <v>9000</v>
      </c>
      <c r="O10" s="19">
        <v>11000</v>
      </c>
      <c r="P10" s="19">
        <f ca="1">O7</f>
        <v>7510</v>
      </c>
      <c r="Q10" s="20">
        <f ca="1">SUM(E10:P10)</f>
        <v>48510</v>
      </c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20">
        <f>SUM(S10:AD10)</f>
        <v>0</v>
      </c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0">
        <f>SUM(AG10:AR10)</f>
        <v>0</v>
      </c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20">
        <f>SUM(AU10:BF10)</f>
        <v>0</v>
      </c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20">
        <f>SUM(BI10:BT10)</f>
        <v>0</v>
      </c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20">
        <f>SUM(BW10:CH10)</f>
        <v>0</v>
      </c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20">
        <f>SUM(CK10:CV10)</f>
        <v>0</v>
      </c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20">
        <f>SUM(CY10:DJ10)</f>
        <v>0</v>
      </c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20">
        <f>SUM(DM10:DX10)</f>
        <v>0</v>
      </c>
    </row>
    <row r="11" spans="3:129" x14ac:dyDescent="0.2">
      <c r="C11" s="13" t="s">
        <v>9</v>
      </c>
      <c r="E11" s="19"/>
      <c r="F11" s="19"/>
      <c r="G11" s="19"/>
      <c r="H11" s="19"/>
      <c r="I11" s="19"/>
      <c r="J11" s="19"/>
      <c r="K11" s="19">
        <v>300</v>
      </c>
      <c r="L11" s="19">
        <v>0</v>
      </c>
      <c r="M11" s="19">
        <v>500</v>
      </c>
      <c r="N11" s="19">
        <v>4000</v>
      </c>
      <c r="O11" s="19">
        <v>0</v>
      </c>
      <c r="P11" s="19">
        <v>0</v>
      </c>
      <c r="Q11" s="20">
        <f t="shared" ref="Q11:Q20" si="9">SUM(E11:P11)</f>
        <v>4800</v>
      </c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20">
        <f t="shared" ref="AE11:AE20" si="10">SUM(S11:AD11)</f>
        <v>0</v>
      </c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0">
        <f t="shared" ref="AS11:AS20" si="11">SUM(AG11:AR11)</f>
        <v>0</v>
      </c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20">
        <f t="shared" ref="BG11:BG20" si="12">SUM(AU11:BF11)</f>
        <v>0</v>
      </c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20">
        <f t="shared" ref="BU11:BU20" si="13">SUM(BI11:BT11)</f>
        <v>0</v>
      </c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20">
        <f t="shared" ref="CI11:CI20" si="14">SUM(BW11:CH11)</f>
        <v>0</v>
      </c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20">
        <f t="shared" ref="CW11:CW20" si="15">SUM(CK11:CV11)</f>
        <v>0</v>
      </c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20">
        <f t="shared" ref="DK11:DK20" si="16">SUM(CY11:DJ11)</f>
        <v>0</v>
      </c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20">
        <f t="shared" ref="DY11:DY20" si="17">SUM(DM11:DX11)</f>
        <v>0</v>
      </c>
    </row>
    <row r="12" spans="3:129" x14ac:dyDescent="0.2">
      <c r="C12" s="13" t="s">
        <v>10</v>
      </c>
      <c r="E12" s="19"/>
      <c r="F12" s="19"/>
      <c r="G12" s="19"/>
      <c r="H12" s="19"/>
      <c r="I12" s="19"/>
      <c r="J12" s="19"/>
      <c r="K12" s="19">
        <v>10855</v>
      </c>
      <c r="L12" s="19">
        <v>11500</v>
      </c>
      <c r="M12" s="19">
        <v>11000</v>
      </c>
      <c r="N12" s="19">
        <v>11000</v>
      </c>
      <c r="O12" s="19">
        <v>11000</v>
      </c>
      <c r="P12" s="19">
        <v>11000</v>
      </c>
      <c r="Q12" s="20">
        <f t="shared" si="9"/>
        <v>66355</v>
      </c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20">
        <f t="shared" si="10"/>
        <v>0</v>
      </c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0">
        <f t="shared" si="11"/>
        <v>0</v>
      </c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20">
        <f t="shared" si="12"/>
        <v>0</v>
      </c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20">
        <f t="shared" si="13"/>
        <v>0</v>
      </c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20">
        <f t="shared" si="14"/>
        <v>0</v>
      </c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20">
        <f t="shared" si="15"/>
        <v>0</v>
      </c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20">
        <f t="shared" si="16"/>
        <v>0</v>
      </c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20">
        <f t="shared" si="17"/>
        <v>0</v>
      </c>
    </row>
    <row r="13" spans="3:129" ht="16" hidden="1" customHeight="1" x14ac:dyDescent="0.2">
      <c r="C13" s="13" t="s">
        <v>6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20">
        <f t="shared" si="9"/>
        <v>0</v>
      </c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20">
        <f t="shared" si="10"/>
        <v>0</v>
      </c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0">
        <f t="shared" si="11"/>
        <v>0</v>
      </c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20">
        <f t="shared" si="12"/>
        <v>0</v>
      </c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20">
        <f t="shared" si="13"/>
        <v>0</v>
      </c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20">
        <f t="shared" si="14"/>
        <v>0</v>
      </c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20">
        <f t="shared" si="15"/>
        <v>0</v>
      </c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20">
        <f t="shared" si="16"/>
        <v>0</v>
      </c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20">
        <f t="shared" si="17"/>
        <v>0</v>
      </c>
    </row>
    <row r="14" spans="3:129" ht="16" hidden="1" customHeight="1" x14ac:dyDescent="0.2">
      <c r="C14" s="13" t="s">
        <v>6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20">
        <f t="shared" si="9"/>
        <v>0</v>
      </c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20">
        <f t="shared" si="10"/>
        <v>0</v>
      </c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20">
        <f t="shared" si="11"/>
        <v>0</v>
      </c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20">
        <f t="shared" si="12"/>
        <v>0</v>
      </c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20">
        <f t="shared" si="13"/>
        <v>0</v>
      </c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20">
        <f t="shared" si="14"/>
        <v>0</v>
      </c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20">
        <f t="shared" si="15"/>
        <v>0</v>
      </c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20">
        <f t="shared" si="16"/>
        <v>0</v>
      </c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20">
        <f t="shared" si="17"/>
        <v>0</v>
      </c>
    </row>
    <row r="15" spans="3:129" ht="16" hidden="1" customHeight="1" x14ac:dyDescent="0.2">
      <c r="C15" s="13" t="s">
        <v>6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20">
        <f t="shared" si="9"/>
        <v>0</v>
      </c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20">
        <f t="shared" si="10"/>
        <v>0</v>
      </c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0">
        <f t="shared" si="11"/>
        <v>0</v>
      </c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20">
        <f t="shared" si="12"/>
        <v>0</v>
      </c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20">
        <f t="shared" si="13"/>
        <v>0</v>
      </c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20">
        <f t="shared" si="14"/>
        <v>0</v>
      </c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20">
        <f t="shared" si="15"/>
        <v>0</v>
      </c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20">
        <f t="shared" si="16"/>
        <v>0</v>
      </c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20">
        <f t="shared" si="17"/>
        <v>0</v>
      </c>
    </row>
    <row r="16" spans="3:129" ht="16" hidden="1" customHeight="1" x14ac:dyDescent="0.2">
      <c r="C16" s="13" t="s">
        <v>6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20">
        <f t="shared" si="9"/>
        <v>0</v>
      </c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20">
        <f t="shared" si="10"/>
        <v>0</v>
      </c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20">
        <f t="shared" si="11"/>
        <v>0</v>
      </c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20">
        <f t="shared" si="12"/>
        <v>0</v>
      </c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20">
        <f t="shared" si="13"/>
        <v>0</v>
      </c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20">
        <f t="shared" si="14"/>
        <v>0</v>
      </c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20">
        <f t="shared" si="15"/>
        <v>0</v>
      </c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20">
        <f t="shared" si="16"/>
        <v>0</v>
      </c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20">
        <f t="shared" si="17"/>
        <v>0</v>
      </c>
    </row>
    <row r="17" spans="3:129" ht="16" hidden="1" customHeight="1" x14ac:dyDescent="0.2">
      <c r="C17" s="13" t="s">
        <v>6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20">
        <f t="shared" si="9"/>
        <v>0</v>
      </c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20">
        <f t="shared" si="10"/>
        <v>0</v>
      </c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20">
        <f t="shared" si="11"/>
        <v>0</v>
      </c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20">
        <f t="shared" si="12"/>
        <v>0</v>
      </c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20">
        <f t="shared" si="13"/>
        <v>0</v>
      </c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20">
        <f t="shared" si="14"/>
        <v>0</v>
      </c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20">
        <f t="shared" si="15"/>
        <v>0</v>
      </c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20">
        <f t="shared" si="16"/>
        <v>0</v>
      </c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20">
        <f t="shared" si="17"/>
        <v>0</v>
      </c>
    </row>
    <row r="18" spans="3:129" ht="16" hidden="1" customHeight="1" x14ac:dyDescent="0.2">
      <c r="C18" s="13" t="s">
        <v>6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20">
        <f t="shared" si="9"/>
        <v>0</v>
      </c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20">
        <f t="shared" si="10"/>
        <v>0</v>
      </c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20">
        <f t="shared" si="11"/>
        <v>0</v>
      </c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20">
        <f t="shared" si="12"/>
        <v>0</v>
      </c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20">
        <f t="shared" si="13"/>
        <v>0</v>
      </c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20">
        <f t="shared" si="14"/>
        <v>0</v>
      </c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20">
        <f t="shared" si="15"/>
        <v>0</v>
      </c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20">
        <f t="shared" si="16"/>
        <v>0</v>
      </c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20">
        <f t="shared" si="17"/>
        <v>0</v>
      </c>
    </row>
    <row r="19" spans="3:129" ht="16" hidden="1" customHeight="1" x14ac:dyDescent="0.2">
      <c r="C19" s="13" t="s">
        <v>6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20">
        <f t="shared" si="9"/>
        <v>0</v>
      </c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20">
        <f t="shared" si="10"/>
        <v>0</v>
      </c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20">
        <f t="shared" si="11"/>
        <v>0</v>
      </c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20">
        <f t="shared" si="12"/>
        <v>0</v>
      </c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20">
        <f t="shared" si="13"/>
        <v>0</v>
      </c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20">
        <f t="shared" si="14"/>
        <v>0</v>
      </c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20">
        <f t="shared" si="15"/>
        <v>0</v>
      </c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20">
        <f t="shared" si="16"/>
        <v>0</v>
      </c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20">
        <f t="shared" si="17"/>
        <v>0</v>
      </c>
    </row>
    <row r="20" spans="3:129" ht="16" hidden="1" customHeight="1" x14ac:dyDescent="0.2">
      <c r="C20" s="13" t="s">
        <v>6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20">
        <f t="shared" si="9"/>
        <v>0</v>
      </c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20">
        <f t="shared" si="10"/>
        <v>0</v>
      </c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20">
        <f t="shared" si="11"/>
        <v>0</v>
      </c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20">
        <f t="shared" si="12"/>
        <v>0</v>
      </c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20">
        <f t="shared" si="13"/>
        <v>0</v>
      </c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20">
        <f t="shared" si="14"/>
        <v>0</v>
      </c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20">
        <f t="shared" si="15"/>
        <v>0</v>
      </c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20">
        <f t="shared" si="16"/>
        <v>0</v>
      </c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20">
        <f t="shared" si="17"/>
        <v>0</v>
      </c>
    </row>
    <row r="21" spans="3:129" x14ac:dyDescent="0.2">
      <c r="C21" s="10" t="s">
        <v>7</v>
      </c>
      <c r="E21" s="21" cm="1">
        <f t="array" aca="1" ref="E21" ca="1">SUM(INDIRECT(ADDRESS(incomeMinRow,COLUMN()) &amp;":"&amp; ADDRESS(incomeMaxRow,COLUMN())))</f>
        <v>0</v>
      </c>
      <c r="F21" s="21" cm="1">
        <f t="array" aca="1" ref="F21" ca="1">SUM(INDIRECT(ADDRESS(incomeMinRow,COLUMN()) &amp;":"&amp; ADDRESS(incomeMaxRow,COLUMN())))</f>
        <v>0</v>
      </c>
      <c r="G21" s="21" cm="1">
        <f t="array" aca="1" ref="G21" ca="1">SUM(INDIRECT(ADDRESS(incomeMinRow,COLUMN()) &amp;":"&amp; ADDRESS(incomeMaxRow,COLUMN())))</f>
        <v>0</v>
      </c>
      <c r="H21" s="21" cm="1">
        <f t="array" aca="1" ref="H21" ca="1">SUM(INDIRECT(ADDRESS(incomeMinRow,COLUMN()) &amp;":"&amp; ADDRESS(incomeMaxRow,COLUMN())))</f>
        <v>0</v>
      </c>
      <c r="I21" s="21" cm="1">
        <f t="array" aca="1" ref="I21" ca="1">SUM(INDIRECT(ADDRESS(incomeMinRow,COLUMN()) &amp;":"&amp; ADDRESS(incomeMaxRow,COLUMN())))</f>
        <v>0</v>
      </c>
      <c r="J21" s="21" cm="1">
        <f t="array" aca="1" ref="J21" ca="1">SUM(INDIRECT(ADDRESS(incomeMinRow,COLUMN()) &amp;":"&amp; ADDRESS(incomeMaxRow,COLUMN())))</f>
        <v>0</v>
      </c>
      <c r="K21" s="21" cm="1">
        <f t="array" aca="1" ref="K21" ca="1">SUM(INDIRECT(ADDRESS(incomeMinRow,COLUMN()) &amp;":"&amp; ADDRESS(incomeMaxRow,COLUMN())))</f>
        <v>23655</v>
      </c>
      <c r="L21" s="21" cm="1">
        <f t="array" aca="1" ref="L21" ca="1">SUM(INDIRECT(ADDRESS(incomeMinRow,COLUMN()) &amp;":"&amp; ADDRESS(incomeMaxRow,COLUMN())))</f>
        <v>11500</v>
      </c>
      <c r="M21" s="21" cm="1">
        <f t="array" aca="1" ref="M21" ca="1">SUM(INDIRECT(ADDRESS(incomeMinRow,COLUMN()) &amp;":"&amp; ADDRESS(incomeMaxRow,COLUMN())))</f>
        <v>20000</v>
      </c>
      <c r="N21" s="21" cm="1">
        <f t="array" aca="1" ref="N21" ca="1">SUM(INDIRECT(ADDRESS(incomeMinRow,COLUMN()) &amp;":"&amp; ADDRESS(incomeMaxRow,COLUMN())))</f>
        <v>24000</v>
      </c>
      <c r="O21" s="21" cm="1">
        <f t="array" aca="1" ref="O21" ca="1">SUM(INDIRECT(ADDRESS(incomeMinRow,COLUMN()) &amp;":"&amp; ADDRESS(incomeMaxRow,COLUMN())))</f>
        <v>22000</v>
      </c>
      <c r="P21" s="21" cm="1">
        <f t="array" aca="1" ref="P21" ca="1">SUM(INDIRECT(ADDRESS(incomeMinRow,COLUMN()) &amp;":"&amp; ADDRESS(incomeMaxRow,COLUMN())))</f>
        <v>18510</v>
      </c>
      <c r="Q21" s="21" cm="1">
        <f t="array" aca="1" ref="Q21" ca="1">SUM(INDIRECT(ADDRESS(incomeMinRow,COLUMN()) &amp;":"&amp; ADDRESS(incomeMaxRow,COLUMN())))</f>
        <v>119665</v>
      </c>
      <c r="S21" s="21" cm="1">
        <f t="array" aca="1" ref="S21" ca="1">SUM(INDIRECT(ADDRESS(incomeMinRow,COLUMN()) &amp;":"&amp; ADDRESS(incomeMaxRow,COLUMN())))</f>
        <v>0</v>
      </c>
      <c r="T21" s="21" cm="1">
        <f t="array" aca="1" ref="T21" ca="1">SUM(INDIRECT(ADDRESS(incomeMinRow,COLUMN()) &amp;":"&amp; ADDRESS(incomeMaxRow,COLUMN())))</f>
        <v>0</v>
      </c>
      <c r="U21" s="21" cm="1">
        <f t="array" aca="1" ref="U21" ca="1">SUM(INDIRECT(ADDRESS(incomeMinRow,COLUMN()) &amp;":"&amp; ADDRESS(incomeMaxRow,COLUMN())))</f>
        <v>0</v>
      </c>
      <c r="V21" s="21" cm="1">
        <f t="array" aca="1" ref="V21" ca="1">SUM(INDIRECT(ADDRESS(incomeMinRow,COLUMN()) &amp;":"&amp; ADDRESS(incomeMaxRow,COLUMN())))</f>
        <v>0</v>
      </c>
      <c r="W21" s="21" cm="1">
        <f t="array" aca="1" ref="W21" ca="1">SUM(INDIRECT(ADDRESS(incomeMinRow,COLUMN()) &amp;":"&amp; ADDRESS(incomeMaxRow,COLUMN())))</f>
        <v>0</v>
      </c>
      <c r="X21" s="21" cm="1">
        <f t="array" aca="1" ref="X21" ca="1">SUM(INDIRECT(ADDRESS(incomeMinRow,COLUMN()) &amp;":"&amp; ADDRESS(incomeMaxRow,COLUMN())))</f>
        <v>0</v>
      </c>
      <c r="Y21" s="21" cm="1">
        <f t="array" aca="1" ref="Y21" ca="1">SUM(INDIRECT(ADDRESS(incomeMinRow,COLUMN()) &amp;":"&amp; ADDRESS(incomeMaxRow,COLUMN())))</f>
        <v>0</v>
      </c>
      <c r="Z21" s="21" cm="1">
        <f t="array" aca="1" ref="Z21" ca="1">SUM(INDIRECT(ADDRESS(incomeMinRow,COLUMN()) &amp;":"&amp; ADDRESS(incomeMaxRow,COLUMN())))</f>
        <v>0</v>
      </c>
      <c r="AA21" s="21" cm="1">
        <f t="array" aca="1" ref="AA21" ca="1">SUM(INDIRECT(ADDRESS(incomeMinRow,COLUMN()) &amp;":"&amp; ADDRESS(incomeMaxRow,COLUMN())))</f>
        <v>0</v>
      </c>
      <c r="AB21" s="21" cm="1">
        <f t="array" aca="1" ref="AB21" ca="1">SUM(INDIRECT(ADDRESS(incomeMinRow,COLUMN()) &amp;":"&amp; ADDRESS(incomeMaxRow,COLUMN())))</f>
        <v>0</v>
      </c>
      <c r="AC21" s="21" cm="1">
        <f t="array" aca="1" ref="AC21" ca="1">SUM(INDIRECT(ADDRESS(incomeMinRow,COLUMN()) &amp;":"&amp; ADDRESS(incomeMaxRow,COLUMN())))</f>
        <v>0</v>
      </c>
      <c r="AD21" s="21" cm="1">
        <f t="array" aca="1" ref="AD21" ca="1">SUM(INDIRECT(ADDRESS(incomeMinRow,COLUMN()) &amp;":"&amp; ADDRESS(incomeMaxRow,COLUMN())))</f>
        <v>0</v>
      </c>
      <c r="AE21" s="21" cm="1">
        <f t="array" aca="1" ref="AE21" ca="1">SUM(INDIRECT(ADDRESS(incomeMinRow,COLUMN()) &amp;":"&amp; ADDRESS(incomeMaxRow,COLUMN())))</f>
        <v>0</v>
      </c>
      <c r="AG21" s="21" cm="1">
        <f t="array" aca="1" ref="AG21" ca="1">SUM(INDIRECT(ADDRESS(incomeMinRow,COLUMN()) &amp;":"&amp; ADDRESS(incomeMaxRow,COLUMN())))</f>
        <v>0</v>
      </c>
      <c r="AH21" s="21" cm="1">
        <f t="array" aca="1" ref="AH21" ca="1">SUM(INDIRECT(ADDRESS(incomeMinRow,COLUMN()) &amp;":"&amp; ADDRESS(incomeMaxRow,COLUMN())))</f>
        <v>0</v>
      </c>
      <c r="AI21" s="21" cm="1">
        <f t="array" aca="1" ref="AI21" ca="1">SUM(INDIRECT(ADDRESS(incomeMinRow,COLUMN()) &amp;":"&amp; ADDRESS(incomeMaxRow,COLUMN())))</f>
        <v>0</v>
      </c>
      <c r="AJ21" s="21" cm="1">
        <f t="array" aca="1" ref="AJ21" ca="1">SUM(INDIRECT(ADDRESS(incomeMinRow,COLUMN()) &amp;":"&amp; ADDRESS(incomeMaxRow,COLUMN())))</f>
        <v>0</v>
      </c>
      <c r="AK21" s="21" cm="1">
        <f t="array" aca="1" ref="AK21" ca="1">SUM(INDIRECT(ADDRESS(incomeMinRow,COLUMN()) &amp;":"&amp; ADDRESS(incomeMaxRow,COLUMN())))</f>
        <v>0</v>
      </c>
      <c r="AL21" s="21" cm="1">
        <f t="array" aca="1" ref="AL21" ca="1">SUM(INDIRECT(ADDRESS(incomeMinRow,COLUMN()) &amp;":"&amp; ADDRESS(incomeMaxRow,COLUMN())))</f>
        <v>0</v>
      </c>
      <c r="AM21" s="21" cm="1">
        <f t="array" aca="1" ref="AM21" ca="1">SUM(INDIRECT(ADDRESS(incomeMinRow,COLUMN()) &amp;":"&amp; ADDRESS(incomeMaxRow,COLUMN())))</f>
        <v>0</v>
      </c>
      <c r="AN21" s="21" cm="1">
        <f t="array" aca="1" ref="AN21" ca="1">SUM(INDIRECT(ADDRESS(incomeMinRow,COLUMN()) &amp;":"&amp; ADDRESS(incomeMaxRow,COLUMN())))</f>
        <v>0</v>
      </c>
      <c r="AO21" s="21" cm="1">
        <f t="array" aca="1" ref="AO21" ca="1">SUM(INDIRECT(ADDRESS(incomeMinRow,COLUMN()) &amp;":"&amp; ADDRESS(incomeMaxRow,COLUMN())))</f>
        <v>0</v>
      </c>
      <c r="AP21" s="21" cm="1">
        <f t="array" aca="1" ref="AP21" ca="1">SUM(INDIRECT(ADDRESS(incomeMinRow,COLUMN()) &amp;":"&amp; ADDRESS(incomeMaxRow,COLUMN())))</f>
        <v>0</v>
      </c>
      <c r="AQ21" s="21" cm="1">
        <f t="array" aca="1" ref="AQ21" ca="1">SUM(INDIRECT(ADDRESS(incomeMinRow,COLUMN()) &amp;":"&amp; ADDRESS(incomeMaxRow,COLUMN())))</f>
        <v>0</v>
      </c>
      <c r="AR21" s="21" cm="1">
        <f t="array" aca="1" ref="AR21" ca="1">SUM(INDIRECT(ADDRESS(incomeMinRow,COLUMN()) &amp;":"&amp; ADDRESS(incomeMaxRow,COLUMN())))</f>
        <v>0</v>
      </c>
      <c r="AS21" s="21" cm="1">
        <f t="array" aca="1" ref="AS21" ca="1">SUM(INDIRECT(ADDRESS(incomeMinRow,COLUMN()) &amp;":"&amp; ADDRESS(incomeMaxRow,COLUMN())))</f>
        <v>0</v>
      </c>
      <c r="AU21" s="21" cm="1">
        <f t="array" aca="1" ref="AU21" ca="1">SUM(INDIRECT(ADDRESS(incomeMinRow,COLUMN()) &amp;":"&amp; ADDRESS(incomeMaxRow,COLUMN())))</f>
        <v>0</v>
      </c>
      <c r="AV21" s="21" cm="1">
        <f t="array" aca="1" ref="AV21" ca="1">SUM(INDIRECT(ADDRESS(incomeMinRow,COLUMN()) &amp;":"&amp; ADDRESS(incomeMaxRow,COLUMN())))</f>
        <v>0</v>
      </c>
      <c r="AW21" s="21" cm="1">
        <f t="array" aca="1" ref="AW21" ca="1">SUM(INDIRECT(ADDRESS(incomeMinRow,COLUMN()) &amp;":"&amp; ADDRESS(incomeMaxRow,COLUMN())))</f>
        <v>0</v>
      </c>
      <c r="AX21" s="21" cm="1">
        <f t="array" aca="1" ref="AX21" ca="1">SUM(INDIRECT(ADDRESS(incomeMinRow,COLUMN()) &amp;":"&amp; ADDRESS(incomeMaxRow,COLUMN())))</f>
        <v>0</v>
      </c>
      <c r="AY21" s="21" cm="1">
        <f t="array" aca="1" ref="AY21" ca="1">SUM(INDIRECT(ADDRESS(incomeMinRow,COLUMN()) &amp;":"&amp; ADDRESS(incomeMaxRow,COLUMN())))</f>
        <v>0</v>
      </c>
      <c r="AZ21" s="21" cm="1">
        <f t="array" aca="1" ref="AZ21" ca="1">SUM(INDIRECT(ADDRESS(incomeMinRow,COLUMN()) &amp;":"&amp; ADDRESS(incomeMaxRow,COLUMN())))</f>
        <v>0</v>
      </c>
      <c r="BA21" s="21" cm="1">
        <f t="array" aca="1" ref="BA21" ca="1">SUM(INDIRECT(ADDRESS(incomeMinRow,COLUMN()) &amp;":"&amp; ADDRESS(incomeMaxRow,COLUMN())))</f>
        <v>0</v>
      </c>
      <c r="BB21" s="21" cm="1">
        <f t="array" aca="1" ref="BB21" ca="1">SUM(INDIRECT(ADDRESS(incomeMinRow,COLUMN()) &amp;":"&amp; ADDRESS(incomeMaxRow,COLUMN())))</f>
        <v>0</v>
      </c>
      <c r="BC21" s="21" cm="1">
        <f t="array" aca="1" ref="BC21" ca="1">SUM(INDIRECT(ADDRESS(incomeMinRow,COLUMN()) &amp;":"&amp; ADDRESS(incomeMaxRow,COLUMN())))</f>
        <v>0</v>
      </c>
      <c r="BD21" s="21" cm="1">
        <f t="array" aca="1" ref="BD21" ca="1">SUM(INDIRECT(ADDRESS(incomeMinRow,COLUMN()) &amp;":"&amp; ADDRESS(incomeMaxRow,COLUMN())))</f>
        <v>0</v>
      </c>
      <c r="BE21" s="21" cm="1">
        <f t="array" aca="1" ref="BE21" ca="1">SUM(INDIRECT(ADDRESS(incomeMinRow,COLUMN()) &amp;":"&amp; ADDRESS(incomeMaxRow,COLUMN())))</f>
        <v>0</v>
      </c>
      <c r="BF21" s="21" cm="1">
        <f t="array" aca="1" ref="BF21" ca="1">SUM(INDIRECT(ADDRESS(incomeMinRow,COLUMN()) &amp;":"&amp; ADDRESS(incomeMaxRow,COLUMN())))</f>
        <v>0</v>
      </c>
      <c r="BG21" s="21" cm="1">
        <f t="array" aca="1" ref="BG21" ca="1">SUM(INDIRECT(ADDRESS(incomeMinRow,COLUMN()) &amp;":"&amp; ADDRESS(incomeMaxRow,COLUMN())))</f>
        <v>0</v>
      </c>
      <c r="BI21" s="21" cm="1">
        <f t="array" aca="1" ref="BI21" ca="1">SUM(INDIRECT(ADDRESS(incomeMinRow,COLUMN()) &amp;":"&amp; ADDRESS(incomeMaxRow,COLUMN())))</f>
        <v>0</v>
      </c>
      <c r="BJ21" s="21" cm="1">
        <f t="array" aca="1" ref="BJ21" ca="1">SUM(INDIRECT(ADDRESS(incomeMinRow,COLUMN()) &amp;":"&amp; ADDRESS(incomeMaxRow,COLUMN())))</f>
        <v>0</v>
      </c>
      <c r="BK21" s="21" cm="1">
        <f t="array" aca="1" ref="BK21" ca="1">SUM(INDIRECT(ADDRESS(incomeMinRow,COLUMN()) &amp;":"&amp; ADDRESS(incomeMaxRow,COLUMN())))</f>
        <v>0</v>
      </c>
      <c r="BL21" s="21" cm="1">
        <f t="array" aca="1" ref="BL21" ca="1">SUM(INDIRECT(ADDRESS(incomeMinRow,COLUMN()) &amp;":"&amp; ADDRESS(incomeMaxRow,COLUMN())))</f>
        <v>0</v>
      </c>
      <c r="BM21" s="21" cm="1">
        <f t="array" aca="1" ref="BM21" ca="1">SUM(INDIRECT(ADDRESS(incomeMinRow,COLUMN()) &amp;":"&amp; ADDRESS(incomeMaxRow,COLUMN())))</f>
        <v>0</v>
      </c>
      <c r="BN21" s="21" cm="1">
        <f t="array" aca="1" ref="BN21" ca="1">SUM(INDIRECT(ADDRESS(incomeMinRow,COLUMN()) &amp;":"&amp; ADDRESS(incomeMaxRow,COLUMN())))</f>
        <v>0</v>
      </c>
      <c r="BO21" s="21" cm="1">
        <f t="array" aca="1" ref="BO21" ca="1">SUM(INDIRECT(ADDRESS(incomeMinRow,COLUMN()) &amp;":"&amp; ADDRESS(incomeMaxRow,COLUMN())))</f>
        <v>0</v>
      </c>
      <c r="BP21" s="21" cm="1">
        <f t="array" aca="1" ref="BP21" ca="1">SUM(INDIRECT(ADDRESS(incomeMinRow,COLUMN()) &amp;":"&amp; ADDRESS(incomeMaxRow,COLUMN())))</f>
        <v>0</v>
      </c>
      <c r="BQ21" s="21" cm="1">
        <f t="array" aca="1" ref="BQ21" ca="1">SUM(INDIRECT(ADDRESS(incomeMinRow,COLUMN()) &amp;":"&amp; ADDRESS(incomeMaxRow,COLUMN())))</f>
        <v>0</v>
      </c>
      <c r="BR21" s="21" cm="1">
        <f t="array" aca="1" ref="BR21" ca="1">SUM(INDIRECT(ADDRESS(incomeMinRow,COLUMN()) &amp;":"&amp; ADDRESS(incomeMaxRow,COLUMN())))</f>
        <v>0</v>
      </c>
      <c r="BS21" s="21" cm="1">
        <f t="array" aca="1" ref="BS21" ca="1">SUM(INDIRECT(ADDRESS(incomeMinRow,COLUMN()) &amp;":"&amp; ADDRESS(incomeMaxRow,COLUMN())))</f>
        <v>0</v>
      </c>
      <c r="BT21" s="21" cm="1">
        <f t="array" aca="1" ref="BT21" ca="1">SUM(INDIRECT(ADDRESS(incomeMinRow,COLUMN()) &amp;":"&amp; ADDRESS(incomeMaxRow,COLUMN())))</f>
        <v>0</v>
      </c>
      <c r="BU21" s="21" cm="1">
        <f t="array" aca="1" ref="BU21" ca="1">SUM(INDIRECT(ADDRESS(incomeMinRow,COLUMN()) &amp;":"&amp; ADDRESS(incomeMaxRow,COLUMN())))</f>
        <v>0</v>
      </c>
      <c r="BW21" s="21" cm="1">
        <f t="array" aca="1" ref="BW21" ca="1">SUM(INDIRECT(ADDRESS(incomeMinRow,COLUMN()) &amp;":"&amp; ADDRESS(incomeMaxRow,COLUMN())))</f>
        <v>0</v>
      </c>
      <c r="BX21" s="21" cm="1">
        <f t="array" aca="1" ref="BX21" ca="1">SUM(INDIRECT(ADDRESS(incomeMinRow,COLUMN()) &amp;":"&amp; ADDRESS(incomeMaxRow,COLUMN())))</f>
        <v>0</v>
      </c>
      <c r="BY21" s="21" cm="1">
        <f t="array" aca="1" ref="BY21" ca="1">SUM(INDIRECT(ADDRESS(incomeMinRow,COLUMN()) &amp;":"&amp; ADDRESS(incomeMaxRow,COLUMN())))</f>
        <v>0</v>
      </c>
      <c r="BZ21" s="21" cm="1">
        <f t="array" aca="1" ref="BZ21" ca="1">SUM(INDIRECT(ADDRESS(incomeMinRow,COLUMN()) &amp;":"&amp; ADDRESS(incomeMaxRow,COLUMN())))</f>
        <v>0</v>
      </c>
      <c r="CA21" s="21" cm="1">
        <f t="array" aca="1" ref="CA21" ca="1">SUM(INDIRECT(ADDRESS(incomeMinRow,COLUMN()) &amp;":"&amp; ADDRESS(incomeMaxRow,COLUMN())))</f>
        <v>0</v>
      </c>
      <c r="CB21" s="21" cm="1">
        <f t="array" aca="1" ref="CB21" ca="1">SUM(INDIRECT(ADDRESS(incomeMinRow,COLUMN()) &amp;":"&amp; ADDRESS(incomeMaxRow,COLUMN())))</f>
        <v>0</v>
      </c>
      <c r="CC21" s="21" cm="1">
        <f t="array" aca="1" ref="CC21" ca="1">SUM(INDIRECT(ADDRESS(incomeMinRow,COLUMN()) &amp;":"&amp; ADDRESS(incomeMaxRow,COLUMN())))</f>
        <v>0</v>
      </c>
      <c r="CD21" s="21" cm="1">
        <f t="array" aca="1" ref="CD21" ca="1">SUM(INDIRECT(ADDRESS(incomeMinRow,COLUMN()) &amp;":"&amp; ADDRESS(incomeMaxRow,COLUMN())))</f>
        <v>0</v>
      </c>
      <c r="CE21" s="21" cm="1">
        <f t="array" aca="1" ref="CE21" ca="1">SUM(INDIRECT(ADDRESS(incomeMinRow,COLUMN()) &amp;":"&amp; ADDRESS(incomeMaxRow,COLUMN())))</f>
        <v>0</v>
      </c>
      <c r="CF21" s="21" cm="1">
        <f t="array" aca="1" ref="CF21" ca="1">SUM(INDIRECT(ADDRESS(incomeMinRow,COLUMN()) &amp;":"&amp; ADDRESS(incomeMaxRow,COLUMN())))</f>
        <v>0</v>
      </c>
      <c r="CG21" s="21" cm="1">
        <f t="array" aca="1" ref="CG21" ca="1">SUM(INDIRECT(ADDRESS(incomeMinRow,COLUMN()) &amp;":"&amp; ADDRESS(incomeMaxRow,COLUMN())))</f>
        <v>0</v>
      </c>
      <c r="CH21" s="21" cm="1">
        <f t="array" aca="1" ref="CH21" ca="1">SUM(INDIRECT(ADDRESS(incomeMinRow,COLUMN()) &amp;":"&amp; ADDRESS(incomeMaxRow,COLUMN())))</f>
        <v>0</v>
      </c>
      <c r="CI21" s="21" cm="1">
        <f t="array" aca="1" ref="CI21" ca="1">SUM(INDIRECT(ADDRESS(incomeMinRow,COLUMN()) &amp;":"&amp; ADDRESS(incomeMaxRow,COLUMN())))</f>
        <v>0</v>
      </c>
      <c r="CK21" s="21" cm="1">
        <f t="array" aca="1" ref="CK21" ca="1">SUM(INDIRECT(ADDRESS(incomeMinRow,COLUMN()) &amp;":"&amp; ADDRESS(incomeMaxRow,COLUMN())))</f>
        <v>0</v>
      </c>
      <c r="CL21" s="21" cm="1">
        <f t="array" aca="1" ref="CL21" ca="1">SUM(INDIRECT(ADDRESS(incomeMinRow,COLUMN()) &amp;":"&amp; ADDRESS(incomeMaxRow,COLUMN())))</f>
        <v>0</v>
      </c>
      <c r="CM21" s="21" cm="1">
        <f t="array" aca="1" ref="CM21" ca="1">SUM(INDIRECT(ADDRESS(incomeMinRow,COLUMN()) &amp;":"&amp; ADDRESS(incomeMaxRow,COLUMN())))</f>
        <v>0</v>
      </c>
      <c r="CN21" s="21" cm="1">
        <f t="array" aca="1" ref="CN21" ca="1">SUM(INDIRECT(ADDRESS(incomeMinRow,COLUMN()) &amp;":"&amp; ADDRESS(incomeMaxRow,COLUMN())))</f>
        <v>0</v>
      </c>
      <c r="CO21" s="21" cm="1">
        <f t="array" aca="1" ref="CO21" ca="1">SUM(INDIRECT(ADDRESS(incomeMinRow,COLUMN()) &amp;":"&amp; ADDRESS(incomeMaxRow,COLUMN())))</f>
        <v>0</v>
      </c>
      <c r="CP21" s="21" cm="1">
        <f t="array" aca="1" ref="CP21" ca="1">SUM(INDIRECT(ADDRESS(incomeMinRow,COLUMN()) &amp;":"&amp; ADDRESS(incomeMaxRow,COLUMN())))</f>
        <v>0</v>
      </c>
      <c r="CQ21" s="21" cm="1">
        <f t="array" aca="1" ref="CQ21" ca="1">SUM(INDIRECT(ADDRESS(incomeMinRow,COLUMN()) &amp;":"&amp; ADDRESS(incomeMaxRow,COLUMN())))</f>
        <v>0</v>
      </c>
      <c r="CR21" s="21" cm="1">
        <f t="array" aca="1" ref="CR21" ca="1">SUM(INDIRECT(ADDRESS(incomeMinRow,COLUMN()) &amp;":"&amp; ADDRESS(incomeMaxRow,COLUMN())))</f>
        <v>0</v>
      </c>
      <c r="CS21" s="21" cm="1">
        <f t="array" aca="1" ref="CS21" ca="1">SUM(INDIRECT(ADDRESS(incomeMinRow,COLUMN()) &amp;":"&amp; ADDRESS(incomeMaxRow,COLUMN())))</f>
        <v>0</v>
      </c>
      <c r="CT21" s="21" cm="1">
        <f t="array" aca="1" ref="CT21" ca="1">SUM(INDIRECT(ADDRESS(incomeMinRow,COLUMN()) &amp;":"&amp; ADDRESS(incomeMaxRow,COLUMN())))</f>
        <v>0</v>
      </c>
      <c r="CU21" s="21" cm="1">
        <f t="array" aca="1" ref="CU21" ca="1">SUM(INDIRECT(ADDRESS(incomeMinRow,COLUMN()) &amp;":"&amp; ADDRESS(incomeMaxRow,COLUMN())))</f>
        <v>0</v>
      </c>
      <c r="CV21" s="21" cm="1">
        <f t="array" aca="1" ref="CV21" ca="1">SUM(INDIRECT(ADDRESS(incomeMinRow,COLUMN()) &amp;":"&amp; ADDRESS(incomeMaxRow,COLUMN())))</f>
        <v>0</v>
      </c>
      <c r="CW21" s="21" cm="1">
        <f t="array" aca="1" ref="CW21" ca="1">SUM(INDIRECT(ADDRESS(incomeMinRow,COLUMN()) &amp;":"&amp; ADDRESS(incomeMaxRow,COLUMN())))</f>
        <v>0</v>
      </c>
      <c r="CY21" s="21" cm="1">
        <f t="array" aca="1" ref="CY21" ca="1">SUM(INDIRECT(ADDRESS(incomeMinRow,COLUMN()) &amp;":"&amp; ADDRESS(incomeMaxRow,COLUMN())))</f>
        <v>0</v>
      </c>
      <c r="CZ21" s="21" cm="1">
        <f t="array" aca="1" ref="CZ21" ca="1">SUM(INDIRECT(ADDRESS(incomeMinRow,COLUMN()) &amp;":"&amp; ADDRESS(incomeMaxRow,COLUMN())))</f>
        <v>0</v>
      </c>
      <c r="DA21" s="21" cm="1">
        <f t="array" aca="1" ref="DA21" ca="1">SUM(INDIRECT(ADDRESS(incomeMinRow,COLUMN()) &amp;":"&amp; ADDRESS(incomeMaxRow,COLUMN())))</f>
        <v>0</v>
      </c>
      <c r="DB21" s="21" cm="1">
        <f t="array" aca="1" ref="DB21" ca="1">SUM(INDIRECT(ADDRESS(incomeMinRow,COLUMN()) &amp;":"&amp; ADDRESS(incomeMaxRow,COLUMN())))</f>
        <v>0</v>
      </c>
      <c r="DC21" s="21" cm="1">
        <f t="array" aca="1" ref="DC21" ca="1">SUM(INDIRECT(ADDRESS(incomeMinRow,COLUMN()) &amp;":"&amp; ADDRESS(incomeMaxRow,COLUMN())))</f>
        <v>0</v>
      </c>
      <c r="DD21" s="21" cm="1">
        <f t="array" aca="1" ref="DD21" ca="1">SUM(INDIRECT(ADDRESS(incomeMinRow,COLUMN()) &amp;":"&amp; ADDRESS(incomeMaxRow,COLUMN())))</f>
        <v>0</v>
      </c>
      <c r="DE21" s="21" cm="1">
        <f t="array" aca="1" ref="DE21" ca="1">SUM(INDIRECT(ADDRESS(incomeMinRow,COLUMN()) &amp;":"&amp; ADDRESS(incomeMaxRow,COLUMN())))</f>
        <v>0</v>
      </c>
      <c r="DF21" s="21" cm="1">
        <f t="array" aca="1" ref="DF21" ca="1">SUM(INDIRECT(ADDRESS(incomeMinRow,COLUMN()) &amp;":"&amp; ADDRESS(incomeMaxRow,COLUMN())))</f>
        <v>0</v>
      </c>
      <c r="DG21" s="21" cm="1">
        <f t="array" aca="1" ref="DG21" ca="1">SUM(INDIRECT(ADDRESS(incomeMinRow,COLUMN()) &amp;":"&amp; ADDRESS(incomeMaxRow,COLUMN())))</f>
        <v>0</v>
      </c>
      <c r="DH21" s="21" cm="1">
        <f t="array" aca="1" ref="DH21" ca="1">SUM(INDIRECT(ADDRESS(incomeMinRow,COLUMN()) &amp;":"&amp; ADDRESS(incomeMaxRow,COLUMN())))</f>
        <v>0</v>
      </c>
      <c r="DI21" s="21" cm="1">
        <f t="array" aca="1" ref="DI21" ca="1">SUM(INDIRECT(ADDRESS(incomeMinRow,COLUMN()) &amp;":"&amp; ADDRESS(incomeMaxRow,COLUMN())))</f>
        <v>0</v>
      </c>
      <c r="DJ21" s="21" cm="1">
        <f t="array" aca="1" ref="DJ21" ca="1">SUM(INDIRECT(ADDRESS(incomeMinRow,COLUMN()) &amp;":"&amp; ADDRESS(incomeMaxRow,COLUMN())))</f>
        <v>0</v>
      </c>
      <c r="DK21" s="21" cm="1">
        <f t="array" aca="1" ref="DK21" ca="1">SUM(INDIRECT(ADDRESS(incomeMinRow,COLUMN()) &amp;":"&amp; ADDRESS(incomeMaxRow,COLUMN())))</f>
        <v>0</v>
      </c>
      <c r="DM21" s="21" cm="1">
        <f t="array" aca="1" ref="DM21" ca="1">SUM(INDIRECT(ADDRESS(incomeMinRow,COLUMN()) &amp;":"&amp; ADDRESS(incomeMaxRow,COLUMN())))</f>
        <v>0</v>
      </c>
      <c r="DN21" s="21" cm="1">
        <f t="array" aca="1" ref="DN21" ca="1">SUM(INDIRECT(ADDRESS(incomeMinRow,COLUMN()) &amp;":"&amp; ADDRESS(incomeMaxRow,COLUMN())))</f>
        <v>0</v>
      </c>
      <c r="DO21" s="21" cm="1">
        <f t="array" aca="1" ref="DO21" ca="1">SUM(INDIRECT(ADDRESS(incomeMinRow,COLUMN()) &amp;":"&amp; ADDRESS(incomeMaxRow,COLUMN())))</f>
        <v>0</v>
      </c>
      <c r="DP21" s="21" cm="1">
        <f t="array" aca="1" ref="DP21" ca="1">SUM(INDIRECT(ADDRESS(incomeMinRow,COLUMN()) &amp;":"&amp; ADDRESS(incomeMaxRow,COLUMN())))</f>
        <v>0</v>
      </c>
      <c r="DQ21" s="21" cm="1">
        <f t="array" aca="1" ref="DQ21" ca="1">SUM(INDIRECT(ADDRESS(incomeMinRow,COLUMN()) &amp;":"&amp; ADDRESS(incomeMaxRow,COLUMN())))</f>
        <v>0</v>
      </c>
      <c r="DR21" s="21" cm="1">
        <f t="array" aca="1" ref="DR21" ca="1">SUM(INDIRECT(ADDRESS(incomeMinRow,COLUMN()) &amp;":"&amp; ADDRESS(incomeMaxRow,COLUMN())))</f>
        <v>0</v>
      </c>
      <c r="DS21" s="21" cm="1">
        <f t="array" aca="1" ref="DS21" ca="1">SUM(INDIRECT(ADDRESS(incomeMinRow,COLUMN()) &amp;":"&amp; ADDRESS(incomeMaxRow,COLUMN())))</f>
        <v>0</v>
      </c>
      <c r="DT21" s="21" cm="1">
        <f t="array" aca="1" ref="DT21" ca="1">SUM(INDIRECT(ADDRESS(incomeMinRow,COLUMN()) &amp;":"&amp; ADDRESS(incomeMaxRow,COLUMN())))</f>
        <v>0</v>
      </c>
      <c r="DU21" s="21" cm="1">
        <f t="array" aca="1" ref="DU21" ca="1">SUM(INDIRECT(ADDRESS(incomeMinRow,COLUMN()) &amp;":"&amp; ADDRESS(incomeMaxRow,COLUMN())))</f>
        <v>0</v>
      </c>
      <c r="DV21" s="21" cm="1">
        <f t="array" aca="1" ref="DV21" ca="1">SUM(INDIRECT(ADDRESS(incomeMinRow,COLUMN()) &amp;":"&amp; ADDRESS(incomeMaxRow,COLUMN())))</f>
        <v>0</v>
      </c>
      <c r="DW21" s="21" cm="1">
        <f t="array" aca="1" ref="DW21" ca="1">SUM(INDIRECT(ADDRESS(incomeMinRow,COLUMN()) &amp;":"&amp; ADDRESS(incomeMaxRow,COLUMN())))</f>
        <v>0</v>
      </c>
      <c r="DX21" s="21" cm="1">
        <f t="array" aca="1" ref="DX21" ca="1">SUM(INDIRECT(ADDRESS(incomeMinRow,COLUMN()) &amp;":"&amp; ADDRESS(incomeMaxRow,COLUMN())))</f>
        <v>0</v>
      </c>
      <c r="DY21" s="21" cm="1">
        <f t="array" aca="1" ref="DY21" ca="1">SUM(INDIRECT(ADDRESS(incomeMinRow,COLUMN()) &amp;":"&amp; ADDRESS(incomeMaxRow,COLUMN())))</f>
        <v>0</v>
      </c>
    </row>
    <row r="23" spans="3:129" x14ac:dyDescent="0.2">
      <c r="C23" s="9" t="s">
        <v>11</v>
      </c>
      <c r="E23" s="14">
        <f>DATE(E$5,1,1)</f>
        <v>45292</v>
      </c>
      <c r="F23" s="14">
        <f>DATE(E$5,2,1)</f>
        <v>45323</v>
      </c>
      <c r="G23" s="14">
        <f>DATE(E$5,3,1)</f>
        <v>45352</v>
      </c>
      <c r="H23" s="14">
        <f>DATE(E$5,4,1)</f>
        <v>45383</v>
      </c>
      <c r="I23" s="14">
        <f>DATE(E$5,5,1)</f>
        <v>45413</v>
      </c>
      <c r="J23" s="14">
        <f>DATE(E$5,6,1)</f>
        <v>45444</v>
      </c>
      <c r="K23" s="14">
        <f>DATE(E$5,7,1)</f>
        <v>45474</v>
      </c>
      <c r="L23" s="14">
        <f>DATE(E$5,8,1)</f>
        <v>45505</v>
      </c>
      <c r="M23" s="14">
        <f>DATE(E$5,9,1)</f>
        <v>45536</v>
      </c>
      <c r="N23" s="14">
        <f>DATE(E$5,10,1)</f>
        <v>45566</v>
      </c>
      <c r="O23" s="14">
        <f>DATE(E$5,11,1)</f>
        <v>45597</v>
      </c>
      <c r="P23" s="14">
        <f>DATE(E$5,12,1)</f>
        <v>45627</v>
      </c>
      <c r="Q23" s="15">
        <f>E$5</f>
        <v>2024</v>
      </c>
      <c r="S23" s="14">
        <f>DATE(S$5,1,1)</f>
        <v>45658</v>
      </c>
      <c r="T23" s="14">
        <f>DATE(S$5,2,1)</f>
        <v>45689</v>
      </c>
      <c r="U23" s="14">
        <f>DATE(S$5,3,1)</f>
        <v>45717</v>
      </c>
      <c r="V23" s="14">
        <f>DATE(S$5,4,1)</f>
        <v>45748</v>
      </c>
      <c r="W23" s="14">
        <f>DATE(S$5,5,1)</f>
        <v>45778</v>
      </c>
      <c r="X23" s="14">
        <f>DATE(S$5,6,1)</f>
        <v>45809</v>
      </c>
      <c r="Y23" s="14">
        <f>DATE(S$5,7,1)</f>
        <v>45839</v>
      </c>
      <c r="Z23" s="14">
        <f>DATE(S$5,8,1)</f>
        <v>45870</v>
      </c>
      <c r="AA23" s="14">
        <f>DATE(S$5,9,1)</f>
        <v>45901</v>
      </c>
      <c r="AB23" s="14">
        <f>DATE(S$5,10,1)</f>
        <v>45931</v>
      </c>
      <c r="AC23" s="14">
        <f>DATE(S$5,11,1)</f>
        <v>45962</v>
      </c>
      <c r="AD23" s="14">
        <f>DATE(S$5,12,1)</f>
        <v>45992</v>
      </c>
      <c r="AE23" s="15">
        <f>S$5</f>
        <v>2025</v>
      </c>
      <c r="AG23" s="14">
        <f>DATE(AG$5,1,1)</f>
        <v>46023</v>
      </c>
      <c r="AH23" s="14">
        <f>DATE(AG$5,2,1)</f>
        <v>46054</v>
      </c>
      <c r="AI23" s="14">
        <f>DATE(AG$5,3,1)</f>
        <v>46082</v>
      </c>
      <c r="AJ23" s="14">
        <f>DATE(AG$5,4,1)</f>
        <v>46113</v>
      </c>
      <c r="AK23" s="14">
        <f>DATE(AG$5,5,1)</f>
        <v>46143</v>
      </c>
      <c r="AL23" s="14">
        <f>DATE(AG$5,6,1)</f>
        <v>46174</v>
      </c>
      <c r="AM23" s="14">
        <f>DATE(AG$5,7,1)</f>
        <v>46204</v>
      </c>
      <c r="AN23" s="14">
        <f>DATE(AG$5,8,1)</f>
        <v>46235</v>
      </c>
      <c r="AO23" s="14">
        <f>DATE(AG$5,9,1)</f>
        <v>46266</v>
      </c>
      <c r="AP23" s="14">
        <f>DATE(AG$5,10,1)</f>
        <v>46296</v>
      </c>
      <c r="AQ23" s="14">
        <f>DATE(AG$5,11,1)</f>
        <v>46327</v>
      </c>
      <c r="AR23" s="14">
        <f>DATE(AG$5,12,1)</f>
        <v>46357</v>
      </c>
      <c r="AS23" s="15">
        <f>AG$5</f>
        <v>2026</v>
      </c>
      <c r="AU23" s="14">
        <f>DATE(AU$5,1,1)</f>
        <v>46388</v>
      </c>
      <c r="AV23" s="14">
        <f>DATE(AU$5,2,1)</f>
        <v>46419</v>
      </c>
      <c r="AW23" s="14">
        <f>DATE(AU$5,3,1)</f>
        <v>46447</v>
      </c>
      <c r="AX23" s="14">
        <f>DATE(AU$5,4,1)</f>
        <v>46478</v>
      </c>
      <c r="AY23" s="14">
        <f>DATE(AU$5,5,1)</f>
        <v>46508</v>
      </c>
      <c r="AZ23" s="14">
        <f>DATE(AU$5,6,1)</f>
        <v>46539</v>
      </c>
      <c r="BA23" s="14">
        <f>DATE(AU$5,7,1)</f>
        <v>46569</v>
      </c>
      <c r="BB23" s="14">
        <f>DATE(AU$5,8,1)</f>
        <v>46600</v>
      </c>
      <c r="BC23" s="14">
        <f>DATE(AU$5,9,1)</f>
        <v>46631</v>
      </c>
      <c r="BD23" s="14">
        <f>DATE(AU$5,10,1)</f>
        <v>46661</v>
      </c>
      <c r="BE23" s="14">
        <f>DATE(AU$5,11,1)</f>
        <v>46692</v>
      </c>
      <c r="BF23" s="14">
        <f>DATE(AU$5,12,1)</f>
        <v>46722</v>
      </c>
      <c r="BG23" s="15">
        <f>AU$5</f>
        <v>2027</v>
      </c>
      <c r="BI23" s="14">
        <f>DATE(BI$5,1,1)</f>
        <v>46753</v>
      </c>
      <c r="BJ23" s="14">
        <f>DATE(BI$5,2,1)</f>
        <v>46784</v>
      </c>
      <c r="BK23" s="14">
        <f>DATE(BI$5,3,1)</f>
        <v>46813</v>
      </c>
      <c r="BL23" s="14">
        <f>DATE(BI$5,4,1)</f>
        <v>46844</v>
      </c>
      <c r="BM23" s="14">
        <f>DATE(BI$5,5,1)</f>
        <v>46874</v>
      </c>
      <c r="BN23" s="14">
        <f>DATE(BI$5,6,1)</f>
        <v>46905</v>
      </c>
      <c r="BO23" s="14">
        <f>DATE(BI$5,7,1)</f>
        <v>46935</v>
      </c>
      <c r="BP23" s="14">
        <f>DATE(BI$5,8,1)</f>
        <v>46966</v>
      </c>
      <c r="BQ23" s="14">
        <f>DATE(BI$5,9,1)</f>
        <v>46997</v>
      </c>
      <c r="BR23" s="14">
        <f>DATE(BI$5,10,1)</f>
        <v>47027</v>
      </c>
      <c r="BS23" s="14">
        <f>DATE(BI$5,11,1)</f>
        <v>47058</v>
      </c>
      <c r="BT23" s="14">
        <f>DATE(BI$5,12,1)</f>
        <v>47088</v>
      </c>
      <c r="BU23" s="15">
        <f>BI$5</f>
        <v>2028</v>
      </c>
      <c r="BW23" s="14">
        <f>DATE(BW$5,1,1)</f>
        <v>47119</v>
      </c>
      <c r="BX23" s="14">
        <f>DATE(BW$5,2,1)</f>
        <v>47150</v>
      </c>
      <c r="BY23" s="14">
        <f>DATE(BW$5,3,1)</f>
        <v>47178</v>
      </c>
      <c r="BZ23" s="14">
        <f>DATE(BW$5,4,1)</f>
        <v>47209</v>
      </c>
      <c r="CA23" s="14">
        <f>DATE(BW$5,5,1)</f>
        <v>47239</v>
      </c>
      <c r="CB23" s="14">
        <f>DATE(BW$5,6,1)</f>
        <v>47270</v>
      </c>
      <c r="CC23" s="14">
        <f>DATE(BW$5,7,1)</f>
        <v>47300</v>
      </c>
      <c r="CD23" s="14">
        <f>DATE(BW$5,8,1)</f>
        <v>47331</v>
      </c>
      <c r="CE23" s="14">
        <f>DATE(BW$5,9,1)</f>
        <v>47362</v>
      </c>
      <c r="CF23" s="14">
        <f>DATE(BW$5,10,1)</f>
        <v>47392</v>
      </c>
      <c r="CG23" s="14">
        <f>DATE(BW$5,11,1)</f>
        <v>47423</v>
      </c>
      <c r="CH23" s="14">
        <f>DATE(BW$5,12,1)</f>
        <v>47453</v>
      </c>
      <c r="CI23" s="15">
        <f>BW$5</f>
        <v>2029</v>
      </c>
      <c r="CK23" s="14">
        <f>DATE(CK$5,1,1)</f>
        <v>47484</v>
      </c>
      <c r="CL23" s="14">
        <f>DATE(CK$5,2,1)</f>
        <v>47515</v>
      </c>
      <c r="CM23" s="14">
        <f>DATE(CK$5,3,1)</f>
        <v>47543</v>
      </c>
      <c r="CN23" s="14">
        <f>DATE(CK$5,4,1)</f>
        <v>47574</v>
      </c>
      <c r="CO23" s="14">
        <f>DATE(CK$5,5,1)</f>
        <v>47604</v>
      </c>
      <c r="CP23" s="14">
        <f>DATE(CK$5,6,1)</f>
        <v>47635</v>
      </c>
      <c r="CQ23" s="14">
        <f>DATE(CK$5,7,1)</f>
        <v>47665</v>
      </c>
      <c r="CR23" s="14">
        <f>DATE(CK$5,8,1)</f>
        <v>47696</v>
      </c>
      <c r="CS23" s="14">
        <f>DATE(CK$5,9,1)</f>
        <v>47727</v>
      </c>
      <c r="CT23" s="14">
        <f>DATE(CK$5,10,1)</f>
        <v>47757</v>
      </c>
      <c r="CU23" s="14">
        <f>DATE(CK$5,11,1)</f>
        <v>47788</v>
      </c>
      <c r="CV23" s="14">
        <f>DATE(CK$5,12,1)</f>
        <v>47818</v>
      </c>
      <c r="CW23" s="15">
        <f>CK$5</f>
        <v>2030</v>
      </c>
      <c r="CY23" s="14">
        <f>DATE(CY$5,1,1)</f>
        <v>47849</v>
      </c>
      <c r="CZ23" s="14">
        <f>DATE(CY$5,2,1)</f>
        <v>47880</v>
      </c>
      <c r="DA23" s="14">
        <f>DATE(CY$5,3,1)</f>
        <v>47908</v>
      </c>
      <c r="DB23" s="14">
        <f>DATE(CY$5,4,1)</f>
        <v>47939</v>
      </c>
      <c r="DC23" s="14">
        <f>DATE(CY$5,5,1)</f>
        <v>47969</v>
      </c>
      <c r="DD23" s="14">
        <f>DATE(CY$5,6,1)</f>
        <v>48000</v>
      </c>
      <c r="DE23" s="14">
        <f>DATE(CY$5,7,1)</f>
        <v>48030</v>
      </c>
      <c r="DF23" s="14">
        <f>DATE(CY$5,8,1)</f>
        <v>48061</v>
      </c>
      <c r="DG23" s="14">
        <f>DATE(CY$5,9,1)</f>
        <v>48092</v>
      </c>
      <c r="DH23" s="14">
        <f>DATE(CY$5,10,1)</f>
        <v>48122</v>
      </c>
      <c r="DI23" s="14">
        <f>DATE(CY$5,11,1)</f>
        <v>48153</v>
      </c>
      <c r="DJ23" s="14">
        <f>DATE(CY$5,12,1)</f>
        <v>48183</v>
      </c>
      <c r="DK23" s="15">
        <f>CY$5</f>
        <v>2031</v>
      </c>
      <c r="DM23" s="14">
        <f>DATE(DM$5,1,1)</f>
        <v>48214</v>
      </c>
      <c r="DN23" s="14">
        <f>DATE(DM$5,2,1)</f>
        <v>48245</v>
      </c>
      <c r="DO23" s="14">
        <f>DATE(DM$5,3,1)</f>
        <v>48274</v>
      </c>
      <c r="DP23" s="14">
        <f>DATE(DM$5,4,1)</f>
        <v>48305</v>
      </c>
      <c r="DQ23" s="14">
        <f>DATE(DM$5,5,1)</f>
        <v>48335</v>
      </c>
      <c r="DR23" s="14">
        <f>DATE(DM$5,6,1)</f>
        <v>48366</v>
      </c>
      <c r="DS23" s="14">
        <f>DATE(DM$5,7,1)</f>
        <v>48396</v>
      </c>
      <c r="DT23" s="14">
        <f>DATE(DM$5,8,1)</f>
        <v>48427</v>
      </c>
      <c r="DU23" s="14">
        <f>DATE(DM$5,9,1)</f>
        <v>48458</v>
      </c>
      <c r="DV23" s="14">
        <f>DATE(DM$5,10,1)</f>
        <v>48488</v>
      </c>
      <c r="DW23" s="14">
        <f>DATE(DM$5,11,1)</f>
        <v>48519</v>
      </c>
      <c r="DX23" s="14">
        <f>DATE(DM$5,12,1)</f>
        <v>48549</v>
      </c>
      <c r="DY23" s="15">
        <f>DM$5</f>
        <v>2032</v>
      </c>
    </row>
    <row r="24" spans="3:129" x14ac:dyDescent="0.2">
      <c r="C24" s="13" t="s">
        <v>12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20000</v>
      </c>
      <c r="L24" s="19">
        <v>5500</v>
      </c>
      <c r="M24" s="19">
        <v>10500</v>
      </c>
      <c r="N24" s="19">
        <v>5500</v>
      </c>
      <c r="O24" s="19">
        <v>6500</v>
      </c>
      <c r="P24" s="19">
        <v>4500</v>
      </c>
      <c r="Q24" s="20">
        <f>SUM(E24:P24)</f>
        <v>52500</v>
      </c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20">
        <f>SUM(S24:AD24)</f>
        <v>0</v>
      </c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20">
        <f>SUM(AG24:AR24)</f>
        <v>0</v>
      </c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20">
        <f>SUM(AU24:BF24)</f>
        <v>0</v>
      </c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20">
        <f>SUM(BI24:BT24)</f>
        <v>0</v>
      </c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20">
        <f>SUM(BW24:CH24)</f>
        <v>0</v>
      </c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20">
        <f>SUM(CK24:CV24)</f>
        <v>0</v>
      </c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20">
        <f>SUM(CY24:DJ24)</f>
        <v>0</v>
      </c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20">
        <f>SUM(DM24:DX24)</f>
        <v>0</v>
      </c>
    </row>
    <row r="25" spans="3:129" x14ac:dyDescent="0.2">
      <c r="C25" s="13" t="s">
        <v>74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155</v>
      </c>
      <c r="L25" s="19">
        <v>800</v>
      </c>
      <c r="M25" s="19">
        <v>800</v>
      </c>
      <c r="N25" s="19">
        <v>800</v>
      </c>
      <c r="O25" s="19">
        <v>800</v>
      </c>
      <c r="P25" s="19">
        <v>800</v>
      </c>
      <c r="Q25" s="20">
        <f t="shared" ref="Q25:Q51" si="18">SUM(E25:P25)</f>
        <v>4155</v>
      </c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20">
        <f t="shared" ref="AE25:AE31" si="19">SUM(S25:AD25)</f>
        <v>0</v>
      </c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20">
        <f t="shared" ref="AS25:AS31" si="20">SUM(AG25:AR25)</f>
        <v>0</v>
      </c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20">
        <f t="shared" ref="BG25:BG31" si="21">SUM(AU25:BF25)</f>
        <v>0</v>
      </c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20">
        <f t="shared" ref="BU25:BU31" si="22">SUM(BI25:BT25)</f>
        <v>0</v>
      </c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20">
        <f t="shared" ref="CI25:CI31" si="23">SUM(BW25:CH25)</f>
        <v>0</v>
      </c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20">
        <f t="shared" ref="CW25:CW31" si="24">SUM(CK25:CV25)</f>
        <v>0</v>
      </c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20">
        <f t="shared" ref="DK25:DK31" si="25">SUM(CY25:DJ25)</f>
        <v>0</v>
      </c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20">
        <f t="shared" ref="DY25:DY31" si="26">SUM(DM25:DX25)</f>
        <v>0</v>
      </c>
    </row>
    <row r="26" spans="3:129" x14ac:dyDescent="0.2">
      <c r="C26" s="13" t="s">
        <v>14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2000</v>
      </c>
      <c r="M26" s="19">
        <v>2000</v>
      </c>
      <c r="N26" s="19">
        <v>2000</v>
      </c>
      <c r="O26" s="19">
        <v>0</v>
      </c>
      <c r="P26" s="19">
        <v>500</v>
      </c>
      <c r="Q26" s="20">
        <f t="shared" si="18"/>
        <v>6500</v>
      </c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20">
        <f t="shared" si="19"/>
        <v>0</v>
      </c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20">
        <f t="shared" si="20"/>
        <v>0</v>
      </c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20">
        <f t="shared" si="21"/>
        <v>0</v>
      </c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20">
        <f t="shared" si="22"/>
        <v>0</v>
      </c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20">
        <f t="shared" si="23"/>
        <v>0</v>
      </c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20">
        <f t="shared" si="24"/>
        <v>0</v>
      </c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20">
        <f t="shared" si="25"/>
        <v>0</v>
      </c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20">
        <f t="shared" si="26"/>
        <v>0</v>
      </c>
    </row>
    <row r="27" spans="3:129" x14ac:dyDescent="0.2">
      <c r="C27" s="13" t="s">
        <v>13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/>
      <c r="L27" s="19">
        <v>2000</v>
      </c>
      <c r="M27" s="19">
        <v>2000</v>
      </c>
      <c r="N27" s="19">
        <v>2000</v>
      </c>
      <c r="O27" s="19">
        <v>3000</v>
      </c>
      <c r="P27" s="19">
        <v>3000</v>
      </c>
      <c r="Q27" s="20">
        <f t="shared" si="18"/>
        <v>12000</v>
      </c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20">
        <f t="shared" si="19"/>
        <v>0</v>
      </c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20">
        <f t="shared" si="20"/>
        <v>0</v>
      </c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20">
        <f t="shared" si="21"/>
        <v>0</v>
      </c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20">
        <f t="shared" si="22"/>
        <v>0</v>
      </c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20">
        <f t="shared" si="23"/>
        <v>0</v>
      </c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20">
        <f t="shared" si="24"/>
        <v>0</v>
      </c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20">
        <f t="shared" si="25"/>
        <v>0</v>
      </c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20">
        <f t="shared" si="26"/>
        <v>0</v>
      </c>
    </row>
    <row r="28" spans="3:129" x14ac:dyDescent="0.2">
      <c r="C28" s="13" t="s">
        <v>23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800</v>
      </c>
      <c r="L28" s="19">
        <v>1000</v>
      </c>
      <c r="M28" s="19">
        <v>1000</v>
      </c>
      <c r="N28" s="19">
        <v>1000</v>
      </c>
      <c r="O28" s="19">
        <v>0</v>
      </c>
      <c r="P28" s="19">
        <v>1000</v>
      </c>
      <c r="Q28" s="20">
        <f>SUM(E28:P28)</f>
        <v>4800</v>
      </c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20">
        <f t="shared" si="19"/>
        <v>0</v>
      </c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20">
        <f t="shared" si="20"/>
        <v>0</v>
      </c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20">
        <f t="shared" si="21"/>
        <v>0</v>
      </c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20">
        <f t="shared" si="22"/>
        <v>0</v>
      </c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20">
        <f t="shared" si="23"/>
        <v>0</v>
      </c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20">
        <f t="shared" si="24"/>
        <v>0</v>
      </c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20">
        <f t="shared" si="25"/>
        <v>0</v>
      </c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20">
        <f t="shared" si="26"/>
        <v>0</v>
      </c>
    </row>
    <row r="29" spans="3:129" x14ac:dyDescent="0.2">
      <c r="C29" s="13" t="s">
        <v>24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2200</v>
      </c>
      <c r="L29" s="19">
        <v>0</v>
      </c>
      <c r="M29" s="19">
        <v>500</v>
      </c>
      <c r="N29" s="19">
        <v>3700</v>
      </c>
      <c r="O29" s="19">
        <v>1400</v>
      </c>
      <c r="P29" s="19">
        <v>0</v>
      </c>
      <c r="Q29" s="20">
        <f>SUM(E29:P29)</f>
        <v>7800</v>
      </c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20">
        <f t="shared" si="19"/>
        <v>0</v>
      </c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20">
        <f t="shared" si="20"/>
        <v>0</v>
      </c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20">
        <f t="shared" si="21"/>
        <v>0</v>
      </c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20">
        <f t="shared" si="22"/>
        <v>0</v>
      </c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20">
        <f t="shared" si="23"/>
        <v>0</v>
      </c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20">
        <f t="shared" si="24"/>
        <v>0</v>
      </c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20">
        <f t="shared" si="25"/>
        <v>0</v>
      </c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20">
        <f t="shared" si="26"/>
        <v>0</v>
      </c>
    </row>
    <row r="30" spans="3:129" ht="16" customHeight="1" x14ac:dyDescent="0.2">
      <c r="C30" s="13" t="s">
        <v>75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20">
        <f t="shared" si="18"/>
        <v>0</v>
      </c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20">
        <f t="shared" si="19"/>
        <v>0</v>
      </c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20">
        <f t="shared" si="20"/>
        <v>0</v>
      </c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20">
        <f t="shared" si="21"/>
        <v>0</v>
      </c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20">
        <f t="shared" si="22"/>
        <v>0</v>
      </c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20">
        <f t="shared" si="23"/>
        <v>0</v>
      </c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20">
        <f t="shared" si="24"/>
        <v>0</v>
      </c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20">
        <f t="shared" si="25"/>
        <v>0</v>
      </c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20">
        <f t="shared" si="26"/>
        <v>0</v>
      </c>
    </row>
    <row r="31" spans="3:129" ht="16" customHeight="1" x14ac:dyDescent="0.2">
      <c r="C31" s="13" t="s">
        <v>76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1000</v>
      </c>
      <c r="N31" s="19">
        <v>4000</v>
      </c>
      <c r="O31" s="19">
        <v>600</v>
      </c>
      <c r="P31" s="19">
        <v>0</v>
      </c>
      <c r="Q31" s="20">
        <f t="shared" si="18"/>
        <v>5600</v>
      </c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20">
        <f t="shared" si="19"/>
        <v>0</v>
      </c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20">
        <f t="shared" si="20"/>
        <v>0</v>
      </c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20">
        <f t="shared" si="21"/>
        <v>0</v>
      </c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20">
        <f t="shared" si="22"/>
        <v>0</v>
      </c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20">
        <f t="shared" si="23"/>
        <v>0</v>
      </c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20">
        <f t="shared" si="24"/>
        <v>0</v>
      </c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20">
        <f t="shared" si="25"/>
        <v>0</v>
      </c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20">
        <f t="shared" si="26"/>
        <v>0</v>
      </c>
    </row>
    <row r="32" spans="3:129" ht="16" customHeight="1" x14ac:dyDescent="0.2">
      <c r="C32" s="13" t="s">
        <v>148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1000</v>
      </c>
      <c r="N32" s="19">
        <v>500</v>
      </c>
      <c r="O32" s="19">
        <v>0</v>
      </c>
      <c r="P32" s="19">
        <v>500</v>
      </c>
      <c r="Q32" s="20">
        <f t="shared" si="18"/>
        <v>2000</v>
      </c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20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20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20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20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20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20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20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20"/>
    </row>
    <row r="33" spans="3:129" ht="16" customHeight="1" x14ac:dyDescent="0.2">
      <c r="C33" s="13" t="s">
        <v>149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1000</v>
      </c>
      <c r="N33" s="19">
        <v>0</v>
      </c>
      <c r="O33" s="19">
        <v>0</v>
      </c>
      <c r="P33" s="19">
        <v>0</v>
      </c>
      <c r="Q33" s="20">
        <f t="shared" si="18"/>
        <v>1000</v>
      </c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20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20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20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20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20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20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20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20"/>
    </row>
    <row r="34" spans="3:129" ht="16" customHeight="1" x14ac:dyDescent="0.2">
      <c r="C34" s="13" t="s">
        <v>229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1690</v>
      </c>
      <c r="P34" s="19">
        <v>1690</v>
      </c>
      <c r="Q34" s="20">
        <f t="shared" si="18"/>
        <v>3380</v>
      </c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20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20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20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20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20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20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20"/>
    </row>
    <row r="35" spans="3:129" ht="16" customHeight="1" x14ac:dyDescent="0.2">
      <c r="C35" s="13" t="s">
        <v>231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500</v>
      </c>
      <c r="O35" s="19">
        <v>500</v>
      </c>
      <c r="P35" s="19">
        <v>500</v>
      </c>
      <c r="Q35" s="20">
        <f t="shared" si="18"/>
        <v>1500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20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20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20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20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20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20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20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20"/>
    </row>
    <row r="36" spans="3:129" ht="16" hidden="1" customHeight="1" x14ac:dyDescent="0.2">
      <c r="C36" s="13" t="s">
        <v>15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>
        <f t="shared" si="18"/>
        <v>0</v>
      </c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20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20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20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20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20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20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20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20"/>
    </row>
    <row r="37" spans="3:129" ht="16" hidden="1" customHeight="1" x14ac:dyDescent="0.2">
      <c r="C37" s="13" t="s">
        <v>15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20">
        <f t="shared" si="18"/>
        <v>0</v>
      </c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20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20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20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20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20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20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20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20"/>
    </row>
    <row r="38" spans="3:129" ht="16" hidden="1" customHeight="1" x14ac:dyDescent="0.2">
      <c r="C38" s="13" t="s">
        <v>15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20">
        <f t="shared" si="18"/>
        <v>0</v>
      </c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20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20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20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20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20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20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20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20"/>
    </row>
    <row r="39" spans="3:129" ht="16" hidden="1" customHeight="1" x14ac:dyDescent="0.2">
      <c r="C39" s="13" t="s">
        <v>15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20">
        <f t="shared" si="18"/>
        <v>0</v>
      </c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20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20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20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20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20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20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20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20"/>
    </row>
    <row r="40" spans="3:129" ht="16" hidden="1" customHeight="1" x14ac:dyDescent="0.2">
      <c r="C40" s="13" t="s">
        <v>15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20">
        <f t="shared" si="18"/>
        <v>0</v>
      </c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20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20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20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20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20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20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20"/>
    </row>
    <row r="41" spans="3:129" ht="16" hidden="1" customHeight="1" x14ac:dyDescent="0.2">
      <c r="C41" s="13" t="s">
        <v>15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20">
        <f t="shared" si="18"/>
        <v>0</v>
      </c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20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20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20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20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20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20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20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20"/>
    </row>
    <row r="42" spans="3:129" ht="16" hidden="1" customHeight="1" x14ac:dyDescent="0.2">
      <c r="C42" s="13" t="s">
        <v>15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20">
        <f t="shared" si="18"/>
        <v>0</v>
      </c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20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20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20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20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20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20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20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20"/>
    </row>
    <row r="43" spans="3:129" ht="16" hidden="1" customHeight="1" x14ac:dyDescent="0.2">
      <c r="C43" s="13" t="s">
        <v>15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20">
        <f t="shared" si="18"/>
        <v>0</v>
      </c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20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20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20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20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20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20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20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20"/>
    </row>
    <row r="44" spans="3:129" ht="16" hidden="1" customHeight="1" x14ac:dyDescent="0.2">
      <c r="C44" s="13" t="s">
        <v>15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20">
        <f t="shared" si="18"/>
        <v>0</v>
      </c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20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20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20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20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20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20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20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20"/>
    </row>
    <row r="45" spans="3:129" ht="16" hidden="1" customHeight="1" x14ac:dyDescent="0.2">
      <c r="C45" s="13" t="s">
        <v>15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20">
        <f t="shared" si="18"/>
        <v>0</v>
      </c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20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20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20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20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20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20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20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20"/>
    </row>
    <row r="46" spans="3:129" ht="16" hidden="1" customHeight="1" x14ac:dyDescent="0.2">
      <c r="C46" s="13" t="s">
        <v>15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20">
        <f t="shared" si="18"/>
        <v>0</v>
      </c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20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20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20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20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20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20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20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20"/>
    </row>
    <row r="47" spans="3:129" ht="16" hidden="1" customHeight="1" x14ac:dyDescent="0.2">
      <c r="C47" s="13" t="s">
        <v>15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20">
        <f t="shared" si="18"/>
        <v>0</v>
      </c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20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20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20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20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20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20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20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20"/>
    </row>
    <row r="48" spans="3:129" ht="16" hidden="1" customHeight="1" x14ac:dyDescent="0.2">
      <c r="C48" s="13" t="s">
        <v>15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20">
        <f t="shared" si="18"/>
        <v>0</v>
      </c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20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20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20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20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20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20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20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20"/>
    </row>
    <row r="49" spans="3:129" ht="16" hidden="1" customHeight="1" x14ac:dyDescent="0.2">
      <c r="C49" s="13" t="s">
        <v>15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20">
        <f t="shared" si="18"/>
        <v>0</v>
      </c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20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20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20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20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20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20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20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20"/>
    </row>
    <row r="50" spans="3:129" ht="16" hidden="1" customHeight="1" x14ac:dyDescent="0.2">
      <c r="C50" s="13" t="s">
        <v>15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20">
        <f t="shared" si="18"/>
        <v>0</v>
      </c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20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20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20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20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20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20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20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20"/>
    </row>
    <row r="51" spans="3:129" ht="16" hidden="1" customHeight="1" x14ac:dyDescent="0.2">
      <c r="C51" s="13" t="s">
        <v>15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20">
        <f t="shared" si="18"/>
        <v>0</v>
      </c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20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20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20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20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20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20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20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20"/>
    </row>
    <row r="52" spans="3:129" x14ac:dyDescent="0.2">
      <c r="C52" s="10" t="s">
        <v>7</v>
      </c>
      <c r="E52" s="21" cm="1">
        <f t="array" aca="1" ref="E52" ca="1">SUM(INDIRECT(ADDRESS(expensesMinRow,COLUMN()) &amp;":"&amp; ADDRESS(expensesMaxRow,COLUMN())))</f>
        <v>0</v>
      </c>
      <c r="F52" s="21" cm="1">
        <f t="array" aca="1" ref="F52" ca="1">SUM(INDIRECT(ADDRESS(expensesMinRow,COLUMN()) &amp;":"&amp; ADDRESS(expensesMaxRow,COLUMN())))</f>
        <v>0</v>
      </c>
      <c r="G52" s="21" cm="1">
        <f t="array" aca="1" ref="G52" ca="1">SUM(INDIRECT(ADDRESS(expensesMinRow,COLUMN()) &amp;":"&amp; ADDRESS(expensesMaxRow,COLUMN())))</f>
        <v>0</v>
      </c>
      <c r="H52" s="21" cm="1">
        <f t="array" aca="1" ref="H52" ca="1">SUM(INDIRECT(ADDRESS(expensesMinRow,COLUMN()) &amp;":"&amp; ADDRESS(expensesMaxRow,COLUMN())))</f>
        <v>0</v>
      </c>
      <c r="I52" s="21" cm="1">
        <f t="array" aca="1" ref="I52" ca="1">SUM(INDIRECT(ADDRESS(expensesMinRow,COLUMN()) &amp;":"&amp; ADDRESS(expensesMaxRow,COLUMN())))</f>
        <v>0</v>
      </c>
      <c r="J52" s="21" cm="1">
        <f t="array" aca="1" ref="J52" ca="1">SUM(INDIRECT(ADDRESS(expensesMinRow,COLUMN()) &amp;":"&amp; ADDRESS(expensesMaxRow,COLUMN())))</f>
        <v>0</v>
      </c>
      <c r="K52" s="21" cm="1">
        <f t="array" aca="1" ref="K52" ca="1">SUM(INDIRECT(ADDRESS(expensesMinRow,COLUMN()) &amp;":"&amp; ADDRESS(expensesMaxRow,COLUMN())))</f>
        <v>23155</v>
      </c>
      <c r="L52" s="21" cm="1">
        <f t="array" aca="1" ref="L52" ca="1">SUM(INDIRECT(ADDRESS(expensesMinRow,COLUMN()) &amp;":"&amp; ADDRESS(expensesMaxRow,COLUMN())))</f>
        <v>11300</v>
      </c>
      <c r="M52" s="21" cm="1">
        <f t="array" aca="1" ref="M52" ca="1">SUM(INDIRECT(ADDRESS(expensesMinRow,COLUMN()) &amp;":"&amp; ADDRESS(expensesMaxRow,COLUMN())))</f>
        <v>19800</v>
      </c>
      <c r="N52" s="21" cm="1">
        <f t="array" aca="1" ref="N52" ca="1">SUM(INDIRECT(ADDRESS(expensesMinRow,COLUMN()) &amp;":"&amp; ADDRESS(expensesMaxRow,COLUMN())))</f>
        <v>20000</v>
      </c>
      <c r="O52" s="21" cm="1">
        <f t="array" aca="1" ref="O52" ca="1">SUM(INDIRECT(ADDRESS(expensesMinRow,COLUMN()) &amp;":"&amp; ADDRESS(expensesMaxRow,COLUMN())))</f>
        <v>14490</v>
      </c>
      <c r="P52" s="21" cm="1">
        <f t="array" aca="1" ref="P52" ca="1">SUM(INDIRECT(ADDRESS(expensesMinRow,COLUMN()) &amp;":"&amp; ADDRESS(expensesMaxRow,COLUMN())))</f>
        <v>12490</v>
      </c>
      <c r="Q52" s="21" cm="1">
        <f t="array" aca="1" ref="Q52" ca="1">SUM(INDIRECT(ADDRESS(expensesMinRow,COLUMN()) &amp;":"&amp; ADDRESS(expensesMaxRow,COLUMN())))</f>
        <v>101235</v>
      </c>
      <c r="S52" s="21" cm="1">
        <f t="array" aca="1" ref="S52" ca="1">SUM(INDIRECT(ADDRESS(expensesMinRow,COLUMN()) &amp;":"&amp; ADDRESS(expensesMaxRow,COLUMN())))</f>
        <v>0</v>
      </c>
      <c r="T52" s="21" cm="1">
        <f t="array" aca="1" ref="T52" ca="1">SUM(INDIRECT(ADDRESS(expensesMinRow,COLUMN()) &amp;":"&amp; ADDRESS(expensesMaxRow,COLUMN())))</f>
        <v>0</v>
      </c>
      <c r="U52" s="21" cm="1">
        <f t="array" aca="1" ref="U52" ca="1">SUM(INDIRECT(ADDRESS(expensesMinRow,COLUMN()) &amp;":"&amp; ADDRESS(expensesMaxRow,COLUMN())))</f>
        <v>0</v>
      </c>
      <c r="V52" s="21" cm="1">
        <f t="array" aca="1" ref="V52" ca="1">SUM(INDIRECT(ADDRESS(expensesMinRow,COLUMN()) &amp;":"&amp; ADDRESS(expensesMaxRow,COLUMN())))</f>
        <v>0</v>
      </c>
      <c r="W52" s="21" cm="1">
        <f t="array" aca="1" ref="W52" ca="1">SUM(INDIRECT(ADDRESS(expensesMinRow,COLUMN()) &amp;":"&amp; ADDRESS(expensesMaxRow,COLUMN())))</f>
        <v>0</v>
      </c>
      <c r="X52" s="21" cm="1">
        <f t="array" aca="1" ref="X52" ca="1">SUM(INDIRECT(ADDRESS(expensesMinRow,COLUMN()) &amp;":"&amp; ADDRESS(expensesMaxRow,COLUMN())))</f>
        <v>0</v>
      </c>
      <c r="Y52" s="21" cm="1">
        <f t="array" aca="1" ref="Y52" ca="1">SUM(INDIRECT(ADDRESS(expensesMinRow,COLUMN()) &amp;":"&amp; ADDRESS(expensesMaxRow,COLUMN())))</f>
        <v>0</v>
      </c>
      <c r="Z52" s="21" cm="1">
        <f t="array" aca="1" ref="Z52" ca="1">SUM(INDIRECT(ADDRESS(expensesMinRow,COLUMN()) &amp;":"&amp; ADDRESS(expensesMaxRow,COLUMN())))</f>
        <v>0</v>
      </c>
      <c r="AA52" s="21" cm="1">
        <f t="array" aca="1" ref="AA52" ca="1">SUM(INDIRECT(ADDRESS(expensesMinRow,COLUMN()) &amp;":"&amp; ADDRESS(expensesMaxRow,COLUMN())))</f>
        <v>0</v>
      </c>
      <c r="AB52" s="21" cm="1">
        <f t="array" aca="1" ref="AB52" ca="1">SUM(INDIRECT(ADDRESS(expensesMinRow,COLUMN()) &amp;":"&amp; ADDRESS(expensesMaxRow,COLUMN())))</f>
        <v>0</v>
      </c>
      <c r="AC52" s="21" cm="1">
        <f t="array" aca="1" ref="AC52" ca="1">SUM(INDIRECT(ADDRESS(expensesMinRow,COLUMN()) &amp;":"&amp; ADDRESS(expensesMaxRow,COLUMN())))</f>
        <v>0</v>
      </c>
      <c r="AD52" s="21" cm="1">
        <f t="array" aca="1" ref="AD52" ca="1">SUM(INDIRECT(ADDRESS(expensesMinRow,COLUMN()) &amp;":"&amp; ADDRESS(expensesMaxRow,COLUMN())))</f>
        <v>0</v>
      </c>
      <c r="AE52" s="21" cm="1">
        <f t="array" aca="1" ref="AE52" ca="1">SUM(INDIRECT(ADDRESS(expensesMinRow,COLUMN()) &amp;":"&amp; ADDRESS(expensesMaxRow,COLUMN())))</f>
        <v>0</v>
      </c>
      <c r="AG52" s="21" cm="1">
        <f t="array" aca="1" ref="AG52" ca="1">SUM(INDIRECT(ADDRESS(expensesMinRow,COLUMN()) &amp;":"&amp; ADDRESS(expensesMaxRow,COLUMN())))</f>
        <v>0</v>
      </c>
      <c r="AH52" s="21" cm="1">
        <f t="array" aca="1" ref="AH52" ca="1">SUM(INDIRECT(ADDRESS(expensesMinRow,COLUMN()) &amp;":"&amp; ADDRESS(expensesMaxRow,COLUMN())))</f>
        <v>0</v>
      </c>
      <c r="AI52" s="21" cm="1">
        <f t="array" aca="1" ref="AI52" ca="1">SUM(INDIRECT(ADDRESS(expensesMinRow,COLUMN()) &amp;":"&amp; ADDRESS(expensesMaxRow,COLUMN())))</f>
        <v>0</v>
      </c>
      <c r="AJ52" s="21" cm="1">
        <f t="array" aca="1" ref="AJ52" ca="1">SUM(INDIRECT(ADDRESS(expensesMinRow,COLUMN()) &amp;":"&amp; ADDRESS(expensesMaxRow,COLUMN())))</f>
        <v>0</v>
      </c>
      <c r="AK52" s="21" cm="1">
        <f t="array" aca="1" ref="AK52" ca="1">SUM(INDIRECT(ADDRESS(expensesMinRow,COLUMN()) &amp;":"&amp; ADDRESS(expensesMaxRow,COLUMN())))</f>
        <v>0</v>
      </c>
      <c r="AL52" s="21" cm="1">
        <f t="array" aca="1" ref="AL52" ca="1">SUM(INDIRECT(ADDRESS(expensesMinRow,COLUMN()) &amp;":"&amp; ADDRESS(expensesMaxRow,COLUMN())))</f>
        <v>0</v>
      </c>
      <c r="AM52" s="21" cm="1">
        <f t="array" aca="1" ref="AM52" ca="1">SUM(INDIRECT(ADDRESS(expensesMinRow,COLUMN()) &amp;":"&amp; ADDRESS(expensesMaxRow,COLUMN())))</f>
        <v>0</v>
      </c>
      <c r="AN52" s="21" cm="1">
        <f t="array" aca="1" ref="AN52" ca="1">SUM(INDIRECT(ADDRESS(expensesMinRow,COLUMN()) &amp;":"&amp; ADDRESS(expensesMaxRow,COLUMN())))</f>
        <v>0</v>
      </c>
      <c r="AO52" s="21" cm="1">
        <f t="array" aca="1" ref="AO52" ca="1">SUM(INDIRECT(ADDRESS(expensesMinRow,COLUMN()) &amp;":"&amp; ADDRESS(expensesMaxRow,COLUMN())))</f>
        <v>0</v>
      </c>
      <c r="AP52" s="21" cm="1">
        <f t="array" aca="1" ref="AP52" ca="1">SUM(INDIRECT(ADDRESS(expensesMinRow,COLUMN()) &amp;":"&amp; ADDRESS(expensesMaxRow,COLUMN())))</f>
        <v>0</v>
      </c>
      <c r="AQ52" s="21" cm="1">
        <f t="array" aca="1" ref="AQ52" ca="1">SUM(INDIRECT(ADDRESS(expensesMinRow,COLUMN()) &amp;":"&amp; ADDRESS(expensesMaxRow,COLUMN())))</f>
        <v>0</v>
      </c>
      <c r="AR52" s="21" cm="1">
        <f t="array" aca="1" ref="AR52" ca="1">SUM(INDIRECT(ADDRESS(expensesMinRow,COLUMN()) &amp;":"&amp; ADDRESS(expensesMaxRow,COLUMN())))</f>
        <v>0</v>
      </c>
      <c r="AS52" s="21" cm="1">
        <f t="array" aca="1" ref="AS52" ca="1">SUM(INDIRECT(ADDRESS(expensesMinRow,COLUMN()) &amp;":"&amp; ADDRESS(expensesMaxRow,COLUMN())))</f>
        <v>0</v>
      </c>
      <c r="AU52" s="21" cm="1">
        <f t="array" aca="1" ref="AU52" ca="1">SUM(INDIRECT(ADDRESS(expensesMinRow,COLUMN()) &amp;":"&amp; ADDRESS(expensesMaxRow,COLUMN())))</f>
        <v>0</v>
      </c>
      <c r="AV52" s="21" cm="1">
        <f t="array" aca="1" ref="AV52" ca="1">SUM(INDIRECT(ADDRESS(expensesMinRow,COLUMN()) &amp;":"&amp; ADDRESS(expensesMaxRow,COLUMN())))</f>
        <v>0</v>
      </c>
      <c r="AW52" s="21" cm="1">
        <f t="array" aca="1" ref="AW52" ca="1">SUM(INDIRECT(ADDRESS(expensesMinRow,COLUMN()) &amp;":"&amp; ADDRESS(expensesMaxRow,COLUMN())))</f>
        <v>0</v>
      </c>
      <c r="AX52" s="21" cm="1">
        <f t="array" aca="1" ref="AX52" ca="1">SUM(INDIRECT(ADDRESS(expensesMinRow,COLUMN()) &amp;":"&amp; ADDRESS(expensesMaxRow,COLUMN())))</f>
        <v>0</v>
      </c>
      <c r="AY52" s="21" cm="1">
        <f t="array" aca="1" ref="AY52" ca="1">SUM(INDIRECT(ADDRESS(expensesMinRow,COLUMN()) &amp;":"&amp; ADDRESS(expensesMaxRow,COLUMN())))</f>
        <v>0</v>
      </c>
      <c r="AZ52" s="21" cm="1">
        <f t="array" aca="1" ref="AZ52" ca="1">SUM(INDIRECT(ADDRESS(expensesMinRow,COLUMN()) &amp;":"&amp; ADDRESS(expensesMaxRow,COLUMN())))</f>
        <v>0</v>
      </c>
      <c r="BA52" s="21" cm="1">
        <f t="array" aca="1" ref="BA52" ca="1">SUM(INDIRECT(ADDRESS(expensesMinRow,COLUMN()) &amp;":"&amp; ADDRESS(expensesMaxRow,COLUMN())))</f>
        <v>0</v>
      </c>
      <c r="BB52" s="21" cm="1">
        <f t="array" aca="1" ref="BB52" ca="1">SUM(INDIRECT(ADDRESS(expensesMinRow,COLUMN()) &amp;":"&amp; ADDRESS(expensesMaxRow,COLUMN())))</f>
        <v>0</v>
      </c>
      <c r="BC52" s="21" cm="1">
        <f t="array" aca="1" ref="BC52" ca="1">SUM(INDIRECT(ADDRESS(expensesMinRow,COLUMN()) &amp;":"&amp; ADDRESS(expensesMaxRow,COLUMN())))</f>
        <v>0</v>
      </c>
      <c r="BD52" s="21" cm="1">
        <f t="array" aca="1" ref="BD52" ca="1">SUM(INDIRECT(ADDRESS(expensesMinRow,COLUMN()) &amp;":"&amp; ADDRESS(expensesMaxRow,COLUMN())))</f>
        <v>0</v>
      </c>
      <c r="BE52" s="21" cm="1">
        <f t="array" aca="1" ref="BE52" ca="1">SUM(INDIRECT(ADDRESS(expensesMinRow,COLUMN()) &amp;":"&amp; ADDRESS(expensesMaxRow,COLUMN())))</f>
        <v>0</v>
      </c>
      <c r="BF52" s="21" cm="1">
        <f t="array" aca="1" ref="BF52" ca="1">SUM(INDIRECT(ADDRESS(expensesMinRow,COLUMN()) &amp;":"&amp; ADDRESS(expensesMaxRow,COLUMN())))</f>
        <v>0</v>
      </c>
      <c r="BG52" s="21" cm="1">
        <f t="array" aca="1" ref="BG52" ca="1">SUM(INDIRECT(ADDRESS(expensesMinRow,COLUMN()) &amp;":"&amp; ADDRESS(expensesMaxRow,COLUMN())))</f>
        <v>0</v>
      </c>
      <c r="BI52" s="21" cm="1">
        <f t="array" aca="1" ref="BI52" ca="1">SUM(INDIRECT(ADDRESS(expensesMinRow,COLUMN()) &amp;":"&amp; ADDRESS(expensesMaxRow,COLUMN())))</f>
        <v>0</v>
      </c>
      <c r="BJ52" s="21" cm="1">
        <f t="array" aca="1" ref="BJ52" ca="1">SUM(INDIRECT(ADDRESS(expensesMinRow,COLUMN()) &amp;":"&amp; ADDRESS(expensesMaxRow,COLUMN())))</f>
        <v>0</v>
      </c>
      <c r="BK52" s="21" cm="1">
        <f t="array" aca="1" ref="BK52" ca="1">SUM(INDIRECT(ADDRESS(expensesMinRow,COLUMN()) &amp;":"&amp; ADDRESS(expensesMaxRow,COLUMN())))</f>
        <v>0</v>
      </c>
      <c r="BL52" s="21" cm="1">
        <f t="array" aca="1" ref="BL52" ca="1">SUM(INDIRECT(ADDRESS(expensesMinRow,COLUMN()) &amp;":"&amp; ADDRESS(expensesMaxRow,COLUMN())))</f>
        <v>0</v>
      </c>
      <c r="BM52" s="21" cm="1">
        <f t="array" aca="1" ref="BM52" ca="1">SUM(INDIRECT(ADDRESS(expensesMinRow,COLUMN()) &amp;":"&amp; ADDRESS(expensesMaxRow,COLUMN())))</f>
        <v>0</v>
      </c>
      <c r="BN52" s="21" cm="1">
        <f t="array" aca="1" ref="BN52" ca="1">SUM(INDIRECT(ADDRESS(expensesMinRow,COLUMN()) &amp;":"&amp; ADDRESS(expensesMaxRow,COLUMN())))</f>
        <v>0</v>
      </c>
      <c r="BO52" s="21" cm="1">
        <f t="array" aca="1" ref="BO52" ca="1">SUM(INDIRECT(ADDRESS(expensesMinRow,COLUMN()) &amp;":"&amp; ADDRESS(expensesMaxRow,COLUMN())))</f>
        <v>0</v>
      </c>
      <c r="BP52" s="21" cm="1">
        <f t="array" aca="1" ref="BP52" ca="1">SUM(INDIRECT(ADDRESS(expensesMinRow,COLUMN()) &amp;":"&amp; ADDRESS(expensesMaxRow,COLUMN())))</f>
        <v>0</v>
      </c>
      <c r="BQ52" s="21" cm="1">
        <f t="array" aca="1" ref="BQ52" ca="1">SUM(INDIRECT(ADDRESS(expensesMinRow,COLUMN()) &amp;":"&amp; ADDRESS(expensesMaxRow,COLUMN())))</f>
        <v>0</v>
      </c>
      <c r="BR52" s="21" cm="1">
        <f t="array" aca="1" ref="BR52" ca="1">SUM(INDIRECT(ADDRESS(expensesMinRow,COLUMN()) &amp;":"&amp; ADDRESS(expensesMaxRow,COLUMN())))</f>
        <v>0</v>
      </c>
      <c r="BS52" s="21" cm="1">
        <f t="array" aca="1" ref="BS52" ca="1">SUM(INDIRECT(ADDRESS(expensesMinRow,COLUMN()) &amp;":"&amp; ADDRESS(expensesMaxRow,COLUMN())))</f>
        <v>0</v>
      </c>
      <c r="BT52" s="21" cm="1">
        <f t="array" aca="1" ref="BT52" ca="1">SUM(INDIRECT(ADDRESS(expensesMinRow,COLUMN()) &amp;":"&amp; ADDRESS(expensesMaxRow,COLUMN())))</f>
        <v>0</v>
      </c>
      <c r="BU52" s="21" cm="1">
        <f t="array" aca="1" ref="BU52" ca="1">SUM(INDIRECT(ADDRESS(expensesMinRow,COLUMN()) &amp;":"&amp; ADDRESS(expensesMaxRow,COLUMN())))</f>
        <v>0</v>
      </c>
      <c r="BW52" s="21" cm="1">
        <f t="array" aca="1" ref="BW52" ca="1">SUM(INDIRECT(ADDRESS(expensesMinRow,COLUMN()) &amp;":"&amp; ADDRESS(expensesMaxRow,COLUMN())))</f>
        <v>0</v>
      </c>
      <c r="BX52" s="21" cm="1">
        <f t="array" aca="1" ref="BX52" ca="1">SUM(INDIRECT(ADDRESS(expensesMinRow,COLUMN()) &amp;":"&amp; ADDRESS(expensesMaxRow,COLUMN())))</f>
        <v>0</v>
      </c>
      <c r="BY52" s="21" cm="1">
        <f t="array" aca="1" ref="BY52" ca="1">SUM(INDIRECT(ADDRESS(expensesMinRow,COLUMN()) &amp;":"&amp; ADDRESS(expensesMaxRow,COLUMN())))</f>
        <v>0</v>
      </c>
      <c r="BZ52" s="21" cm="1">
        <f t="array" aca="1" ref="BZ52" ca="1">SUM(INDIRECT(ADDRESS(expensesMinRow,COLUMN()) &amp;":"&amp; ADDRESS(expensesMaxRow,COLUMN())))</f>
        <v>0</v>
      </c>
      <c r="CA52" s="21" cm="1">
        <f t="array" aca="1" ref="CA52" ca="1">SUM(INDIRECT(ADDRESS(expensesMinRow,COLUMN()) &amp;":"&amp; ADDRESS(expensesMaxRow,COLUMN())))</f>
        <v>0</v>
      </c>
      <c r="CB52" s="21" cm="1">
        <f t="array" aca="1" ref="CB52" ca="1">SUM(INDIRECT(ADDRESS(expensesMinRow,COLUMN()) &amp;":"&amp; ADDRESS(expensesMaxRow,COLUMN())))</f>
        <v>0</v>
      </c>
      <c r="CC52" s="21" cm="1">
        <f t="array" aca="1" ref="CC52" ca="1">SUM(INDIRECT(ADDRESS(expensesMinRow,COLUMN()) &amp;":"&amp; ADDRESS(expensesMaxRow,COLUMN())))</f>
        <v>0</v>
      </c>
      <c r="CD52" s="21" cm="1">
        <f t="array" aca="1" ref="CD52" ca="1">SUM(INDIRECT(ADDRESS(expensesMinRow,COLUMN()) &amp;":"&amp; ADDRESS(expensesMaxRow,COLUMN())))</f>
        <v>0</v>
      </c>
      <c r="CE52" s="21" cm="1">
        <f t="array" aca="1" ref="CE52" ca="1">SUM(INDIRECT(ADDRESS(expensesMinRow,COLUMN()) &amp;":"&amp; ADDRESS(expensesMaxRow,COLUMN())))</f>
        <v>0</v>
      </c>
      <c r="CF52" s="21" cm="1">
        <f t="array" aca="1" ref="CF52" ca="1">SUM(INDIRECT(ADDRESS(expensesMinRow,COLUMN()) &amp;":"&amp; ADDRESS(expensesMaxRow,COLUMN())))</f>
        <v>0</v>
      </c>
      <c r="CG52" s="21" cm="1">
        <f t="array" aca="1" ref="CG52" ca="1">SUM(INDIRECT(ADDRESS(expensesMinRow,COLUMN()) &amp;":"&amp; ADDRESS(expensesMaxRow,COLUMN())))</f>
        <v>0</v>
      </c>
      <c r="CH52" s="21" cm="1">
        <f t="array" aca="1" ref="CH52" ca="1">SUM(INDIRECT(ADDRESS(expensesMinRow,COLUMN()) &amp;":"&amp; ADDRESS(expensesMaxRow,COLUMN())))</f>
        <v>0</v>
      </c>
      <c r="CI52" s="21" cm="1">
        <f t="array" aca="1" ref="CI52" ca="1">SUM(INDIRECT(ADDRESS(expensesMinRow,COLUMN()) &amp;":"&amp; ADDRESS(expensesMaxRow,COLUMN())))</f>
        <v>0</v>
      </c>
      <c r="CK52" s="21" cm="1">
        <f t="array" aca="1" ref="CK52" ca="1">SUM(INDIRECT(ADDRESS(expensesMinRow,COLUMN()) &amp;":"&amp; ADDRESS(expensesMaxRow,COLUMN())))</f>
        <v>0</v>
      </c>
      <c r="CL52" s="21" cm="1">
        <f t="array" aca="1" ref="CL52" ca="1">SUM(INDIRECT(ADDRESS(expensesMinRow,COLUMN()) &amp;":"&amp; ADDRESS(expensesMaxRow,COLUMN())))</f>
        <v>0</v>
      </c>
      <c r="CM52" s="21" cm="1">
        <f t="array" aca="1" ref="CM52" ca="1">SUM(INDIRECT(ADDRESS(expensesMinRow,COLUMN()) &amp;":"&amp; ADDRESS(expensesMaxRow,COLUMN())))</f>
        <v>0</v>
      </c>
      <c r="CN52" s="21" cm="1">
        <f t="array" aca="1" ref="CN52" ca="1">SUM(INDIRECT(ADDRESS(expensesMinRow,COLUMN()) &amp;":"&amp; ADDRESS(expensesMaxRow,COLUMN())))</f>
        <v>0</v>
      </c>
      <c r="CO52" s="21" cm="1">
        <f t="array" aca="1" ref="CO52" ca="1">SUM(INDIRECT(ADDRESS(expensesMinRow,COLUMN()) &amp;":"&amp; ADDRESS(expensesMaxRow,COLUMN())))</f>
        <v>0</v>
      </c>
      <c r="CP52" s="21" cm="1">
        <f t="array" aca="1" ref="CP52" ca="1">SUM(INDIRECT(ADDRESS(expensesMinRow,COLUMN()) &amp;":"&amp; ADDRESS(expensesMaxRow,COLUMN())))</f>
        <v>0</v>
      </c>
      <c r="CQ52" s="21" cm="1">
        <f t="array" aca="1" ref="CQ52" ca="1">SUM(INDIRECT(ADDRESS(expensesMinRow,COLUMN()) &amp;":"&amp; ADDRESS(expensesMaxRow,COLUMN())))</f>
        <v>0</v>
      </c>
      <c r="CR52" s="21" cm="1">
        <f t="array" aca="1" ref="CR52" ca="1">SUM(INDIRECT(ADDRESS(expensesMinRow,COLUMN()) &amp;":"&amp; ADDRESS(expensesMaxRow,COLUMN())))</f>
        <v>0</v>
      </c>
      <c r="CS52" s="21" cm="1">
        <f t="array" aca="1" ref="CS52" ca="1">SUM(INDIRECT(ADDRESS(expensesMinRow,COLUMN()) &amp;":"&amp; ADDRESS(expensesMaxRow,COLUMN())))</f>
        <v>0</v>
      </c>
      <c r="CT52" s="21" cm="1">
        <f t="array" aca="1" ref="CT52" ca="1">SUM(INDIRECT(ADDRESS(expensesMinRow,COLUMN()) &amp;":"&amp; ADDRESS(expensesMaxRow,COLUMN())))</f>
        <v>0</v>
      </c>
      <c r="CU52" s="21" cm="1">
        <f t="array" aca="1" ref="CU52" ca="1">SUM(INDIRECT(ADDRESS(expensesMinRow,COLUMN()) &amp;":"&amp; ADDRESS(expensesMaxRow,COLUMN())))</f>
        <v>0</v>
      </c>
      <c r="CV52" s="21" cm="1">
        <f t="array" aca="1" ref="CV52" ca="1">SUM(INDIRECT(ADDRESS(expensesMinRow,COLUMN()) &amp;":"&amp; ADDRESS(expensesMaxRow,COLUMN())))</f>
        <v>0</v>
      </c>
      <c r="CW52" s="21" cm="1">
        <f t="array" aca="1" ref="CW52" ca="1">SUM(INDIRECT(ADDRESS(expensesMinRow,COLUMN()) &amp;":"&amp; ADDRESS(expensesMaxRow,COLUMN())))</f>
        <v>0</v>
      </c>
      <c r="CY52" s="21" cm="1">
        <f t="array" aca="1" ref="CY52" ca="1">SUM(INDIRECT(ADDRESS(expensesMinRow,COLUMN()) &amp;":"&amp; ADDRESS(expensesMaxRow,COLUMN())))</f>
        <v>0</v>
      </c>
      <c r="CZ52" s="21" cm="1">
        <f t="array" aca="1" ref="CZ52" ca="1">SUM(INDIRECT(ADDRESS(expensesMinRow,COLUMN()) &amp;":"&amp; ADDRESS(expensesMaxRow,COLUMN())))</f>
        <v>0</v>
      </c>
      <c r="DA52" s="21" cm="1">
        <f t="array" aca="1" ref="DA52" ca="1">SUM(INDIRECT(ADDRESS(expensesMinRow,COLUMN()) &amp;":"&amp; ADDRESS(expensesMaxRow,COLUMN())))</f>
        <v>0</v>
      </c>
      <c r="DB52" s="21" cm="1">
        <f t="array" aca="1" ref="DB52" ca="1">SUM(INDIRECT(ADDRESS(expensesMinRow,COLUMN()) &amp;":"&amp; ADDRESS(expensesMaxRow,COLUMN())))</f>
        <v>0</v>
      </c>
      <c r="DC52" s="21" cm="1">
        <f t="array" aca="1" ref="DC52" ca="1">SUM(INDIRECT(ADDRESS(expensesMinRow,COLUMN()) &amp;":"&amp; ADDRESS(expensesMaxRow,COLUMN())))</f>
        <v>0</v>
      </c>
      <c r="DD52" s="21" cm="1">
        <f t="array" aca="1" ref="DD52" ca="1">SUM(INDIRECT(ADDRESS(expensesMinRow,COLUMN()) &amp;":"&amp; ADDRESS(expensesMaxRow,COLUMN())))</f>
        <v>0</v>
      </c>
      <c r="DE52" s="21" cm="1">
        <f t="array" aca="1" ref="DE52" ca="1">SUM(INDIRECT(ADDRESS(expensesMinRow,COLUMN()) &amp;":"&amp; ADDRESS(expensesMaxRow,COLUMN())))</f>
        <v>0</v>
      </c>
      <c r="DF52" s="21" cm="1">
        <f t="array" aca="1" ref="DF52" ca="1">SUM(INDIRECT(ADDRESS(expensesMinRow,COLUMN()) &amp;":"&amp; ADDRESS(expensesMaxRow,COLUMN())))</f>
        <v>0</v>
      </c>
      <c r="DG52" s="21" cm="1">
        <f t="array" aca="1" ref="DG52" ca="1">SUM(INDIRECT(ADDRESS(expensesMinRow,COLUMN()) &amp;":"&amp; ADDRESS(expensesMaxRow,COLUMN())))</f>
        <v>0</v>
      </c>
      <c r="DH52" s="21" cm="1">
        <f t="array" aca="1" ref="DH52" ca="1">SUM(INDIRECT(ADDRESS(expensesMinRow,COLUMN()) &amp;":"&amp; ADDRESS(expensesMaxRow,COLUMN())))</f>
        <v>0</v>
      </c>
      <c r="DI52" s="21" cm="1">
        <f t="array" aca="1" ref="DI52" ca="1">SUM(INDIRECT(ADDRESS(expensesMinRow,COLUMN()) &amp;":"&amp; ADDRESS(expensesMaxRow,COLUMN())))</f>
        <v>0</v>
      </c>
      <c r="DJ52" s="21" cm="1">
        <f t="array" aca="1" ref="DJ52" ca="1">SUM(INDIRECT(ADDRESS(expensesMinRow,COLUMN()) &amp;":"&amp; ADDRESS(expensesMaxRow,COLUMN())))</f>
        <v>0</v>
      </c>
      <c r="DK52" s="21" cm="1">
        <f t="array" aca="1" ref="DK52" ca="1">SUM(INDIRECT(ADDRESS(expensesMinRow,COLUMN()) &amp;":"&amp; ADDRESS(expensesMaxRow,COLUMN())))</f>
        <v>0</v>
      </c>
      <c r="DM52" s="21" cm="1">
        <f t="array" aca="1" ref="DM52" ca="1">SUM(INDIRECT(ADDRESS(expensesMinRow,COLUMN()) &amp;":"&amp; ADDRESS(expensesMaxRow,COLUMN())))</f>
        <v>0</v>
      </c>
      <c r="DN52" s="21" cm="1">
        <f t="array" aca="1" ref="DN52" ca="1">SUM(INDIRECT(ADDRESS(expensesMinRow,COLUMN()) &amp;":"&amp; ADDRESS(expensesMaxRow,COLUMN())))</f>
        <v>0</v>
      </c>
      <c r="DO52" s="21" cm="1">
        <f t="array" aca="1" ref="DO52" ca="1">SUM(INDIRECT(ADDRESS(expensesMinRow,COLUMN()) &amp;":"&amp; ADDRESS(expensesMaxRow,COLUMN())))</f>
        <v>0</v>
      </c>
      <c r="DP52" s="21" cm="1">
        <f t="array" aca="1" ref="DP52" ca="1">SUM(INDIRECT(ADDRESS(expensesMinRow,COLUMN()) &amp;":"&amp; ADDRESS(expensesMaxRow,COLUMN())))</f>
        <v>0</v>
      </c>
      <c r="DQ52" s="21" cm="1">
        <f t="array" aca="1" ref="DQ52" ca="1">SUM(INDIRECT(ADDRESS(expensesMinRow,COLUMN()) &amp;":"&amp; ADDRESS(expensesMaxRow,COLUMN())))</f>
        <v>0</v>
      </c>
      <c r="DR52" s="21" cm="1">
        <f t="array" aca="1" ref="DR52" ca="1">SUM(INDIRECT(ADDRESS(expensesMinRow,COLUMN()) &amp;":"&amp; ADDRESS(expensesMaxRow,COLUMN())))</f>
        <v>0</v>
      </c>
      <c r="DS52" s="21" cm="1">
        <f t="array" aca="1" ref="DS52" ca="1">SUM(INDIRECT(ADDRESS(expensesMinRow,COLUMN()) &amp;":"&amp; ADDRESS(expensesMaxRow,COLUMN())))</f>
        <v>0</v>
      </c>
      <c r="DT52" s="21" cm="1">
        <f t="array" aca="1" ref="DT52" ca="1">SUM(INDIRECT(ADDRESS(expensesMinRow,COLUMN()) &amp;":"&amp; ADDRESS(expensesMaxRow,COLUMN())))</f>
        <v>0</v>
      </c>
      <c r="DU52" s="21" cm="1">
        <f t="array" aca="1" ref="DU52" ca="1">SUM(INDIRECT(ADDRESS(expensesMinRow,COLUMN()) &amp;":"&amp; ADDRESS(expensesMaxRow,COLUMN())))</f>
        <v>0</v>
      </c>
      <c r="DV52" s="21" cm="1">
        <f t="array" aca="1" ref="DV52" ca="1">SUM(INDIRECT(ADDRESS(expensesMinRow,COLUMN()) &amp;":"&amp; ADDRESS(expensesMaxRow,COLUMN())))</f>
        <v>0</v>
      </c>
      <c r="DW52" s="21" cm="1">
        <f t="array" aca="1" ref="DW52" ca="1">SUM(INDIRECT(ADDRESS(expensesMinRow,COLUMN()) &amp;":"&amp; ADDRESS(expensesMaxRow,COLUMN())))</f>
        <v>0</v>
      </c>
      <c r="DX52" s="21" cm="1">
        <f t="array" aca="1" ref="DX52" ca="1">SUM(INDIRECT(ADDRESS(expensesMinRow,COLUMN()) &amp;":"&amp; ADDRESS(expensesMaxRow,COLUMN())))</f>
        <v>0</v>
      </c>
      <c r="DY52" s="21" cm="1">
        <f t="array" aca="1" ref="DY52" ca="1">SUM(INDIRECT(ADDRESS(expensesMinRow,COLUMN()) &amp;":"&amp; ADDRESS(expensesMaxRow,COLUMN())))</f>
        <v>0</v>
      </c>
    </row>
    <row r="54" spans="3:129" x14ac:dyDescent="0.2">
      <c r="C54" s="9" t="s">
        <v>16</v>
      </c>
      <c r="E54" s="16">
        <f>DATE(E$5,1,1)</f>
        <v>45292</v>
      </c>
      <c r="F54" s="16">
        <f>DATE(E$5,2,1)</f>
        <v>45323</v>
      </c>
      <c r="G54" s="16">
        <f>DATE(E$5,3,1)</f>
        <v>45352</v>
      </c>
      <c r="H54" s="16">
        <f>DATE(E$5,4,1)</f>
        <v>45383</v>
      </c>
      <c r="I54" s="16">
        <f>DATE(E$5,5,1)</f>
        <v>45413</v>
      </c>
      <c r="J54" s="16">
        <f>DATE(E$5,6,1)</f>
        <v>45444</v>
      </c>
      <c r="K54" s="16">
        <f>DATE(E$5,7,1)</f>
        <v>45474</v>
      </c>
      <c r="L54" s="16">
        <f>DATE(E$5,8,1)</f>
        <v>45505</v>
      </c>
      <c r="M54" s="16">
        <f>DATE(E$5,9,1)</f>
        <v>45536</v>
      </c>
      <c r="N54" s="16">
        <f>DATE(E$5,10,1)</f>
        <v>45566</v>
      </c>
      <c r="O54" s="16">
        <f>DATE(E$5,11,1)</f>
        <v>45597</v>
      </c>
      <c r="P54" s="16">
        <f>DATE(E$5,12,1)</f>
        <v>45627</v>
      </c>
      <c r="Q54" s="17">
        <f>E$5</f>
        <v>2024</v>
      </c>
      <c r="S54" s="16">
        <f>DATE(S$5,1,1)</f>
        <v>45658</v>
      </c>
      <c r="T54" s="16">
        <f>DATE(S$5,2,1)</f>
        <v>45689</v>
      </c>
      <c r="U54" s="16">
        <f>DATE(S$5,3,1)</f>
        <v>45717</v>
      </c>
      <c r="V54" s="16">
        <f>DATE(S$5,4,1)</f>
        <v>45748</v>
      </c>
      <c r="W54" s="16">
        <f>DATE(S$5,5,1)</f>
        <v>45778</v>
      </c>
      <c r="X54" s="16">
        <f>DATE(S$5,6,1)</f>
        <v>45809</v>
      </c>
      <c r="Y54" s="16">
        <f>DATE(S$5,7,1)</f>
        <v>45839</v>
      </c>
      <c r="Z54" s="16">
        <f>DATE(S$5,8,1)</f>
        <v>45870</v>
      </c>
      <c r="AA54" s="16">
        <f>DATE(S$5,9,1)</f>
        <v>45901</v>
      </c>
      <c r="AB54" s="16">
        <f>DATE(S$5,10,1)</f>
        <v>45931</v>
      </c>
      <c r="AC54" s="16">
        <f>DATE(S$5,11,1)</f>
        <v>45962</v>
      </c>
      <c r="AD54" s="16">
        <f>DATE(S$5,12,1)</f>
        <v>45992</v>
      </c>
      <c r="AE54" s="17">
        <f>S$5</f>
        <v>2025</v>
      </c>
      <c r="AG54" s="16">
        <f>DATE(AG$5,1,1)</f>
        <v>46023</v>
      </c>
      <c r="AH54" s="16">
        <f>DATE(AG$5,2,1)</f>
        <v>46054</v>
      </c>
      <c r="AI54" s="16">
        <f>DATE(AG$5,3,1)</f>
        <v>46082</v>
      </c>
      <c r="AJ54" s="16">
        <f>DATE(AG$5,4,1)</f>
        <v>46113</v>
      </c>
      <c r="AK54" s="16">
        <f>DATE(AG$5,5,1)</f>
        <v>46143</v>
      </c>
      <c r="AL54" s="16">
        <f>DATE(AG$5,6,1)</f>
        <v>46174</v>
      </c>
      <c r="AM54" s="16">
        <f>DATE(AG$5,7,1)</f>
        <v>46204</v>
      </c>
      <c r="AN54" s="16">
        <f>DATE(AG$5,8,1)</f>
        <v>46235</v>
      </c>
      <c r="AO54" s="16">
        <f>DATE(AG$5,9,1)</f>
        <v>46266</v>
      </c>
      <c r="AP54" s="16">
        <f>DATE(AG$5,10,1)</f>
        <v>46296</v>
      </c>
      <c r="AQ54" s="16">
        <f>DATE(AG$5,11,1)</f>
        <v>46327</v>
      </c>
      <c r="AR54" s="16">
        <f>DATE(AG$5,12,1)</f>
        <v>46357</v>
      </c>
      <c r="AS54" s="17">
        <f>AG$5</f>
        <v>2026</v>
      </c>
      <c r="AU54" s="16">
        <f>DATE(AU$5,1,1)</f>
        <v>46388</v>
      </c>
      <c r="AV54" s="16">
        <f>DATE(AU$5,2,1)</f>
        <v>46419</v>
      </c>
      <c r="AW54" s="16">
        <f>DATE(AU$5,3,1)</f>
        <v>46447</v>
      </c>
      <c r="AX54" s="16">
        <f>DATE(AU$5,4,1)</f>
        <v>46478</v>
      </c>
      <c r="AY54" s="16">
        <f>DATE(AU$5,5,1)</f>
        <v>46508</v>
      </c>
      <c r="AZ54" s="16">
        <f>DATE(AU$5,6,1)</f>
        <v>46539</v>
      </c>
      <c r="BA54" s="16">
        <f>DATE(AU$5,7,1)</f>
        <v>46569</v>
      </c>
      <c r="BB54" s="16">
        <f>DATE(AU$5,8,1)</f>
        <v>46600</v>
      </c>
      <c r="BC54" s="16">
        <f>DATE(AU$5,9,1)</f>
        <v>46631</v>
      </c>
      <c r="BD54" s="16">
        <f>DATE(AU$5,10,1)</f>
        <v>46661</v>
      </c>
      <c r="BE54" s="16">
        <f>DATE(AU$5,11,1)</f>
        <v>46692</v>
      </c>
      <c r="BF54" s="16">
        <f>DATE(AU$5,12,1)</f>
        <v>46722</v>
      </c>
      <c r="BG54" s="17">
        <f>AU$5</f>
        <v>2027</v>
      </c>
      <c r="BI54" s="16">
        <f>DATE(BI$5,1,1)</f>
        <v>46753</v>
      </c>
      <c r="BJ54" s="16">
        <f>DATE(BI$5,2,1)</f>
        <v>46784</v>
      </c>
      <c r="BK54" s="16">
        <f>DATE(BI$5,3,1)</f>
        <v>46813</v>
      </c>
      <c r="BL54" s="16">
        <f>DATE(BI$5,4,1)</f>
        <v>46844</v>
      </c>
      <c r="BM54" s="16">
        <f>DATE(BI$5,5,1)</f>
        <v>46874</v>
      </c>
      <c r="BN54" s="16">
        <f>DATE(BI$5,6,1)</f>
        <v>46905</v>
      </c>
      <c r="BO54" s="16">
        <f>DATE(BI$5,7,1)</f>
        <v>46935</v>
      </c>
      <c r="BP54" s="16">
        <f>DATE(BI$5,8,1)</f>
        <v>46966</v>
      </c>
      <c r="BQ54" s="16">
        <f>DATE(BI$5,9,1)</f>
        <v>46997</v>
      </c>
      <c r="BR54" s="16">
        <f>DATE(BI$5,10,1)</f>
        <v>47027</v>
      </c>
      <c r="BS54" s="16">
        <f>DATE(BI$5,11,1)</f>
        <v>47058</v>
      </c>
      <c r="BT54" s="16">
        <f>DATE(BI$5,12,1)</f>
        <v>47088</v>
      </c>
      <c r="BU54" s="17">
        <f>BI$5</f>
        <v>2028</v>
      </c>
      <c r="BW54" s="16">
        <f>DATE(BW$5,1,1)</f>
        <v>47119</v>
      </c>
      <c r="BX54" s="16">
        <f>DATE(BW$5,2,1)</f>
        <v>47150</v>
      </c>
      <c r="BY54" s="16">
        <f>DATE(BW$5,3,1)</f>
        <v>47178</v>
      </c>
      <c r="BZ54" s="16">
        <f>DATE(BW$5,4,1)</f>
        <v>47209</v>
      </c>
      <c r="CA54" s="16">
        <f>DATE(BW$5,5,1)</f>
        <v>47239</v>
      </c>
      <c r="CB54" s="16">
        <f>DATE(BW$5,6,1)</f>
        <v>47270</v>
      </c>
      <c r="CC54" s="16">
        <f>DATE(BW$5,7,1)</f>
        <v>47300</v>
      </c>
      <c r="CD54" s="16">
        <f>DATE(BW$5,8,1)</f>
        <v>47331</v>
      </c>
      <c r="CE54" s="16">
        <f>DATE(BW$5,9,1)</f>
        <v>47362</v>
      </c>
      <c r="CF54" s="16">
        <f>DATE(BW$5,10,1)</f>
        <v>47392</v>
      </c>
      <c r="CG54" s="16">
        <f>DATE(BW$5,11,1)</f>
        <v>47423</v>
      </c>
      <c r="CH54" s="16">
        <f>DATE(BW$5,12,1)</f>
        <v>47453</v>
      </c>
      <c r="CI54" s="17">
        <f>BW$5</f>
        <v>2029</v>
      </c>
      <c r="CK54" s="16">
        <f>DATE(CK$5,1,1)</f>
        <v>47484</v>
      </c>
      <c r="CL54" s="16">
        <f>DATE(CK$5,2,1)</f>
        <v>47515</v>
      </c>
      <c r="CM54" s="16">
        <f>DATE(CK$5,3,1)</f>
        <v>47543</v>
      </c>
      <c r="CN54" s="16">
        <f>DATE(CK$5,4,1)</f>
        <v>47574</v>
      </c>
      <c r="CO54" s="16">
        <f>DATE(CK$5,5,1)</f>
        <v>47604</v>
      </c>
      <c r="CP54" s="16">
        <f>DATE(CK$5,6,1)</f>
        <v>47635</v>
      </c>
      <c r="CQ54" s="16">
        <f>DATE(CK$5,7,1)</f>
        <v>47665</v>
      </c>
      <c r="CR54" s="16">
        <f>DATE(CK$5,8,1)</f>
        <v>47696</v>
      </c>
      <c r="CS54" s="16">
        <f>DATE(CK$5,9,1)</f>
        <v>47727</v>
      </c>
      <c r="CT54" s="16">
        <f>DATE(CK$5,10,1)</f>
        <v>47757</v>
      </c>
      <c r="CU54" s="16">
        <f>DATE(CK$5,11,1)</f>
        <v>47788</v>
      </c>
      <c r="CV54" s="16">
        <f>DATE(CK$5,12,1)</f>
        <v>47818</v>
      </c>
      <c r="CW54" s="17">
        <f>CK$5</f>
        <v>2030</v>
      </c>
      <c r="CY54" s="16">
        <f>DATE(CY$5,1,1)</f>
        <v>47849</v>
      </c>
      <c r="CZ54" s="16">
        <f>DATE(CY$5,2,1)</f>
        <v>47880</v>
      </c>
      <c r="DA54" s="16">
        <f>DATE(CY$5,3,1)</f>
        <v>47908</v>
      </c>
      <c r="DB54" s="16">
        <f>DATE(CY$5,4,1)</f>
        <v>47939</v>
      </c>
      <c r="DC54" s="16">
        <f>DATE(CY$5,5,1)</f>
        <v>47969</v>
      </c>
      <c r="DD54" s="16">
        <f>DATE(CY$5,6,1)</f>
        <v>48000</v>
      </c>
      <c r="DE54" s="16">
        <f>DATE(CY$5,7,1)</f>
        <v>48030</v>
      </c>
      <c r="DF54" s="16">
        <f>DATE(CY$5,8,1)</f>
        <v>48061</v>
      </c>
      <c r="DG54" s="16">
        <f>DATE(CY$5,9,1)</f>
        <v>48092</v>
      </c>
      <c r="DH54" s="16">
        <f>DATE(CY$5,10,1)</f>
        <v>48122</v>
      </c>
      <c r="DI54" s="16">
        <f>DATE(CY$5,11,1)</f>
        <v>48153</v>
      </c>
      <c r="DJ54" s="16">
        <f>DATE(CY$5,12,1)</f>
        <v>48183</v>
      </c>
      <c r="DK54" s="17">
        <f>CY$5</f>
        <v>2031</v>
      </c>
      <c r="DM54" s="16">
        <f>DATE(DM$5,1,1)</f>
        <v>48214</v>
      </c>
      <c r="DN54" s="16">
        <f>DATE(DM$5,2,1)</f>
        <v>48245</v>
      </c>
      <c r="DO54" s="16">
        <f>DATE(DM$5,3,1)</f>
        <v>48274</v>
      </c>
      <c r="DP54" s="16">
        <f>DATE(DM$5,4,1)</f>
        <v>48305</v>
      </c>
      <c r="DQ54" s="16">
        <f>DATE(DM$5,5,1)</f>
        <v>48335</v>
      </c>
      <c r="DR54" s="16">
        <f>DATE(DM$5,6,1)</f>
        <v>48366</v>
      </c>
      <c r="DS54" s="16">
        <f>DATE(DM$5,7,1)</f>
        <v>48396</v>
      </c>
      <c r="DT54" s="16">
        <f>DATE(DM$5,8,1)</f>
        <v>48427</v>
      </c>
      <c r="DU54" s="16">
        <f>DATE(DM$5,9,1)</f>
        <v>48458</v>
      </c>
      <c r="DV54" s="16">
        <f>DATE(DM$5,10,1)</f>
        <v>48488</v>
      </c>
      <c r="DW54" s="16">
        <f>DATE(DM$5,11,1)</f>
        <v>48519</v>
      </c>
      <c r="DX54" s="16">
        <f>DATE(DM$5,12,1)</f>
        <v>48549</v>
      </c>
      <c r="DY54" s="17">
        <f>DM$5</f>
        <v>2032</v>
      </c>
    </row>
    <row r="55" spans="3:129" x14ac:dyDescent="0.2">
      <c r="C55" s="13" t="s">
        <v>17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100</v>
      </c>
      <c r="L55" s="19">
        <v>0</v>
      </c>
      <c r="M55" s="19">
        <v>0</v>
      </c>
      <c r="N55" s="19">
        <v>3800</v>
      </c>
      <c r="O55" s="19">
        <v>0</v>
      </c>
      <c r="P55" s="19">
        <v>0</v>
      </c>
      <c r="Q55" s="20">
        <f>SUM(E55:P55)</f>
        <v>3900</v>
      </c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20">
        <f>SUM(S55:AD55)</f>
        <v>0</v>
      </c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20">
        <f>SUM(AG55:AR55)</f>
        <v>0</v>
      </c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20">
        <f>SUM(AU55:BF55)</f>
        <v>0</v>
      </c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20">
        <f>SUM(BI55:BT55)</f>
        <v>0</v>
      </c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20">
        <f>SUM(BW55:CH55)</f>
        <v>0</v>
      </c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20">
        <f>SUM(CK55:CV55)</f>
        <v>0</v>
      </c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20">
        <f>SUM(CY55:DJ55)</f>
        <v>0</v>
      </c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20">
        <f>SUM(DM55:DX55)</f>
        <v>0</v>
      </c>
    </row>
    <row r="56" spans="3:129" x14ac:dyDescent="0.2">
      <c r="C56" s="13" t="s">
        <v>18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300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20">
        <f t="shared" ref="Q56:Q65" si="27">SUM(E56:P56)</f>
        <v>300</v>
      </c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20">
        <f t="shared" ref="AE56:AE65" si="28">SUM(S56:AD56)</f>
        <v>0</v>
      </c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20">
        <f t="shared" ref="AS56:AS65" si="29">SUM(AG56:AR56)</f>
        <v>0</v>
      </c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20">
        <f t="shared" ref="BG56:BG65" si="30">SUM(AU56:BF56)</f>
        <v>0</v>
      </c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20">
        <f t="shared" ref="BU56:BU65" si="31">SUM(BI56:BT56)</f>
        <v>0</v>
      </c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20">
        <f t="shared" ref="CI56:CI65" si="32">SUM(BW56:CH56)</f>
        <v>0</v>
      </c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20">
        <f t="shared" ref="CW56:CW65" si="33">SUM(CK56:CV56)</f>
        <v>0</v>
      </c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20">
        <f t="shared" ref="DK56:DK65" si="34">SUM(CY56:DJ56)</f>
        <v>0</v>
      </c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20">
        <f t="shared" ref="DY56:DY65" si="35">SUM(DM56:DX56)</f>
        <v>0</v>
      </c>
    </row>
    <row r="57" spans="3:129" x14ac:dyDescent="0.2">
      <c r="C57" s="13" t="s">
        <v>19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20">
        <f t="shared" si="27"/>
        <v>0</v>
      </c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20">
        <f t="shared" si="28"/>
        <v>0</v>
      </c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20">
        <f t="shared" si="29"/>
        <v>0</v>
      </c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20">
        <f t="shared" si="30"/>
        <v>0</v>
      </c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20">
        <f t="shared" si="31"/>
        <v>0</v>
      </c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20">
        <f t="shared" si="32"/>
        <v>0</v>
      </c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20">
        <f t="shared" si="33"/>
        <v>0</v>
      </c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20">
        <f t="shared" si="34"/>
        <v>0</v>
      </c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20">
        <f t="shared" si="35"/>
        <v>0</v>
      </c>
    </row>
    <row r="58" spans="3:129" x14ac:dyDescent="0.2">
      <c r="C58" s="13" t="s">
        <v>20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100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20">
        <f t="shared" si="27"/>
        <v>100</v>
      </c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20">
        <f t="shared" si="28"/>
        <v>0</v>
      </c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20">
        <f t="shared" si="29"/>
        <v>0</v>
      </c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20">
        <f t="shared" si="30"/>
        <v>0</v>
      </c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20">
        <f t="shared" si="31"/>
        <v>0</v>
      </c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20">
        <f t="shared" si="32"/>
        <v>0</v>
      </c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20">
        <f t="shared" si="33"/>
        <v>0</v>
      </c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20">
        <f t="shared" si="34"/>
        <v>0</v>
      </c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20">
        <f t="shared" si="35"/>
        <v>0</v>
      </c>
    </row>
    <row r="59" spans="3:129" ht="16" hidden="1" customHeight="1" x14ac:dyDescent="0.2">
      <c r="C59" s="13" t="s">
        <v>21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20">
        <f t="shared" si="27"/>
        <v>0</v>
      </c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20">
        <f t="shared" si="28"/>
        <v>0</v>
      </c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20">
        <f t="shared" si="29"/>
        <v>0</v>
      </c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20">
        <f t="shared" si="30"/>
        <v>0</v>
      </c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20">
        <f t="shared" si="31"/>
        <v>0</v>
      </c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20">
        <f t="shared" si="32"/>
        <v>0</v>
      </c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20">
        <f t="shared" si="33"/>
        <v>0</v>
      </c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20">
        <f t="shared" si="34"/>
        <v>0</v>
      </c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20">
        <f t="shared" si="35"/>
        <v>0</v>
      </c>
    </row>
    <row r="60" spans="3:129" ht="16" hidden="1" customHeight="1" x14ac:dyDescent="0.2">
      <c r="C60" s="13" t="s">
        <v>21</v>
      </c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20">
        <f t="shared" si="27"/>
        <v>0</v>
      </c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20">
        <f t="shared" si="28"/>
        <v>0</v>
      </c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20">
        <f t="shared" si="29"/>
        <v>0</v>
      </c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20">
        <f t="shared" si="30"/>
        <v>0</v>
      </c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20">
        <f t="shared" si="31"/>
        <v>0</v>
      </c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20">
        <f t="shared" si="32"/>
        <v>0</v>
      </c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20">
        <f t="shared" si="33"/>
        <v>0</v>
      </c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20">
        <f t="shared" si="34"/>
        <v>0</v>
      </c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20">
        <f t="shared" si="35"/>
        <v>0</v>
      </c>
    </row>
    <row r="61" spans="3:129" ht="16" hidden="1" customHeight="1" x14ac:dyDescent="0.2">
      <c r="C61" s="13" t="s">
        <v>21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20">
        <f t="shared" si="27"/>
        <v>0</v>
      </c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20">
        <f t="shared" si="28"/>
        <v>0</v>
      </c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20">
        <f t="shared" si="29"/>
        <v>0</v>
      </c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20">
        <f t="shared" si="30"/>
        <v>0</v>
      </c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20">
        <f t="shared" si="31"/>
        <v>0</v>
      </c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20">
        <f t="shared" si="32"/>
        <v>0</v>
      </c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20">
        <f t="shared" si="33"/>
        <v>0</v>
      </c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20">
        <f t="shared" si="34"/>
        <v>0</v>
      </c>
      <c r="DM61" s="19"/>
      <c r="DN61" s="19"/>
      <c r="DO61" s="19"/>
      <c r="DP61" s="19"/>
      <c r="DQ61" s="19"/>
      <c r="DR61" s="19"/>
      <c r="DS61" s="19"/>
      <c r="DT61" s="19"/>
      <c r="DU61" s="19"/>
      <c r="DV61" s="19"/>
      <c r="DW61" s="19"/>
      <c r="DX61" s="19"/>
      <c r="DY61" s="20">
        <f t="shared" si="35"/>
        <v>0</v>
      </c>
    </row>
    <row r="62" spans="3:129" ht="16" hidden="1" customHeight="1" x14ac:dyDescent="0.2">
      <c r="C62" s="13" t="s">
        <v>21</v>
      </c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20">
        <f t="shared" si="27"/>
        <v>0</v>
      </c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20">
        <f t="shared" si="28"/>
        <v>0</v>
      </c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20">
        <f t="shared" si="29"/>
        <v>0</v>
      </c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20">
        <f t="shared" si="30"/>
        <v>0</v>
      </c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20">
        <f t="shared" si="31"/>
        <v>0</v>
      </c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20">
        <f t="shared" si="32"/>
        <v>0</v>
      </c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20">
        <f t="shared" si="33"/>
        <v>0</v>
      </c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20">
        <f t="shared" si="34"/>
        <v>0</v>
      </c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20">
        <f t="shared" si="35"/>
        <v>0</v>
      </c>
    </row>
    <row r="63" spans="3:129" ht="16" hidden="1" customHeight="1" x14ac:dyDescent="0.2">
      <c r="C63" s="13" t="s">
        <v>21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>
        <f t="shared" si="27"/>
        <v>0</v>
      </c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20">
        <f t="shared" si="28"/>
        <v>0</v>
      </c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20">
        <f t="shared" si="29"/>
        <v>0</v>
      </c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20">
        <f t="shared" si="30"/>
        <v>0</v>
      </c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20">
        <f t="shared" si="31"/>
        <v>0</v>
      </c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20">
        <f t="shared" si="32"/>
        <v>0</v>
      </c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20">
        <f t="shared" si="33"/>
        <v>0</v>
      </c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20">
        <f t="shared" si="34"/>
        <v>0</v>
      </c>
      <c r="DM63" s="19"/>
      <c r="DN63" s="19"/>
      <c r="DO63" s="19"/>
      <c r="DP63" s="19"/>
      <c r="DQ63" s="19"/>
      <c r="DR63" s="19"/>
      <c r="DS63" s="19"/>
      <c r="DT63" s="19"/>
      <c r="DU63" s="19"/>
      <c r="DV63" s="19"/>
      <c r="DW63" s="19"/>
      <c r="DX63" s="19"/>
      <c r="DY63" s="20">
        <f t="shared" si="35"/>
        <v>0</v>
      </c>
    </row>
    <row r="64" spans="3:129" ht="16" hidden="1" customHeight="1" x14ac:dyDescent="0.2">
      <c r="C64" s="13" t="s">
        <v>21</v>
      </c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20">
        <f t="shared" si="27"/>
        <v>0</v>
      </c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20">
        <f t="shared" si="28"/>
        <v>0</v>
      </c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20">
        <f t="shared" si="29"/>
        <v>0</v>
      </c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20">
        <f t="shared" si="30"/>
        <v>0</v>
      </c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20">
        <f t="shared" si="31"/>
        <v>0</v>
      </c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20">
        <f t="shared" si="32"/>
        <v>0</v>
      </c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20">
        <f t="shared" si="33"/>
        <v>0</v>
      </c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20">
        <f t="shared" si="34"/>
        <v>0</v>
      </c>
      <c r="DM64" s="19"/>
      <c r="DN64" s="19"/>
      <c r="DO64" s="19"/>
      <c r="DP64" s="19"/>
      <c r="DQ64" s="19"/>
      <c r="DR64" s="19"/>
      <c r="DS64" s="19"/>
      <c r="DT64" s="19"/>
      <c r="DU64" s="19"/>
      <c r="DV64" s="19"/>
      <c r="DW64" s="19"/>
      <c r="DX64" s="19"/>
      <c r="DY64" s="20">
        <f t="shared" si="35"/>
        <v>0</v>
      </c>
    </row>
    <row r="65" spans="3:129" ht="16" hidden="1" customHeight="1" x14ac:dyDescent="0.2">
      <c r="C65" s="13" t="s">
        <v>21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20">
        <f t="shared" si="27"/>
        <v>0</v>
      </c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20">
        <f t="shared" si="28"/>
        <v>0</v>
      </c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20">
        <f t="shared" si="29"/>
        <v>0</v>
      </c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20">
        <f t="shared" si="30"/>
        <v>0</v>
      </c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20">
        <f t="shared" si="31"/>
        <v>0</v>
      </c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20">
        <f t="shared" si="32"/>
        <v>0</v>
      </c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20">
        <f t="shared" si="33"/>
        <v>0</v>
      </c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20">
        <f t="shared" si="34"/>
        <v>0</v>
      </c>
      <c r="DM65" s="19"/>
      <c r="DN65" s="19"/>
      <c r="DO65" s="19"/>
      <c r="DP65" s="19"/>
      <c r="DQ65" s="19"/>
      <c r="DR65" s="19"/>
      <c r="DS65" s="19"/>
      <c r="DT65" s="19"/>
      <c r="DU65" s="19"/>
      <c r="DV65" s="19"/>
      <c r="DW65" s="19"/>
      <c r="DX65" s="19"/>
      <c r="DY65" s="20">
        <f t="shared" si="35"/>
        <v>0</v>
      </c>
    </row>
    <row r="66" spans="3:129" x14ac:dyDescent="0.2">
      <c r="C66" s="10" t="s">
        <v>7</v>
      </c>
      <c r="E66" s="21" cm="1">
        <f t="array" aca="1" ref="E66" ca="1">SUM(INDIRECT(ADDRESS(savingsMinRow,COLUMN()) &amp;":"&amp; ADDRESS(savingsMaxRow,COLUMN())))</f>
        <v>0</v>
      </c>
      <c r="F66" s="21" cm="1">
        <f t="array" aca="1" ref="F66" ca="1">SUM(INDIRECT(ADDRESS(savingsMinRow,COLUMN()) &amp;":"&amp; ADDRESS(savingsMaxRow,COLUMN())))</f>
        <v>0</v>
      </c>
      <c r="G66" s="21" cm="1">
        <f t="array" aca="1" ref="G66" ca="1">SUM(INDIRECT(ADDRESS(savingsMinRow,COLUMN()) &amp;":"&amp; ADDRESS(savingsMaxRow,COLUMN())))</f>
        <v>0</v>
      </c>
      <c r="H66" s="21" cm="1">
        <f t="array" aca="1" ref="H66" ca="1">SUM(INDIRECT(ADDRESS(savingsMinRow,COLUMN()) &amp;":"&amp; ADDRESS(savingsMaxRow,COLUMN())))</f>
        <v>0</v>
      </c>
      <c r="I66" s="21" cm="1">
        <f t="array" aca="1" ref="I66" ca="1">SUM(INDIRECT(ADDRESS(savingsMinRow,COLUMN()) &amp;":"&amp; ADDRESS(savingsMaxRow,COLUMN())))</f>
        <v>0</v>
      </c>
      <c r="J66" s="21" cm="1">
        <f t="array" aca="1" ref="J66" ca="1">SUM(INDIRECT(ADDRESS(savingsMinRow,COLUMN()) &amp;":"&amp; ADDRESS(savingsMaxRow,COLUMN())))</f>
        <v>0</v>
      </c>
      <c r="K66" s="21" cm="1">
        <f t="array" aca="1" ref="K66" ca="1">SUM(INDIRECT(ADDRESS(savingsMinRow,COLUMN()) &amp;":"&amp; ADDRESS(savingsMaxRow,COLUMN())))</f>
        <v>500</v>
      </c>
      <c r="L66" s="21" cm="1">
        <f t="array" aca="1" ref="L66" ca="1">SUM(INDIRECT(ADDRESS(savingsMinRow,COLUMN()) &amp;":"&amp; ADDRESS(savingsMaxRow,COLUMN())))</f>
        <v>0</v>
      </c>
      <c r="M66" s="21" cm="1">
        <f t="array" aca="1" ref="M66" ca="1">SUM(INDIRECT(ADDRESS(savingsMinRow,COLUMN()) &amp;":"&amp; ADDRESS(savingsMaxRow,COLUMN())))</f>
        <v>0</v>
      </c>
      <c r="N66" s="21" cm="1">
        <f t="array" aca="1" ref="N66" ca="1">SUM(INDIRECT(ADDRESS(savingsMinRow,COLUMN()) &amp;":"&amp; ADDRESS(savingsMaxRow,COLUMN())))</f>
        <v>3800</v>
      </c>
      <c r="O66" s="21" cm="1">
        <f t="array" aca="1" ref="O66" ca="1">SUM(INDIRECT(ADDRESS(savingsMinRow,COLUMN()) &amp;":"&amp; ADDRESS(savingsMaxRow,COLUMN())))</f>
        <v>0</v>
      </c>
      <c r="P66" s="21" cm="1">
        <f t="array" aca="1" ref="P66" ca="1">SUM(INDIRECT(ADDRESS(savingsMinRow,COLUMN()) &amp;":"&amp; ADDRESS(savingsMaxRow,COLUMN())))</f>
        <v>0</v>
      </c>
      <c r="Q66" s="21" cm="1">
        <f t="array" aca="1" ref="Q66" ca="1">SUM(INDIRECT(ADDRESS(savingsMinRow,COLUMN()) &amp;":"&amp; ADDRESS(savingsMaxRow,COLUMN())))</f>
        <v>4300</v>
      </c>
      <c r="S66" s="21" cm="1">
        <f t="array" aca="1" ref="S66" ca="1">SUM(INDIRECT(ADDRESS(savingsMinRow,COLUMN()) &amp;":"&amp; ADDRESS(savingsMaxRow,COLUMN())))</f>
        <v>0</v>
      </c>
      <c r="T66" s="21" cm="1">
        <f t="array" aca="1" ref="T66" ca="1">SUM(INDIRECT(ADDRESS(savingsMinRow,COLUMN()) &amp;":"&amp; ADDRESS(savingsMaxRow,COLUMN())))</f>
        <v>0</v>
      </c>
      <c r="U66" s="21" cm="1">
        <f t="array" aca="1" ref="U66" ca="1">SUM(INDIRECT(ADDRESS(savingsMinRow,COLUMN()) &amp;":"&amp; ADDRESS(savingsMaxRow,COLUMN())))</f>
        <v>0</v>
      </c>
      <c r="V66" s="21" cm="1">
        <f t="array" aca="1" ref="V66" ca="1">SUM(INDIRECT(ADDRESS(savingsMinRow,COLUMN()) &amp;":"&amp; ADDRESS(savingsMaxRow,COLUMN())))</f>
        <v>0</v>
      </c>
      <c r="W66" s="21" cm="1">
        <f t="array" aca="1" ref="W66" ca="1">SUM(INDIRECT(ADDRESS(savingsMinRow,COLUMN()) &amp;":"&amp; ADDRESS(savingsMaxRow,COLUMN())))</f>
        <v>0</v>
      </c>
      <c r="X66" s="21" cm="1">
        <f t="array" aca="1" ref="X66" ca="1">SUM(INDIRECT(ADDRESS(savingsMinRow,COLUMN()) &amp;":"&amp; ADDRESS(savingsMaxRow,COLUMN())))</f>
        <v>0</v>
      </c>
      <c r="Y66" s="21" cm="1">
        <f t="array" aca="1" ref="Y66" ca="1">SUM(INDIRECT(ADDRESS(savingsMinRow,COLUMN()) &amp;":"&amp; ADDRESS(savingsMaxRow,COLUMN())))</f>
        <v>0</v>
      </c>
      <c r="Z66" s="21" cm="1">
        <f t="array" aca="1" ref="Z66" ca="1">SUM(INDIRECT(ADDRESS(savingsMinRow,COLUMN()) &amp;":"&amp; ADDRESS(savingsMaxRow,COLUMN())))</f>
        <v>0</v>
      </c>
      <c r="AA66" s="21" cm="1">
        <f t="array" aca="1" ref="AA66" ca="1">SUM(INDIRECT(ADDRESS(savingsMinRow,COLUMN()) &amp;":"&amp; ADDRESS(savingsMaxRow,COLUMN())))</f>
        <v>0</v>
      </c>
      <c r="AB66" s="21" cm="1">
        <f t="array" aca="1" ref="AB66" ca="1">SUM(INDIRECT(ADDRESS(savingsMinRow,COLUMN()) &amp;":"&amp; ADDRESS(savingsMaxRow,COLUMN())))</f>
        <v>0</v>
      </c>
      <c r="AC66" s="21" cm="1">
        <f t="array" aca="1" ref="AC66" ca="1">SUM(INDIRECT(ADDRESS(savingsMinRow,COLUMN()) &amp;":"&amp; ADDRESS(savingsMaxRow,COLUMN())))</f>
        <v>0</v>
      </c>
      <c r="AD66" s="21" cm="1">
        <f t="array" aca="1" ref="AD66" ca="1">SUM(INDIRECT(ADDRESS(savingsMinRow,COLUMN()) &amp;":"&amp; ADDRESS(savingsMaxRow,COLUMN())))</f>
        <v>0</v>
      </c>
      <c r="AE66" s="21" cm="1">
        <f t="array" aca="1" ref="AE66" ca="1">SUM(INDIRECT(ADDRESS(savingsMinRow,COLUMN()) &amp;":"&amp; ADDRESS(savingsMaxRow,COLUMN())))</f>
        <v>0</v>
      </c>
      <c r="AG66" s="21" cm="1">
        <f t="array" aca="1" ref="AG66" ca="1">SUM(INDIRECT(ADDRESS(savingsMinRow,COLUMN()) &amp;":"&amp; ADDRESS(savingsMaxRow,COLUMN())))</f>
        <v>0</v>
      </c>
      <c r="AH66" s="21" cm="1">
        <f t="array" aca="1" ref="AH66" ca="1">SUM(INDIRECT(ADDRESS(savingsMinRow,COLUMN()) &amp;":"&amp; ADDRESS(savingsMaxRow,COLUMN())))</f>
        <v>0</v>
      </c>
      <c r="AI66" s="21" cm="1">
        <f t="array" aca="1" ref="AI66" ca="1">SUM(INDIRECT(ADDRESS(savingsMinRow,COLUMN()) &amp;":"&amp; ADDRESS(savingsMaxRow,COLUMN())))</f>
        <v>0</v>
      </c>
      <c r="AJ66" s="21" cm="1">
        <f t="array" aca="1" ref="AJ66" ca="1">SUM(INDIRECT(ADDRESS(savingsMinRow,COLUMN()) &amp;":"&amp; ADDRESS(savingsMaxRow,COLUMN())))</f>
        <v>0</v>
      </c>
      <c r="AK66" s="21" cm="1">
        <f t="array" aca="1" ref="AK66" ca="1">SUM(INDIRECT(ADDRESS(savingsMinRow,COLUMN()) &amp;":"&amp; ADDRESS(savingsMaxRow,COLUMN())))</f>
        <v>0</v>
      </c>
      <c r="AL66" s="21" cm="1">
        <f t="array" aca="1" ref="AL66" ca="1">SUM(INDIRECT(ADDRESS(savingsMinRow,COLUMN()) &amp;":"&amp; ADDRESS(savingsMaxRow,COLUMN())))</f>
        <v>0</v>
      </c>
      <c r="AM66" s="21" cm="1">
        <f t="array" aca="1" ref="AM66" ca="1">SUM(INDIRECT(ADDRESS(savingsMinRow,COLUMN()) &amp;":"&amp; ADDRESS(savingsMaxRow,COLUMN())))</f>
        <v>0</v>
      </c>
      <c r="AN66" s="21" cm="1">
        <f t="array" aca="1" ref="AN66" ca="1">SUM(INDIRECT(ADDRESS(savingsMinRow,COLUMN()) &amp;":"&amp; ADDRESS(savingsMaxRow,COLUMN())))</f>
        <v>0</v>
      </c>
      <c r="AO66" s="21" cm="1">
        <f t="array" aca="1" ref="AO66" ca="1">SUM(INDIRECT(ADDRESS(savingsMinRow,COLUMN()) &amp;":"&amp; ADDRESS(savingsMaxRow,COLUMN())))</f>
        <v>0</v>
      </c>
      <c r="AP66" s="21" cm="1">
        <f t="array" aca="1" ref="AP66" ca="1">SUM(INDIRECT(ADDRESS(savingsMinRow,COLUMN()) &amp;":"&amp; ADDRESS(savingsMaxRow,COLUMN())))</f>
        <v>0</v>
      </c>
      <c r="AQ66" s="21" cm="1">
        <f t="array" aca="1" ref="AQ66" ca="1">SUM(INDIRECT(ADDRESS(savingsMinRow,COLUMN()) &amp;":"&amp; ADDRESS(savingsMaxRow,COLUMN())))</f>
        <v>0</v>
      </c>
      <c r="AR66" s="21" cm="1">
        <f t="array" aca="1" ref="AR66" ca="1">SUM(INDIRECT(ADDRESS(savingsMinRow,COLUMN()) &amp;":"&amp; ADDRESS(savingsMaxRow,COLUMN())))</f>
        <v>0</v>
      </c>
      <c r="AS66" s="21" cm="1">
        <f t="array" aca="1" ref="AS66" ca="1">SUM(INDIRECT(ADDRESS(savingsMinRow,COLUMN()) &amp;":"&amp; ADDRESS(savingsMaxRow,COLUMN())))</f>
        <v>0</v>
      </c>
      <c r="AU66" s="21" cm="1">
        <f t="array" aca="1" ref="AU66" ca="1">SUM(INDIRECT(ADDRESS(savingsMinRow,COLUMN()) &amp;":"&amp; ADDRESS(savingsMaxRow,COLUMN())))</f>
        <v>0</v>
      </c>
      <c r="AV66" s="21" cm="1">
        <f t="array" aca="1" ref="AV66" ca="1">SUM(INDIRECT(ADDRESS(savingsMinRow,COLUMN()) &amp;":"&amp; ADDRESS(savingsMaxRow,COLUMN())))</f>
        <v>0</v>
      </c>
      <c r="AW66" s="21" cm="1">
        <f t="array" aca="1" ref="AW66" ca="1">SUM(INDIRECT(ADDRESS(savingsMinRow,COLUMN()) &amp;":"&amp; ADDRESS(savingsMaxRow,COLUMN())))</f>
        <v>0</v>
      </c>
      <c r="AX66" s="21" cm="1">
        <f t="array" aca="1" ref="AX66" ca="1">SUM(INDIRECT(ADDRESS(savingsMinRow,COLUMN()) &amp;":"&amp; ADDRESS(savingsMaxRow,COLUMN())))</f>
        <v>0</v>
      </c>
      <c r="AY66" s="21" cm="1">
        <f t="array" aca="1" ref="AY66" ca="1">SUM(INDIRECT(ADDRESS(savingsMinRow,COLUMN()) &amp;":"&amp; ADDRESS(savingsMaxRow,COLUMN())))</f>
        <v>0</v>
      </c>
      <c r="AZ66" s="21" cm="1">
        <f t="array" aca="1" ref="AZ66" ca="1">SUM(INDIRECT(ADDRESS(savingsMinRow,COLUMN()) &amp;":"&amp; ADDRESS(savingsMaxRow,COLUMN())))</f>
        <v>0</v>
      </c>
      <c r="BA66" s="21" cm="1">
        <f t="array" aca="1" ref="BA66" ca="1">SUM(INDIRECT(ADDRESS(savingsMinRow,COLUMN()) &amp;":"&amp; ADDRESS(savingsMaxRow,COLUMN())))</f>
        <v>0</v>
      </c>
      <c r="BB66" s="21" cm="1">
        <f t="array" aca="1" ref="BB66" ca="1">SUM(INDIRECT(ADDRESS(savingsMinRow,COLUMN()) &amp;":"&amp; ADDRESS(savingsMaxRow,COLUMN())))</f>
        <v>0</v>
      </c>
      <c r="BC66" s="21" cm="1">
        <f t="array" aca="1" ref="BC66" ca="1">SUM(INDIRECT(ADDRESS(savingsMinRow,COLUMN()) &amp;":"&amp; ADDRESS(savingsMaxRow,COLUMN())))</f>
        <v>0</v>
      </c>
      <c r="BD66" s="21" cm="1">
        <f t="array" aca="1" ref="BD66" ca="1">SUM(INDIRECT(ADDRESS(savingsMinRow,COLUMN()) &amp;":"&amp; ADDRESS(savingsMaxRow,COLUMN())))</f>
        <v>0</v>
      </c>
      <c r="BE66" s="21" cm="1">
        <f t="array" aca="1" ref="BE66" ca="1">SUM(INDIRECT(ADDRESS(savingsMinRow,COLUMN()) &amp;":"&amp; ADDRESS(savingsMaxRow,COLUMN())))</f>
        <v>0</v>
      </c>
      <c r="BF66" s="21" cm="1">
        <f t="array" aca="1" ref="BF66" ca="1">SUM(INDIRECT(ADDRESS(savingsMinRow,COLUMN()) &amp;":"&amp; ADDRESS(savingsMaxRow,COLUMN())))</f>
        <v>0</v>
      </c>
      <c r="BG66" s="21" cm="1">
        <f t="array" aca="1" ref="BG66" ca="1">SUM(INDIRECT(ADDRESS(savingsMinRow,COLUMN()) &amp;":"&amp; ADDRESS(savingsMaxRow,COLUMN())))</f>
        <v>0</v>
      </c>
      <c r="BI66" s="21" cm="1">
        <f t="array" aca="1" ref="BI66" ca="1">SUM(INDIRECT(ADDRESS(savingsMinRow,COLUMN()) &amp;":"&amp; ADDRESS(savingsMaxRow,COLUMN())))</f>
        <v>0</v>
      </c>
      <c r="BJ66" s="21" cm="1">
        <f t="array" aca="1" ref="BJ66" ca="1">SUM(INDIRECT(ADDRESS(savingsMinRow,COLUMN()) &amp;":"&amp; ADDRESS(savingsMaxRow,COLUMN())))</f>
        <v>0</v>
      </c>
      <c r="BK66" s="21" cm="1">
        <f t="array" aca="1" ref="BK66" ca="1">SUM(INDIRECT(ADDRESS(savingsMinRow,COLUMN()) &amp;":"&amp; ADDRESS(savingsMaxRow,COLUMN())))</f>
        <v>0</v>
      </c>
      <c r="BL66" s="21" cm="1">
        <f t="array" aca="1" ref="BL66" ca="1">SUM(INDIRECT(ADDRESS(savingsMinRow,COLUMN()) &amp;":"&amp; ADDRESS(savingsMaxRow,COLUMN())))</f>
        <v>0</v>
      </c>
      <c r="BM66" s="21" cm="1">
        <f t="array" aca="1" ref="BM66" ca="1">SUM(INDIRECT(ADDRESS(savingsMinRow,COLUMN()) &amp;":"&amp; ADDRESS(savingsMaxRow,COLUMN())))</f>
        <v>0</v>
      </c>
      <c r="BN66" s="21" cm="1">
        <f t="array" aca="1" ref="BN66" ca="1">SUM(INDIRECT(ADDRESS(savingsMinRow,COLUMN()) &amp;":"&amp; ADDRESS(savingsMaxRow,COLUMN())))</f>
        <v>0</v>
      </c>
      <c r="BO66" s="21" cm="1">
        <f t="array" aca="1" ref="BO66" ca="1">SUM(INDIRECT(ADDRESS(savingsMinRow,COLUMN()) &amp;":"&amp; ADDRESS(savingsMaxRow,COLUMN())))</f>
        <v>0</v>
      </c>
      <c r="BP66" s="21" cm="1">
        <f t="array" aca="1" ref="BP66" ca="1">SUM(INDIRECT(ADDRESS(savingsMinRow,COLUMN()) &amp;":"&amp; ADDRESS(savingsMaxRow,COLUMN())))</f>
        <v>0</v>
      </c>
      <c r="BQ66" s="21" cm="1">
        <f t="array" aca="1" ref="BQ66" ca="1">SUM(INDIRECT(ADDRESS(savingsMinRow,COLUMN()) &amp;":"&amp; ADDRESS(savingsMaxRow,COLUMN())))</f>
        <v>0</v>
      </c>
      <c r="BR66" s="21" cm="1">
        <f t="array" aca="1" ref="BR66" ca="1">SUM(INDIRECT(ADDRESS(savingsMinRow,COLUMN()) &amp;":"&amp; ADDRESS(savingsMaxRow,COLUMN())))</f>
        <v>0</v>
      </c>
      <c r="BS66" s="21" cm="1">
        <f t="array" aca="1" ref="BS66" ca="1">SUM(INDIRECT(ADDRESS(savingsMinRow,COLUMN()) &amp;":"&amp; ADDRESS(savingsMaxRow,COLUMN())))</f>
        <v>0</v>
      </c>
      <c r="BT66" s="21" cm="1">
        <f t="array" aca="1" ref="BT66" ca="1">SUM(INDIRECT(ADDRESS(savingsMinRow,COLUMN()) &amp;":"&amp; ADDRESS(savingsMaxRow,COLUMN())))</f>
        <v>0</v>
      </c>
      <c r="BU66" s="21" cm="1">
        <f t="array" aca="1" ref="BU66" ca="1">SUM(INDIRECT(ADDRESS(savingsMinRow,COLUMN()) &amp;":"&amp; ADDRESS(savingsMaxRow,COLUMN())))</f>
        <v>0</v>
      </c>
      <c r="BW66" s="21" cm="1">
        <f t="array" aca="1" ref="BW66" ca="1">SUM(INDIRECT(ADDRESS(savingsMinRow,COLUMN()) &amp;":"&amp; ADDRESS(savingsMaxRow,COLUMN())))</f>
        <v>0</v>
      </c>
      <c r="BX66" s="21" cm="1">
        <f t="array" aca="1" ref="BX66" ca="1">SUM(INDIRECT(ADDRESS(savingsMinRow,COLUMN()) &amp;":"&amp; ADDRESS(savingsMaxRow,COLUMN())))</f>
        <v>0</v>
      </c>
      <c r="BY66" s="21" cm="1">
        <f t="array" aca="1" ref="BY66" ca="1">SUM(INDIRECT(ADDRESS(savingsMinRow,COLUMN()) &amp;":"&amp; ADDRESS(savingsMaxRow,COLUMN())))</f>
        <v>0</v>
      </c>
      <c r="BZ66" s="21" cm="1">
        <f t="array" aca="1" ref="BZ66" ca="1">SUM(INDIRECT(ADDRESS(savingsMinRow,COLUMN()) &amp;":"&amp; ADDRESS(savingsMaxRow,COLUMN())))</f>
        <v>0</v>
      </c>
      <c r="CA66" s="21" cm="1">
        <f t="array" aca="1" ref="CA66" ca="1">SUM(INDIRECT(ADDRESS(savingsMinRow,COLUMN()) &amp;":"&amp; ADDRESS(savingsMaxRow,COLUMN())))</f>
        <v>0</v>
      </c>
      <c r="CB66" s="21" cm="1">
        <f t="array" aca="1" ref="CB66" ca="1">SUM(INDIRECT(ADDRESS(savingsMinRow,COLUMN()) &amp;":"&amp; ADDRESS(savingsMaxRow,COLUMN())))</f>
        <v>0</v>
      </c>
      <c r="CC66" s="21" cm="1">
        <f t="array" aca="1" ref="CC66" ca="1">SUM(INDIRECT(ADDRESS(savingsMinRow,COLUMN()) &amp;":"&amp; ADDRESS(savingsMaxRow,COLUMN())))</f>
        <v>0</v>
      </c>
      <c r="CD66" s="21" cm="1">
        <f t="array" aca="1" ref="CD66" ca="1">SUM(INDIRECT(ADDRESS(savingsMinRow,COLUMN()) &amp;":"&amp; ADDRESS(savingsMaxRow,COLUMN())))</f>
        <v>0</v>
      </c>
      <c r="CE66" s="21" cm="1">
        <f t="array" aca="1" ref="CE66" ca="1">SUM(INDIRECT(ADDRESS(savingsMinRow,COLUMN()) &amp;":"&amp; ADDRESS(savingsMaxRow,COLUMN())))</f>
        <v>0</v>
      </c>
      <c r="CF66" s="21" cm="1">
        <f t="array" aca="1" ref="CF66" ca="1">SUM(INDIRECT(ADDRESS(savingsMinRow,COLUMN()) &amp;":"&amp; ADDRESS(savingsMaxRow,COLUMN())))</f>
        <v>0</v>
      </c>
      <c r="CG66" s="21" cm="1">
        <f t="array" aca="1" ref="CG66" ca="1">SUM(INDIRECT(ADDRESS(savingsMinRow,COLUMN()) &amp;":"&amp; ADDRESS(savingsMaxRow,COLUMN())))</f>
        <v>0</v>
      </c>
      <c r="CH66" s="21" cm="1">
        <f t="array" aca="1" ref="CH66" ca="1">SUM(INDIRECT(ADDRESS(savingsMinRow,COLUMN()) &amp;":"&amp; ADDRESS(savingsMaxRow,COLUMN())))</f>
        <v>0</v>
      </c>
      <c r="CI66" s="21" cm="1">
        <f t="array" aca="1" ref="CI66" ca="1">SUM(INDIRECT(ADDRESS(savingsMinRow,COLUMN()) &amp;":"&amp; ADDRESS(savingsMaxRow,COLUMN())))</f>
        <v>0</v>
      </c>
      <c r="CK66" s="21" cm="1">
        <f t="array" aca="1" ref="CK66" ca="1">SUM(INDIRECT(ADDRESS(savingsMinRow,COLUMN()) &amp;":"&amp; ADDRESS(savingsMaxRow,COLUMN())))</f>
        <v>0</v>
      </c>
      <c r="CL66" s="21" cm="1">
        <f t="array" aca="1" ref="CL66" ca="1">SUM(INDIRECT(ADDRESS(savingsMinRow,COLUMN()) &amp;":"&amp; ADDRESS(savingsMaxRow,COLUMN())))</f>
        <v>0</v>
      </c>
      <c r="CM66" s="21" cm="1">
        <f t="array" aca="1" ref="CM66" ca="1">SUM(INDIRECT(ADDRESS(savingsMinRow,COLUMN()) &amp;":"&amp; ADDRESS(savingsMaxRow,COLUMN())))</f>
        <v>0</v>
      </c>
      <c r="CN66" s="21" cm="1">
        <f t="array" aca="1" ref="CN66" ca="1">SUM(INDIRECT(ADDRESS(savingsMinRow,COLUMN()) &amp;":"&amp; ADDRESS(savingsMaxRow,COLUMN())))</f>
        <v>0</v>
      </c>
      <c r="CO66" s="21" cm="1">
        <f t="array" aca="1" ref="CO66" ca="1">SUM(INDIRECT(ADDRESS(savingsMinRow,COLUMN()) &amp;":"&amp; ADDRESS(savingsMaxRow,COLUMN())))</f>
        <v>0</v>
      </c>
      <c r="CP66" s="21" cm="1">
        <f t="array" aca="1" ref="CP66" ca="1">SUM(INDIRECT(ADDRESS(savingsMinRow,COLUMN()) &amp;":"&amp; ADDRESS(savingsMaxRow,COLUMN())))</f>
        <v>0</v>
      </c>
      <c r="CQ66" s="21" cm="1">
        <f t="array" aca="1" ref="CQ66" ca="1">SUM(INDIRECT(ADDRESS(savingsMinRow,COLUMN()) &amp;":"&amp; ADDRESS(savingsMaxRow,COLUMN())))</f>
        <v>0</v>
      </c>
      <c r="CR66" s="21" cm="1">
        <f t="array" aca="1" ref="CR66" ca="1">SUM(INDIRECT(ADDRESS(savingsMinRow,COLUMN()) &amp;":"&amp; ADDRESS(savingsMaxRow,COLUMN())))</f>
        <v>0</v>
      </c>
      <c r="CS66" s="21" cm="1">
        <f t="array" aca="1" ref="CS66" ca="1">SUM(INDIRECT(ADDRESS(savingsMinRow,COLUMN()) &amp;":"&amp; ADDRESS(savingsMaxRow,COLUMN())))</f>
        <v>0</v>
      </c>
      <c r="CT66" s="21" cm="1">
        <f t="array" aca="1" ref="CT66" ca="1">SUM(INDIRECT(ADDRESS(savingsMinRow,COLUMN()) &amp;":"&amp; ADDRESS(savingsMaxRow,COLUMN())))</f>
        <v>0</v>
      </c>
      <c r="CU66" s="21" cm="1">
        <f t="array" aca="1" ref="CU66" ca="1">SUM(INDIRECT(ADDRESS(savingsMinRow,COLUMN()) &amp;":"&amp; ADDRESS(savingsMaxRow,COLUMN())))</f>
        <v>0</v>
      </c>
      <c r="CV66" s="21" cm="1">
        <f t="array" aca="1" ref="CV66" ca="1">SUM(INDIRECT(ADDRESS(savingsMinRow,COLUMN()) &amp;":"&amp; ADDRESS(savingsMaxRow,COLUMN())))</f>
        <v>0</v>
      </c>
      <c r="CW66" s="21" cm="1">
        <f t="array" aca="1" ref="CW66" ca="1">SUM(INDIRECT(ADDRESS(savingsMinRow,COLUMN()) &amp;":"&amp; ADDRESS(savingsMaxRow,COLUMN())))</f>
        <v>0</v>
      </c>
      <c r="CY66" s="21" cm="1">
        <f t="array" aca="1" ref="CY66" ca="1">SUM(INDIRECT(ADDRESS(savingsMinRow,COLUMN()) &amp;":"&amp; ADDRESS(savingsMaxRow,COLUMN())))</f>
        <v>0</v>
      </c>
      <c r="CZ66" s="21" cm="1">
        <f t="array" aca="1" ref="CZ66" ca="1">SUM(INDIRECT(ADDRESS(savingsMinRow,COLUMN()) &amp;":"&amp; ADDRESS(savingsMaxRow,COLUMN())))</f>
        <v>0</v>
      </c>
      <c r="DA66" s="21" cm="1">
        <f t="array" aca="1" ref="DA66" ca="1">SUM(INDIRECT(ADDRESS(savingsMinRow,COLUMN()) &amp;":"&amp; ADDRESS(savingsMaxRow,COLUMN())))</f>
        <v>0</v>
      </c>
      <c r="DB66" s="21" cm="1">
        <f t="array" aca="1" ref="DB66" ca="1">SUM(INDIRECT(ADDRESS(savingsMinRow,COLUMN()) &amp;":"&amp; ADDRESS(savingsMaxRow,COLUMN())))</f>
        <v>0</v>
      </c>
      <c r="DC66" s="21" cm="1">
        <f t="array" aca="1" ref="DC66" ca="1">SUM(INDIRECT(ADDRESS(savingsMinRow,COLUMN()) &amp;":"&amp; ADDRESS(savingsMaxRow,COLUMN())))</f>
        <v>0</v>
      </c>
      <c r="DD66" s="21" cm="1">
        <f t="array" aca="1" ref="DD66" ca="1">SUM(INDIRECT(ADDRESS(savingsMinRow,COLUMN()) &amp;":"&amp; ADDRESS(savingsMaxRow,COLUMN())))</f>
        <v>0</v>
      </c>
      <c r="DE66" s="21" cm="1">
        <f t="array" aca="1" ref="DE66" ca="1">SUM(INDIRECT(ADDRESS(savingsMinRow,COLUMN()) &amp;":"&amp; ADDRESS(savingsMaxRow,COLUMN())))</f>
        <v>0</v>
      </c>
      <c r="DF66" s="21" cm="1">
        <f t="array" aca="1" ref="DF66" ca="1">SUM(INDIRECT(ADDRESS(savingsMinRow,COLUMN()) &amp;":"&amp; ADDRESS(savingsMaxRow,COLUMN())))</f>
        <v>0</v>
      </c>
      <c r="DG66" s="21" cm="1">
        <f t="array" aca="1" ref="DG66" ca="1">SUM(INDIRECT(ADDRESS(savingsMinRow,COLUMN()) &amp;":"&amp; ADDRESS(savingsMaxRow,COLUMN())))</f>
        <v>0</v>
      </c>
      <c r="DH66" s="21" cm="1">
        <f t="array" aca="1" ref="DH66" ca="1">SUM(INDIRECT(ADDRESS(savingsMinRow,COLUMN()) &amp;":"&amp; ADDRESS(savingsMaxRow,COLUMN())))</f>
        <v>0</v>
      </c>
      <c r="DI66" s="21" cm="1">
        <f t="array" aca="1" ref="DI66" ca="1">SUM(INDIRECT(ADDRESS(savingsMinRow,COLUMN()) &amp;":"&amp; ADDRESS(savingsMaxRow,COLUMN())))</f>
        <v>0</v>
      </c>
      <c r="DJ66" s="21" cm="1">
        <f t="array" aca="1" ref="DJ66" ca="1">SUM(INDIRECT(ADDRESS(savingsMinRow,COLUMN()) &amp;":"&amp; ADDRESS(savingsMaxRow,COLUMN())))</f>
        <v>0</v>
      </c>
      <c r="DK66" s="21" cm="1">
        <f t="array" aca="1" ref="DK66" ca="1">SUM(INDIRECT(ADDRESS(savingsMinRow,COLUMN()) &amp;":"&amp; ADDRESS(savingsMaxRow,COLUMN())))</f>
        <v>0</v>
      </c>
      <c r="DM66" s="21" cm="1">
        <f t="array" aca="1" ref="DM66" ca="1">SUM(INDIRECT(ADDRESS(savingsMinRow,COLUMN()) &amp;":"&amp; ADDRESS(savingsMaxRow,COLUMN())))</f>
        <v>0</v>
      </c>
      <c r="DN66" s="21" cm="1">
        <f t="array" aca="1" ref="DN66" ca="1">SUM(INDIRECT(ADDRESS(savingsMinRow,COLUMN()) &amp;":"&amp; ADDRESS(savingsMaxRow,COLUMN())))</f>
        <v>0</v>
      </c>
      <c r="DO66" s="21" cm="1">
        <f t="array" aca="1" ref="DO66" ca="1">SUM(INDIRECT(ADDRESS(savingsMinRow,COLUMN()) &amp;":"&amp; ADDRESS(savingsMaxRow,COLUMN())))</f>
        <v>0</v>
      </c>
      <c r="DP66" s="21" cm="1">
        <f t="array" aca="1" ref="DP66" ca="1">SUM(INDIRECT(ADDRESS(savingsMinRow,COLUMN()) &amp;":"&amp; ADDRESS(savingsMaxRow,COLUMN())))</f>
        <v>0</v>
      </c>
      <c r="DQ66" s="21" cm="1">
        <f t="array" aca="1" ref="DQ66" ca="1">SUM(INDIRECT(ADDRESS(savingsMinRow,COLUMN()) &amp;":"&amp; ADDRESS(savingsMaxRow,COLUMN())))</f>
        <v>0</v>
      </c>
      <c r="DR66" s="21" cm="1">
        <f t="array" aca="1" ref="DR66" ca="1">SUM(INDIRECT(ADDRESS(savingsMinRow,COLUMN()) &amp;":"&amp; ADDRESS(savingsMaxRow,COLUMN())))</f>
        <v>0</v>
      </c>
      <c r="DS66" s="21" cm="1">
        <f t="array" aca="1" ref="DS66" ca="1">SUM(INDIRECT(ADDRESS(savingsMinRow,COLUMN()) &amp;":"&amp; ADDRESS(savingsMaxRow,COLUMN())))</f>
        <v>0</v>
      </c>
      <c r="DT66" s="21" cm="1">
        <f t="array" aca="1" ref="DT66" ca="1">SUM(INDIRECT(ADDRESS(savingsMinRow,COLUMN()) &amp;":"&amp; ADDRESS(savingsMaxRow,COLUMN())))</f>
        <v>0</v>
      </c>
      <c r="DU66" s="21" cm="1">
        <f t="array" aca="1" ref="DU66" ca="1">SUM(INDIRECT(ADDRESS(savingsMinRow,COLUMN()) &amp;":"&amp; ADDRESS(savingsMaxRow,COLUMN())))</f>
        <v>0</v>
      </c>
      <c r="DV66" s="21" cm="1">
        <f t="array" aca="1" ref="DV66" ca="1">SUM(INDIRECT(ADDRESS(savingsMinRow,COLUMN()) &amp;":"&amp; ADDRESS(savingsMaxRow,COLUMN())))</f>
        <v>0</v>
      </c>
      <c r="DW66" s="21" cm="1">
        <f t="array" aca="1" ref="DW66" ca="1">SUM(INDIRECT(ADDRESS(savingsMinRow,COLUMN()) &amp;":"&amp; ADDRESS(savingsMaxRow,COLUMN())))</f>
        <v>0</v>
      </c>
      <c r="DX66" s="21" cm="1">
        <f t="array" aca="1" ref="DX66" ca="1">SUM(INDIRECT(ADDRESS(savingsMinRow,COLUMN()) &amp;":"&amp; ADDRESS(savingsMaxRow,COLUMN())))</f>
        <v>0</v>
      </c>
      <c r="DY66" s="21" cm="1">
        <f t="array" aca="1" ref="DY66" ca="1">SUM(INDIRECT(ADDRESS(savingsMinRow,COLUMN()) &amp;":"&amp; ADDRESS(savingsMaxRow,COLUMN())))</f>
        <v>0</v>
      </c>
    </row>
  </sheetData>
  <mergeCells count="10">
    <mergeCell ref="DM5:DY5"/>
    <mergeCell ref="AG5:AS5"/>
    <mergeCell ref="AU5:BG5"/>
    <mergeCell ref="BI5:BU5"/>
    <mergeCell ref="BW5:CI5"/>
    <mergeCell ref="E5:Q5"/>
    <mergeCell ref="S5:AE5"/>
    <mergeCell ref="C1:C3"/>
    <mergeCell ref="CK5:CW5"/>
    <mergeCell ref="CY5:DK5"/>
  </mergeCells>
  <conditionalFormatting sqref="C10:C20 E10:Q20">
    <cfRule type="expression" dxfId="88" priority="54">
      <formula>ROW(C10)&lt;=incomeMaxRow</formula>
    </cfRule>
  </conditionalFormatting>
  <conditionalFormatting sqref="C24:C51 E24:Q51">
    <cfRule type="expression" dxfId="87" priority="53">
      <formula>ROW(C24)&lt;=expensesMaxRow</formula>
    </cfRule>
  </conditionalFormatting>
  <conditionalFormatting sqref="C55:C58 E55:Q65">
    <cfRule type="expression" dxfId="86" priority="52">
      <formula>ROW(C55)&lt;=savingsMaxRow</formula>
    </cfRule>
  </conditionalFormatting>
  <conditionalFormatting sqref="E6:Q7">
    <cfRule type="expression" dxfId="85" priority="49" stopIfTrue="1">
      <formula>AND(E$21=0,E$52=0,E$66=0)</formula>
    </cfRule>
    <cfRule type="expression" dxfId="84" priority="50">
      <formula>E$7&gt;0</formula>
    </cfRule>
    <cfRule type="expression" dxfId="83" priority="51">
      <formula>E$7&lt;0</formula>
    </cfRule>
  </conditionalFormatting>
  <conditionalFormatting sqref="S6:AE7">
    <cfRule type="expression" dxfId="82" priority="43" stopIfTrue="1">
      <formula>AND(S$21=0,S$52=0,S$66=0)</formula>
    </cfRule>
    <cfRule type="expression" dxfId="81" priority="44" stopIfTrue="1">
      <formula>S$7&gt;0</formula>
    </cfRule>
    <cfRule type="expression" dxfId="80" priority="45">
      <formula>S$7&lt;0</formula>
    </cfRule>
  </conditionalFormatting>
  <conditionalFormatting sqref="S10:AE20">
    <cfRule type="expression" dxfId="79" priority="48">
      <formula>ROW(S10)&lt;=incomeMaxRow</formula>
    </cfRule>
  </conditionalFormatting>
  <conditionalFormatting sqref="S24:AE51">
    <cfRule type="expression" dxfId="78" priority="47">
      <formula>ROW(S24)&lt;=expensesMaxRow</formula>
    </cfRule>
  </conditionalFormatting>
  <conditionalFormatting sqref="S55:AE65">
    <cfRule type="expression" dxfId="77" priority="46">
      <formula>ROW(S55)&lt;=savingsMaxRow</formula>
    </cfRule>
  </conditionalFormatting>
  <conditionalFormatting sqref="AG6:AS7">
    <cfRule type="expression" dxfId="76" priority="37" stopIfTrue="1">
      <formula>AND(AG$21=0,AG$52=0,AG$66=0)</formula>
    </cfRule>
    <cfRule type="expression" dxfId="75" priority="38">
      <formula>AG$7&gt;0</formula>
    </cfRule>
    <cfRule type="expression" dxfId="74" priority="39">
      <formula>AG$7&lt;0</formula>
    </cfRule>
  </conditionalFormatting>
  <conditionalFormatting sqref="AG10:AS20">
    <cfRule type="expression" dxfId="73" priority="42">
      <formula>ROW(AG10)&lt;=incomeMaxRow</formula>
    </cfRule>
  </conditionalFormatting>
  <conditionalFormatting sqref="AG24:AS51">
    <cfRule type="expression" dxfId="72" priority="41">
      <formula>ROW(AG24)&lt;=expensesMaxRow</formula>
    </cfRule>
  </conditionalFormatting>
  <conditionalFormatting sqref="AG55:AS65">
    <cfRule type="expression" dxfId="71" priority="40">
      <formula>ROW(AG55)&lt;=savingsMaxRow</formula>
    </cfRule>
  </conditionalFormatting>
  <conditionalFormatting sqref="AU6:BG7">
    <cfRule type="expression" dxfId="70" priority="31" stopIfTrue="1">
      <formula>AND(AU$21=0,AU$52=0,AU$66=0)</formula>
    </cfRule>
    <cfRule type="expression" dxfId="69" priority="32">
      <formula>AU$7&gt;0</formula>
    </cfRule>
    <cfRule type="expression" dxfId="68" priority="33">
      <formula>AU$7&lt;0</formula>
    </cfRule>
  </conditionalFormatting>
  <conditionalFormatting sqref="AU10:BG20">
    <cfRule type="expression" dxfId="67" priority="36">
      <formula>ROW(AU10)&lt;=incomeMaxRow</formula>
    </cfRule>
  </conditionalFormatting>
  <conditionalFormatting sqref="AU24:BG51">
    <cfRule type="expression" dxfId="66" priority="35">
      <formula>ROW(AU24)&lt;=expensesMaxRow</formula>
    </cfRule>
  </conditionalFormatting>
  <conditionalFormatting sqref="AU55:BG65">
    <cfRule type="expression" dxfId="65" priority="34">
      <formula>ROW(AU55)&lt;=savingsMaxRow</formula>
    </cfRule>
  </conditionalFormatting>
  <conditionalFormatting sqref="BI6:BU7">
    <cfRule type="expression" dxfId="64" priority="25" stopIfTrue="1">
      <formula>AND(BI$21=0,BI$52=0,BI$66=0)</formula>
    </cfRule>
    <cfRule type="expression" dxfId="63" priority="26" stopIfTrue="1">
      <formula>BI$7&gt;0</formula>
    </cfRule>
    <cfRule type="expression" dxfId="62" priority="27">
      <formula>BI$7&lt;0</formula>
    </cfRule>
  </conditionalFormatting>
  <conditionalFormatting sqref="BI10:BU20">
    <cfRule type="expression" dxfId="61" priority="30">
      <formula>ROW(BI10)&lt;=incomeMaxRow</formula>
    </cfRule>
  </conditionalFormatting>
  <conditionalFormatting sqref="BI24:BU51">
    <cfRule type="expression" dxfId="60" priority="29">
      <formula>ROW(BI24)&lt;=expensesMaxRow</formula>
    </cfRule>
  </conditionalFormatting>
  <conditionalFormatting sqref="BI55:BU65">
    <cfRule type="expression" dxfId="59" priority="28">
      <formula>ROW(BI55)&lt;=savingsMaxRow</formula>
    </cfRule>
  </conditionalFormatting>
  <conditionalFormatting sqref="BW6:CI7">
    <cfRule type="expression" dxfId="58" priority="19" stopIfTrue="1">
      <formula>AND(BW$21=0,BW$52=0,BW$66=0)</formula>
    </cfRule>
    <cfRule type="expression" dxfId="57" priority="20">
      <formula>BW$7&gt;0</formula>
    </cfRule>
    <cfRule type="expression" dxfId="56" priority="21">
      <formula>BW$7&lt;0</formula>
    </cfRule>
  </conditionalFormatting>
  <conditionalFormatting sqref="BW10:CI20">
    <cfRule type="expression" dxfId="55" priority="24">
      <formula>ROW(BW10)&lt;=incomeMaxRow</formula>
    </cfRule>
  </conditionalFormatting>
  <conditionalFormatting sqref="BW24:CI51">
    <cfRule type="expression" dxfId="54" priority="23">
      <formula>ROW(BW24)&lt;=expensesMaxRow</formula>
    </cfRule>
  </conditionalFormatting>
  <conditionalFormatting sqref="BW55:CI65">
    <cfRule type="expression" dxfId="53" priority="22">
      <formula>ROW(BW55)&lt;=savingsMaxRow</formula>
    </cfRule>
  </conditionalFormatting>
  <conditionalFormatting sqref="CK6:CW7">
    <cfRule type="expression" dxfId="52" priority="13" stopIfTrue="1">
      <formula>AND(CK$21=0,CK$52=0,CK$66=0)</formula>
    </cfRule>
    <cfRule type="expression" dxfId="51" priority="14" stopIfTrue="1">
      <formula>CK$7&gt;0</formula>
    </cfRule>
    <cfRule type="expression" dxfId="50" priority="15">
      <formula>CK$7&lt;0</formula>
    </cfRule>
  </conditionalFormatting>
  <conditionalFormatting sqref="CK10:CW20">
    <cfRule type="expression" dxfId="49" priority="18">
      <formula>ROW(CK10)&lt;=incomeMaxRow</formula>
    </cfRule>
  </conditionalFormatting>
  <conditionalFormatting sqref="CK24:CW51">
    <cfRule type="expression" dxfId="48" priority="17">
      <formula>ROW(CK24)&lt;=expensesMaxRow</formula>
    </cfRule>
  </conditionalFormatting>
  <conditionalFormatting sqref="CK55:CW65">
    <cfRule type="expression" dxfId="47" priority="16">
      <formula>ROW(CK55)&lt;=savingsMaxRow</formula>
    </cfRule>
  </conditionalFormatting>
  <conditionalFormatting sqref="CY6:DK7">
    <cfRule type="expression" dxfId="46" priority="7" stopIfTrue="1">
      <formula>AND(CY$21=0,CY$52=0,CY$66=0)</formula>
    </cfRule>
    <cfRule type="expression" dxfId="45" priority="8" stopIfTrue="1">
      <formula>CY$7&gt;0</formula>
    </cfRule>
    <cfRule type="expression" dxfId="44" priority="9">
      <formula>CY$7&lt;0</formula>
    </cfRule>
  </conditionalFormatting>
  <conditionalFormatting sqref="CY10:DK20">
    <cfRule type="expression" dxfId="43" priority="12">
      <formula>ROW(CY10)&lt;=incomeMaxRow</formula>
    </cfRule>
  </conditionalFormatting>
  <conditionalFormatting sqref="CY24:DK51">
    <cfRule type="expression" dxfId="42" priority="11">
      <formula>ROW(CY24)&lt;=expensesMaxRow</formula>
    </cfRule>
  </conditionalFormatting>
  <conditionalFormatting sqref="CY55:DK65">
    <cfRule type="expression" dxfId="41" priority="10">
      <formula>ROW(CY55)&lt;=savingsMaxRow</formula>
    </cfRule>
  </conditionalFormatting>
  <conditionalFormatting sqref="DM6:DY7">
    <cfRule type="expression" dxfId="40" priority="1">
      <formula>AND(DM$21=0,DM$52=0,DM$66=0)</formula>
    </cfRule>
    <cfRule type="expression" dxfId="39" priority="2" stopIfTrue="1">
      <formula>DM$7&gt;0</formula>
    </cfRule>
    <cfRule type="expression" dxfId="38" priority="3">
      <formula>DM$7&lt;0</formula>
    </cfRule>
  </conditionalFormatting>
  <conditionalFormatting sqref="DM10:DY20">
    <cfRule type="expression" dxfId="37" priority="6">
      <formula>ROW(DM10)&lt;=incomeMaxRow</formula>
    </cfRule>
  </conditionalFormatting>
  <conditionalFormatting sqref="DM24:DY51">
    <cfRule type="expression" dxfId="36" priority="5">
      <formula>ROW(DM24)&lt;=expensesMaxRow</formula>
    </cfRule>
  </conditionalFormatting>
  <conditionalFormatting sqref="DM55:DY65">
    <cfRule type="expression" dxfId="35" priority="4" stopIfTrue="1">
      <formula>ROW(DM55)&lt;=savingsMaxRow</formula>
    </cfRule>
  </conditionalFormatting>
  <pageMargins left="0.7" right="0.7" top="0.75" bottom="0.75" header="0.3" footer="0.3"/>
  <pageSetup paperSize="9" orientation="portrait" horizontalDpi="0" verticalDpi="0"/>
  <ignoredErrors>
    <ignoredError sqref="E20" evalError="1"/>
  </ignoredErrors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E073-C444-6E4F-B56A-E502BE1A3020}">
  <dimension ref="A1:Z218"/>
  <sheetViews>
    <sheetView showGridLines="0" tabSelected="1" zoomScaleNormal="100" workbookViewId="0">
      <pane ySplit="11" topLeftCell="A184" activePane="bottomLeft" state="frozen"/>
      <selection activeCell="H26" sqref="H26"/>
      <selection pane="bottomLeft" activeCell="E205" sqref="E205"/>
    </sheetView>
  </sheetViews>
  <sheetFormatPr baseColWidth="10" defaultRowHeight="16" x14ac:dyDescent="0.2"/>
  <cols>
    <col min="3" max="4" width="14.28515625" customWidth="1"/>
    <col min="5" max="5" width="18.140625" customWidth="1"/>
    <col min="6" max="6" width="14.28515625" customWidth="1"/>
    <col min="7" max="7" width="50" customWidth="1"/>
    <col min="9" max="9" width="14.85546875" customWidth="1"/>
  </cols>
  <sheetData>
    <row r="1" spans="1:26" x14ac:dyDescent="0.2">
      <c r="A1" s="132" t="s">
        <v>25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</row>
    <row r="2" spans="1:26" x14ac:dyDescent="0.2">
      <c r="A2" s="133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</row>
    <row r="3" spans="1:26" x14ac:dyDescent="0.2">
      <c r="A3" s="133"/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</row>
    <row r="11" spans="1:26" x14ac:dyDescent="0.2">
      <c r="C11" s="25" t="s">
        <v>26</v>
      </c>
      <c r="D11" s="25" t="s">
        <v>27</v>
      </c>
      <c r="E11" s="25" t="s">
        <v>28</v>
      </c>
      <c r="F11" s="25" t="s">
        <v>29</v>
      </c>
      <c r="G11" s="25" t="s">
        <v>30</v>
      </c>
      <c r="H11" s="29" t="s">
        <v>31</v>
      </c>
      <c r="I11" s="29" t="s">
        <v>32</v>
      </c>
    </row>
    <row r="12" spans="1:26" x14ac:dyDescent="0.2">
      <c r="C12" s="36">
        <v>45489</v>
      </c>
      <c r="D12" s="26" t="s">
        <v>5</v>
      </c>
      <c r="E12" s="26" t="s">
        <v>10</v>
      </c>
      <c r="F12" s="27">
        <v>11292</v>
      </c>
      <c r="G12" s="28" t="s">
        <v>151</v>
      </c>
      <c r="H12" s="74" cm="1">
        <f t="array" ref="H12">SUMPRODUCT(Tracking[Amount],--(Tracking[Date]&lt;=Tracking[[#This Row],[Date]]), (Tracking[Type]&lt;&gt;"Income") * (-1) + (Tracking[Type]="Income"))</f>
        <v>11230</v>
      </c>
      <c r="I12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45489</v>
      </c>
    </row>
    <row r="13" spans="1:26" x14ac:dyDescent="0.2">
      <c r="C13" s="36">
        <v>45489</v>
      </c>
      <c r="D13" s="26" t="s">
        <v>11</v>
      </c>
      <c r="E13" s="26" t="s">
        <v>14</v>
      </c>
      <c r="F13" s="27">
        <v>62</v>
      </c>
      <c r="G13" s="28" t="s">
        <v>91</v>
      </c>
      <c r="H13" s="74" cm="1">
        <f t="array" ref="H13">SUMPRODUCT(Tracking[Amount],--(Tracking[Date]&lt;=Tracking[[#This Row],[Date]]), (Tracking[Type]&lt;&gt;"Income") * (-1) + (Tracking[Type]="Income"))</f>
        <v>11230</v>
      </c>
      <c r="I13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45489</v>
      </c>
    </row>
    <row r="14" spans="1:26" x14ac:dyDescent="0.2">
      <c r="C14" s="36">
        <v>45490</v>
      </c>
      <c r="D14" s="26" t="s">
        <v>5</v>
      </c>
      <c r="E14" s="26" t="s">
        <v>10</v>
      </c>
      <c r="F14" s="27">
        <v>6000</v>
      </c>
      <c r="G14" s="28" t="s">
        <v>89</v>
      </c>
      <c r="H14" s="74" cm="1">
        <f t="array" ref="H14">SUMPRODUCT(Tracking[Amount],--(Tracking[Date]&lt;=Tracking[[#This Row],[Date]]), (Tracking[Type]&lt;&gt;"Income") * (-1) + (Tracking[Type]="Income"))</f>
        <v>15281</v>
      </c>
      <c r="I14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45490</v>
      </c>
    </row>
    <row r="15" spans="1:26" x14ac:dyDescent="0.2">
      <c r="C15" s="36">
        <v>45490</v>
      </c>
      <c r="D15" s="26" t="s">
        <v>11</v>
      </c>
      <c r="E15" s="26" t="s">
        <v>14</v>
      </c>
      <c r="F15" s="27">
        <v>330</v>
      </c>
      <c r="G15" s="28" t="s">
        <v>90</v>
      </c>
      <c r="H15" s="74" cm="1">
        <f t="array" ref="H15">SUMPRODUCT(Tracking[Amount],--(Tracking[Date]&lt;=Tracking[[#This Row],[Date]]), (Tracking[Type]&lt;&gt;"Income") * (-1) + (Tracking[Type]="Income"))</f>
        <v>15281</v>
      </c>
      <c r="I15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45490</v>
      </c>
    </row>
    <row r="16" spans="1:26" x14ac:dyDescent="0.2">
      <c r="C16" s="36">
        <v>45490</v>
      </c>
      <c r="D16" s="26" t="s">
        <v>11</v>
      </c>
      <c r="E16" s="26" t="s">
        <v>14</v>
      </c>
      <c r="F16" s="27">
        <v>187</v>
      </c>
      <c r="G16" s="28" t="s">
        <v>91</v>
      </c>
      <c r="H16" s="74" cm="1">
        <f t="array" ref="H16">SUMPRODUCT(Tracking[Amount],--(Tracking[Date]&lt;=Tracking[[#This Row],[Date]]), (Tracking[Type]&lt;&gt;"Income") * (-1) + (Tracking[Type]="Income"))</f>
        <v>15281</v>
      </c>
      <c r="I16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45490</v>
      </c>
    </row>
    <row r="17" spans="3:9" x14ac:dyDescent="0.2">
      <c r="C17" s="36">
        <v>45490</v>
      </c>
      <c r="D17" s="26" t="s">
        <v>11</v>
      </c>
      <c r="E17" s="26" t="s">
        <v>13</v>
      </c>
      <c r="F17" s="27">
        <v>484</v>
      </c>
      <c r="G17" s="28" t="s">
        <v>92</v>
      </c>
      <c r="H17" s="74" cm="1">
        <f t="array" ref="H17">SUMPRODUCT(Tracking[Amount],--(Tracking[Date]&lt;=Tracking[[#This Row],[Date]]), (Tracking[Type]&lt;&gt;"Income") * (-1) + (Tracking[Type]="Income"))</f>
        <v>15281</v>
      </c>
      <c r="I17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45490</v>
      </c>
    </row>
    <row r="18" spans="3:9" x14ac:dyDescent="0.2">
      <c r="C18" s="36">
        <v>45490</v>
      </c>
      <c r="D18" s="26" t="s">
        <v>11</v>
      </c>
      <c r="E18" s="26" t="s">
        <v>14</v>
      </c>
      <c r="F18" s="27">
        <v>30</v>
      </c>
      <c r="G18" s="28" t="s">
        <v>93</v>
      </c>
      <c r="H18" s="74" cm="1">
        <f t="array" ref="H18">SUMPRODUCT(Tracking[Amount],--(Tracking[Date]&lt;=Tracking[[#This Row],[Date]]), (Tracking[Type]&lt;&gt;"Income") * (-1) + (Tracking[Type]="Income"))</f>
        <v>15281</v>
      </c>
      <c r="I18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45490</v>
      </c>
    </row>
    <row r="19" spans="3:9" x14ac:dyDescent="0.2">
      <c r="C19" s="36">
        <v>45490</v>
      </c>
      <c r="D19" s="26" t="s">
        <v>11</v>
      </c>
      <c r="E19" s="26" t="s">
        <v>14</v>
      </c>
      <c r="F19" s="27">
        <v>30</v>
      </c>
      <c r="G19" s="28" t="s">
        <v>93</v>
      </c>
      <c r="H19" s="74" cm="1">
        <f t="array" ref="H19">SUMPRODUCT(Tracking[Amount],--(Tracking[Date]&lt;=Tracking[[#This Row],[Date]]), (Tracking[Type]&lt;&gt;"Income") * (-1) + (Tracking[Type]="Income"))</f>
        <v>15281</v>
      </c>
      <c r="I19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45490</v>
      </c>
    </row>
    <row r="20" spans="3:9" x14ac:dyDescent="0.2">
      <c r="C20" s="36">
        <v>45490</v>
      </c>
      <c r="D20" s="26" t="s">
        <v>11</v>
      </c>
      <c r="E20" s="26" t="s">
        <v>74</v>
      </c>
      <c r="F20" s="27">
        <v>888</v>
      </c>
      <c r="G20" s="28" t="s">
        <v>101</v>
      </c>
      <c r="H20" s="74" cm="1">
        <f t="array" ref="H20">SUMPRODUCT(Tracking[Amount],--(Tracking[Date]&lt;=Tracking[[#This Row],[Date]]), (Tracking[Type]&lt;&gt;"Income") * (-1) + (Tracking[Type]="Income"))</f>
        <v>15281</v>
      </c>
      <c r="I20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45490</v>
      </c>
    </row>
    <row r="21" spans="3:9" x14ac:dyDescent="0.2">
      <c r="C21" s="36">
        <v>45491</v>
      </c>
      <c r="D21" s="26" t="s">
        <v>11</v>
      </c>
      <c r="E21" s="26" t="s">
        <v>74</v>
      </c>
      <c r="F21" s="27">
        <v>279</v>
      </c>
      <c r="G21" s="28" t="s">
        <v>96</v>
      </c>
      <c r="H21" s="74" cm="1">
        <f t="array" ref="H21">SUMPRODUCT(Tracking[Amount],--(Tracking[Date]&lt;=Tracking[[#This Row],[Date]]), (Tracking[Type]&lt;&gt;"Income") * (-1) + (Tracking[Type]="Income"))</f>
        <v>9520</v>
      </c>
      <c r="I21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45491</v>
      </c>
    </row>
    <row r="22" spans="3:9" x14ac:dyDescent="0.2">
      <c r="C22" s="36">
        <v>45491</v>
      </c>
      <c r="D22" s="26" t="s">
        <v>11</v>
      </c>
      <c r="E22" s="26" t="s">
        <v>13</v>
      </c>
      <c r="F22" s="27">
        <v>68</v>
      </c>
      <c r="G22" s="28" t="s">
        <v>102</v>
      </c>
      <c r="H22" s="74" cm="1">
        <f t="array" ref="H22">SUMPRODUCT(Tracking[Amount],--(Tracking[Date]&lt;=Tracking[[#This Row],[Date]]), (Tracking[Type]&lt;&gt;"Income") * (-1) + (Tracking[Type]="Income"))</f>
        <v>9520</v>
      </c>
      <c r="I22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45491</v>
      </c>
    </row>
    <row r="23" spans="3:9" x14ac:dyDescent="0.2">
      <c r="C23" s="36">
        <v>45491</v>
      </c>
      <c r="D23" s="26" t="s">
        <v>11</v>
      </c>
      <c r="E23" s="26" t="s">
        <v>74</v>
      </c>
      <c r="F23" s="27">
        <v>485</v>
      </c>
      <c r="G23" s="28" t="s">
        <v>103</v>
      </c>
      <c r="H23" s="74" cm="1">
        <f t="array" ref="H23">SUMPRODUCT(Tracking[Amount],--(Tracking[Date]&lt;=Tracking[[#This Row],[Date]]), (Tracking[Type]&lt;&gt;"Income") * (-1) + (Tracking[Type]="Income"))</f>
        <v>9520</v>
      </c>
      <c r="I23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45491</v>
      </c>
    </row>
    <row r="24" spans="3:9" x14ac:dyDescent="0.2">
      <c r="C24" s="36">
        <v>45491</v>
      </c>
      <c r="D24" s="26" t="s">
        <v>11</v>
      </c>
      <c r="E24" s="26" t="s">
        <v>12</v>
      </c>
      <c r="F24" s="27">
        <v>4929</v>
      </c>
      <c r="G24" s="28" t="s">
        <v>104</v>
      </c>
      <c r="H24" s="74" cm="1">
        <f t="array" ref="H24">SUMPRODUCT(Tracking[Amount],--(Tracking[Date]&lt;=Tracking[[#This Row],[Date]]), (Tracking[Type]&lt;&gt;"Income") * (-1) + (Tracking[Type]="Income"))</f>
        <v>9520</v>
      </c>
      <c r="I24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45491</v>
      </c>
    </row>
    <row r="25" spans="3:9" x14ac:dyDescent="0.2">
      <c r="C25" s="36">
        <v>45492</v>
      </c>
      <c r="D25" s="26" t="s">
        <v>11</v>
      </c>
      <c r="E25" s="26" t="s">
        <v>13</v>
      </c>
      <c r="F25" s="27">
        <v>240</v>
      </c>
      <c r="G25" s="28" t="s">
        <v>94</v>
      </c>
      <c r="H25" s="74" cm="1">
        <f t="array" ref="H25">SUMPRODUCT(Tracking[Amount],--(Tracking[Date]&lt;=Tracking[[#This Row],[Date]]), (Tracking[Type]&lt;&gt;"Income") * (-1) + (Tracking[Type]="Income"))</f>
        <v>2545</v>
      </c>
      <c r="I25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45492</v>
      </c>
    </row>
    <row r="26" spans="3:9" x14ac:dyDescent="0.2">
      <c r="C26" s="36">
        <v>45492</v>
      </c>
      <c r="D26" s="26" t="s">
        <v>11</v>
      </c>
      <c r="E26" s="26" t="s">
        <v>13</v>
      </c>
      <c r="F26" s="27">
        <v>78</v>
      </c>
      <c r="G26" s="28" t="s">
        <v>95</v>
      </c>
      <c r="H26" s="74" cm="1">
        <f t="array" ref="H26">SUMPRODUCT(Tracking[Amount],--(Tracking[Date]&lt;=Tracking[[#This Row],[Date]]), (Tracking[Type]&lt;&gt;"Income") * (-1) + (Tracking[Type]="Income"))</f>
        <v>2545</v>
      </c>
      <c r="I26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45492</v>
      </c>
    </row>
    <row r="27" spans="3:9" x14ac:dyDescent="0.2">
      <c r="C27" s="36">
        <v>45492</v>
      </c>
      <c r="D27" s="26" t="s">
        <v>11</v>
      </c>
      <c r="E27" s="26" t="s">
        <v>14</v>
      </c>
      <c r="F27" s="27">
        <v>30</v>
      </c>
      <c r="G27" s="28" t="s">
        <v>97</v>
      </c>
      <c r="H27" s="74" cm="1">
        <f t="array" ref="H27">SUMPRODUCT(Tracking[Amount],--(Tracking[Date]&lt;=Tracking[[#This Row],[Date]]), (Tracking[Type]&lt;&gt;"Income") * (-1) + (Tracking[Type]="Income"))</f>
        <v>2545</v>
      </c>
      <c r="I27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45492</v>
      </c>
    </row>
    <row r="28" spans="3:9" x14ac:dyDescent="0.2">
      <c r="C28" s="36">
        <v>45492</v>
      </c>
      <c r="D28" s="26" t="s">
        <v>11</v>
      </c>
      <c r="E28" s="26" t="s">
        <v>14</v>
      </c>
      <c r="F28" s="27">
        <v>30</v>
      </c>
      <c r="G28" s="28" t="s">
        <v>97</v>
      </c>
      <c r="H28" s="74" cm="1">
        <f t="array" ref="H28">SUMPRODUCT(Tracking[Amount],--(Tracking[Date]&lt;=Tracking[[#This Row],[Date]]), (Tracking[Type]&lt;&gt;"Income") * (-1) + (Tracking[Type]="Income"))</f>
        <v>2545</v>
      </c>
      <c r="I28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45492</v>
      </c>
    </row>
    <row r="29" spans="3:9" x14ac:dyDescent="0.2">
      <c r="C29" s="36">
        <v>45492</v>
      </c>
      <c r="D29" s="26" t="s">
        <v>11</v>
      </c>
      <c r="E29" s="26" t="s">
        <v>12</v>
      </c>
      <c r="F29" s="27">
        <v>5466</v>
      </c>
      <c r="G29" s="28" t="s">
        <v>98</v>
      </c>
      <c r="H29" s="74" cm="1">
        <f t="array" ref="H29">SUMPRODUCT(Tracking[Amount],--(Tracking[Date]&lt;=Tracking[[#This Row],[Date]]), (Tracking[Type]&lt;&gt;"Income") * (-1) + (Tracking[Type]="Income"))</f>
        <v>2545</v>
      </c>
      <c r="I29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45492</v>
      </c>
    </row>
    <row r="30" spans="3:9" x14ac:dyDescent="0.2">
      <c r="C30" s="36">
        <v>45492</v>
      </c>
      <c r="D30" s="26" t="s">
        <v>11</v>
      </c>
      <c r="E30" s="26" t="s">
        <v>23</v>
      </c>
      <c r="F30" s="27">
        <v>961</v>
      </c>
      <c r="G30" s="28" t="s">
        <v>99</v>
      </c>
      <c r="H30" s="74" cm="1">
        <f t="array" ref="H30">SUMPRODUCT(Tracking[Amount],--(Tracking[Date]&lt;=Tracking[[#This Row],[Date]]), (Tracking[Type]&lt;&gt;"Income") * (-1) + (Tracking[Type]="Income"))</f>
        <v>2545</v>
      </c>
      <c r="I30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45492</v>
      </c>
    </row>
    <row r="31" spans="3:9" x14ac:dyDescent="0.2">
      <c r="C31" s="36">
        <v>45492</v>
      </c>
      <c r="D31" s="26" t="s">
        <v>11</v>
      </c>
      <c r="E31" s="26" t="s">
        <v>13</v>
      </c>
      <c r="F31" s="27">
        <v>30</v>
      </c>
      <c r="G31" s="28" t="s">
        <v>100</v>
      </c>
      <c r="H31" s="74" cm="1">
        <f t="array" ref="H31">SUMPRODUCT(Tracking[Amount],--(Tracking[Date]&lt;=Tracking[[#This Row],[Date]]), (Tracking[Type]&lt;&gt;"Income") * (-1) + (Tracking[Type]="Income"))</f>
        <v>2545</v>
      </c>
      <c r="I31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45492</v>
      </c>
    </row>
    <row r="32" spans="3:9" x14ac:dyDescent="0.2">
      <c r="C32" s="36">
        <v>45492</v>
      </c>
      <c r="D32" s="26" t="s">
        <v>11</v>
      </c>
      <c r="E32" s="26" t="s">
        <v>14</v>
      </c>
      <c r="F32" s="27">
        <v>140</v>
      </c>
      <c r="G32" s="28" t="s">
        <v>91</v>
      </c>
      <c r="H32" s="74" cm="1">
        <f t="array" ref="H32">SUMPRODUCT(Tracking[Amount],--(Tracking[Date]&lt;=Tracking[[#This Row],[Date]]), (Tracking[Type]&lt;&gt;"Income") * (-1) + (Tracking[Type]="Income"))</f>
        <v>2545</v>
      </c>
      <c r="I32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45492</v>
      </c>
    </row>
    <row r="33" spans="3:9" x14ac:dyDescent="0.2">
      <c r="C33" s="36">
        <v>45499</v>
      </c>
      <c r="D33" s="26" t="s">
        <v>11</v>
      </c>
      <c r="E33" s="26" t="s">
        <v>24</v>
      </c>
      <c r="F33" s="27">
        <v>2200</v>
      </c>
      <c r="G33" s="28" t="s">
        <v>105</v>
      </c>
      <c r="H33" s="74" cm="1">
        <f t="array" ref="H33">SUMPRODUCT(Tracking[Amount],--(Tracking[Date]&lt;=Tracking[[#This Row],[Date]]), (Tracking[Type]&lt;&gt;"Income") * (-1) + (Tracking[Type]="Income"))</f>
        <v>345</v>
      </c>
      <c r="I33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45499</v>
      </c>
    </row>
    <row r="34" spans="3:9" x14ac:dyDescent="0.2">
      <c r="C34" s="36">
        <v>45505</v>
      </c>
      <c r="D34" s="26" t="s">
        <v>5</v>
      </c>
      <c r="E34" s="26" t="s">
        <v>10</v>
      </c>
      <c r="F34" s="27">
        <v>150</v>
      </c>
      <c r="G34" s="28"/>
      <c r="H34" s="74"/>
      <c r="I34" s="37"/>
    </row>
    <row r="35" spans="3:9" x14ac:dyDescent="0.2">
      <c r="C35" s="36">
        <v>45506</v>
      </c>
      <c r="D35" s="26" t="s">
        <v>11</v>
      </c>
      <c r="E35" s="26" t="s">
        <v>14</v>
      </c>
      <c r="F35" s="27">
        <v>448</v>
      </c>
      <c r="G35" s="28" t="s">
        <v>91</v>
      </c>
      <c r="H35" s="74"/>
      <c r="I35" s="37"/>
    </row>
    <row r="36" spans="3:9" x14ac:dyDescent="0.2">
      <c r="C36" s="36">
        <v>45507</v>
      </c>
      <c r="D36" s="26" t="s">
        <v>5</v>
      </c>
      <c r="E36" s="26" t="s">
        <v>10</v>
      </c>
      <c r="F36" s="27">
        <v>170</v>
      </c>
      <c r="G36" s="28" t="s">
        <v>134</v>
      </c>
      <c r="H36" s="74"/>
      <c r="I36" s="37"/>
    </row>
    <row r="37" spans="3:9" x14ac:dyDescent="0.2">
      <c r="C37" s="36">
        <v>45508</v>
      </c>
      <c r="D37" s="26" t="s">
        <v>11</v>
      </c>
      <c r="E37" s="26" t="s">
        <v>14</v>
      </c>
      <c r="F37" s="27">
        <v>214</v>
      </c>
      <c r="G37" s="28" t="s">
        <v>91</v>
      </c>
      <c r="H37" s="74"/>
      <c r="I37" s="37"/>
    </row>
    <row r="38" spans="3:9" x14ac:dyDescent="0.2">
      <c r="C38" s="36">
        <v>45509</v>
      </c>
      <c r="D38" s="26" t="s">
        <v>5</v>
      </c>
      <c r="E38" s="26" t="s">
        <v>10</v>
      </c>
      <c r="F38" s="27">
        <v>230</v>
      </c>
      <c r="G38" s="28" t="s">
        <v>134</v>
      </c>
      <c r="H38" s="74"/>
      <c r="I38" s="37"/>
    </row>
    <row r="39" spans="3:9" x14ac:dyDescent="0.2">
      <c r="C39" s="36">
        <v>45510</v>
      </c>
      <c r="D39" s="26" t="s">
        <v>5</v>
      </c>
      <c r="E39" s="26" t="s">
        <v>10</v>
      </c>
      <c r="F39" s="27">
        <v>4907</v>
      </c>
      <c r="G39" s="28" t="s">
        <v>135</v>
      </c>
      <c r="H39" s="74"/>
      <c r="I39" s="37"/>
    </row>
    <row r="40" spans="3:9" x14ac:dyDescent="0.2">
      <c r="C40" s="36">
        <v>45511</v>
      </c>
      <c r="D40" s="26" t="s">
        <v>11</v>
      </c>
      <c r="E40" s="26" t="s">
        <v>14</v>
      </c>
      <c r="F40" s="27">
        <v>202</v>
      </c>
      <c r="G40" s="28" t="s">
        <v>91</v>
      </c>
      <c r="H40" s="74" cm="1">
        <f t="array" ref="H40">SUMPRODUCT(Tracking[Amount],--(Tracking[Date]&lt;=Tracking[[#This Row],[Date]]), (Tracking[Type]&lt;&gt;"Income") * (-1) + (Tracking[Type]="Income"))</f>
        <v>4938</v>
      </c>
      <c r="I40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45511</v>
      </c>
    </row>
    <row r="41" spans="3:9" x14ac:dyDescent="0.2">
      <c r="C41" s="36">
        <v>45512</v>
      </c>
      <c r="D41" s="26" t="s">
        <v>11</v>
      </c>
      <c r="E41" s="26" t="s">
        <v>74</v>
      </c>
      <c r="F41" s="27">
        <v>1340</v>
      </c>
      <c r="G41" s="28" t="s">
        <v>136</v>
      </c>
      <c r="H41" s="74" cm="1">
        <f t="array" ref="H41">SUMPRODUCT(Tracking[Amount],--(Tracking[Date]&lt;=Tracking[[#This Row],[Date]]), (Tracking[Type]&lt;&gt;"Income") * (-1) + (Tracking[Type]="Income"))</f>
        <v>3598</v>
      </c>
      <c r="I41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45512</v>
      </c>
    </row>
    <row r="42" spans="3:9" x14ac:dyDescent="0.2">
      <c r="C42" s="36">
        <v>45513</v>
      </c>
      <c r="D42" s="26" t="s">
        <v>11</v>
      </c>
      <c r="E42" s="26" t="s">
        <v>24</v>
      </c>
      <c r="F42" s="27">
        <v>2190</v>
      </c>
      <c r="G42" s="28" t="s">
        <v>137</v>
      </c>
      <c r="H42" s="74" cm="1">
        <f t="array" ref="H42">SUMPRODUCT(Tracking[Amount],--(Tracking[Date]&lt;=Tracking[[#This Row],[Date]]), (Tracking[Type]&lt;&gt;"Income") * (-1) + (Tracking[Type]="Income"))</f>
        <v>1408</v>
      </c>
      <c r="I42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45513</v>
      </c>
    </row>
    <row r="43" spans="3:9" x14ac:dyDescent="0.2">
      <c r="C43" s="36">
        <v>45514</v>
      </c>
      <c r="D43" s="26" t="s">
        <v>11</v>
      </c>
      <c r="E43" s="26" t="s">
        <v>13</v>
      </c>
      <c r="F43" s="27">
        <v>328</v>
      </c>
      <c r="G43" s="28" t="s">
        <v>138</v>
      </c>
      <c r="H43" s="74" cm="1">
        <f t="array" ref="H43">SUMPRODUCT(Tracking[Amount],--(Tracking[Date]&lt;=Tracking[[#This Row],[Date]]), (Tracking[Type]&lt;&gt;"Income") * (-1) + (Tracking[Type]="Income"))</f>
        <v>1080</v>
      </c>
      <c r="I43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45514</v>
      </c>
    </row>
    <row r="44" spans="3:9" x14ac:dyDescent="0.2">
      <c r="C44" s="36">
        <v>45515</v>
      </c>
      <c r="D44" s="26" t="s">
        <v>11</v>
      </c>
      <c r="E44" s="26" t="s">
        <v>14</v>
      </c>
      <c r="F44" s="27">
        <v>202</v>
      </c>
      <c r="G44" s="28" t="s">
        <v>91</v>
      </c>
      <c r="H44" s="74" cm="1">
        <f t="array" ref="H44">SUMPRODUCT(Tracking[Amount],--(Tracking[Date]&lt;=Tracking[[#This Row],[Date]]), (Tracking[Type]&lt;&gt;"Income") * (-1) + (Tracking[Type]="Income"))</f>
        <v>878</v>
      </c>
      <c r="I44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45515</v>
      </c>
    </row>
    <row r="45" spans="3:9" x14ac:dyDescent="0.2">
      <c r="C45" s="36">
        <v>45516</v>
      </c>
      <c r="D45" s="26" t="s">
        <v>5</v>
      </c>
      <c r="E45" s="26" t="s">
        <v>10</v>
      </c>
      <c r="F45" s="27">
        <v>1227</v>
      </c>
      <c r="G45" s="28"/>
      <c r="H45" s="74" cm="1">
        <f t="array" ref="H45">SUMPRODUCT(Tracking[Amount],--(Tracking[Date]&lt;=Tracking[[#This Row],[Date]]), (Tracking[Type]&lt;&gt;"Income") * (-1) + (Tracking[Type]="Income"))</f>
        <v>2105</v>
      </c>
      <c r="I45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45516</v>
      </c>
    </row>
    <row r="46" spans="3:9" x14ac:dyDescent="0.2">
      <c r="C46" s="36">
        <v>45517</v>
      </c>
      <c r="D46" s="26" t="s">
        <v>11</v>
      </c>
      <c r="E46" s="26" t="s">
        <v>13</v>
      </c>
      <c r="F46" s="27">
        <v>150</v>
      </c>
      <c r="G46" s="28"/>
      <c r="H46" s="74" cm="1">
        <f t="array" ref="H46">SUMPRODUCT(Tracking[Amount],--(Tracking[Date]&lt;=Tracking[[#This Row],[Date]]), (Tracking[Type]&lt;&gt;"Income") * (-1) + (Tracking[Type]="Income"))</f>
        <v>1955</v>
      </c>
      <c r="I46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45517</v>
      </c>
    </row>
    <row r="47" spans="3:9" x14ac:dyDescent="0.2">
      <c r="C47" s="36">
        <v>45518</v>
      </c>
      <c r="D47" s="26" t="s">
        <v>11</v>
      </c>
      <c r="E47" s="26" t="s">
        <v>74</v>
      </c>
      <c r="F47" s="27">
        <v>767</v>
      </c>
      <c r="G47" s="28" t="s">
        <v>101</v>
      </c>
      <c r="H47" s="74" cm="1">
        <f t="array" ref="H47">SUMPRODUCT(Tracking[Amount],--(Tracking[Date]&lt;=Tracking[[#This Row],[Date]]), (Tracking[Type]&lt;&gt;"Income") * (-1) + (Tracking[Type]="Income"))</f>
        <v>1188</v>
      </c>
      <c r="I47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45518</v>
      </c>
    </row>
    <row r="48" spans="3:9" x14ac:dyDescent="0.2">
      <c r="C48" s="36">
        <v>45519</v>
      </c>
      <c r="D48" s="26" t="s">
        <v>11</v>
      </c>
      <c r="E48" s="26" t="s">
        <v>14</v>
      </c>
      <c r="F48" s="27">
        <v>310</v>
      </c>
      <c r="G48" s="28" t="s">
        <v>91</v>
      </c>
      <c r="H48" s="74" cm="1">
        <f t="array" ref="H48">SUMPRODUCT(Tracking[Amount],--(Tracking[Date]&lt;=Tracking[[#This Row],[Date]]), (Tracking[Type]&lt;&gt;"Income") * (-1) + (Tracking[Type]="Income"))</f>
        <v>878</v>
      </c>
      <c r="I48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45519</v>
      </c>
    </row>
    <row r="49" spans="3:9" x14ac:dyDescent="0.2">
      <c r="C49" s="36">
        <v>45520</v>
      </c>
      <c r="D49" s="26" t="s">
        <v>11</v>
      </c>
      <c r="E49" s="26" t="s">
        <v>13</v>
      </c>
      <c r="F49" s="27">
        <v>160</v>
      </c>
      <c r="G49" s="28"/>
      <c r="H49" s="74" cm="1">
        <f t="array" ref="H49">SUMPRODUCT(Tracking[Amount],--(Tracking[Date]&lt;=Tracking[[#This Row],[Date]]), (Tracking[Type]&lt;&gt;"Income") * (-1) + (Tracking[Type]="Income"))</f>
        <v>718</v>
      </c>
      <c r="I49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45520</v>
      </c>
    </row>
    <row r="50" spans="3:9" x14ac:dyDescent="0.2">
      <c r="C50" s="36">
        <v>45522</v>
      </c>
      <c r="D50" s="26" t="s">
        <v>11</v>
      </c>
      <c r="E50" s="26" t="s">
        <v>14</v>
      </c>
      <c r="F50" s="27">
        <v>523</v>
      </c>
      <c r="G50" s="28" t="s">
        <v>91</v>
      </c>
      <c r="H50" s="74" cm="1">
        <f t="array" ref="H50">SUMPRODUCT(Tracking[Amount],--(Tracking[Date]&lt;=Tracking[[#This Row],[Date]]), (Tracking[Type]&lt;&gt;"Income") * (-1) + (Tracking[Type]="Income"))</f>
        <v>195</v>
      </c>
      <c r="I50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45522</v>
      </c>
    </row>
    <row r="51" spans="3:9" x14ac:dyDescent="0.2">
      <c r="C51" s="36">
        <v>45523</v>
      </c>
      <c r="D51" s="26" t="s">
        <v>5</v>
      </c>
      <c r="E51" s="26" t="s">
        <v>10</v>
      </c>
      <c r="F51" s="27">
        <v>12178</v>
      </c>
      <c r="G51" s="28"/>
      <c r="H51" s="74" cm="1">
        <f t="array" ref="H51">SUMPRODUCT(Tracking[Amount],--(Tracking[Date]&lt;=Tracking[[#This Row],[Date]]), (Tracking[Type]&lt;&gt;"Income") * (-1) + (Tracking[Type]="Income"))</f>
        <v>12373</v>
      </c>
      <c r="I51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45523</v>
      </c>
    </row>
    <row r="52" spans="3:9" x14ac:dyDescent="0.2">
      <c r="C52" s="36">
        <v>45524</v>
      </c>
      <c r="D52" s="26" t="s">
        <v>11</v>
      </c>
      <c r="E52" s="26" t="s">
        <v>14</v>
      </c>
      <c r="F52" s="27">
        <v>708</v>
      </c>
      <c r="G52" s="28" t="s">
        <v>91</v>
      </c>
      <c r="H52" s="74" cm="1">
        <f t="array" ref="H52">SUMPRODUCT(Tracking[Amount],--(Tracking[Date]&lt;=Tracking[[#This Row],[Date]]), (Tracking[Type]&lt;&gt;"Income") * (-1) + (Tracking[Type]="Income"))</f>
        <v>11665</v>
      </c>
      <c r="I52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45524</v>
      </c>
    </row>
    <row r="53" spans="3:9" x14ac:dyDescent="0.2">
      <c r="C53" s="36">
        <v>45525</v>
      </c>
      <c r="D53" s="26" t="s">
        <v>11</v>
      </c>
      <c r="E53" s="26" t="s">
        <v>12</v>
      </c>
      <c r="F53" s="27">
        <v>300</v>
      </c>
      <c r="G53" s="28" t="s">
        <v>139</v>
      </c>
      <c r="H53" s="74" cm="1">
        <f t="array" ref="H53">SUMPRODUCT(Tracking[Amount],--(Tracking[Date]&lt;=Tracking[[#This Row],[Date]]), (Tracking[Type]&lt;&gt;"Income") * (-1) + (Tracking[Type]="Income"))</f>
        <v>11365</v>
      </c>
      <c r="I53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45525</v>
      </c>
    </row>
    <row r="54" spans="3:9" x14ac:dyDescent="0.2">
      <c r="C54" s="36">
        <v>45526</v>
      </c>
      <c r="D54" s="26" t="s">
        <v>11</v>
      </c>
      <c r="E54" s="26" t="s">
        <v>23</v>
      </c>
      <c r="F54" s="27">
        <v>75</v>
      </c>
      <c r="G54" s="28"/>
      <c r="H54" s="74" cm="1">
        <f t="array" ref="H54">SUMPRODUCT(Tracking[Amount],--(Tracking[Date]&lt;=Tracking[[#This Row],[Date]]), (Tracking[Type]&lt;&gt;"Income") * (-1) + (Tracking[Type]="Income"))</f>
        <v>11290</v>
      </c>
      <c r="I54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45526</v>
      </c>
    </row>
    <row r="55" spans="3:9" x14ac:dyDescent="0.2">
      <c r="C55" s="36">
        <v>45527</v>
      </c>
      <c r="D55" s="26" t="s">
        <v>11</v>
      </c>
      <c r="E55" s="26" t="s">
        <v>23</v>
      </c>
      <c r="F55" s="27">
        <v>664</v>
      </c>
      <c r="G55" s="28" t="s">
        <v>140</v>
      </c>
      <c r="H55" s="74" cm="1">
        <f t="array" ref="H55">SUMPRODUCT(Tracking[Amount],--(Tracking[Date]&lt;=Tracking[[#This Row],[Date]]), (Tracking[Type]&lt;&gt;"Income") * (-1) + (Tracking[Type]="Income"))</f>
        <v>10626</v>
      </c>
      <c r="I55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45527</v>
      </c>
    </row>
    <row r="56" spans="3:9" x14ac:dyDescent="0.2">
      <c r="C56" s="36">
        <v>45536</v>
      </c>
      <c r="D56" s="26" t="s">
        <v>11</v>
      </c>
      <c r="E56" s="26" t="s">
        <v>14</v>
      </c>
      <c r="F56" s="27">
        <v>65</v>
      </c>
      <c r="G56" s="28" t="s">
        <v>91</v>
      </c>
      <c r="H56" s="74" cm="1">
        <f t="array" ref="H56">SUMPRODUCT(Tracking[Amount],--(Tracking[Date]&lt;=Tracking[[#This Row],[Date]]), (Tracking[Type]&lt;&gt;"Income") * (-1) + (Tracking[Type]="Income"))</f>
        <v>10561</v>
      </c>
      <c r="I56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45536</v>
      </c>
    </row>
    <row r="57" spans="3:9" x14ac:dyDescent="0.2">
      <c r="C57" s="36">
        <v>45537</v>
      </c>
      <c r="D57" s="26" t="s">
        <v>5</v>
      </c>
      <c r="E57" s="26" t="s">
        <v>10</v>
      </c>
      <c r="F57" s="27">
        <v>312</v>
      </c>
      <c r="G57" s="28"/>
      <c r="H57" s="74" cm="1">
        <f t="array" ref="H57">SUMPRODUCT(Tracking[Amount],--(Tracking[Date]&lt;=Tracking[[#This Row],[Date]]), (Tracking[Type]&lt;&gt;"Income") * (-1) + (Tracking[Type]="Income"))</f>
        <v>10873</v>
      </c>
      <c r="I57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45537</v>
      </c>
    </row>
    <row r="58" spans="3:9" x14ac:dyDescent="0.2">
      <c r="C58" s="36">
        <v>45538</v>
      </c>
      <c r="D58" s="26" t="s">
        <v>11</v>
      </c>
      <c r="E58" s="26" t="s">
        <v>13</v>
      </c>
      <c r="F58" s="27">
        <v>80</v>
      </c>
      <c r="G58" s="28"/>
      <c r="H58" s="74" cm="1">
        <f t="array" ref="H58">SUMPRODUCT(Tracking[Amount],--(Tracking[Date]&lt;=Tracking[[#This Row],[Date]]), (Tracking[Type]&lt;&gt;"Income") * (-1) + (Tracking[Type]="Income"))</f>
        <v>10793</v>
      </c>
      <c r="I58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45538</v>
      </c>
    </row>
    <row r="59" spans="3:9" x14ac:dyDescent="0.2">
      <c r="C59" s="36">
        <v>45539</v>
      </c>
      <c r="D59" s="26" t="s">
        <v>11</v>
      </c>
      <c r="E59" s="26" t="s">
        <v>12</v>
      </c>
      <c r="F59" s="27">
        <v>300</v>
      </c>
      <c r="G59" s="28" t="s">
        <v>139</v>
      </c>
      <c r="H59" s="74" cm="1">
        <f t="array" ref="H59">SUMPRODUCT(Tracking[Amount],--(Tracking[Date]&lt;=Tracking[[#This Row],[Date]]), (Tracking[Type]&lt;&gt;"Income") * (-1) + (Tracking[Type]="Income"))</f>
        <v>10493</v>
      </c>
      <c r="I59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45539</v>
      </c>
    </row>
    <row r="60" spans="3:9" x14ac:dyDescent="0.2">
      <c r="C60" s="36">
        <v>45540</v>
      </c>
      <c r="D60" s="26" t="s">
        <v>11</v>
      </c>
      <c r="E60" s="26" t="s">
        <v>12</v>
      </c>
      <c r="F60" s="27">
        <v>2960</v>
      </c>
      <c r="G60" s="28" t="s">
        <v>141</v>
      </c>
      <c r="H60" s="74" cm="1">
        <f t="array" ref="H60">SUMPRODUCT(Tracking[Amount],--(Tracking[Date]&lt;=Tracking[[#This Row],[Date]]), (Tracking[Type]&lt;&gt;"Income") * (-1) + (Tracking[Type]="Income"))</f>
        <v>7533</v>
      </c>
      <c r="I60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45540</v>
      </c>
    </row>
    <row r="61" spans="3:9" x14ac:dyDescent="0.2">
      <c r="C61" s="36">
        <v>45541</v>
      </c>
      <c r="D61" s="26" t="s">
        <v>11</v>
      </c>
      <c r="E61" s="26" t="s">
        <v>74</v>
      </c>
      <c r="F61" s="27">
        <v>480</v>
      </c>
      <c r="G61" s="28" t="s">
        <v>142</v>
      </c>
      <c r="H61" s="74" cm="1">
        <f t="array" ref="H61">SUMPRODUCT(Tracking[Amount],--(Tracking[Date]&lt;=Tracking[[#This Row],[Date]]), (Tracking[Type]&lt;&gt;"Income") * (-1) + (Tracking[Type]="Income"))</f>
        <v>7053</v>
      </c>
      <c r="I61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45541</v>
      </c>
    </row>
    <row r="62" spans="3:9" x14ac:dyDescent="0.2">
      <c r="C62" s="36">
        <v>45542</v>
      </c>
      <c r="D62" s="26" t="s">
        <v>11</v>
      </c>
      <c r="E62" s="26" t="s">
        <v>14</v>
      </c>
      <c r="F62" s="27">
        <v>232</v>
      </c>
      <c r="G62" s="28" t="s">
        <v>91</v>
      </c>
      <c r="H62" s="74" cm="1">
        <f t="array" ref="H62">SUMPRODUCT(Tracking[Amount],--(Tracking[Date]&lt;=Tracking[[#This Row],[Date]]), (Tracking[Type]&lt;&gt;"Income") * (-1) + (Tracking[Type]="Income"))</f>
        <v>6821</v>
      </c>
      <c r="I62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45542</v>
      </c>
    </row>
    <row r="63" spans="3:9" x14ac:dyDescent="0.2">
      <c r="C63" s="36">
        <v>45543</v>
      </c>
      <c r="D63" s="26" t="s">
        <v>11</v>
      </c>
      <c r="E63" s="26" t="s">
        <v>13</v>
      </c>
      <c r="F63" s="27">
        <v>97</v>
      </c>
      <c r="G63" s="28"/>
      <c r="H63" s="74" cm="1">
        <f t="array" ref="H63">SUMPRODUCT(Tracking[Amount],--(Tracking[Date]&lt;=Tracking[[#This Row],[Date]]), (Tracking[Type]&lt;&gt;"Income") * (-1) + (Tracking[Type]="Income"))</f>
        <v>6724</v>
      </c>
      <c r="I63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45543</v>
      </c>
    </row>
    <row r="64" spans="3:9" x14ac:dyDescent="0.2">
      <c r="C64" s="36">
        <v>45545</v>
      </c>
      <c r="D64" s="26" t="s">
        <v>11</v>
      </c>
      <c r="E64" s="26" t="s">
        <v>14</v>
      </c>
      <c r="F64" s="27">
        <v>84</v>
      </c>
      <c r="G64" s="28"/>
      <c r="H64" s="74" cm="1">
        <f t="array" ref="H64">SUMPRODUCT(Tracking[Amount],--(Tracking[Date]&lt;=Tracking[[#This Row],[Date]]), (Tracking[Type]&lt;&gt;"Income") * (-1) + (Tracking[Type]="Income"))</f>
        <v>14908</v>
      </c>
      <c r="I64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45545</v>
      </c>
    </row>
    <row r="65" spans="3:9" x14ac:dyDescent="0.2">
      <c r="C65" s="36">
        <v>45545</v>
      </c>
      <c r="D65" s="26" t="s">
        <v>5</v>
      </c>
      <c r="E65" s="26" t="s">
        <v>8</v>
      </c>
      <c r="F65" s="27">
        <v>8268</v>
      </c>
      <c r="G65" s="28"/>
      <c r="H65" s="74" cm="1">
        <f t="array" ref="H65">SUMPRODUCT(Tracking[Amount],--(Tracking[Date]&lt;=Tracking[[#This Row],[Date]]), (Tracking[Type]&lt;&gt;"Income") * (-1) + (Tracking[Type]="Income"))</f>
        <v>14908</v>
      </c>
      <c r="I65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45545</v>
      </c>
    </row>
    <row r="66" spans="3:9" x14ac:dyDescent="0.2">
      <c r="C66" s="36">
        <v>45546</v>
      </c>
      <c r="D66" s="26" t="s">
        <v>11</v>
      </c>
      <c r="E66" s="26" t="s">
        <v>13</v>
      </c>
      <c r="F66" s="27">
        <v>82</v>
      </c>
      <c r="G66" s="28"/>
      <c r="H66" s="74" cm="1">
        <f t="array" ref="H66">SUMPRODUCT(Tracking[Amount],--(Tracking[Date]&lt;=Tracking[[#This Row],[Date]]), (Tracking[Type]&lt;&gt;"Income") * (-1) + (Tracking[Type]="Income"))</f>
        <v>14826</v>
      </c>
      <c r="I66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45546</v>
      </c>
    </row>
    <row r="67" spans="3:9" x14ac:dyDescent="0.2">
      <c r="C67" s="36">
        <v>45547</v>
      </c>
      <c r="D67" s="26" t="s">
        <v>11</v>
      </c>
      <c r="E67" s="26" t="s">
        <v>13</v>
      </c>
      <c r="F67" s="27">
        <v>317</v>
      </c>
      <c r="G67" s="28"/>
      <c r="H67" s="74" cm="1">
        <f t="array" ref="H67">SUMPRODUCT(Tracking[Amount],--(Tracking[Date]&lt;=Tracking[[#This Row],[Date]]), (Tracking[Type]&lt;&gt;"Income") * (-1) + (Tracking[Type]="Income"))</f>
        <v>14509</v>
      </c>
      <c r="I67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45547</v>
      </c>
    </row>
    <row r="68" spans="3:9" x14ac:dyDescent="0.2">
      <c r="C68" s="36">
        <v>45548</v>
      </c>
      <c r="D68" s="26" t="s">
        <v>11</v>
      </c>
      <c r="E68" s="26" t="s">
        <v>24</v>
      </c>
      <c r="F68" s="27">
        <v>3000</v>
      </c>
      <c r="G68" s="28" t="s">
        <v>143</v>
      </c>
      <c r="H68" s="74" cm="1">
        <f t="array" ref="H68">SUMPRODUCT(Tracking[Amount],--(Tracking[Date]&lt;=Tracking[[#This Row],[Date]]), (Tracking[Type]&lt;&gt;"Income") * (-1) + (Tracking[Type]="Income"))</f>
        <v>10769</v>
      </c>
      <c r="I68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45548</v>
      </c>
    </row>
    <row r="69" spans="3:9" x14ac:dyDescent="0.2">
      <c r="C69" s="36">
        <v>45548</v>
      </c>
      <c r="D69" s="26" t="s">
        <v>11</v>
      </c>
      <c r="E69" s="26" t="s">
        <v>76</v>
      </c>
      <c r="F69" s="27">
        <v>740</v>
      </c>
      <c r="G69" s="28" t="s">
        <v>144</v>
      </c>
      <c r="H69" s="74" cm="1">
        <f t="array" ref="H69">SUMPRODUCT(Tracking[Amount],--(Tracking[Date]&lt;=Tracking[[#This Row],[Date]]), (Tracking[Type]&lt;&gt;"Income") * (-1) + (Tracking[Type]="Income"))</f>
        <v>10769</v>
      </c>
      <c r="I69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45548</v>
      </c>
    </row>
    <row r="70" spans="3:9" x14ac:dyDescent="0.2">
      <c r="C70" s="36">
        <v>45549</v>
      </c>
      <c r="D70" s="26" t="s">
        <v>11</v>
      </c>
      <c r="E70" s="26" t="s">
        <v>76</v>
      </c>
      <c r="F70" s="27">
        <v>177</v>
      </c>
      <c r="G70" s="28" t="s">
        <v>145</v>
      </c>
      <c r="H70" s="74" cm="1">
        <f t="array" ref="H70">SUMPRODUCT(Tracking[Amount],--(Tracking[Date]&lt;=Tracking[[#This Row],[Date]]), (Tracking[Type]&lt;&gt;"Income") * (-1) + (Tracking[Type]="Income"))</f>
        <v>10592</v>
      </c>
      <c r="I70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45549</v>
      </c>
    </row>
    <row r="71" spans="3:9" x14ac:dyDescent="0.2">
      <c r="C71" s="36">
        <v>45550</v>
      </c>
      <c r="D71" s="26" t="s">
        <v>11</v>
      </c>
      <c r="E71" s="26" t="s">
        <v>13</v>
      </c>
      <c r="F71" s="27">
        <v>100</v>
      </c>
      <c r="G71" s="28"/>
      <c r="H71" s="74" cm="1">
        <f t="array" ref="H71">SUMPRODUCT(Tracking[Amount],--(Tracking[Date]&lt;=Tracking[[#This Row],[Date]]), (Tracking[Type]&lt;&gt;"Income") * (-1) + (Tracking[Type]="Income"))</f>
        <v>10492</v>
      </c>
      <c r="I71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45550</v>
      </c>
    </row>
    <row r="72" spans="3:9" x14ac:dyDescent="0.2">
      <c r="C72" s="36">
        <v>45551</v>
      </c>
      <c r="D72" s="26" t="s">
        <v>11</v>
      </c>
      <c r="E72" s="26" t="s">
        <v>14</v>
      </c>
      <c r="F72" s="27">
        <v>691</v>
      </c>
      <c r="G72" s="28" t="s">
        <v>91</v>
      </c>
      <c r="H72" s="74" cm="1">
        <f t="array" ref="H72">SUMPRODUCT(Tracking[Amount],--(Tracking[Date]&lt;=Tracking[[#This Row],[Date]]), (Tracking[Type]&lt;&gt;"Income") * (-1) + (Tracking[Type]="Income"))</f>
        <v>9586</v>
      </c>
      <c r="I72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45551</v>
      </c>
    </row>
    <row r="73" spans="3:9" x14ac:dyDescent="0.2">
      <c r="C73" s="36">
        <v>45551</v>
      </c>
      <c r="D73" s="26" t="s">
        <v>11</v>
      </c>
      <c r="E73" s="26" t="s">
        <v>148</v>
      </c>
      <c r="F73" s="27">
        <v>215</v>
      </c>
      <c r="G73" s="28" t="s">
        <v>146</v>
      </c>
      <c r="H73" s="74" cm="1">
        <f t="array" ref="H73">SUMPRODUCT(Tracking[Amount],--(Tracking[Date]&lt;=Tracking[[#This Row],[Date]]), (Tracking[Type]&lt;&gt;"Income") * (-1) + (Tracking[Type]="Income"))</f>
        <v>9586</v>
      </c>
      <c r="I73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45551</v>
      </c>
    </row>
    <row r="74" spans="3:9" x14ac:dyDescent="0.2">
      <c r="C74" s="36">
        <v>45552</v>
      </c>
      <c r="D74" s="26" t="s">
        <v>11</v>
      </c>
      <c r="E74" s="26" t="s">
        <v>74</v>
      </c>
      <c r="F74" s="27">
        <v>645</v>
      </c>
      <c r="G74" s="28" t="s">
        <v>101</v>
      </c>
      <c r="H74" s="74" cm="1">
        <f t="array" ref="H74">SUMPRODUCT(Tracking[Amount],--(Tracking[Date]&lt;=Tracking[[#This Row],[Date]]), (Tracking[Type]&lt;&gt;"Income") * (-1) + (Tracking[Type]="Income"))</f>
        <v>8941</v>
      </c>
      <c r="I74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45552</v>
      </c>
    </row>
    <row r="75" spans="3:9" x14ac:dyDescent="0.2">
      <c r="C75" s="36">
        <v>45553</v>
      </c>
      <c r="D75" s="26" t="s">
        <v>11</v>
      </c>
      <c r="E75" s="26" t="s">
        <v>24</v>
      </c>
      <c r="F75" s="27">
        <v>2500</v>
      </c>
      <c r="G75" s="28" t="s">
        <v>147</v>
      </c>
      <c r="H75" s="74" cm="1">
        <f t="array" ref="H75">SUMPRODUCT(Tracking[Amount],--(Tracking[Date]&lt;=Tracking[[#This Row],[Date]]), (Tracking[Type]&lt;&gt;"Income") * (-1) + (Tracking[Type]="Income"))</f>
        <v>6441</v>
      </c>
      <c r="I75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45553</v>
      </c>
    </row>
    <row r="76" spans="3:9" x14ac:dyDescent="0.2">
      <c r="C76" s="36">
        <v>45554</v>
      </c>
      <c r="D76" s="26" t="s">
        <v>11</v>
      </c>
      <c r="E76" s="26" t="s">
        <v>14</v>
      </c>
      <c r="F76" s="27">
        <v>309</v>
      </c>
      <c r="G76" s="28" t="s">
        <v>91</v>
      </c>
      <c r="H76" s="74" cm="1">
        <f t="array" ref="H76">SUMPRODUCT(Tracking[Amount],--(Tracking[Date]&lt;=Tracking[[#This Row],[Date]]), (Tracking[Type]&lt;&gt;"Income") * (-1) + (Tracking[Type]="Income"))</f>
        <v>6132</v>
      </c>
      <c r="I76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45554</v>
      </c>
    </row>
    <row r="77" spans="3:9" x14ac:dyDescent="0.2">
      <c r="C77" s="36">
        <v>45555</v>
      </c>
      <c r="D77" s="26" t="s">
        <v>11</v>
      </c>
      <c r="E77" s="26" t="s">
        <v>13</v>
      </c>
      <c r="F77" s="27">
        <v>427</v>
      </c>
      <c r="G77" s="28"/>
      <c r="H77" s="74" cm="1">
        <f t="array" ref="H77">SUMPRODUCT(Tracking[Amount],--(Tracking[Date]&lt;=Tracking[[#This Row],[Date]]), (Tracking[Type]&lt;&gt;"Income") * (-1) + (Tracking[Type]="Income"))</f>
        <v>5705</v>
      </c>
      <c r="I77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45555</v>
      </c>
    </row>
    <row r="78" spans="3:9" x14ac:dyDescent="0.2">
      <c r="C78" s="36">
        <v>45556</v>
      </c>
      <c r="D78" s="26" t="s">
        <v>11</v>
      </c>
      <c r="E78" s="26" t="s">
        <v>148</v>
      </c>
      <c r="F78" s="27">
        <v>340</v>
      </c>
      <c r="G78" s="28" t="s">
        <v>146</v>
      </c>
      <c r="H78" s="74" cm="1">
        <f t="array" ref="H78">SUMPRODUCT(Tracking[Amount],--(Tracking[Date]&lt;=Tracking[[#This Row],[Date]]), (Tracking[Type]&lt;&gt;"Income") * (-1) + (Tracking[Type]="Income"))</f>
        <v>5365</v>
      </c>
      <c r="I78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45556</v>
      </c>
    </row>
    <row r="79" spans="3:9" x14ac:dyDescent="0.2">
      <c r="C79" s="36">
        <v>45557</v>
      </c>
      <c r="D79" s="26" t="s">
        <v>11</v>
      </c>
      <c r="E79" s="26" t="s">
        <v>13</v>
      </c>
      <c r="F79" s="27">
        <v>160</v>
      </c>
      <c r="G79" s="28"/>
      <c r="H79" s="74" cm="1">
        <f t="array" ref="H79">SUMPRODUCT(Tracking[Amount],--(Tracking[Date]&lt;=Tracking[[#This Row],[Date]]), (Tracking[Type]&lt;&gt;"Income") * (-1) + (Tracking[Type]="Income"))</f>
        <v>5205</v>
      </c>
      <c r="I79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45557</v>
      </c>
    </row>
    <row r="80" spans="3:9" x14ac:dyDescent="0.2">
      <c r="C80" s="36">
        <v>45558</v>
      </c>
      <c r="D80" s="26" t="s">
        <v>11</v>
      </c>
      <c r="E80" s="26" t="s">
        <v>12</v>
      </c>
      <c r="F80" s="27">
        <v>2000</v>
      </c>
      <c r="G80" s="28"/>
      <c r="H80" s="74" cm="1">
        <f t="array" ref="H80">SUMPRODUCT(Tracking[Amount],--(Tracking[Date]&lt;=Tracking[[#This Row],[Date]]), (Tracking[Type]&lt;&gt;"Income") * (-1) + (Tracking[Type]="Income"))</f>
        <v>3205</v>
      </c>
      <c r="I80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45558</v>
      </c>
    </row>
    <row r="81" spans="3:9" x14ac:dyDescent="0.2">
      <c r="C81" s="36">
        <v>45559</v>
      </c>
      <c r="D81" s="26" t="s">
        <v>11</v>
      </c>
      <c r="E81" s="26" t="s">
        <v>13</v>
      </c>
      <c r="F81" s="27">
        <v>137</v>
      </c>
      <c r="G81" s="28"/>
      <c r="H81" s="74" cm="1">
        <f t="array" ref="H81">SUMPRODUCT(Tracking[Amount],--(Tracking[Date]&lt;=Tracking[[#This Row],[Date]]), (Tracking[Type]&lt;&gt;"Income") * (-1) + (Tracking[Type]="Income"))</f>
        <v>3068</v>
      </c>
      <c r="I81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45559</v>
      </c>
    </row>
    <row r="82" spans="3:9" x14ac:dyDescent="0.2">
      <c r="C82" s="36">
        <v>45560</v>
      </c>
      <c r="D82" s="26" t="s">
        <v>11</v>
      </c>
      <c r="E82" s="26" t="s">
        <v>13</v>
      </c>
      <c r="F82" s="27">
        <v>161</v>
      </c>
      <c r="G82" s="28"/>
      <c r="H82" s="74" cm="1">
        <f t="array" ref="H82">SUMPRODUCT(Tracking[Amount],--(Tracking[Date]&lt;=Tracking[[#This Row],[Date]]), (Tracking[Type]&lt;&gt;"Income") * (-1) + (Tracking[Type]="Income"))</f>
        <v>2907</v>
      </c>
      <c r="I82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45560</v>
      </c>
    </row>
    <row r="83" spans="3:9" x14ac:dyDescent="0.2">
      <c r="C83" s="36">
        <v>45561</v>
      </c>
      <c r="D83" s="26" t="s">
        <v>5</v>
      </c>
      <c r="E83" s="26" t="s">
        <v>10</v>
      </c>
      <c r="F83" s="27">
        <v>900</v>
      </c>
      <c r="G83" s="28"/>
      <c r="H83" s="74" cm="1">
        <f t="array" ref="H83">SUMPRODUCT(Tracking[Amount],--(Tracking[Date]&lt;=Tracking[[#This Row],[Date]]), (Tracking[Type]&lt;&gt;"Income") * (-1) + (Tracking[Type]="Income"))</f>
        <v>2127</v>
      </c>
      <c r="I83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45561</v>
      </c>
    </row>
    <row r="84" spans="3:9" x14ac:dyDescent="0.2">
      <c r="C84" s="36">
        <v>45561</v>
      </c>
      <c r="D84" s="26" t="s">
        <v>11</v>
      </c>
      <c r="E84" s="26" t="s">
        <v>149</v>
      </c>
      <c r="F84" s="27">
        <v>1400</v>
      </c>
      <c r="G84" s="28" t="s">
        <v>150</v>
      </c>
      <c r="H84" s="74" cm="1">
        <f t="array" ref="H84">SUMPRODUCT(Tracking[Amount],--(Tracking[Date]&lt;=Tracking[[#This Row],[Date]]), (Tracking[Type]&lt;&gt;"Income") * (-1) + (Tracking[Type]="Income"))</f>
        <v>2127</v>
      </c>
      <c r="I84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45561</v>
      </c>
    </row>
    <row r="85" spans="3:9" x14ac:dyDescent="0.2">
      <c r="C85" s="36">
        <v>45561</v>
      </c>
      <c r="D85" s="26" t="s">
        <v>11</v>
      </c>
      <c r="E85" s="26" t="s">
        <v>14</v>
      </c>
      <c r="F85" s="27">
        <v>280</v>
      </c>
      <c r="G85" s="28" t="s">
        <v>91</v>
      </c>
      <c r="H85" s="74" cm="1">
        <f t="array" ref="H85">SUMPRODUCT(Tracking[Amount],--(Tracking[Date]&lt;=Tracking[[#This Row],[Date]]), (Tracking[Type]&lt;&gt;"Income") * (-1) + (Tracking[Type]="Income"))</f>
        <v>2127</v>
      </c>
      <c r="I85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45561</v>
      </c>
    </row>
    <row r="86" spans="3:9" x14ac:dyDescent="0.2">
      <c r="C86" s="36">
        <v>45562</v>
      </c>
      <c r="D86" s="26" t="s">
        <v>11</v>
      </c>
      <c r="E86" s="26" t="s">
        <v>13</v>
      </c>
      <c r="F86" s="27">
        <v>222</v>
      </c>
      <c r="G86" s="28"/>
      <c r="H86" s="74" cm="1">
        <f t="array" ref="H86">SUMPRODUCT(Tracking[Amount],--(Tracking[Date]&lt;=Tracking[[#This Row],[Date]]), (Tracking[Type]&lt;&gt;"Income") * (-1) + (Tracking[Type]="Income"))</f>
        <v>11315</v>
      </c>
      <c r="I86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45562</v>
      </c>
    </row>
    <row r="87" spans="3:9" x14ac:dyDescent="0.2">
      <c r="C87" s="36">
        <v>45562</v>
      </c>
      <c r="D87" s="26" t="s">
        <v>11</v>
      </c>
      <c r="E87" s="26" t="s">
        <v>14</v>
      </c>
      <c r="F87" s="27">
        <v>571</v>
      </c>
      <c r="G87" s="28" t="s">
        <v>91</v>
      </c>
      <c r="H87" s="74" cm="1">
        <f t="array" ref="H87">SUMPRODUCT(Tracking[Amount],--(Tracking[Date]&lt;=Tracking[[#This Row],[Date]]), (Tracking[Type]&lt;&gt;"Income") * (-1) + (Tracking[Type]="Income"))</f>
        <v>11315</v>
      </c>
      <c r="I87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45562</v>
      </c>
    </row>
    <row r="88" spans="3:9" x14ac:dyDescent="0.2">
      <c r="C88" s="36">
        <v>45562</v>
      </c>
      <c r="D88" s="26" t="s">
        <v>5</v>
      </c>
      <c r="E88" s="26" t="s">
        <v>10</v>
      </c>
      <c r="F88" s="27">
        <v>11014</v>
      </c>
      <c r="G88" s="28" t="s">
        <v>151</v>
      </c>
      <c r="H88" s="74" cm="1">
        <f t="array" ref="H88">SUMPRODUCT(Tracking[Amount],--(Tracking[Date]&lt;=Tracking[[#This Row],[Date]]), (Tracking[Type]&lt;&gt;"Income") * (-1) + (Tracking[Type]="Income"))</f>
        <v>11315</v>
      </c>
      <c r="I88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45562</v>
      </c>
    </row>
    <row r="89" spans="3:9" x14ac:dyDescent="0.2">
      <c r="C89" s="36">
        <v>45562</v>
      </c>
      <c r="D89" s="26" t="s">
        <v>11</v>
      </c>
      <c r="E89" s="26" t="s">
        <v>24</v>
      </c>
      <c r="F89" s="27">
        <v>1033</v>
      </c>
      <c r="G89" s="28" t="s">
        <v>152</v>
      </c>
      <c r="H89" s="74" cm="1">
        <f t="array" ref="H89">SUMPRODUCT(Tracking[Amount],--(Tracking[Date]&lt;=Tracking[[#This Row],[Date]]), (Tracking[Type]&lt;&gt;"Income") * (-1) + (Tracking[Type]="Income"))</f>
        <v>11315</v>
      </c>
      <c r="I89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45562</v>
      </c>
    </row>
    <row r="90" spans="3:9" x14ac:dyDescent="0.2">
      <c r="C90" s="36">
        <v>45563</v>
      </c>
      <c r="D90" s="26" t="s">
        <v>11</v>
      </c>
      <c r="E90" s="26" t="s">
        <v>148</v>
      </c>
      <c r="F90" s="27">
        <v>438</v>
      </c>
      <c r="G90" s="28" t="s">
        <v>153</v>
      </c>
      <c r="H90" s="74" cm="1">
        <f t="array" ref="H90">SUMPRODUCT(Tracking[Amount],--(Tracking[Date]&lt;=Tracking[[#This Row],[Date]]), (Tracking[Type]&lt;&gt;"Income") * (-1) + (Tracking[Type]="Income"))</f>
        <v>10682</v>
      </c>
      <c r="I90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45563</v>
      </c>
    </row>
    <row r="91" spans="3:9" x14ac:dyDescent="0.2">
      <c r="C91" s="36">
        <v>45563</v>
      </c>
      <c r="D91" s="26" t="s">
        <v>11</v>
      </c>
      <c r="E91" s="26" t="s">
        <v>148</v>
      </c>
      <c r="F91" s="27">
        <v>195</v>
      </c>
      <c r="G91" s="28" t="s">
        <v>146</v>
      </c>
      <c r="H91" s="74" cm="1">
        <f t="array" ref="H91">SUMPRODUCT(Tracking[Amount],--(Tracking[Date]&lt;=Tracking[[#This Row],[Date]]), (Tracking[Type]&lt;&gt;"Income") * (-1) + (Tracking[Type]="Income"))</f>
        <v>10682</v>
      </c>
      <c r="I91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45563</v>
      </c>
    </row>
    <row r="92" spans="3:9" x14ac:dyDescent="0.2">
      <c r="C92" s="36">
        <v>45564</v>
      </c>
      <c r="D92" s="26" t="s">
        <v>11</v>
      </c>
      <c r="E92" s="26" t="s">
        <v>148</v>
      </c>
      <c r="F92" s="27">
        <v>410</v>
      </c>
      <c r="G92" s="28" t="s">
        <v>146</v>
      </c>
      <c r="H92" s="74" cm="1">
        <f t="array" ref="H92">SUMPRODUCT(Tracking[Amount],--(Tracking[Date]&lt;=Tracking[[#This Row],[Date]]), (Tracking[Type]&lt;&gt;"Income") * (-1) + (Tracking[Type]="Income"))</f>
        <v>6357</v>
      </c>
      <c r="I92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45564</v>
      </c>
    </row>
    <row r="93" spans="3:9" x14ac:dyDescent="0.2">
      <c r="C93" s="36">
        <v>45564</v>
      </c>
      <c r="D93" s="26" t="s">
        <v>11</v>
      </c>
      <c r="E93" s="26" t="s">
        <v>24</v>
      </c>
      <c r="F93" s="27">
        <v>3490</v>
      </c>
      <c r="G93" s="28" t="s">
        <v>154</v>
      </c>
      <c r="H93" s="74" cm="1">
        <f t="array" ref="H93">SUMPRODUCT(Tracking[Amount],--(Tracking[Date]&lt;=Tracking[[#This Row],[Date]]), (Tracking[Type]&lt;&gt;"Income") * (-1) + (Tracking[Type]="Income"))</f>
        <v>6357</v>
      </c>
      <c r="I93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45564</v>
      </c>
    </row>
    <row r="94" spans="3:9" x14ac:dyDescent="0.2">
      <c r="C94" s="36">
        <v>45564</v>
      </c>
      <c r="D94" s="26" t="s">
        <v>11</v>
      </c>
      <c r="E94" s="26" t="s">
        <v>149</v>
      </c>
      <c r="F94" s="27">
        <v>100</v>
      </c>
      <c r="G94" s="28" t="s">
        <v>155</v>
      </c>
      <c r="H94" s="74" cm="1">
        <f t="array" ref="H94">SUMPRODUCT(Tracking[Amount],--(Tracking[Date]&lt;=Tracking[[#This Row],[Date]]), (Tracking[Type]&lt;&gt;"Income") * (-1) + (Tracking[Type]="Income"))</f>
        <v>6357</v>
      </c>
      <c r="I94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45564</v>
      </c>
    </row>
    <row r="95" spans="3:9" x14ac:dyDescent="0.2">
      <c r="C95" s="36">
        <v>45564</v>
      </c>
      <c r="D95" s="26" t="s">
        <v>11</v>
      </c>
      <c r="E95" s="26" t="s">
        <v>148</v>
      </c>
      <c r="F95" s="27">
        <v>225</v>
      </c>
      <c r="G95" s="28" t="s">
        <v>156</v>
      </c>
      <c r="H95" s="74" cm="1">
        <f t="array" ref="H95">SUMPRODUCT(Tracking[Amount],--(Tracking[Date]&lt;=Tracking[[#This Row],[Date]]), (Tracking[Type]&lt;&gt;"Income") * (-1) + (Tracking[Type]="Income"))</f>
        <v>6357</v>
      </c>
      <c r="I95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45564</v>
      </c>
    </row>
    <row r="96" spans="3:9" x14ac:dyDescent="0.2">
      <c r="C96" s="36">
        <v>45564</v>
      </c>
      <c r="D96" s="26" t="s">
        <v>16</v>
      </c>
      <c r="E96" s="26" t="s">
        <v>19</v>
      </c>
      <c r="F96" s="27">
        <v>100</v>
      </c>
      <c r="H96" s="74" cm="1">
        <f t="array" ref="H96">SUMPRODUCT(Tracking[Amount],--(Tracking[Date]&lt;=Tracking[[#This Row],[Date]]), (Tracking[Type]&lt;&gt;"Income") * (-1) + (Tracking[Type]="Income"))</f>
        <v>6357</v>
      </c>
      <c r="I96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45564</v>
      </c>
    </row>
    <row r="97" spans="3:9" ht="18" customHeight="1" x14ac:dyDescent="0.2">
      <c r="C97" s="36">
        <v>45566</v>
      </c>
      <c r="D97" s="26" t="s">
        <v>11</v>
      </c>
      <c r="E97" s="26" t="s">
        <v>13</v>
      </c>
      <c r="F97" s="114">
        <v>72.7</v>
      </c>
      <c r="G97" s="28" t="s">
        <v>157</v>
      </c>
      <c r="H97" s="74" cm="1">
        <f t="array" ref="H97">SUMPRODUCT(Tracking[Amount],--(Tracking[Date]&lt;=Tracking[[#This Row],[Date]]), (Tracking[Type]&lt;&gt;"Income") * (-1) + (Tracking[Type]="Income"))</f>
        <v>6137.3</v>
      </c>
      <c r="I97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45566</v>
      </c>
    </row>
    <row r="98" spans="3:9" x14ac:dyDescent="0.2">
      <c r="C98" s="36">
        <v>45566</v>
      </c>
      <c r="D98" s="26" t="s">
        <v>11</v>
      </c>
      <c r="E98" s="26" t="s">
        <v>13</v>
      </c>
      <c r="F98" s="27">
        <v>65</v>
      </c>
      <c r="G98" s="28" t="s">
        <v>158</v>
      </c>
      <c r="H98" s="74" cm="1">
        <f t="array" ref="H98">SUMPRODUCT(Tracking[Amount],--(Tracking[Date]&lt;=Tracking[[#This Row],[Date]]), (Tracking[Type]&lt;&gt;"Income") * (-1) + (Tracking[Type]="Income"))</f>
        <v>6137.3</v>
      </c>
      <c r="I98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45566</v>
      </c>
    </row>
    <row r="99" spans="3:9" x14ac:dyDescent="0.2">
      <c r="C99" s="36">
        <v>45566</v>
      </c>
      <c r="D99" s="26" t="s">
        <v>11</v>
      </c>
      <c r="E99" s="26" t="s">
        <v>13</v>
      </c>
      <c r="F99" s="27">
        <v>82</v>
      </c>
      <c r="G99" s="28" t="s">
        <v>159</v>
      </c>
      <c r="H99" s="74" cm="1">
        <f t="array" ref="H99">SUMPRODUCT(Tracking[Amount],--(Tracking[Date]&lt;=Tracking[[#This Row],[Date]]), (Tracking[Type]&lt;&gt;"Income") * (-1) + (Tracking[Type]="Income"))</f>
        <v>6137.3</v>
      </c>
      <c r="I99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45566</v>
      </c>
    </row>
    <row r="100" spans="3:9" x14ac:dyDescent="0.2">
      <c r="C100" s="36">
        <v>45567</v>
      </c>
      <c r="D100" s="26" t="s">
        <v>11</v>
      </c>
      <c r="E100" s="26" t="s">
        <v>13</v>
      </c>
      <c r="F100" s="27">
        <v>73.8</v>
      </c>
      <c r="G100" s="28" t="s">
        <v>160</v>
      </c>
      <c r="H100" s="74" cm="1">
        <f t="array" ref="H100">SUMPRODUCT(Tracking[Amount],--(Tracking[Date]&lt;=Tracking[[#This Row],[Date]]), (Tracking[Type]&lt;&gt;"Income") * (-1) + (Tracking[Type]="Income"))</f>
        <v>5851.5</v>
      </c>
      <c r="I100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45567</v>
      </c>
    </row>
    <row r="101" spans="3:9" x14ac:dyDescent="0.2">
      <c r="C101" s="36">
        <v>45567</v>
      </c>
      <c r="D101" s="26" t="s">
        <v>11</v>
      </c>
      <c r="E101" s="26" t="s">
        <v>231</v>
      </c>
      <c r="F101" s="27">
        <v>104</v>
      </c>
      <c r="G101" s="28" t="s">
        <v>161</v>
      </c>
      <c r="H101" s="74" cm="1">
        <f t="array" ref="H101">SUMPRODUCT(Tracking[Amount],--(Tracking[Date]&lt;=Tracking[[#This Row],[Date]]), (Tracking[Type]&lt;&gt;"Income") * (-1) + (Tracking[Type]="Income"))</f>
        <v>5851.5</v>
      </c>
      <c r="I101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45567</v>
      </c>
    </row>
    <row r="102" spans="3:9" x14ac:dyDescent="0.2">
      <c r="C102" s="36">
        <v>45567</v>
      </c>
      <c r="D102" s="26" t="s">
        <v>11</v>
      </c>
      <c r="E102" s="26" t="s">
        <v>148</v>
      </c>
      <c r="F102" s="27">
        <v>108</v>
      </c>
      <c r="G102" s="28" t="s">
        <v>162</v>
      </c>
      <c r="H102" s="74" cm="1">
        <f t="array" ref="H102">SUMPRODUCT(Tracking[Amount],--(Tracking[Date]&lt;=Tracking[[#This Row],[Date]]), (Tracking[Type]&lt;&gt;"Income") * (-1) + (Tracking[Type]="Income"))</f>
        <v>5851.5</v>
      </c>
      <c r="I102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45567</v>
      </c>
    </row>
    <row r="103" spans="3:9" x14ac:dyDescent="0.2">
      <c r="C103" s="36">
        <v>45568</v>
      </c>
      <c r="D103" s="26" t="s">
        <v>16</v>
      </c>
      <c r="E103" s="26" t="s">
        <v>17</v>
      </c>
      <c r="F103" s="27">
        <v>400</v>
      </c>
      <c r="G103" s="28" t="s">
        <v>228</v>
      </c>
      <c r="H103" s="74" cm="1">
        <f t="array" ref="H103">SUMPRODUCT(Tracking[Amount],--(Tracking[Date]&lt;=Tracking[[#This Row],[Date]]), (Tracking[Type]&lt;&gt;"Income") * (-1) + (Tracking[Type]="Income"))</f>
        <v>4934.5</v>
      </c>
      <c r="I103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45568</v>
      </c>
    </row>
    <row r="104" spans="3:9" x14ac:dyDescent="0.2">
      <c r="C104" s="115">
        <v>45568</v>
      </c>
      <c r="D104" s="26" t="s">
        <v>16</v>
      </c>
      <c r="E104" s="26" t="s">
        <v>17</v>
      </c>
      <c r="F104" s="27">
        <v>500</v>
      </c>
      <c r="G104" s="28" t="s">
        <v>228</v>
      </c>
      <c r="H104" s="74" cm="1">
        <f t="array" ref="H104">SUMPRODUCT(Tracking[Amount],--(Tracking[Date]&lt;=Tracking[[#This Row],[Date]]), (Tracking[Type]&lt;&gt;"Income") * (-1) + (Tracking[Type]="Income"))</f>
        <v>4934.5</v>
      </c>
      <c r="I104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45568</v>
      </c>
    </row>
    <row r="105" spans="3:9" x14ac:dyDescent="0.2">
      <c r="C105" s="36">
        <v>45568</v>
      </c>
      <c r="D105" s="26" t="s">
        <v>11</v>
      </c>
      <c r="E105" s="26" t="s">
        <v>231</v>
      </c>
      <c r="F105" s="27">
        <v>17</v>
      </c>
      <c r="G105" s="28" t="s">
        <v>163</v>
      </c>
      <c r="H105" s="74" cm="1">
        <f t="array" ref="H105">SUMPRODUCT(Tracking[Amount],--(Tracking[Date]&lt;=Tracking[[#This Row],[Date]]), (Tracking[Type]&lt;&gt;"Income") * (-1) + (Tracking[Type]="Income"))</f>
        <v>4934.5</v>
      </c>
      <c r="I105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45568</v>
      </c>
    </row>
    <row r="106" spans="3:9" x14ac:dyDescent="0.2">
      <c r="C106" s="36">
        <v>45569</v>
      </c>
      <c r="D106" s="26" t="s">
        <v>11</v>
      </c>
      <c r="E106" s="26" t="s">
        <v>231</v>
      </c>
      <c r="F106" s="27">
        <v>17</v>
      </c>
      <c r="G106" s="28" t="s">
        <v>163</v>
      </c>
      <c r="H106" s="74" cm="1">
        <f t="array" ref="H106">SUMPRODUCT(Tracking[Amount],--(Tracking[Date]&lt;=Tracking[[#This Row],[Date]]), (Tracking[Type]&lt;&gt;"Income") * (-1) + (Tracking[Type]="Income"))</f>
        <v>3718.85</v>
      </c>
      <c r="I106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45569</v>
      </c>
    </row>
    <row r="107" spans="3:9" x14ac:dyDescent="0.2">
      <c r="C107" s="36">
        <v>45569</v>
      </c>
      <c r="D107" s="26" t="s">
        <v>11</v>
      </c>
      <c r="E107" s="26" t="s">
        <v>148</v>
      </c>
      <c r="F107" s="27">
        <v>108</v>
      </c>
      <c r="G107" s="28" t="s">
        <v>164</v>
      </c>
      <c r="H107" s="74" cm="1">
        <f t="array" ref="H107">SUMPRODUCT(Tracking[Amount],--(Tracking[Date]&lt;=Tracking[[#This Row],[Date]]), (Tracking[Type]&lt;&gt;"Income") * (-1) + (Tracking[Type]="Income"))</f>
        <v>3718.85</v>
      </c>
      <c r="I107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45569</v>
      </c>
    </row>
    <row r="108" spans="3:9" x14ac:dyDescent="0.2">
      <c r="C108" s="36">
        <v>45569</v>
      </c>
      <c r="D108" s="26" t="s">
        <v>11</v>
      </c>
      <c r="E108" s="26" t="s">
        <v>229</v>
      </c>
      <c r="F108" s="27">
        <v>1090.6500000000001</v>
      </c>
      <c r="G108" s="28" t="s">
        <v>165</v>
      </c>
      <c r="H108" s="74" cm="1">
        <f t="array" ref="H108">SUMPRODUCT(Tracking[Amount],--(Tracking[Date]&lt;=Tracking[[#This Row],[Date]]), (Tracking[Type]&lt;&gt;"Income") * (-1) + (Tracking[Type]="Income"))</f>
        <v>3718.85</v>
      </c>
      <c r="I108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45569</v>
      </c>
    </row>
    <row r="109" spans="3:9" x14ac:dyDescent="0.2">
      <c r="C109" s="36">
        <v>45570</v>
      </c>
      <c r="D109" s="26" t="s">
        <v>11</v>
      </c>
      <c r="E109" s="26" t="s">
        <v>13</v>
      </c>
      <c r="F109" s="27">
        <v>226.7</v>
      </c>
      <c r="G109" s="28" t="s">
        <v>166</v>
      </c>
      <c r="H109" s="74" cm="1">
        <f t="array" ref="H109">SUMPRODUCT(Tracking[Amount],--(Tracking[Date]&lt;=Tracking[[#This Row],[Date]]), (Tracking[Type]&lt;&gt;"Income") * (-1) + (Tracking[Type]="Income"))</f>
        <v>3326.25</v>
      </c>
      <c r="I109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45570</v>
      </c>
    </row>
    <row r="110" spans="3:9" x14ac:dyDescent="0.2">
      <c r="C110" s="36">
        <v>45570</v>
      </c>
      <c r="D110" s="26" t="s">
        <v>11</v>
      </c>
      <c r="E110" s="26" t="s">
        <v>13</v>
      </c>
      <c r="F110" s="27">
        <v>17.899999999999999</v>
      </c>
      <c r="G110" s="28" t="s">
        <v>167</v>
      </c>
      <c r="H110" s="74" cm="1">
        <f t="array" ref="H110">SUMPRODUCT(Tracking[Amount],--(Tracking[Date]&lt;=Tracking[[#This Row],[Date]]), (Tracking[Type]&lt;&gt;"Income") * (-1) + (Tracking[Type]="Income"))</f>
        <v>3326.25</v>
      </c>
      <c r="I110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45570</v>
      </c>
    </row>
    <row r="111" spans="3:9" x14ac:dyDescent="0.2">
      <c r="C111" s="36">
        <v>45570</v>
      </c>
      <c r="D111" s="26" t="s">
        <v>11</v>
      </c>
      <c r="E111" s="26" t="s">
        <v>231</v>
      </c>
      <c r="F111" s="27">
        <v>148</v>
      </c>
      <c r="G111" s="28" t="s">
        <v>168</v>
      </c>
      <c r="H111" s="74" cm="1">
        <f t="array" ref="H111">SUMPRODUCT(Tracking[Amount],--(Tracking[Date]&lt;=Tracking[[#This Row],[Date]]), (Tracking[Type]&lt;&gt;"Income") * (-1) + (Tracking[Type]="Income"))</f>
        <v>3326.25</v>
      </c>
      <c r="I111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45570</v>
      </c>
    </row>
    <row r="112" spans="3:9" x14ac:dyDescent="0.2">
      <c r="C112" s="116">
        <v>45571</v>
      </c>
      <c r="D112" s="26" t="s">
        <v>11</v>
      </c>
      <c r="E112" s="26" t="s">
        <v>148</v>
      </c>
      <c r="F112" s="27">
        <v>99</v>
      </c>
      <c r="G112" s="28" t="s">
        <v>169</v>
      </c>
      <c r="H112" s="74" cm="1">
        <f t="array" ref="H112">SUMPRODUCT(Tracking[Amount],--(Tracking[Date]&lt;=Tracking[[#This Row],[Date]]), (Tracking[Type]&lt;&gt;"Income") * (-1) + (Tracking[Type]="Income"))</f>
        <v>2800.25</v>
      </c>
      <c r="I112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45571</v>
      </c>
    </row>
    <row r="113" spans="3:9" x14ac:dyDescent="0.2">
      <c r="C113" s="36">
        <v>45571</v>
      </c>
      <c r="D113" s="26" t="s">
        <v>11</v>
      </c>
      <c r="E113" s="26" t="s">
        <v>13</v>
      </c>
      <c r="F113" s="27">
        <v>260</v>
      </c>
      <c r="G113" s="28" t="s">
        <v>223</v>
      </c>
      <c r="H113" s="74" cm="1">
        <f t="array" ref="H113">SUMPRODUCT(Tracking[Amount],--(Tracking[Date]&lt;=Tracking[[#This Row],[Date]]), (Tracking[Type]&lt;&gt;"Income") * (-1) + (Tracking[Type]="Income"))</f>
        <v>2800.25</v>
      </c>
      <c r="I113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45571</v>
      </c>
    </row>
    <row r="114" spans="3:9" x14ac:dyDescent="0.2">
      <c r="C114" s="36">
        <v>45571</v>
      </c>
      <c r="D114" s="26" t="s">
        <v>11</v>
      </c>
      <c r="E114" s="26" t="s">
        <v>149</v>
      </c>
      <c r="F114" s="27">
        <v>167</v>
      </c>
      <c r="G114" s="28" t="s">
        <v>170</v>
      </c>
      <c r="H114" s="74" cm="1">
        <f t="array" ref="H114">SUMPRODUCT(Tracking[Amount],--(Tracking[Date]&lt;=Tracking[[#This Row],[Date]]), (Tracking[Type]&lt;&gt;"Income") * (-1) + (Tracking[Type]="Income"))</f>
        <v>2800.25</v>
      </c>
      <c r="I114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45571</v>
      </c>
    </row>
    <row r="115" spans="3:9" x14ac:dyDescent="0.2">
      <c r="C115" s="36">
        <v>45572</v>
      </c>
      <c r="D115" s="26" t="s">
        <v>5</v>
      </c>
      <c r="E115" s="26" t="s">
        <v>8</v>
      </c>
      <c r="F115" s="27">
        <v>9900</v>
      </c>
      <c r="G115" s="28" t="s">
        <v>224</v>
      </c>
      <c r="H115" s="74" cm="1">
        <f t="array" ref="H115">SUMPRODUCT(Tracking[Amount],--(Tracking[Date]&lt;=Tracking[[#This Row],[Date]]), (Tracking[Type]&lt;&gt;"Income") * (-1) + (Tracking[Type]="Income"))</f>
        <v>11650.35</v>
      </c>
      <c r="I115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45572</v>
      </c>
    </row>
    <row r="116" spans="3:9" x14ac:dyDescent="0.2">
      <c r="C116" s="36">
        <v>45572</v>
      </c>
      <c r="D116" s="26" t="s">
        <v>16</v>
      </c>
      <c r="E116" s="26" t="s">
        <v>17</v>
      </c>
      <c r="F116" s="27">
        <v>900</v>
      </c>
      <c r="G116" s="28" t="s">
        <v>230</v>
      </c>
      <c r="H116" s="74" cm="1">
        <f t="array" ref="H116">SUMPRODUCT(Tracking[Amount],--(Tracking[Date]&lt;=Tracking[[#This Row],[Date]]), (Tracking[Type]&lt;&gt;"Income") * (-1) + (Tracking[Type]="Income"))</f>
        <v>11650.35</v>
      </c>
      <c r="I116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45572</v>
      </c>
    </row>
    <row r="117" spans="3:9" x14ac:dyDescent="0.2">
      <c r="C117" s="36">
        <v>45572</v>
      </c>
      <c r="D117" s="26" t="s">
        <v>11</v>
      </c>
      <c r="E117" s="26" t="s">
        <v>13</v>
      </c>
      <c r="F117" s="27">
        <v>149.9</v>
      </c>
      <c r="G117" s="28" t="s">
        <v>171</v>
      </c>
      <c r="H117" s="74" cm="1">
        <f t="array" ref="H117">SUMPRODUCT(Tracking[Amount],--(Tracking[Date]&lt;=Tracking[[#This Row],[Date]]), (Tracking[Type]&lt;&gt;"Income") * (-1) + (Tracking[Type]="Income"))</f>
        <v>11650.35</v>
      </c>
      <c r="I117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45572</v>
      </c>
    </row>
    <row r="118" spans="3:9" x14ac:dyDescent="0.2">
      <c r="C118" s="36">
        <v>45573</v>
      </c>
      <c r="D118" s="26" t="s">
        <v>11</v>
      </c>
      <c r="E118" s="26" t="s">
        <v>76</v>
      </c>
      <c r="F118" s="27">
        <v>488</v>
      </c>
      <c r="G118" s="28" t="s">
        <v>172</v>
      </c>
      <c r="H118" s="74" cm="1">
        <f t="array" ref="H118">SUMPRODUCT(Tracking[Amount],--(Tracking[Date]&lt;=Tracking[[#This Row],[Date]]), (Tracking[Type]&lt;&gt;"Income") * (-1) + (Tracking[Type]="Income"))</f>
        <v>12206.35</v>
      </c>
      <c r="I118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45573</v>
      </c>
    </row>
    <row r="119" spans="3:9" x14ac:dyDescent="0.2">
      <c r="C119" s="36">
        <v>45573</v>
      </c>
      <c r="D119" s="26" t="s">
        <v>11</v>
      </c>
      <c r="E119" s="26" t="s">
        <v>231</v>
      </c>
      <c r="F119" s="27">
        <v>138</v>
      </c>
      <c r="G119" s="28" t="s">
        <v>173</v>
      </c>
      <c r="H119" s="74" cm="1">
        <f t="array" ref="H119">SUMPRODUCT(Tracking[Amount],--(Tracking[Date]&lt;=Tracking[[#This Row],[Date]]), (Tracking[Type]&lt;&gt;"Income") * (-1) + (Tracking[Type]="Income"))</f>
        <v>12206.35</v>
      </c>
      <c r="I119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45573</v>
      </c>
    </row>
    <row r="120" spans="3:9" x14ac:dyDescent="0.2">
      <c r="C120" s="36">
        <v>45573</v>
      </c>
      <c r="D120" s="26" t="s">
        <v>5</v>
      </c>
      <c r="E120" s="26" t="s">
        <v>8</v>
      </c>
      <c r="F120" s="27">
        <v>1182</v>
      </c>
      <c r="G120" s="28" t="s">
        <v>225</v>
      </c>
      <c r="H120" s="74" cm="1">
        <f t="array" ref="H120">SUMPRODUCT(Tracking[Amount],--(Tracking[Date]&lt;=Tracking[[#This Row],[Date]]), (Tracking[Type]&lt;&gt;"Income") * (-1) + (Tracking[Type]="Income"))</f>
        <v>12206.35</v>
      </c>
      <c r="I120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45573</v>
      </c>
    </row>
    <row r="121" spans="3:9" x14ac:dyDescent="0.2">
      <c r="C121" s="36">
        <v>45574</v>
      </c>
      <c r="D121" s="26" t="s">
        <v>11</v>
      </c>
      <c r="E121" s="26" t="s">
        <v>76</v>
      </c>
      <c r="F121" s="27">
        <v>390</v>
      </c>
      <c r="G121" s="28" t="s">
        <v>174</v>
      </c>
      <c r="H121" s="74" cm="1">
        <f t="array" ref="H121">SUMPRODUCT(Tracking[Amount],--(Tracking[Date]&lt;=Tracking[[#This Row],[Date]]), (Tracking[Type]&lt;&gt;"Income") * (-1) + (Tracking[Type]="Income"))</f>
        <v>11395.75</v>
      </c>
      <c r="I121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45574</v>
      </c>
    </row>
    <row r="122" spans="3:9" x14ac:dyDescent="0.2">
      <c r="C122" s="36">
        <v>45574</v>
      </c>
      <c r="D122" s="26" t="s">
        <v>11</v>
      </c>
      <c r="E122" s="26" t="s">
        <v>13</v>
      </c>
      <c r="F122" s="27">
        <v>398.6</v>
      </c>
      <c r="G122" s="28" t="s">
        <v>175</v>
      </c>
      <c r="H122" s="74" cm="1">
        <f t="array" ref="H122">SUMPRODUCT(Tracking[Amount],--(Tracking[Date]&lt;=Tracking[[#This Row],[Date]]), (Tracking[Type]&lt;&gt;"Income") * (-1) + (Tracking[Type]="Income"))</f>
        <v>11395.75</v>
      </c>
      <c r="I122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45574</v>
      </c>
    </row>
    <row r="123" spans="3:9" x14ac:dyDescent="0.2">
      <c r="C123" s="36">
        <v>45574</v>
      </c>
      <c r="D123" s="26" t="s">
        <v>11</v>
      </c>
      <c r="E123" s="26" t="s">
        <v>231</v>
      </c>
      <c r="F123" s="27">
        <v>22</v>
      </c>
      <c r="G123" s="28" t="s">
        <v>176</v>
      </c>
      <c r="H123" s="74" cm="1">
        <f t="array" ref="H123">SUMPRODUCT(Tracking[Amount],--(Tracking[Date]&lt;=Tracking[[#This Row],[Date]]), (Tracking[Type]&lt;&gt;"Income") * (-1) + (Tracking[Type]="Income"))</f>
        <v>11395.75</v>
      </c>
      <c r="I123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45574</v>
      </c>
    </row>
    <row r="124" spans="3:9" x14ac:dyDescent="0.2">
      <c r="C124" s="36">
        <v>45575</v>
      </c>
      <c r="D124" s="26" t="s">
        <v>11</v>
      </c>
      <c r="E124" s="26" t="s">
        <v>231</v>
      </c>
      <c r="F124" s="27">
        <v>17</v>
      </c>
      <c r="G124" s="28" t="s">
        <v>177</v>
      </c>
      <c r="H124" s="74" cm="1">
        <f t="array" ref="H124">SUMPRODUCT(Tracking[Amount],--(Tracking[Date]&lt;=Tracking[[#This Row],[Date]]), (Tracking[Type]&lt;&gt;"Income") * (-1) + (Tracking[Type]="Income"))</f>
        <v>11438.75</v>
      </c>
      <c r="I124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45575</v>
      </c>
    </row>
    <row r="125" spans="3:9" x14ac:dyDescent="0.2">
      <c r="C125" s="36">
        <v>45575</v>
      </c>
      <c r="D125" s="26" t="s">
        <v>11</v>
      </c>
      <c r="E125" s="26" t="s">
        <v>231</v>
      </c>
      <c r="F125" s="27">
        <v>20</v>
      </c>
      <c r="G125" s="28" t="s">
        <v>178</v>
      </c>
      <c r="H125" s="74" cm="1">
        <f t="array" ref="H125">SUMPRODUCT(Tracking[Amount],--(Tracking[Date]&lt;=Tracking[[#This Row],[Date]]), (Tracking[Type]&lt;&gt;"Income") * (-1) + (Tracking[Type]="Income"))</f>
        <v>11438.75</v>
      </c>
      <c r="I125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45575</v>
      </c>
    </row>
    <row r="126" spans="3:9" x14ac:dyDescent="0.2">
      <c r="C126" s="36">
        <v>45575</v>
      </c>
      <c r="D126" s="26" t="s">
        <v>5</v>
      </c>
      <c r="E126" s="26" t="s">
        <v>10</v>
      </c>
      <c r="F126" s="27">
        <v>80</v>
      </c>
      <c r="G126" s="28"/>
      <c r="H126" s="74" cm="1">
        <f t="array" ref="H126">SUMPRODUCT(Tracking[Amount],--(Tracking[Date]&lt;=Tracking[[#This Row],[Date]]), (Tracking[Type]&lt;&gt;"Income") * (-1) + (Tracking[Type]="Income"))</f>
        <v>11438.75</v>
      </c>
      <c r="I126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45575</v>
      </c>
    </row>
    <row r="127" spans="3:9" x14ac:dyDescent="0.2">
      <c r="C127" s="36">
        <v>45576</v>
      </c>
      <c r="D127" s="26" t="s">
        <v>5</v>
      </c>
      <c r="E127" s="26" t="s">
        <v>10</v>
      </c>
      <c r="F127" s="27">
        <v>80</v>
      </c>
      <c r="G127" s="28" t="s">
        <v>223</v>
      </c>
      <c r="H127" s="74" cm="1">
        <f t="array" ref="H127">SUMPRODUCT(Tracking[Amount],--(Tracking[Date]&lt;=Tracking[[#This Row],[Date]]), (Tracking[Type]&lt;&gt;"Income") * (-1) + (Tracking[Type]="Income"))</f>
        <v>10994.85</v>
      </c>
      <c r="I127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45576</v>
      </c>
    </row>
    <row r="128" spans="3:9" x14ac:dyDescent="0.2">
      <c r="C128" s="36">
        <v>45576</v>
      </c>
      <c r="D128" s="26" t="s">
        <v>11</v>
      </c>
      <c r="E128" s="26" t="s">
        <v>231</v>
      </c>
      <c r="F128" s="27">
        <v>210</v>
      </c>
      <c r="G128" s="28" t="s">
        <v>179</v>
      </c>
      <c r="H128" s="74" cm="1">
        <f t="array" ref="H128">SUMPRODUCT(Tracking[Amount],--(Tracking[Date]&lt;=Tracking[[#This Row],[Date]]), (Tracking[Type]&lt;&gt;"Income") * (-1) + (Tracking[Type]="Income"))</f>
        <v>10994.85</v>
      </c>
      <c r="I128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45576</v>
      </c>
    </row>
    <row r="129" spans="3:9" x14ac:dyDescent="0.2">
      <c r="C129" s="36">
        <v>45576</v>
      </c>
      <c r="D129" s="26" t="s">
        <v>11</v>
      </c>
      <c r="E129" s="26" t="s">
        <v>13</v>
      </c>
      <c r="F129" s="27">
        <v>313.89999999999998</v>
      </c>
      <c r="G129" s="28" t="s">
        <v>180</v>
      </c>
      <c r="H129" s="74" cm="1">
        <f t="array" ref="H129">SUMPRODUCT(Tracking[Amount],--(Tracking[Date]&lt;=Tracking[[#This Row],[Date]]), (Tracking[Type]&lt;&gt;"Income") * (-1) + (Tracking[Type]="Income"))</f>
        <v>10994.85</v>
      </c>
      <c r="I129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45576</v>
      </c>
    </row>
    <row r="130" spans="3:9" x14ac:dyDescent="0.2">
      <c r="C130" s="36">
        <v>45577</v>
      </c>
      <c r="D130" s="26" t="s">
        <v>11</v>
      </c>
      <c r="E130" s="26" t="s">
        <v>148</v>
      </c>
      <c r="F130" s="27">
        <v>99</v>
      </c>
      <c r="G130" s="28" t="s">
        <v>181</v>
      </c>
      <c r="H130" s="74" cm="1">
        <f t="array" ref="H130">SUMPRODUCT(Tracking[Amount],--(Tracking[Date]&lt;=Tracking[[#This Row],[Date]]), (Tracking[Type]&lt;&gt;"Income") * (-1) + (Tracking[Type]="Income"))</f>
        <v>10487.85</v>
      </c>
      <c r="I130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45577</v>
      </c>
    </row>
    <row r="131" spans="3:9" x14ac:dyDescent="0.2">
      <c r="C131" s="36">
        <v>45577</v>
      </c>
      <c r="D131" s="26" t="s">
        <v>11</v>
      </c>
      <c r="E131" s="26" t="s">
        <v>13</v>
      </c>
      <c r="F131" s="27">
        <v>349</v>
      </c>
      <c r="G131" s="28" t="s">
        <v>182</v>
      </c>
      <c r="H131" s="74" cm="1">
        <f t="array" ref="H131">SUMPRODUCT(Tracking[Amount],--(Tracking[Date]&lt;=Tracking[[#This Row],[Date]]), (Tracking[Type]&lt;&gt;"Income") * (-1) + (Tracking[Type]="Income"))</f>
        <v>10487.85</v>
      </c>
      <c r="I131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45577</v>
      </c>
    </row>
    <row r="132" spans="3:9" x14ac:dyDescent="0.2">
      <c r="C132" s="36">
        <v>45577</v>
      </c>
      <c r="D132" s="26" t="s">
        <v>11</v>
      </c>
      <c r="E132" s="26" t="s">
        <v>231</v>
      </c>
      <c r="F132" s="27">
        <v>59</v>
      </c>
      <c r="G132" s="28" t="s">
        <v>183</v>
      </c>
      <c r="H132" s="74" cm="1">
        <f t="array" ref="H132">SUMPRODUCT(Tracking[Amount],--(Tracking[Date]&lt;=Tracking[[#This Row],[Date]]), (Tracking[Type]&lt;&gt;"Income") * (-1) + (Tracking[Type]="Income"))</f>
        <v>10487.85</v>
      </c>
      <c r="I132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45577</v>
      </c>
    </row>
    <row r="133" spans="3:9" x14ac:dyDescent="0.2">
      <c r="C133" s="36">
        <v>45578</v>
      </c>
      <c r="D133" s="26" t="s">
        <v>11</v>
      </c>
      <c r="E133" s="26" t="s">
        <v>76</v>
      </c>
      <c r="F133" s="27">
        <v>149</v>
      </c>
      <c r="G133" s="28" t="s">
        <v>184</v>
      </c>
      <c r="H133" s="74" cm="1">
        <f t="array" ref="H133">SUMPRODUCT(Tracking[Amount],--(Tracking[Date]&lt;=Tracking[[#This Row],[Date]]), (Tracking[Type]&lt;&gt;"Income") * (-1) + (Tracking[Type]="Income"))</f>
        <v>10304.950000000001</v>
      </c>
      <c r="I133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45578</v>
      </c>
    </row>
    <row r="134" spans="3:9" x14ac:dyDescent="0.2">
      <c r="C134" s="36">
        <v>45578</v>
      </c>
      <c r="D134" s="26" t="s">
        <v>11</v>
      </c>
      <c r="E134" s="26" t="s">
        <v>13</v>
      </c>
      <c r="F134" s="27">
        <v>16.899999999999999</v>
      </c>
      <c r="G134" s="28" t="s">
        <v>185</v>
      </c>
      <c r="H134" s="74" cm="1">
        <f t="array" ref="H134">SUMPRODUCT(Tracking[Amount],--(Tracking[Date]&lt;=Tracking[[#This Row],[Date]]), (Tracking[Type]&lt;&gt;"Income") * (-1) + (Tracking[Type]="Income"))</f>
        <v>10304.950000000001</v>
      </c>
      <c r="I134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45578</v>
      </c>
    </row>
    <row r="135" spans="3:9" x14ac:dyDescent="0.2">
      <c r="C135" s="36">
        <v>45578</v>
      </c>
      <c r="D135" s="26" t="s">
        <v>11</v>
      </c>
      <c r="E135" s="26" t="s">
        <v>148</v>
      </c>
      <c r="F135" s="27">
        <v>17</v>
      </c>
      <c r="G135" s="28" t="s">
        <v>186</v>
      </c>
      <c r="H135" s="74" cm="1">
        <f t="array" ref="H135">SUMPRODUCT(Tracking[Amount],--(Tracking[Date]&lt;=Tracking[[#This Row],[Date]]), (Tracking[Type]&lt;&gt;"Income") * (-1) + (Tracking[Type]="Income"))</f>
        <v>10304.950000000001</v>
      </c>
      <c r="I135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45578</v>
      </c>
    </row>
    <row r="136" spans="3:9" x14ac:dyDescent="0.2">
      <c r="C136" s="36">
        <v>45579</v>
      </c>
      <c r="D136" s="26" t="s">
        <v>11</v>
      </c>
      <c r="E136" s="26" t="s">
        <v>148</v>
      </c>
      <c r="F136" s="27">
        <v>99</v>
      </c>
      <c r="G136" s="28" t="s">
        <v>187</v>
      </c>
      <c r="H136" s="74" cm="1">
        <f t="array" ref="H136">SUMPRODUCT(Tracking[Amount],--(Tracking[Date]&lt;=Tracking[[#This Row],[Date]]), (Tracking[Type]&lt;&gt;"Income") * (-1) + (Tracking[Type]="Income"))</f>
        <v>10075.950000000001</v>
      </c>
      <c r="I136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45579</v>
      </c>
    </row>
    <row r="137" spans="3:9" x14ac:dyDescent="0.2">
      <c r="C137" s="36">
        <v>45579</v>
      </c>
      <c r="D137" s="26" t="s">
        <v>11</v>
      </c>
      <c r="E137" s="26" t="s">
        <v>231</v>
      </c>
      <c r="F137" s="27">
        <v>30</v>
      </c>
      <c r="G137" s="28" t="s">
        <v>188</v>
      </c>
      <c r="H137" s="74" cm="1">
        <f t="array" ref="H137">SUMPRODUCT(Tracking[Amount],--(Tracking[Date]&lt;=Tracking[[#This Row],[Date]]), (Tracking[Type]&lt;&gt;"Income") * (-1) + (Tracking[Type]="Income"))</f>
        <v>10075.950000000001</v>
      </c>
      <c r="I137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45579</v>
      </c>
    </row>
    <row r="138" spans="3:9" x14ac:dyDescent="0.2">
      <c r="C138" s="36">
        <v>45579</v>
      </c>
      <c r="D138" s="26" t="s">
        <v>11</v>
      </c>
      <c r="E138" s="26" t="s">
        <v>148</v>
      </c>
      <c r="F138" s="27">
        <v>100</v>
      </c>
      <c r="G138" s="28" t="s">
        <v>189</v>
      </c>
      <c r="H138" s="74" cm="1">
        <f t="array" ref="H138">SUMPRODUCT(Tracking[Amount],--(Tracking[Date]&lt;=Tracking[[#This Row],[Date]]), (Tracking[Type]&lt;&gt;"Income") * (-1) + (Tracking[Type]="Income"))</f>
        <v>10075.950000000001</v>
      </c>
      <c r="I138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45579</v>
      </c>
    </row>
    <row r="139" spans="3:9" x14ac:dyDescent="0.2">
      <c r="C139" s="36">
        <v>45580</v>
      </c>
      <c r="D139" s="26" t="s">
        <v>11</v>
      </c>
      <c r="E139" s="26" t="s">
        <v>12</v>
      </c>
      <c r="F139" s="27">
        <v>78</v>
      </c>
      <c r="G139" s="28" t="s">
        <v>190</v>
      </c>
      <c r="H139" s="74" cm="1">
        <f t="array" ref="H139">SUMPRODUCT(Tracking[Amount],--(Tracking[Date]&lt;=Tracking[[#This Row],[Date]]), (Tracking[Type]&lt;&gt;"Income") * (-1) + (Tracking[Type]="Income"))</f>
        <v>8338.9500000000007</v>
      </c>
      <c r="I139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45580</v>
      </c>
    </row>
    <row r="140" spans="3:9" x14ac:dyDescent="0.2">
      <c r="C140" s="36">
        <v>45580</v>
      </c>
      <c r="D140" s="26" t="s">
        <v>11</v>
      </c>
      <c r="E140" s="26" t="s">
        <v>23</v>
      </c>
      <c r="F140" s="27">
        <v>1350</v>
      </c>
      <c r="G140" s="28" t="s">
        <v>191</v>
      </c>
      <c r="H140" s="74" cm="1">
        <f t="array" ref="H140">SUMPRODUCT(Tracking[Amount],--(Tracking[Date]&lt;=Tracking[[#This Row],[Date]]), (Tracking[Type]&lt;&gt;"Income") * (-1) + (Tracking[Type]="Income"))</f>
        <v>8338.9500000000007</v>
      </c>
      <c r="I140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45580</v>
      </c>
    </row>
    <row r="141" spans="3:9" x14ac:dyDescent="0.2">
      <c r="C141" s="36">
        <v>45580</v>
      </c>
      <c r="D141" s="26" t="s">
        <v>11</v>
      </c>
      <c r="E141" s="26" t="s">
        <v>14</v>
      </c>
      <c r="F141" s="27">
        <v>309</v>
      </c>
      <c r="G141" s="28" t="s">
        <v>192</v>
      </c>
      <c r="H141" s="74" cm="1">
        <f t="array" ref="H141">SUMPRODUCT(Tracking[Amount],--(Tracking[Date]&lt;=Tracking[[#This Row],[Date]]), (Tracking[Type]&lt;&gt;"Income") * (-1) + (Tracking[Type]="Income"))</f>
        <v>8338.9500000000007</v>
      </c>
      <c r="I141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45580</v>
      </c>
    </row>
    <row r="142" spans="3:9" x14ac:dyDescent="0.2">
      <c r="C142" s="36">
        <v>45581</v>
      </c>
      <c r="D142" s="26" t="s">
        <v>11</v>
      </c>
      <c r="E142" s="26" t="s">
        <v>14</v>
      </c>
      <c r="F142" s="27">
        <v>374</v>
      </c>
      <c r="G142" s="28" t="s">
        <v>193</v>
      </c>
      <c r="H142" s="74" cm="1">
        <f t="array" ref="H142">SUMPRODUCT(Tracking[Amount],--(Tracking[Date]&lt;=Tracking[[#This Row],[Date]]), (Tracking[Type]&lt;&gt;"Income") * (-1) + (Tracking[Type]="Income"))</f>
        <v>7381.9500000000007</v>
      </c>
      <c r="I142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45581</v>
      </c>
    </row>
    <row r="143" spans="3:9" x14ac:dyDescent="0.2">
      <c r="C143" s="36">
        <v>45581</v>
      </c>
      <c r="D143" s="26" t="s">
        <v>11</v>
      </c>
      <c r="E143" s="26" t="s">
        <v>14</v>
      </c>
      <c r="F143" s="27">
        <v>351</v>
      </c>
      <c r="G143" s="28" t="s">
        <v>194</v>
      </c>
      <c r="H143" s="74" cm="1">
        <f t="array" ref="H143">SUMPRODUCT(Tracking[Amount],--(Tracking[Date]&lt;=Tracking[[#This Row],[Date]]), (Tracking[Type]&lt;&gt;"Income") * (-1) + (Tracking[Type]="Income"))</f>
        <v>7381.9500000000007</v>
      </c>
      <c r="I143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45581</v>
      </c>
    </row>
    <row r="144" spans="3:9" x14ac:dyDescent="0.2">
      <c r="C144" s="36">
        <v>45581</v>
      </c>
      <c r="D144" s="26" t="s">
        <v>11</v>
      </c>
      <c r="E144" s="26" t="s">
        <v>14</v>
      </c>
      <c r="F144" s="27">
        <v>232</v>
      </c>
      <c r="G144" s="28" t="s">
        <v>195</v>
      </c>
      <c r="H144" s="74" cm="1">
        <f t="array" ref="H144">SUMPRODUCT(Tracking[Amount],--(Tracking[Date]&lt;=Tracking[[#This Row],[Date]]), (Tracking[Type]&lt;&gt;"Income") * (-1) + (Tracking[Type]="Income"))</f>
        <v>7381.9500000000007</v>
      </c>
      <c r="I144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45581</v>
      </c>
    </row>
    <row r="145" spans="3:9" x14ac:dyDescent="0.2">
      <c r="C145" s="36">
        <v>45582</v>
      </c>
      <c r="D145" s="26" t="s">
        <v>11</v>
      </c>
      <c r="E145" s="26" t="s">
        <v>231</v>
      </c>
      <c r="F145" s="27">
        <v>60</v>
      </c>
      <c r="G145" s="28" t="s">
        <v>196</v>
      </c>
      <c r="H145" s="74" cm="1">
        <f t="array" ref="H145">SUMPRODUCT(Tracking[Amount],--(Tracking[Date]&lt;=Tracking[[#This Row],[Date]]), (Tracking[Type]&lt;&gt;"Income") * (-1) + (Tracking[Type]="Income"))</f>
        <v>7202.9500000000007</v>
      </c>
      <c r="I145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45582</v>
      </c>
    </row>
    <row r="146" spans="3:9" x14ac:dyDescent="0.2">
      <c r="C146" s="36">
        <v>45582</v>
      </c>
      <c r="D146" s="26" t="s">
        <v>11</v>
      </c>
      <c r="E146" s="26" t="s">
        <v>14</v>
      </c>
      <c r="F146" s="27">
        <v>20</v>
      </c>
      <c r="G146" s="28" t="s">
        <v>197</v>
      </c>
      <c r="H146" s="74" cm="1">
        <f t="array" ref="H146">SUMPRODUCT(Tracking[Amount],--(Tracking[Date]&lt;=Tracking[[#This Row],[Date]]), (Tracking[Type]&lt;&gt;"Income") * (-1) + (Tracking[Type]="Income"))</f>
        <v>7202.9500000000007</v>
      </c>
      <c r="I146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45582</v>
      </c>
    </row>
    <row r="147" spans="3:9" x14ac:dyDescent="0.2">
      <c r="C147" s="36">
        <v>45582</v>
      </c>
      <c r="D147" s="26" t="s">
        <v>11</v>
      </c>
      <c r="E147" s="26" t="s">
        <v>148</v>
      </c>
      <c r="F147" s="27">
        <v>99</v>
      </c>
      <c r="G147" s="28" t="s">
        <v>198</v>
      </c>
      <c r="H147" s="74" cm="1">
        <f t="array" ref="H147">SUMPRODUCT(Tracking[Amount],--(Tracking[Date]&lt;=Tracking[[#This Row],[Date]]), (Tracking[Type]&lt;&gt;"Income") * (-1) + (Tracking[Type]="Income"))</f>
        <v>7202.9500000000007</v>
      </c>
      <c r="I147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45582</v>
      </c>
    </row>
    <row r="148" spans="3:9" x14ac:dyDescent="0.2">
      <c r="C148" s="36">
        <v>45583</v>
      </c>
      <c r="D148" s="26" t="s">
        <v>11</v>
      </c>
      <c r="E148" s="26" t="s">
        <v>74</v>
      </c>
      <c r="F148" s="27">
        <v>575</v>
      </c>
      <c r="G148" s="28" t="s">
        <v>199</v>
      </c>
      <c r="H148" s="74" cm="1">
        <f t="array" ref="H148">SUMPRODUCT(Tracking[Amount],--(Tracking[Date]&lt;=Tracking[[#This Row],[Date]]), (Tracking[Type]&lt;&gt;"Income") * (-1) + (Tracking[Type]="Income"))</f>
        <v>6199.9500000000007</v>
      </c>
      <c r="I148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45583</v>
      </c>
    </row>
    <row r="149" spans="3:9" x14ac:dyDescent="0.2">
      <c r="C149" s="36">
        <v>45583</v>
      </c>
      <c r="D149" s="26" t="s">
        <v>11</v>
      </c>
      <c r="E149" s="26" t="s">
        <v>74</v>
      </c>
      <c r="F149" s="27">
        <v>359</v>
      </c>
      <c r="G149" s="28" t="s">
        <v>200</v>
      </c>
      <c r="H149" s="74" cm="1">
        <f t="array" ref="H149">SUMPRODUCT(Tracking[Amount],--(Tracking[Date]&lt;=Tracking[[#This Row],[Date]]), (Tracking[Type]&lt;&gt;"Income") * (-1) + (Tracking[Type]="Income"))</f>
        <v>6199.9500000000007</v>
      </c>
      <c r="I149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45583</v>
      </c>
    </row>
    <row r="150" spans="3:9" x14ac:dyDescent="0.2">
      <c r="C150" s="36">
        <v>45583</v>
      </c>
      <c r="D150" s="26" t="s">
        <v>11</v>
      </c>
      <c r="E150" s="26" t="s">
        <v>14</v>
      </c>
      <c r="F150" s="27">
        <v>69</v>
      </c>
      <c r="G150" s="28" t="s">
        <v>201</v>
      </c>
      <c r="H150" s="74" cm="1">
        <f t="array" ref="H150">SUMPRODUCT(Tracking[Amount],--(Tracking[Date]&lt;=Tracking[[#This Row],[Date]]), (Tracking[Type]&lt;&gt;"Income") * (-1) + (Tracking[Type]="Income"))</f>
        <v>6199.9500000000007</v>
      </c>
      <c r="I150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45583</v>
      </c>
    </row>
    <row r="151" spans="3:9" x14ac:dyDescent="0.2">
      <c r="C151" s="36">
        <v>45584</v>
      </c>
      <c r="D151" s="26" t="s">
        <v>11</v>
      </c>
      <c r="E151" s="26" t="s">
        <v>14</v>
      </c>
      <c r="F151" s="27">
        <v>10</v>
      </c>
      <c r="G151" s="28" t="s">
        <v>202</v>
      </c>
      <c r="H151" s="74" cm="1">
        <f t="array" ref="H151">SUMPRODUCT(Tracking[Amount],--(Tracking[Date]&lt;=Tracking[[#This Row],[Date]]), (Tracking[Type]&lt;&gt;"Income") * (-1) + (Tracking[Type]="Income"))</f>
        <v>6139.0500000000011</v>
      </c>
      <c r="I151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45584</v>
      </c>
    </row>
    <row r="152" spans="3:9" x14ac:dyDescent="0.2">
      <c r="C152" s="36">
        <v>45584</v>
      </c>
      <c r="D152" s="26" t="s">
        <v>11</v>
      </c>
      <c r="E152" s="26" t="s">
        <v>13</v>
      </c>
      <c r="F152" s="27">
        <v>14.9</v>
      </c>
      <c r="G152" s="28" t="s">
        <v>203</v>
      </c>
      <c r="H152" s="74" cm="1">
        <f t="array" ref="H152">SUMPRODUCT(Tracking[Amount],--(Tracking[Date]&lt;=Tracking[[#This Row],[Date]]), (Tracking[Type]&lt;&gt;"Income") * (-1) + (Tracking[Type]="Income"))</f>
        <v>6139.0500000000011</v>
      </c>
      <c r="I152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45584</v>
      </c>
    </row>
    <row r="153" spans="3:9" x14ac:dyDescent="0.2">
      <c r="C153" s="36">
        <v>45584</v>
      </c>
      <c r="D153" s="26" t="s">
        <v>11</v>
      </c>
      <c r="E153" s="26" t="s">
        <v>14</v>
      </c>
      <c r="F153" s="27">
        <v>36</v>
      </c>
      <c r="G153" s="28" t="s">
        <v>204</v>
      </c>
      <c r="H153" s="74" cm="1">
        <f t="array" ref="H153">SUMPRODUCT(Tracking[Amount],--(Tracking[Date]&lt;=Tracking[[#This Row],[Date]]), (Tracking[Type]&lt;&gt;"Income") * (-1) + (Tracking[Type]="Income"))</f>
        <v>6139.0500000000011</v>
      </c>
      <c r="I153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45584</v>
      </c>
    </row>
    <row r="154" spans="3:9" x14ac:dyDescent="0.2">
      <c r="C154" s="36">
        <v>45585</v>
      </c>
      <c r="D154" s="26" t="s">
        <v>11</v>
      </c>
      <c r="E154" s="26" t="s">
        <v>148</v>
      </c>
      <c r="F154" s="27">
        <v>107</v>
      </c>
      <c r="G154" s="28" t="s">
        <v>205</v>
      </c>
      <c r="H154" s="74" cm="1">
        <f t="array" ref="H154">SUMPRODUCT(Tracking[Amount],--(Tracking[Date]&lt;=Tracking[[#This Row],[Date]]), (Tracking[Type]&lt;&gt;"Income") * (-1) + (Tracking[Type]="Income"))</f>
        <v>5718.0500000000011</v>
      </c>
      <c r="I154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45585</v>
      </c>
    </row>
    <row r="155" spans="3:9" x14ac:dyDescent="0.2">
      <c r="C155" s="36">
        <v>45585</v>
      </c>
      <c r="D155" s="26" t="s">
        <v>11</v>
      </c>
      <c r="E155" s="26" t="s">
        <v>231</v>
      </c>
      <c r="F155" s="27">
        <v>158</v>
      </c>
      <c r="G155" s="28" t="s">
        <v>206</v>
      </c>
      <c r="H155" s="74" cm="1">
        <f t="array" ref="H155">SUMPRODUCT(Tracking[Amount],--(Tracking[Date]&lt;=Tracking[[#This Row],[Date]]), (Tracking[Type]&lt;&gt;"Income") * (-1) + (Tracking[Type]="Income"))</f>
        <v>5718.0500000000011</v>
      </c>
      <c r="I155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45585</v>
      </c>
    </row>
    <row r="156" spans="3:9" x14ac:dyDescent="0.2">
      <c r="C156" s="36">
        <v>45585</v>
      </c>
      <c r="D156" s="26" t="s">
        <v>11</v>
      </c>
      <c r="E156" s="26" t="s">
        <v>148</v>
      </c>
      <c r="F156" s="27">
        <v>156</v>
      </c>
      <c r="G156" s="28" t="s">
        <v>207</v>
      </c>
      <c r="H156" s="74" cm="1">
        <f t="array" ref="H156">SUMPRODUCT(Tracking[Amount],--(Tracking[Date]&lt;=Tracking[[#This Row],[Date]]), (Tracking[Type]&lt;&gt;"Income") * (-1) + (Tracking[Type]="Income"))</f>
        <v>5718.0500000000011</v>
      </c>
      <c r="I156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45585</v>
      </c>
    </row>
    <row r="157" spans="3:9" x14ac:dyDescent="0.2">
      <c r="C157" s="36">
        <v>45586</v>
      </c>
      <c r="D157" s="26" t="s">
        <v>11</v>
      </c>
      <c r="E157" s="26" t="s">
        <v>148</v>
      </c>
      <c r="F157" s="27">
        <v>99</v>
      </c>
      <c r="G157" s="28" t="s">
        <v>208</v>
      </c>
      <c r="H157" s="74" cm="1">
        <f t="array" ref="H157">SUMPRODUCT(Tracking[Amount],--(Tracking[Date]&lt;=Tracking[[#This Row],[Date]]), (Tracking[Type]&lt;&gt;"Income") * (-1) + (Tracking[Type]="Income"))</f>
        <v>5431.0500000000011</v>
      </c>
      <c r="I157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45586</v>
      </c>
    </row>
    <row r="158" spans="3:9" x14ac:dyDescent="0.2">
      <c r="C158" s="36">
        <v>45586</v>
      </c>
      <c r="D158" s="26" t="s">
        <v>11</v>
      </c>
      <c r="E158" s="26" t="s">
        <v>148</v>
      </c>
      <c r="F158" s="27">
        <v>99</v>
      </c>
      <c r="G158" s="28" t="s">
        <v>209</v>
      </c>
      <c r="H158" s="74" cm="1">
        <f t="array" ref="H158">SUMPRODUCT(Tracking[Amount],--(Tracking[Date]&lt;=Tracking[[#This Row],[Date]]), (Tracking[Type]&lt;&gt;"Income") * (-1) + (Tracking[Type]="Income"))</f>
        <v>5431.0500000000011</v>
      </c>
      <c r="I158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45586</v>
      </c>
    </row>
    <row r="159" spans="3:9" x14ac:dyDescent="0.2">
      <c r="C159" s="36">
        <v>45586</v>
      </c>
      <c r="D159" s="26" t="s">
        <v>11</v>
      </c>
      <c r="E159" s="26" t="s">
        <v>14</v>
      </c>
      <c r="F159" s="27">
        <v>89</v>
      </c>
      <c r="G159" s="28" t="s">
        <v>210</v>
      </c>
      <c r="H159" s="74" cm="1">
        <f t="array" ref="H159">SUMPRODUCT(Tracking[Amount],--(Tracking[Date]&lt;=Tracking[[#This Row],[Date]]), (Tracking[Type]&lt;&gt;"Income") * (-1) + (Tracking[Type]="Income"))</f>
        <v>5431.0500000000011</v>
      </c>
      <c r="I159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45586</v>
      </c>
    </row>
    <row r="160" spans="3:9" x14ac:dyDescent="0.2">
      <c r="C160" s="36">
        <v>45587</v>
      </c>
      <c r="D160" s="26" t="s">
        <v>11</v>
      </c>
      <c r="E160" s="26" t="s">
        <v>13</v>
      </c>
      <c r="F160" s="27">
        <v>159.69999999999999</v>
      </c>
      <c r="G160" s="28" t="s">
        <v>211</v>
      </c>
      <c r="H160" s="74" cm="1">
        <f t="array" ref="H160">SUMPRODUCT(Tracking[Amount],--(Tracking[Date]&lt;=Tracking[[#This Row],[Date]]), (Tracking[Type]&lt;&gt;"Income") * (-1) + (Tracking[Type]="Income"))</f>
        <v>5856.3500000000013</v>
      </c>
      <c r="I160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45587</v>
      </c>
    </row>
    <row r="161" spans="3:9" x14ac:dyDescent="0.2">
      <c r="C161" s="36">
        <v>45587</v>
      </c>
      <c r="D161" s="26" t="s">
        <v>11</v>
      </c>
      <c r="E161" s="26" t="s">
        <v>13</v>
      </c>
      <c r="F161" s="27">
        <v>75</v>
      </c>
      <c r="G161" s="28" t="s">
        <v>212</v>
      </c>
      <c r="H161" s="74" cm="1">
        <f t="array" ref="H161">SUMPRODUCT(Tracking[Amount],--(Tracking[Date]&lt;=Tracking[[#This Row],[Date]]), (Tracking[Type]&lt;&gt;"Income") * (-1) + (Tracking[Type]="Income"))</f>
        <v>5856.3500000000013</v>
      </c>
      <c r="I161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45587</v>
      </c>
    </row>
    <row r="162" spans="3:9" x14ac:dyDescent="0.2">
      <c r="C162" s="36">
        <v>45587</v>
      </c>
      <c r="D162" s="26" t="s">
        <v>5</v>
      </c>
      <c r="E162" s="26" t="s">
        <v>10</v>
      </c>
      <c r="F162" s="27">
        <v>660</v>
      </c>
      <c r="G162" s="28"/>
      <c r="H162" s="74" cm="1">
        <f t="array" ref="H162">SUMPRODUCT(Tracking[Amount],--(Tracking[Date]&lt;=Tracking[[#This Row],[Date]]), (Tracking[Type]&lt;&gt;"Income") * (-1) + (Tracking[Type]="Income"))</f>
        <v>5856.3500000000013</v>
      </c>
      <c r="I162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45587</v>
      </c>
    </row>
    <row r="163" spans="3:9" x14ac:dyDescent="0.2">
      <c r="C163" s="36">
        <v>45588</v>
      </c>
      <c r="D163" s="26" t="s">
        <v>11</v>
      </c>
      <c r="E163" s="26" t="s">
        <v>231</v>
      </c>
      <c r="F163" s="27">
        <v>17</v>
      </c>
      <c r="G163" s="28" t="s">
        <v>213</v>
      </c>
      <c r="H163" s="74" cm="1">
        <f t="array" ref="H163">SUMPRODUCT(Tracking[Amount],--(Tracking[Date]&lt;=Tracking[[#This Row],[Date]]), (Tracking[Type]&lt;&gt;"Income") * (-1) + (Tracking[Type]="Income"))</f>
        <v>6779.3500000000013</v>
      </c>
      <c r="I163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45588</v>
      </c>
    </row>
    <row r="164" spans="3:9" x14ac:dyDescent="0.2">
      <c r="C164" s="36">
        <v>45588</v>
      </c>
      <c r="D164" s="26" t="s">
        <v>5</v>
      </c>
      <c r="E164" s="26" t="s">
        <v>10</v>
      </c>
      <c r="F164" s="27">
        <v>470</v>
      </c>
      <c r="G164" s="28"/>
      <c r="H164" s="74" cm="1">
        <f t="array" ref="H164">SUMPRODUCT(Tracking[Amount],--(Tracking[Date]&lt;=Tracking[[#This Row],[Date]]), (Tracking[Type]&lt;&gt;"Income") * (-1) + (Tracking[Type]="Income"))</f>
        <v>6779.3500000000013</v>
      </c>
      <c r="I164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45588</v>
      </c>
    </row>
    <row r="165" spans="3:9" x14ac:dyDescent="0.2">
      <c r="C165" s="36">
        <v>45588</v>
      </c>
      <c r="D165" s="26" t="s">
        <v>5</v>
      </c>
      <c r="E165" s="26" t="s">
        <v>10</v>
      </c>
      <c r="F165" s="27">
        <v>470</v>
      </c>
      <c r="G165" s="28" t="s">
        <v>223</v>
      </c>
      <c r="H165" s="74" cm="1">
        <f t="array" ref="H165">SUMPRODUCT(Tracking[Amount],--(Tracking[Date]&lt;=Tracking[[#This Row],[Date]]), (Tracking[Type]&lt;&gt;"Income") * (-1) + (Tracking[Type]="Income"))</f>
        <v>6779.3500000000013</v>
      </c>
      <c r="I165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45588</v>
      </c>
    </row>
    <row r="166" spans="3:9" x14ac:dyDescent="0.2">
      <c r="C166" s="36">
        <v>45589</v>
      </c>
      <c r="D166" s="26" t="s">
        <v>11</v>
      </c>
      <c r="E166" s="26" t="s">
        <v>149</v>
      </c>
      <c r="F166" s="27">
        <v>1350</v>
      </c>
      <c r="G166" s="28" t="s">
        <v>214</v>
      </c>
      <c r="H166" s="74" cm="1">
        <f t="array" ref="H166">SUMPRODUCT(Tracking[Amount],--(Tracking[Date]&lt;=Tracking[[#This Row],[Date]]), (Tracking[Type]&lt;&gt;"Income") * (-1) + (Tracking[Type]="Income"))</f>
        <v>4811.3500000000013</v>
      </c>
      <c r="I166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45589</v>
      </c>
    </row>
    <row r="167" spans="3:9" x14ac:dyDescent="0.2">
      <c r="C167" s="36">
        <v>45589</v>
      </c>
      <c r="D167" s="26" t="s">
        <v>11</v>
      </c>
      <c r="E167" s="26" t="s">
        <v>14</v>
      </c>
      <c r="F167" s="27">
        <v>267</v>
      </c>
      <c r="G167" s="28" t="s">
        <v>215</v>
      </c>
      <c r="H167" s="74" cm="1">
        <f t="array" ref="H167">SUMPRODUCT(Tracking[Amount],--(Tracking[Date]&lt;=Tracking[[#This Row],[Date]]), (Tracking[Type]&lt;&gt;"Income") * (-1) + (Tracking[Type]="Income"))</f>
        <v>4811.3500000000013</v>
      </c>
      <c r="I167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45589</v>
      </c>
    </row>
    <row r="168" spans="3:9" x14ac:dyDescent="0.2">
      <c r="C168" s="36">
        <v>45589</v>
      </c>
      <c r="D168" s="26" t="s">
        <v>11</v>
      </c>
      <c r="E168" s="26" t="s">
        <v>14</v>
      </c>
      <c r="F168" s="27">
        <v>351</v>
      </c>
      <c r="G168" s="28" t="s">
        <v>216</v>
      </c>
      <c r="H168" s="74" cm="1">
        <f t="array" ref="H168">SUMPRODUCT(Tracking[Amount],--(Tracking[Date]&lt;=Tracking[[#This Row],[Date]]), (Tracking[Type]&lt;&gt;"Income") * (-1) + (Tracking[Type]="Income"))</f>
        <v>4811.3500000000013</v>
      </c>
      <c r="I168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45589</v>
      </c>
    </row>
    <row r="169" spans="3:9" x14ac:dyDescent="0.2">
      <c r="C169" s="36">
        <v>45590</v>
      </c>
      <c r="D169" s="26" t="s">
        <v>11</v>
      </c>
      <c r="E169" s="26" t="s">
        <v>14</v>
      </c>
      <c r="F169" s="27">
        <v>118</v>
      </c>
      <c r="G169" s="28" t="s">
        <v>217</v>
      </c>
      <c r="H169" s="74" cm="1">
        <f t="array" ref="H169">SUMPRODUCT(Tracking[Amount],--(Tracking[Date]&lt;=Tracking[[#This Row],[Date]]), (Tracking[Type]&lt;&gt;"Income") * (-1) + (Tracking[Type]="Income"))</f>
        <v>4062.3500000000013</v>
      </c>
      <c r="I169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45590</v>
      </c>
    </row>
    <row r="170" spans="3:9" x14ac:dyDescent="0.2">
      <c r="C170" s="36">
        <v>45590</v>
      </c>
      <c r="D170" s="26" t="s">
        <v>11</v>
      </c>
      <c r="E170" s="26" t="s">
        <v>14</v>
      </c>
      <c r="F170" s="27">
        <v>351</v>
      </c>
      <c r="G170" s="28" t="s">
        <v>216</v>
      </c>
      <c r="H170" s="74" cm="1">
        <f t="array" ref="H170">SUMPRODUCT(Tracking[Amount],--(Tracking[Date]&lt;=Tracking[[#This Row],[Date]]), (Tracking[Type]&lt;&gt;"Income") * (-1) + (Tracking[Type]="Income"))</f>
        <v>4062.3500000000013</v>
      </c>
      <c r="I170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45590</v>
      </c>
    </row>
    <row r="171" spans="3:9" x14ac:dyDescent="0.2">
      <c r="C171" s="36">
        <v>45590</v>
      </c>
      <c r="D171" s="26" t="s">
        <v>11</v>
      </c>
      <c r="E171" s="26" t="s">
        <v>14</v>
      </c>
      <c r="F171" s="27">
        <v>280</v>
      </c>
      <c r="G171" s="28" t="s">
        <v>218</v>
      </c>
      <c r="H171" s="74" cm="1">
        <f t="array" ref="H171">SUMPRODUCT(Tracking[Amount],--(Tracking[Date]&lt;=Tracking[[#This Row],[Date]]), (Tracking[Type]&lt;&gt;"Income") * (-1) + (Tracking[Type]="Income"))</f>
        <v>4062.3500000000013</v>
      </c>
      <c r="I171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45590</v>
      </c>
    </row>
    <row r="172" spans="3:9" x14ac:dyDescent="0.2">
      <c r="C172" s="36">
        <v>45591</v>
      </c>
      <c r="D172" s="26" t="s">
        <v>11</v>
      </c>
      <c r="E172" s="26" t="s">
        <v>13</v>
      </c>
      <c r="F172" s="27">
        <v>46.8</v>
      </c>
      <c r="G172" s="28" t="s">
        <v>219</v>
      </c>
      <c r="H172" s="74" cm="1">
        <f t="array" ref="H172">SUMPRODUCT(Tracking[Amount],--(Tracking[Date]&lt;=Tracking[[#This Row],[Date]]), (Tracking[Type]&lt;&gt;"Income") * (-1) + (Tracking[Type]="Income"))</f>
        <v>1585.3500000000013</v>
      </c>
      <c r="I172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45591</v>
      </c>
    </row>
    <row r="173" spans="3:9" x14ac:dyDescent="0.2">
      <c r="C173" s="36">
        <v>45591</v>
      </c>
      <c r="D173" s="26" t="s">
        <v>5</v>
      </c>
      <c r="E173" s="26" t="s">
        <v>10</v>
      </c>
      <c r="F173" s="27">
        <v>69.8</v>
      </c>
      <c r="G173" s="28" t="s">
        <v>220</v>
      </c>
      <c r="H173" s="74" cm="1">
        <f t="array" ref="H173">SUMPRODUCT(Tracking[Amount],--(Tracking[Date]&lt;=Tracking[[#This Row],[Date]]), (Tracking[Type]&lt;&gt;"Income") * (-1) + (Tracking[Type]="Income"))</f>
        <v>1585.3500000000013</v>
      </c>
      <c r="I173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45591</v>
      </c>
    </row>
    <row r="174" spans="3:9" x14ac:dyDescent="0.2">
      <c r="C174" s="36">
        <v>45591</v>
      </c>
      <c r="D174" s="26" t="s">
        <v>11</v>
      </c>
      <c r="E174" s="26" t="s">
        <v>75</v>
      </c>
      <c r="F174" s="27">
        <v>2500</v>
      </c>
      <c r="G174" s="28" t="s">
        <v>221</v>
      </c>
      <c r="H174" s="74" cm="1">
        <f t="array" ref="H174">SUMPRODUCT(Tracking[Amount],--(Tracking[Date]&lt;=Tracking[[#This Row],[Date]]), (Tracking[Type]&lt;&gt;"Income") * (-1) + (Tracking[Type]="Income"))</f>
        <v>1585.3500000000013</v>
      </c>
      <c r="I174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45591</v>
      </c>
    </row>
    <row r="175" spans="3:9" x14ac:dyDescent="0.2">
      <c r="C175" s="36">
        <v>45592</v>
      </c>
      <c r="D175" s="26" t="s">
        <v>11</v>
      </c>
      <c r="E175" s="26" t="s">
        <v>75</v>
      </c>
      <c r="F175" s="27">
        <v>1499</v>
      </c>
      <c r="G175" s="28" t="s">
        <v>222</v>
      </c>
      <c r="H175" s="74" cm="1">
        <f t="array" ref="H175">SUMPRODUCT(Tracking[Amount],--(Tracking[Date]&lt;=Tracking[[#This Row],[Date]]), (Tracking[Type]&lt;&gt;"Income") * (-1) + (Tracking[Type]="Income"))</f>
        <v>66.350000000001273</v>
      </c>
      <c r="I175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45592</v>
      </c>
    </row>
    <row r="176" spans="3:9" x14ac:dyDescent="0.2">
      <c r="C176" s="36">
        <v>45592</v>
      </c>
      <c r="D176" s="26" t="s">
        <v>11</v>
      </c>
      <c r="E176" s="26" t="s">
        <v>229</v>
      </c>
      <c r="F176" s="27">
        <v>0</v>
      </c>
      <c r="G176" s="28" t="s">
        <v>226</v>
      </c>
      <c r="H176" s="74" cm="1">
        <f t="array" ref="H176">SUMPRODUCT(Tracking[Amount],--(Tracking[Date]&lt;=Tracking[[#This Row],[Date]]), (Tracking[Type]&lt;&gt;"Income") * (-1) + (Tracking[Type]="Income"))</f>
        <v>66.350000000001273</v>
      </c>
      <c r="I176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45592</v>
      </c>
    </row>
    <row r="177" spans="3:9" x14ac:dyDescent="0.2">
      <c r="C177" s="36">
        <v>45592</v>
      </c>
      <c r="D177" s="26" t="s">
        <v>11</v>
      </c>
      <c r="E177" s="26" t="s">
        <v>14</v>
      </c>
      <c r="F177" s="27">
        <v>20</v>
      </c>
      <c r="G177" s="28" t="s">
        <v>227</v>
      </c>
      <c r="H177" s="74" cm="1">
        <f t="array" ref="H177">SUMPRODUCT(Tracking[Amount],--(Tracking[Date]&lt;=Tracking[[#This Row],[Date]]), (Tracking[Type]&lt;&gt;"Income") * (-1) + (Tracking[Type]="Income"))</f>
        <v>66.350000000001273</v>
      </c>
      <c r="I177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45592</v>
      </c>
    </row>
    <row r="178" spans="3:9" x14ac:dyDescent="0.2">
      <c r="C178" s="36">
        <v>45593</v>
      </c>
      <c r="D178" s="26" t="s">
        <v>11</v>
      </c>
      <c r="E178" s="26" t="s">
        <v>13</v>
      </c>
      <c r="F178" s="27">
        <v>356</v>
      </c>
      <c r="G178" s="28" t="s">
        <v>232</v>
      </c>
      <c r="H178" s="74" cm="1">
        <f t="array" ref="H178">SUMPRODUCT(Tracking[Amount],--(Tracking[Date]&lt;=Tracking[[#This Row],[Date]]), (Tracking[Type]&lt;&gt;"Income") * (-1) + (Tracking[Type]="Income"))</f>
        <v>-306.64999999999873</v>
      </c>
      <c r="I178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45593</v>
      </c>
    </row>
    <row r="179" spans="3:9" x14ac:dyDescent="0.2">
      <c r="C179" s="36">
        <v>45593</v>
      </c>
      <c r="D179" s="26" t="s">
        <v>11</v>
      </c>
      <c r="E179" s="26" t="s">
        <v>231</v>
      </c>
      <c r="F179" s="27">
        <v>17</v>
      </c>
      <c r="G179" s="28"/>
      <c r="H179" s="74" cm="1">
        <f t="array" ref="H179">SUMPRODUCT(Tracking[Amount],--(Tracking[Date]&lt;=Tracking[[#This Row],[Date]]), (Tracking[Type]&lt;&gt;"Income") * (-1) + (Tracking[Type]="Income"))</f>
        <v>-306.64999999999873</v>
      </c>
      <c r="I179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45593</v>
      </c>
    </row>
    <row r="180" spans="3:9" x14ac:dyDescent="0.2">
      <c r="C180" s="36">
        <v>45594</v>
      </c>
      <c r="D180" s="26" t="s">
        <v>11</v>
      </c>
      <c r="E180" s="26" t="s">
        <v>13</v>
      </c>
      <c r="F180" s="27">
        <v>903</v>
      </c>
      <c r="G180" s="28" t="s">
        <v>233</v>
      </c>
      <c r="H180" s="74" cm="1">
        <f t="array" ref="H180">SUMPRODUCT(Tracking[Amount],--(Tracking[Date]&lt;=Tracking[[#This Row],[Date]]), (Tracking[Type]&lt;&gt;"Income") * (-1) + (Tracking[Type]="Income"))</f>
        <v>-1258.6499999999987</v>
      </c>
      <c r="I180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45594</v>
      </c>
    </row>
    <row r="181" spans="3:9" x14ac:dyDescent="0.2">
      <c r="C181" s="36">
        <v>45594</v>
      </c>
      <c r="D181" s="26" t="s">
        <v>11</v>
      </c>
      <c r="E181" s="26" t="s">
        <v>231</v>
      </c>
      <c r="F181" s="27">
        <v>49</v>
      </c>
      <c r="G181" s="28" t="s">
        <v>234</v>
      </c>
      <c r="H181" s="74" cm="1">
        <f t="array" ref="H181">SUMPRODUCT(Tracking[Amount],--(Tracking[Date]&lt;=Tracking[[#This Row],[Date]]), (Tracking[Type]&lt;&gt;"Income") * (-1) + (Tracking[Type]="Income"))</f>
        <v>-1258.6499999999987</v>
      </c>
      <c r="I181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45594</v>
      </c>
    </row>
    <row r="182" spans="3:9" x14ac:dyDescent="0.2">
      <c r="C182" s="36">
        <v>45595</v>
      </c>
      <c r="D182" s="26" t="s">
        <v>11</v>
      </c>
      <c r="E182" s="26" t="s">
        <v>24</v>
      </c>
      <c r="F182" s="27">
        <v>0</v>
      </c>
      <c r="G182" s="28" t="s">
        <v>235</v>
      </c>
      <c r="H182" s="74" cm="1">
        <f t="array" ref="H182">SUMPRODUCT(Tracking[Amount],--(Tracking[Date]&lt;=Tracking[[#This Row],[Date]]), (Tracking[Type]&lt;&gt;"Income") * (-1) + (Tracking[Type]="Income"))</f>
        <v>-1258.6499999999987</v>
      </c>
      <c r="I182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45595</v>
      </c>
    </row>
    <row r="183" spans="3:9" x14ac:dyDescent="0.2">
      <c r="C183" s="36">
        <v>45597</v>
      </c>
      <c r="D183" s="26" t="s">
        <v>5</v>
      </c>
      <c r="E183" s="26" t="s">
        <v>10</v>
      </c>
      <c r="F183" s="27">
        <v>11111</v>
      </c>
      <c r="G183" s="28" t="s">
        <v>236</v>
      </c>
      <c r="H183" s="74" cm="1">
        <f t="array" ref="H183">SUMPRODUCT(Tracking[Amount],--(Tracking[Date]&lt;=Tracking[[#This Row],[Date]]), (Tracking[Type]&lt;&gt;"Income") * (-1) + (Tracking[Type]="Income"))</f>
        <v>9785.3500000000022</v>
      </c>
      <c r="I183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45597</v>
      </c>
    </row>
    <row r="184" spans="3:9" x14ac:dyDescent="0.2">
      <c r="C184" s="36">
        <v>45597</v>
      </c>
      <c r="D184" s="26" t="s">
        <v>11</v>
      </c>
      <c r="E184" s="26" t="s">
        <v>148</v>
      </c>
      <c r="F184" s="27">
        <v>67</v>
      </c>
      <c r="G184" s="28" t="s">
        <v>237</v>
      </c>
      <c r="H184" s="74" cm="1">
        <f t="array" ref="H184">SUMPRODUCT(Tracking[Amount],--(Tracking[Date]&lt;=Tracking[[#This Row],[Date]]), (Tracking[Type]&lt;&gt;"Income") * (-1) + (Tracking[Type]="Income"))</f>
        <v>9785.3500000000022</v>
      </c>
      <c r="I184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45597</v>
      </c>
    </row>
    <row r="185" spans="3:9" x14ac:dyDescent="0.2">
      <c r="C185" s="36">
        <v>45598</v>
      </c>
      <c r="D185" s="26" t="s">
        <v>11</v>
      </c>
      <c r="E185" s="26" t="s">
        <v>229</v>
      </c>
      <c r="F185" s="27">
        <v>1690</v>
      </c>
      <c r="G185" s="28"/>
      <c r="H185" s="74" cm="1">
        <f t="array" ref="H185">SUMPRODUCT(Tracking[Amount],--(Tracking[Date]&lt;=Tracking[[#This Row],[Date]]), (Tracking[Type]&lt;&gt;"Income") * (-1) + (Tracking[Type]="Income"))</f>
        <v>8019.3500000000022</v>
      </c>
      <c r="I185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45598</v>
      </c>
    </row>
    <row r="186" spans="3:9" x14ac:dyDescent="0.2">
      <c r="C186" s="36">
        <v>45598</v>
      </c>
      <c r="D186" s="26" t="s">
        <v>11</v>
      </c>
      <c r="E186" s="26" t="s">
        <v>13</v>
      </c>
      <c r="F186" s="27">
        <v>76</v>
      </c>
      <c r="G186" s="28" t="s">
        <v>238</v>
      </c>
      <c r="H186" s="74" cm="1">
        <f t="array" ref="H186">SUMPRODUCT(Tracking[Amount],--(Tracking[Date]&lt;=Tracking[[#This Row],[Date]]), (Tracking[Type]&lt;&gt;"Income") * (-1) + (Tracking[Type]="Income"))</f>
        <v>8019.3500000000022</v>
      </c>
      <c r="I186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45598</v>
      </c>
    </row>
    <row r="187" spans="3:9" x14ac:dyDescent="0.2">
      <c r="C187" s="36">
        <v>45599</v>
      </c>
      <c r="D187" s="26" t="s">
        <v>11</v>
      </c>
      <c r="E187" s="26" t="s">
        <v>24</v>
      </c>
      <c r="F187" s="27">
        <v>139</v>
      </c>
      <c r="G187" s="28" t="s">
        <v>239</v>
      </c>
      <c r="H187" s="74" cm="1">
        <f t="array" ref="H187">SUMPRODUCT(Tracking[Amount],--(Tracking[Date]&lt;=Tracking[[#This Row],[Date]]), (Tracking[Type]&lt;&gt;"Income") * (-1) + (Tracking[Type]="Income"))</f>
        <v>7462.3500000000022</v>
      </c>
      <c r="I187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45599</v>
      </c>
    </row>
    <row r="188" spans="3:9" x14ac:dyDescent="0.2">
      <c r="C188" s="36">
        <v>45599</v>
      </c>
      <c r="D188" s="26" t="s">
        <v>11</v>
      </c>
      <c r="E188" s="26" t="s">
        <v>24</v>
      </c>
      <c r="F188" s="27">
        <v>78</v>
      </c>
      <c r="G188" s="28" t="s">
        <v>240</v>
      </c>
      <c r="H188" s="74" cm="1">
        <f t="array" ref="H188">SUMPRODUCT(Tracking[Amount],--(Tracking[Date]&lt;=Tracking[[#This Row],[Date]]), (Tracking[Type]&lt;&gt;"Income") * (-1) + (Tracking[Type]="Income"))</f>
        <v>7462.3500000000022</v>
      </c>
      <c r="I188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45599</v>
      </c>
    </row>
    <row r="189" spans="3:9" x14ac:dyDescent="0.2">
      <c r="C189" s="36">
        <v>45599</v>
      </c>
      <c r="D189" s="26" t="s">
        <v>11</v>
      </c>
      <c r="E189" s="26" t="s">
        <v>13</v>
      </c>
      <c r="F189" s="27">
        <v>340</v>
      </c>
      <c r="G189" s="28" t="s">
        <v>232</v>
      </c>
      <c r="H189" s="74" cm="1">
        <f t="array" ref="H189">SUMPRODUCT(Tracking[Amount],--(Tracking[Date]&lt;=Tracking[[#This Row],[Date]]), (Tracking[Type]&lt;&gt;"Income") * (-1) + (Tracking[Type]="Income"))</f>
        <v>7462.3500000000022</v>
      </c>
      <c r="I189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45599</v>
      </c>
    </row>
    <row r="190" spans="3:9" x14ac:dyDescent="0.2">
      <c r="C190" s="36">
        <v>45600</v>
      </c>
      <c r="D190" s="26" t="s">
        <v>11</v>
      </c>
      <c r="E190" s="26" t="s">
        <v>13</v>
      </c>
      <c r="F190" s="27">
        <v>130</v>
      </c>
      <c r="G190" s="28" t="s">
        <v>241</v>
      </c>
      <c r="H190" s="74" cm="1">
        <f t="array" ref="H190">SUMPRODUCT(Tracking[Amount],--(Tracking[Date]&lt;=Tracking[[#This Row],[Date]]), (Tracking[Type]&lt;&gt;"Income") * (-1) + (Tracking[Type]="Income"))</f>
        <v>8997.3500000000022</v>
      </c>
      <c r="I190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45600</v>
      </c>
    </row>
    <row r="191" spans="3:9" x14ac:dyDescent="0.2">
      <c r="C191" s="36">
        <v>45600</v>
      </c>
      <c r="D191" s="26" t="s">
        <v>5</v>
      </c>
      <c r="E191" s="26" t="s">
        <v>10</v>
      </c>
      <c r="F191" s="27">
        <v>1665</v>
      </c>
      <c r="G191" s="28" t="s">
        <v>242</v>
      </c>
      <c r="H191" s="74" cm="1">
        <f t="array" ref="H191">SUMPRODUCT(Tracking[Amount],--(Tracking[Date]&lt;=Tracking[[#This Row],[Date]]), (Tracking[Type]&lt;&gt;"Income") * (-1) + (Tracking[Type]="Income"))</f>
        <v>8997.3500000000022</v>
      </c>
      <c r="I191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45600</v>
      </c>
    </row>
    <row r="192" spans="3:9" x14ac:dyDescent="0.2">
      <c r="C192" s="36">
        <v>45601</v>
      </c>
      <c r="D192" s="26" t="s">
        <v>11</v>
      </c>
      <c r="E192" s="26" t="s">
        <v>24</v>
      </c>
      <c r="F192" s="27">
        <v>3329</v>
      </c>
      <c r="G192" s="28" t="s">
        <v>243</v>
      </c>
      <c r="H192" s="74" cm="1">
        <f t="array" ref="H192">SUMPRODUCT(Tracking[Amount],--(Tracking[Date]&lt;=Tracking[[#This Row],[Date]]), (Tracking[Type]&lt;&gt;"Income") * (-1) + (Tracking[Type]="Income"))</f>
        <v>5668.3500000000022</v>
      </c>
      <c r="I192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45601</v>
      </c>
    </row>
    <row r="193" spans="3:9" x14ac:dyDescent="0.2">
      <c r="C193" s="36">
        <v>45602</v>
      </c>
      <c r="D193" s="26" t="s">
        <v>11</v>
      </c>
      <c r="E193" s="26" t="s">
        <v>148</v>
      </c>
      <c r="F193" s="27">
        <v>133</v>
      </c>
      <c r="G193" s="28" t="s">
        <v>237</v>
      </c>
      <c r="H193" s="74" cm="1">
        <f t="array" ref="H193">SUMPRODUCT(Tracking[Amount],--(Tracking[Date]&lt;=Tracking[[#This Row],[Date]]), (Tracking[Type]&lt;&gt;"Income") * (-1) + (Tracking[Type]="Income"))</f>
        <v>16652.350000000002</v>
      </c>
      <c r="I193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45602</v>
      </c>
    </row>
    <row r="194" spans="3:9" x14ac:dyDescent="0.2">
      <c r="C194" s="36">
        <v>45602</v>
      </c>
      <c r="D194" s="26" t="s">
        <v>5</v>
      </c>
      <c r="E194" s="26" t="s">
        <v>8</v>
      </c>
      <c r="F194" s="27">
        <v>11117</v>
      </c>
      <c r="G194" s="28" t="s">
        <v>224</v>
      </c>
      <c r="H194" s="74" cm="1">
        <f t="array" ref="H194">SUMPRODUCT(Tracking[Amount],--(Tracking[Date]&lt;=Tracking[[#This Row],[Date]]), (Tracking[Type]&lt;&gt;"Income") * (-1) + (Tracking[Type]="Income"))</f>
        <v>16652.350000000002</v>
      </c>
      <c r="I194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45602</v>
      </c>
    </row>
    <row r="195" spans="3:9" x14ac:dyDescent="0.2">
      <c r="C195" s="36">
        <v>45604</v>
      </c>
      <c r="D195" s="26" t="s">
        <v>11</v>
      </c>
      <c r="E195" s="26" t="s">
        <v>148</v>
      </c>
      <c r="F195" s="27">
        <v>250</v>
      </c>
      <c r="G195" s="28" t="s">
        <v>244</v>
      </c>
      <c r="H195" s="74" cm="1">
        <f t="array" ref="H195">SUMPRODUCT(Tracking[Amount],--(Tracking[Date]&lt;=Tracking[[#This Row],[Date]]), (Tracking[Type]&lt;&gt;"Income") * (-1) + (Tracking[Type]="Income"))</f>
        <v>16134.350000000002</v>
      </c>
      <c r="I195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45604</v>
      </c>
    </row>
    <row r="196" spans="3:9" x14ac:dyDescent="0.2">
      <c r="C196" s="36">
        <v>45604</v>
      </c>
      <c r="D196" s="26" t="s">
        <v>11</v>
      </c>
      <c r="E196" s="26" t="s">
        <v>148</v>
      </c>
      <c r="F196" s="27">
        <v>268</v>
      </c>
      <c r="G196" s="28" t="s">
        <v>245</v>
      </c>
      <c r="H196" s="74" cm="1">
        <f t="array" ref="H196">SUMPRODUCT(Tracking[Amount],--(Tracking[Date]&lt;=Tracking[[#This Row],[Date]]), (Tracking[Type]&lt;&gt;"Income") * (-1) + (Tracking[Type]="Income"))</f>
        <v>16134.350000000002</v>
      </c>
      <c r="I196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45604</v>
      </c>
    </row>
    <row r="197" spans="3:9" x14ac:dyDescent="0.2">
      <c r="C197" s="36">
        <v>45605</v>
      </c>
      <c r="D197" s="26" t="s">
        <v>11</v>
      </c>
      <c r="E197" s="26" t="s">
        <v>13</v>
      </c>
      <c r="F197" s="27">
        <v>72</v>
      </c>
      <c r="G197" s="28" t="s">
        <v>232</v>
      </c>
      <c r="H197" s="74" cm="1">
        <f t="array" ref="H197">SUMPRODUCT(Tracking[Amount],--(Tracking[Date]&lt;=Tracking[[#This Row],[Date]]), (Tracking[Type]&lt;&gt;"Income") * (-1) + (Tracking[Type]="Income"))</f>
        <v>15872.350000000002</v>
      </c>
      <c r="I197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45605</v>
      </c>
    </row>
    <row r="198" spans="3:9" x14ac:dyDescent="0.2">
      <c r="C198" s="36">
        <v>45605</v>
      </c>
      <c r="D198" s="26" t="s">
        <v>11</v>
      </c>
      <c r="E198" s="26" t="s">
        <v>13</v>
      </c>
      <c r="F198" s="27">
        <v>161</v>
      </c>
      <c r="G198" s="28" t="s">
        <v>95</v>
      </c>
      <c r="H198" s="74" cm="1">
        <f t="array" ref="H198">SUMPRODUCT(Tracking[Amount],--(Tracking[Date]&lt;=Tracking[[#This Row],[Date]]), (Tracking[Type]&lt;&gt;"Income") * (-1) + (Tracking[Type]="Income"))</f>
        <v>15872.350000000002</v>
      </c>
      <c r="I198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45605</v>
      </c>
    </row>
    <row r="199" spans="3:9" x14ac:dyDescent="0.2">
      <c r="C199" s="36">
        <v>45605</v>
      </c>
      <c r="D199" s="26" t="s">
        <v>11</v>
      </c>
      <c r="E199" s="26" t="s">
        <v>24</v>
      </c>
      <c r="F199" s="27">
        <v>29</v>
      </c>
      <c r="G199" s="28" t="s">
        <v>246</v>
      </c>
      <c r="H199" s="74" cm="1">
        <f t="array" ref="H199">SUMPRODUCT(Tracking[Amount],--(Tracking[Date]&lt;=Tracking[[#This Row],[Date]]), (Tracking[Type]&lt;&gt;"Income") * (-1) + (Tracking[Type]="Income"))</f>
        <v>15872.350000000002</v>
      </c>
      <c r="I199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45605</v>
      </c>
    </row>
    <row r="200" spans="3:9" x14ac:dyDescent="0.2">
      <c r="C200" s="36">
        <v>45606</v>
      </c>
      <c r="D200" s="26" t="s">
        <v>11</v>
      </c>
      <c r="E200" s="26" t="s">
        <v>13</v>
      </c>
      <c r="F200" s="27">
        <v>148</v>
      </c>
      <c r="G200" s="28" t="s">
        <v>238</v>
      </c>
      <c r="H200" s="74" cm="1">
        <f t="array" ref="H200">SUMPRODUCT(Tracking[Amount],--(Tracking[Date]&lt;=Tracking[[#This Row],[Date]]), (Tracking[Type]&lt;&gt;"Income") * (-1) + (Tracking[Type]="Income"))</f>
        <v>15192.350000000002</v>
      </c>
      <c r="I200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45606</v>
      </c>
    </row>
    <row r="201" spans="3:9" x14ac:dyDescent="0.2">
      <c r="C201" s="36">
        <v>45606</v>
      </c>
      <c r="D201" s="26" t="s">
        <v>11</v>
      </c>
      <c r="E201" s="26" t="s">
        <v>13</v>
      </c>
      <c r="F201" s="27">
        <v>532</v>
      </c>
      <c r="G201" s="28" t="s">
        <v>247</v>
      </c>
      <c r="H201" s="74" cm="1">
        <f t="array" ref="H201">SUMPRODUCT(Tracking[Amount],--(Tracking[Date]&lt;=Tracking[[#This Row],[Date]]), (Tracking[Type]&lt;&gt;"Income") * (-1) + (Tracking[Type]="Income"))</f>
        <v>15192.350000000002</v>
      </c>
      <c r="I201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45606</v>
      </c>
    </row>
    <row r="202" spans="3:9" x14ac:dyDescent="0.2">
      <c r="C202" s="36">
        <v>45607</v>
      </c>
      <c r="D202" s="26" t="s">
        <v>11</v>
      </c>
      <c r="E202" s="26" t="s">
        <v>13</v>
      </c>
      <c r="F202" s="27">
        <v>380</v>
      </c>
      <c r="G202" s="28" t="s">
        <v>248</v>
      </c>
      <c r="H202" s="74" cm="1">
        <f t="array" ref="H202">SUMPRODUCT(Tracking[Amount],--(Tracking[Date]&lt;=Tracking[[#This Row],[Date]]), (Tracking[Type]&lt;&gt;"Income") * (-1) + (Tracking[Type]="Income"))</f>
        <v>14762.350000000002</v>
      </c>
      <c r="I202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45607</v>
      </c>
    </row>
    <row r="203" spans="3:9" x14ac:dyDescent="0.2">
      <c r="C203" s="36">
        <v>45607</v>
      </c>
      <c r="D203" s="26" t="s">
        <v>11</v>
      </c>
      <c r="E203" s="26" t="s">
        <v>148</v>
      </c>
      <c r="F203" s="27">
        <v>50</v>
      </c>
      <c r="G203" s="28" t="s">
        <v>237</v>
      </c>
      <c r="H203" s="74" cm="1">
        <f t="array" ref="H203">SUMPRODUCT(Tracking[Amount],--(Tracking[Date]&lt;=Tracking[[#This Row],[Date]]), (Tracking[Type]&lt;&gt;"Income") * (-1) + (Tracking[Type]="Income"))</f>
        <v>14762.350000000002</v>
      </c>
      <c r="I203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45607</v>
      </c>
    </row>
    <row r="204" spans="3:9" x14ac:dyDescent="0.2">
      <c r="C204" s="36">
        <v>45608</v>
      </c>
      <c r="D204" s="36" t="s">
        <v>11</v>
      </c>
      <c r="E204" s="36" t="s">
        <v>229</v>
      </c>
      <c r="F204" s="27">
        <v>800</v>
      </c>
      <c r="G204" s="140" t="s">
        <v>249</v>
      </c>
      <c r="H204" s="74" cm="1">
        <f t="array" ref="H204">SUMPRODUCT(Tracking[Amount],--(Tracking[Date]&lt;=Tracking[[#This Row],[Date]]), (Tracking[Type]&lt;&gt;"Income") * (-1) + (Tracking[Type]="Income"))</f>
        <v>5013.3500000000022</v>
      </c>
      <c r="I204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45608</v>
      </c>
    </row>
    <row r="205" spans="3:9" x14ac:dyDescent="0.2">
      <c r="C205" s="36">
        <v>45608</v>
      </c>
      <c r="D205" s="26" t="s">
        <v>11</v>
      </c>
      <c r="E205" s="26" t="s">
        <v>12</v>
      </c>
      <c r="F205" s="27">
        <v>8911</v>
      </c>
      <c r="G205" s="28" t="s">
        <v>250</v>
      </c>
      <c r="H205" s="74" cm="1">
        <f t="array" ref="H205">SUMPRODUCT(Tracking[Amount],--(Tracking[Date]&lt;=Tracking[[#This Row],[Date]]), (Tracking[Type]&lt;&gt;"Income") * (-1) + (Tracking[Type]="Income"))</f>
        <v>5013.3500000000022</v>
      </c>
      <c r="I205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45608</v>
      </c>
    </row>
    <row r="206" spans="3:9" x14ac:dyDescent="0.2">
      <c r="C206" s="36">
        <v>45608</v>
      </c>
      <c r="D206" s="26" t="s">
        <v>11</v>
      </c>
      <c r="E206" s="26" t="s">
        <v>13</v>
      </c>
      <c r="F206" s="27">
        <v>38</v>
      </c>
      <c r="G206" s="28"/>
      <c r="H206" s="74" cm="1">
        <f t="array" ref="H206">SUMPRODUCT(Tracking[Amount],--(Tracking[Date]&lt;=Tracking[[#This Row],[Date]]), (Tracking[Type]&lt;&gt;"Income") * (-1) + (Tracking[Type]="Income"))</f>
        <v>5013.3500000000022</v>
      </c>
      <c r="I206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45608</v>
      </c>
    </row>
    <row r="207" spans="3:9" x14ac:dyDescent="0.2">
      <c r="C207" s="36">
        <v>45609</v>
      </c>
      <c r="D207" s="26" t="s">
        <v>5</v>
      </c>
      <c r="E207" s="26" t="s">
        <v>10</v>
      </c>
      <c r="F207" s="27">
        <v>475</v>
      </c>
      <c r="G207" s="28" t="s">
        <v>251</v>
      </c>
      <c r="H207" s="74" cm="1">
        <f t="array" ref="H207">SUMPRODUCT(Tracking[Amount],--(Tracking[Date]&lt;=Tracking[[#This Row],[Date]]), (Tracking[Type]&lt;&gt;"Income") * (-1) + (Tracking[Type]="Income"))</f>
        <v>5088.3500000000022</v>
      </c>
      <c r="I207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45609</v>
      </c>
    </row>
    <row r="208" spans="3:9" x14ac:dyDescent="0.2">
      <c r="C208" s="36">
        <v>45609</v>
      </c>
      <c r="D208" s="26" t="s">
        <v>11</v>
      </c>
      <c r="E208" s="26" t="s">
        <v>148</v>
      </c>
      <c r="F208" s="27">
        <v>400</v>
      </c>
      <c r="G208" s="28" t="s">
        <v>245</v>
      </c>
      <c r="H208" s="74" cm="1">
        <f t="array" ref="H208">SUMPRODUCT(Tracking[Amount],--(Tracking[Date]&lt;=Tracking[[#This Row],[Date]]), (Tracking[Type]&lt;&gt;"Income") * (-1) + (Tracking[Type]="Income"))</f>
        <v>5088.3500000000022</v>
      </c>
      <c r="I208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45609</v>
      </c>
    </row>
    <row r="209" spans="3:9" x14ac:dyDescent="0.2">
      <c r="C209" s="36">
        <v>45610</v>
      </c>
      <c r="D209" s="26" t="s">
        <v>11</v>
      </c>
      <c r="E209" s="26" t="s">
        <v>13</v>
      </c>
      <c r="F209" s="27">
        <v>33</v>
      </c>
      <c r="G209" s="28"/>
      <c r="H209" s="74" cm="1">
        <f t="array" ref="H209">SUMPRODUCT(Tracking[Amount],--(Tracking[Date]&lt;=Tracking[[#This Row],[Date]]), (Tracking[Type]&lt;&gt;"Income") * (-1) + (Tracking[Type]="Income"))</f>
        <v>4695.3500000000022</v>
      </c>
      <c r="I209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45610</v>
      </c>
    </row>
    <row r="210" spans="3:9" x14ac:dyDescent="0.2">
      <c r="C210" s="36">
        <v>45610</v>
      </c>
      <c r="D210" s="26" t="s">
        <v>11</v>
      </c>
      <c r="E210" s="26" t="s">
        <v>23</v>
      </c>
      <c r="F210" s="27">
        <v>360</v>
      </c>
      <c r="G210" s="28" t="s">
        <v>252</v>
      </c>
      <c r="H210" s="74" cm="1">
        <f t="array" ref="H210">SUMPRODUCT(Tracking[Amount],--(Tracking[Date]&lt;=Tracking[[#This Row],[Date]]), (Tracking[Type]&lt;&gt;"Income") * (-1) + (Tracking[Type]="Income"))</f>
        <v>4695.3500000000022</v>
      </c>
      <c r="I210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45610</v>
      </c>
    </row>
    <row r="211" spans="3:9" x14ac:dyDescent="0.2">
      <c r="C211" s="36">
        <v>45614</v>
      </c>
      <c r="D211" s="26" t="s">
        <v>11</v>
      </c>
      <c r="E211" s="26" t="s">
        <v>148</v>
      </c>
      <c r="F211" s="27">
        <v>247</v>
      </c>
      <c r="G211" s="28" t="s">
        <v>253</v>
      </c>
      <c r="H211" s="74" cm="1">
        <f t="array" ref="H211">SUMPRODUCT(Tracking[Amount],--(Tracking[Date]&lt;=Tracking[[#This Row],[Date]]), (Tracking[Type]&lt;&gt;"Income") * (-1) + (Tracking[Type]="Income"))</f>
        <v>4448.3500000000022</v>
      </c>
      <c r="I211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45614</v>
      </c>
    </row>
    <row r="212" spans="3:9" x14ac:dyDescent="0.2">
      <c r="C212" s="36">
        <v>45615</v>
      </c>
      <c r="D212" s="26" t="s">
        <v>11</v>
      </c>
      <c r="E212" s="26" t="s">
        <v>13</v>
      </c>
      <c r="F212" s="27">
        <v>112</v>
      </c>
      <c r="G212" s="28"/>
      <c r="H212" s="74" cm="1">
        <f t="array" ref="H212">SUMPRODUCT(Tracking[Amount],--(Tracking[Date]&lt;=Tracking[[#This Row],[Date]]), (Tracking[Type]&lt;&gt;"Income") * (-1) + (Tracking[Type]="Income"))</f>
        <v>3610.3500000000022</v>
      </c>
      <c r="I212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45615</v>
      </c>
    </row>
    <row r="213" spans="3:9" x14ac:dyDescent="0.2">
      <c r="C213" s="36">
        <v>45615</v>
      </c>
      <c r="D213" s="26" t="s">
        <v>11</v>
      </c>
      <c r="E213" s="26" t="s">
        <v>74</v>
      </c>
      <c r="F213" s="27">
        <v>726</v>
      </c>
      <c r="G213" s="28" t="s">
        <v>254</v>
      </c>
      <c r="H213" s="74" cm="1">
        <f t="array" ref="H213">SUMPRODUCT(Tracking[Amount],--(Tracking[Date]&lt;=Tracking[[#This Row],[Date]]), (Tracking[Type]&lt;&gt;"Income") * (-1) + (Tracking[Type]="Income"))</f>
        <v>3610.3500000000022</v>
      </c>
      <c r="I213" s="37">
        <f>IF(AND(Tracking[[#This Row],[Type]]="Income", shiftLateIncomeStatus="Active", DAY(Tracking[[#This Row],[Date]])&gt;=shiftLateIncomeStartingDate),  DATE(YEAR(Tracking[[#This Row],[Date]]),MONTH(Tracking[[#This Row],[Date]])+1,1),Tracking[[#This Row],[Date]])</f>
        <v>45615</v>
      </c>
    </row>
    <row r="214" spans="3:9" x14ac:dyDescent="0.2">
      <c r="C214" s="36"/>
      <c r="D214" s="26"/>
      <c r="E214" s="26"/>
      <c r="F214" s="27"/>
      <c r="G214" s="28"/>
      <c r="H214" s="74"/>
      <c r="I214" s="37"/>
    </row>
    <row r="215" spans="3:9" x14ac:dyDescent="0.2">
      <c r="C215" s="36"/>
      <c r="D215" s="26"/>
      <c r="E215" s="26"/>
      <c r="F215" s="27"/>
      <c r="G215" s="28"/>
      <c r="H215" s="74"/>
      <c r="I215" s="37"/>
    </row>
    <row r="216" spans="3:9" x14ac:dyDescent="0.2">
      <c r="C216" s="36"/>
      <c r="D216" s="26"/>
      <c r="E216" s="26"/>
      <c r="F216" s="27"/>
      <c r="G216" s="28"/>
      <c r="H216" s="74"/>
      <c r="I216" s="37"/>
    </row>
    <row r="217" spans="3:9" x14ac:dyDescent="0.2">
      <c r="C217" s="36"/>
      <c r="D217" s="26"/>
      <c r="E217" s="26"/>
      <c r="F217" s="27"/>
      <c r="G217" s="28"/>
      <c r="H217" s="74"/>
      <c r="I217" s="37"/>
    </row>
    <row r="218" spans="3:9" x14ac:dyDescent="0.2">
      <c r="C218" s="36"/>
      <c r="D218" s="26"/>
      <c r="E218" s="26"/>
      <c r="F218" s="27"/>
      <c r="G218" s="28"/>
      <c r="H218" s="74"/>
      <c r="I218" s="37"/>
    </row>
  </sheetData>
  <mergeCells count="1">
    <mergeCell ref="A1:Z3"/>
  </mergeCells>
  <phoneticPr fontId="29" type="noConversion"/>
  <conditionalFormatting sqref="E12:E116 E119:E177">
    <cfRule type="expression" dxfId="34" priority="3">
      <formula>ISNA(MATCH(E12, INDIRECT(D12),0))</formula>
    </cfRule>
  </conditionalFormatting>
  <conditionalFormatting sqref="E117">
    <cfRule type="expression" dxfId="33" priority="56">
      <formula>ISNA(MATCH(E117, INDIRECT(D118),0))</formula>
    </cfRule>
  </conditionalFormatting>
  <conditionalFormatting sqref="F12:F213">
    <cfRule type="expression" dxfId="32" priority="2">
      <formula>D12="Income"</formula>
    </cfRule>
  </conditionalFormatting>
  <conditionalFormatting sqref="I12:I213">
    <cfRule type="expression" dxfId="31" priority="1">
      <formula>AND(D12="Income", shiftLateIncomeStatus="Active", DAY(C12)&gt;=shiftLateIncomeStartingDate)</formula>
    </cfRule>
  </conditionalFormatting>
  <dataValidations count="5">
    <dataValidation type="date" operator="greaterThan" allowBlank="1" showInputMessage="1" showErrorMessage="1" errorTitle="Invalid date" error="Please enter a valid date" sqref="C113:C120 C12:C103 C105:C111 C124:C178" xr:uid="{BC403244-B8D6-C44D-BD4D-A4D0A17E906A}">
      <formula1>1</formula1>
    </dataValidation>
    <dataValidation type="list" allowBlank="1" showInputMessage="1" showErrorMessage="1" errorTitle="Invalid category" sqref="E119:E177 E12:E116" xr:uid="{1FCFDCC4-A291-6548-940A-8A0F3BFBF9F6}">
      <formula1>INDIRECT(D12)</formula1>
    </dataValidation>
    <dataValidation type="list" allowBlank="1" showInputMessage="1" showErrorMessage="1" errorTitle="Invalid category" sqref="E117" xr:uid="{E4703064-6BBB-B74A-87A5-FA5A90B60034}">
      <formula1>INDIRECT(D118)</formula1>
    </dataValidation>
    <dataValidation type="list" allowBlank="1" showInputMessage="1" showErrorMessage="1" errorTitle="Invalid Type" error="Please select a type from the list or change it in the data vallidation tab" sqref="D12:D213" xr:uid="{CB88F10F-AC11-1C49-B74F-0A62EA3105A9}">
      <formula1>"Income, Expenses, Savings"</formula1>
    </dataValidation>
    <dataValidation type="custom" allowBlank="1" showInputMessage="1" showErrorMessage="1" sqref="F12:F213" xr:uid="{085D72EF-6BA5-C54B-A847-67F1DC98C82D}">
      <formula1>ISNUMBER(F12)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CB40-EF52-4E42-B076-F07ABE4BD983}">
  <dimension ref="A1:AR67"/>
  <sheetViews>
    <sheetView showGridLines="0" topLeftCell="A2" zoomScale="99" zoomScaleNormal="50" workbookViewId="0">
      <selection activeCell="AB27" sqref="AB27"/>
    </sheetView>
  </sheetViews>
  <sheetFormatPr baseColWidth="10" defaultRowHeight="16" x14ac:dyDescent="0.2"/>
  <cols>
    <col min="1" max="1" width="2.140625" customWidth="1"/>
    <col min="2" max="2" width="8.5703125" customWidth="1"/>
    <col min="3" max="9" width="10.7109375" hidden="1" customWidth="1"/>
    <col min="10" max="10" width="21.42578125" hidden="1" customWidth="1"/>
    <col min="11" max="11" width="17.28515625" hidden="1" customWidth="1"/>
    <col min="12" max="14" width="10.7109375" hidden="1" customWidth="1"/>
    <col min="15" max="18" width="14.28515625" hidden="1" customWidth="1"/>
    <col min="19" max="23" width="20" hidden="1" customWidth="1"/>
    <col min="24" max="24" width="25.7109375" hidden="1" customWidth="1"/>
    <col min="25" max="25" width="25.7109375" customWidth="1"/>
    <col min="26" max="26" width="11.42578125" customWidth="1"/>
    <col min="27" max="30" width="10.7109375" customWidth="1"/>
    <col min="31" max="31" width="4.140625" customWidth="1"/>
    <col min="32" max="33" width="18.5703125" customWidth="1"/>
    <col min="34" max="34" width="2.28515625" customWidth="1"/>
    <col min="35" max="35" width="20.140625" customWidth="1"/>
    <col min="36" max="36" width="11.42578125" customWidth="1"/>
    <col min="37" max="37" width="6.85546875" customWidth="1"/>
    <col min="38" max="38" width="2.5703125" customWidth="1"/>
    <col min="39" max="40" width="18.5703125" customWidth="1"/>
    <col min="41" max="41" width="2.85546875" customWidth="1"/>
    <col min="42" max="42" width="20.140625" customWidth="1"/>
    <col min="43" max="43" width="11.42578125" customWidth="1"/>
    <col min="44" max="44" width="6.85546875" customWidth="1"/>
    <col min="45" max="45" width="2.5703125" customWidth="1"/>
  </cols>
  <sheetData>
    <row r="1" spans="1:44" s="68" customFormat="1" ht="16" customHeight="1" x14ac:dyDescent="0.3"/>
    <row r="2" spans="1:44" s="68" customFormat="1" ht="38" customHeight="1" x14ac:dyDescent="0.3">
      <c r="B2" s="69" t="s">
        <v>49</v>
      </c>
    </row>
    <row r="3" spans="1:44" s="68" customFormat="1" ht="14" customHeight="1" x14ac:dyDescent="0.3"/>
    <row r="4" spans="1:44" ht="16" customHeight="1" x14ac:dyDescent="0.2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67"/>
    </row>
    <row r="5" spans="1:44" ht="16" customHeight="1" x14ac:dyDescent="0.2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>
        <v>3</v>
      </c>
      <c r="AP5" s="45"/>
      <c r="AQ5" s="134" t="s">
        <v>50</v>
      </c>
      <c r="AR5" s="135"/>
    </row>
    <row r="6" spans="1:44" ht="16" customHeight="1" x14ac:dyDescent="0.2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N6" s="64"/>
      <c r="AO6" s="64"/>
      <c r="AP6" s="96" t="s">
        <v>62</v>
      </c>
      <c r="AQ6" s="136" t="s">
        <v>54</v>
      </c>
      <c r="AR6" s="136"/>
    </row>
    <row r="8" spans="1:44" x14ac:dyDescent="0.2">
      <c r="AQ8" s="134" t="s">
        <v>51</v>
      </c>
      <c r="AR8" s="135"/>
    </row>
    <row r="9" spans="1:44" x14ac:dyDescent="0.2">
      <c r="AA9" s="73"/>
      <c r="AN9" s="64"/>
      <c r="AO9" s="64"/>
      <c r="AP9" s="96" t="s">
        <v>62</v>
      </c>
      <c r="AQ9" s="137" t="s">
        <v>57</v>
      </c>
      <c r="AR9" s="137"/>
    </row>
    <row r="11" spans="1:44" x14ac:dyDescent="0.2"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138" t="str">
        <f ca="1">"Breakdown - " &amp;
IF(selectedPeriod="Total Year",
 selectedYear &amp; " (Total Year) ",
selectedPeriodDisplay &amp; " " &amp; selectedYear)</f>
        <v>Breakdown - November 2024</v>
      </c>
      <c r="Z11" s="138"/>
      <c r="AA11" s="138"/>
      <c r="AB11" s="138"/>
      <c r="AC11" s="138"/>
      <c r="AD11" s="138"/>
      <c r="AF11" s="139" t="str">
        <f ca="1">"Summary - " &amp;
IF(selectedPeriod="Total Year",
 selectedYear &amp; " (Total Year) ",
selectedPeriodDisplay &amp; " " &amp; selectedYear)</f>
        <v>Summary - November 2024</v>
      </c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</row>
    <row r="12" spans="1:44" x14ac:dyDescent="0.2">
      <c r="C12" s="61" t="s">
        <v>63</v>
      </c>
      <c r="D12" s="62" t="s">
        <v>64</v>
      </c>
      <c r="E12" s="61" t="s">
        <v>65</v>
      </c>
      <c r="F12" s="63" t="s">
        <v>68</v>
      </c>
      <c r="G12" s="63" t="s">
        <v>66</v>
      </c>
      <c r="H12" s="62" t="s">
        <v>67</v>
      </c>
      <c r="I12" s="61" t="s">
        <v>69</v>
      </c>
      <c r="J12" s="63" t="s">
        <v>70</v>
      </c>
      <c r="K12" s="63" t="s">
        <v>71</v>
      </c>
      <c r="L12" s="62" t="s">
        <v>72</v>
      </c>
      <c r="M12" s="61" t="s">
        <v>77</v>
      </c>
      <c r="N12" s="62" t="s">
        <v>78</v>
      </c>
      <c r="O12" s="61" t="s">
        <v>79</v>
      </c>
      <c r="P12" s="63" t="s">
        <v>80</v>
      </c>
      <c r="Q12" s="63" t="s">
        <v>81</v>
      </c>
      <c r="R12" s="62" t="s">
        <v>82</v>
      </c>
      <c r="S12" s="61" t="s">
        <v>84</v>
      </c>
      <c r="T12" s="63" t="s">
        <v>83</v>
      </c>
      <c r="U12" s="63" t="s">
        <v>85</v>
      </c>
      <c r="V12" s="63" t="s">
        <v>86</v>
      </c>
      <c r="W12" s="63" t="s">
        <v>87</v>
      </c>
      <c r="X12" s="65" t="s">
        <v>88</v>
      </c>
    </row>
    <row r="13" spans="1:44" x14ac:dyDescent="0.2">
      <c r="C13" s="58" cm="1">
        <f t="array" ref="C13">incomeHeaderRow</f>
        <v>9</v>
      </c>
      <c r="D13" s="59">
        <f t="shared" ref="D13:D44" si="0">IF(isHeader,rowID,
IF(NOT(IsEmpty),D12,-1))</f>
        <v>9</v>
      </c>
      <c r="E13" s="58" cm="1">
        <f t="array" ref="E13">1*OR(rowID=incomeHeaderRow,rowID=expensesHeaderRow,rowID=savingsHeaderRow)</f>
        <v>1</v>
      </c>
      <c r="F13">
        <f t="shared" ref="F13:F44" si="1">1*NOT(OR(isHeader,isTotal,IsEmpty))</f>
        <v>0</v>
      </c>
      <c r="G13" cm="1">
        <f t="array" ref="G13">1*OR(rowID=incomeTotalRow,rowID=expensesTotalRow,rowID=savingsTotalRow)</f>
        <v>0</v>
      </c>
      <c r="H13" s="59">
        <f t="shared" ref="H13:H44" si="2">1*OR(rowID="/1",rowID="/2",rowID=-1)</f>
        <v>0</v>
      </c>
      <c r="I13" s="58" t="str" cm="1">
        <f t="array" ref="I13">IFERROR(INDEX('Budget Planning'!$C:$C,headerRowID),"")</f>
        <v>Income</v>
      </c>
      <c r="J13" t="str" cm="1">
        <f t="array" ref="J13">IFERROR(INDEX('Budget Planning'!$C:$C,rowID),"")</f>
        <v>Income</v>
      </c>
      <c r="K13" s="41" t="str" cm="1">
        <f t="array" ref="K13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/>
      </c>
      <c r="L13" s="59" t="str" cm="1">
        <f t="array" ref="L13">IF(OR(isHeader,IsEmpty),"",
    INDEX('Budget Planning'!$E:$DY,rowID,
            MATCH(IF(selectedPeriod="Total Year", selectedYear, DATE(selectedYear,selectedPeriod,1)), 'Budget Planning'!$E$23:$DY$23,0)))</f>
        <v/>
      </c>
      <c r="M13" s="58" t="str" cm="1">
        <f t="array" ref="M13">IF(isCat,
IF(headerRowID=incomeHeaderRow,MATCH(incomeMinRow,$C:$C,0),
IF(headerRowID=expensesHeaderRow,MATCH(expensesMinRow,$C:$C,0),
IF(headerRowID=savingsHeaderRow,MATCH(savingsMinRow,$C:$C,0),""))),"")</f>
        <v/>
      </c>
      <c r="N13" s="59" t="str" cm="1">
        <f t="array" ref="N13">IF(isCat,
IF(headerRowID=incomeHeaderRow,MATCH(incomeMaxRow,$C:$C,0),
IF(headerRowID=expensesHeaderRow,MATCH(expensesMaxRow,$C:$C,0),
IF(headerRowID=savingsHeaderRow,MATCH(savingsMaxRow,$C:$C,0),""))),"")</f>
        <v/>
      </c>
      <c r="O13" s="58" t="str">
        <f t="shared" ref="O13:O44" si="3">IF(isCat,ADDRESS(sortMinRow,COLUMN(tracked)) &amp; ":" &amp; ADDRESS(sortMaxRow,COLUMN(tracked)),"")</f>
        <v/>
      </c>
      <c r="P13" t="str">
        <f t="shared" ref="P13:P44" ca="1" si="4">IF(isCat,  RANK(tracked,INDIRECT(trackedRange),0),"")</f>
        <v/>
      </c>
      <c r="Q13" t="str">
        <f t="shared" ref="Q13:Q44" si="5">IF(isCat,ADDRESS(sortMinRow,COLUMN(budget)) &amp; ":" &amp; ADDRESS(sortMaxRow,COLUMN(budget)),"")</f>
        <v/>
      </c>
      <c r="R13" s="59" t="str">
        <f t="shared" ref="R13:R44" ca="1" si="6">IF(isCat,  RANK(budget,INDIRECT(budgetRange),0),"")</f>
        <v/>
      </c>
      <c r="S13" s="58" t="str">
        <f t="shared" ref="S13:S44" si="7">IF(isCat,_xlfn.NUMBERVALUE(trackedRank &amp; budgetRank),"")</f>
        <v/>
      </c>
      <c r="T13" t="str">
        <f t="shared" ref="T13:T44" si="8">IF(isCat,ADDRESS(sortMinRow,COLUMN(combRank)) &amp; ":" &amp; ADDRESS(sortMaxRow,COLUMN(combRank)),"")</f>
        <v/>
      </c>
      <c r="U13" t="str">
        <f t="shared" ref="U13:U44" ca="1" si="9">IF(isCat,RANK(combRank,INDIRECT(combRankRange),1),"")</f>
        <v/>
      </c>
      <c r="V13" t="str">
        <f t="shared" ref="V13:V44" si="10">IF(isCat,ADDRESS(sortMinRow,COLUMN(combRankNorm)) &amp; ":" &amp; ADDRESS(ROW(),COLUMN(combRankNorm)),"")</f>
        <v/>
      </c>
      <c r="W13" t="str">
        <f t="shared" ref="W13:W44" ca="1" si="11">IF(isCat,combRankNorm + COUNTIF(INDIRECT(combRankNormRunRange),combRankNorm)-1,"")</f>
        <v/>
      </c>
      <c r="X13" s="66">
        <f t="shared" ref="X13:X44" si="12">IF(isCat,headerRowID + combRankUnique,rowID)</f>
        <v>9</v>
      </c>
      <c r="Y13" s="70" t="str">
        <f t="shared" ref="Y13:Y44" si="13">IF(IsEmpty,"",INDEX($J:$J,MATCH(rowID,$X:$X,0)))</f>
        <v>Income</v>
      </c>
      <c r="Z13" s="72" t="str">
        <f t="shared" ref="Z13:Z44" si="14">IF(IsEmpty,"",IF(isHeader,"Tracked",INDEX($K:$K,MATCH(rowID,$X:$X,0))))</f>
        <v>Tracked</v>
      </c>
      <c r="AA13" s="72" t="str">
        <f t="shared" ref="AA13:AA44" si="15">IF(IsEmpty,"",IF(isHeader,"Budget",INDEX($L:$L,MATCH(rowID,$X:$X,0))))</f>
        <v>Budget</v>
      </c>
      <c r="AB13" s="71" t="str">
        <f t="shared" ref="AB13:AB44" si="16">IF(IsEmpty,"",IF(isHeader,"% Completed",IFERROR(outTracked/outBudget,"-")))</f>
        <v>% Completed</v>
      </c>
      <c r="AC13" s="72" t="str">
        <f t="shared" ref="AC13:AC44" si="17">IF(IsEmpty,"",IF(isHeader,"Remaining", IF(outBudget-outTracked&gt;0,outBudget-outTracked,0)))</f>
        <v>Remaining</v>
      </c>
      <c r="AD13" s="72" t="str">
        <f t="shared" ref="AD13:AD44" si="18">IF(IsEmpty,"",IF(isHeader,"Excess", IF(outBudget-outTracked &lt; 0,outTracked - outBudget,0)))</f>
        <v>Excess</v>
      </c>
      <c r="AF13" s="75"/>
      <c r="AG13" s="76"/>
      <c r="AH13" s="76"/>
      <c r="AI13" s="76"/>
      <c r="AJ13" s="76"/>
      <c r="AK13" s="77"/>
      <c r="AM13" s="75"/>
      <c r="AN13" s="76"/>
      <c r="AO13" s="76"/>
      <c r="AP13" s="76"/>
      <c r="AQ13" s="76"/>
      <c r="AR13" s="77"/>
    </row>
    <row r="14" spans="1:44" x14ac:dyDescent="0.2">
      <c r="C14" s="58" cm="1">
        <f t="array" ref="C14">IF(C13=-1,-1,
   IF(C13&lt;incomeMaxRow,  C13+1,
    IF(C13=incomeMaxRow,   incomeTotalRow,
     IF(C13=incomeTotalRow,   "/1",
      IF(C13="/1",   expensesHeaderRow,
       IF(C13&lt;expensesMaxRow,   C13+1,
        IF(C13=expensesMaxRow,   expensesTotalRow,
         IF(C13=expensesTotalRow, "/2",
          IF(C13="/2", savingsHeaderRow,
           IF(C13&lt;savingsMaxRow, C13+1,
            IF(C13=savingsMaxRow,savingsTotalRow,-1)))))))))))</f>
        <v>10</v>
      </c>
      <c r="D14" s="59">
        <f t="shared" si="0"/>
        <v>9</v>
      </c>
      <c r="E14" s="58" cm="1">
        <f t="array" ref="E14">1*OR(rowID=incomeHeaderRow,rowID=expensesHeaderRow,rowID=savingsHeaderRow)</f>
        <v>0</v>
      </c>
      <c r="F14">
        <f t="shared" si="1"/>
        <v>1</v>
      </c>
      <c r="G14" cm="1">
        <f t="array" ref="G14">1*OR(rowID=incomeTotalRow,rowID=expensesTotalRow,rowID=savingsTotalRow)</f>
        <v>0</v>
      </c>
      <c r="H14" s="59">
        <f t="shared" si="2"/>
        <v>0</v>
      </c>
      <c r="I14" s="58" t="str" cm="1">
        <f t="array" ref="I14">IFERROR(INDEX('Budget Planning'!$C:$C,headerRowID),"")</f>
        <v>Income</v>
      </c>
      <c r="J14" t="str" cm="1">
        <f t="array" ref="J14">IFERROR(INDEX('Budget Planning'!$C:$C,rowID),"")</f>
        <v>Employment</v>
      </c>
      <c r="K14" s="41" cm="1">
        <f t="array" aca="1" ref="K14" ca="1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>11117</v>
      </c>
      <c r="L14" s="59" cm="1">
        <f t="array" aca="1" ref="L14" ca="1">IF(OR(isHeader,IsEmpty),"",
    INDEX('Budget Planning'!$E:$DY,rowID,
            MATCH(IF(selectedPeriod="Total Year", selectedYear, DATE(selectedYear,selectedPeriod,1)), 'Budget Planning'!$E$23:$DY$23,0)))</f>
        <v>11000</v>
      </c>
      <c r="M14" s="58" cm="1">
        <f t="array" ref="M14">IF(isCat,
IF(headerRowID=incomeHeaderRow,MATCH(incomeMinRow,$C:$C,0),
IF(headerRowID=expensesHeaderRow,MATCH(expensesMinRow,$C:$C,0),
IF(headerRowID=savingsHeaderRow,MATCH(savingsMinRow,$C:$C,0),""))),"")</f>
        <v>14</v>
      </c>
      <c r="N14" s="59" cm="1">
        <f t="array" ref="N14">IF(isCat,
IF(headerRowID=incomeHeaderRow,MATCH(incomeMaxRow,$C:$C,0),
IF(headerRowID=expensesHeaderRow,MATCH(expensesMaxRow,$C:$C,0),
IF(headerRowID=savingsHeaderRow,MATCH(savingsMaxRow,$C:$C,0),""))),"")</f>
        <v>16</v>
      </c>
      <c r="O14" s="58" t="str">
        <f t="shared" si="3"/>
        <v>$K$14:$K$16</v>
      </c>
      <c r="P14">
        <f t="shared" ca="1" si="4"/>
        <v>2</v>
      </c>
      <c r="Q14" t="str">
        <f t="shared" si="5"/>
        <v>$L$14:$L$16</v>
      </c>
      <c r="R14" s="59">
        <f t="shared" ca="1" si="6"/>
        <v>1</v>
      </c>
      <c r="S14" s="58">
        <f t="shared" ca="1" si="7"/>
        <v>21</v>
      </c>
      <c r="T14" t="str">
        <f t="shared" si="8"/>
        <v>$S$14:$S$16</v>
      </c>
      <c r="U14">
        <f t="shared" ca="1" si="9"/>
        <v>2</v>
      </c>
      <c r="V14" t="str">
        <f t="shared" si="10"/>
        <v>$U$14:$U$14</v>
      </c>
      <c r="W14">
        <f t="shared" ca="1" si="11"/>
        <v>2</v>
      </c>
      <c r="X14" s="66">
        <f t="shared" ca="1" si="12"/>
        <v>11</v>
      </c>
      <c r="Y14" s="70" t="str">
        <f t="shared" ca="1" si="13"/>
        <v>Dividents</v>
      </c>
      <c r="Z14" s="72">
        <f t="shared" ca="1" si="14"/>
        <v>13251</v>
      </c>
      <c r="AA14" s="72">
        <f t="shared" ca="1" si="15"/>
        <v>11000</v>
      </c>
      <c r="AB14" s="71">
        <f t="shared" ca="1" si="16"/>
        <v>1.2046363636363637</v>
      </c>
      <c r="AC14" s="72">
        <f t="shared" ca="1" si="17"/>
        <v>0</v>
      </c>
      <c r="AD14" s="72">
        <f t="shared" ca="1" si="18"/>
        <v>2251</v>
      </c>
      <c r="AF14" s="58"/>
      <c r="AK14" s="59"/>
      <c r="AM14" s="58"/>
      <c r="AR14" s="59"/>
    </row>
    <row r="15" spans="1:44" x14ac:dyDescent="0.2">
      <c r="C15" s="58" cm="1">
        <f t="array" ref="C15">IF(C14=-1,-1,
   IF(C14&lt;incomeMaxRow,  C14+1,
    IF(C14=incomeMaxRow,   incomeTotalRow,
     IF(C14=incomeTotalRow,   "/1",
      IF(C14="/1",   expensesHeaderRow,
       IF(C14&lt;expensesMaxRow,   C14+1,
        IF(C14=expensesMaxRow,   expensesTotalRow,
         IF(C14=expensesTotalRow, "/2",
          IF(C14="/2", savingsHeaderRow,
           IF(C14&lt;savingsMaxRow, C14+1,
            IF(C14=savingsMaxRow,savingsTotalRow,-1)))))))))))</f>
        <v>11</v>
      </c>
      <c r="D15" s="59">
        <f t="shared" si="0"/>
        <v>9</v>
      </c>
      <c r="E15" s="58" cm="1">
        <f t="array" ref="E15">1*OR(rowID=incomeHeaderRow,rowID=expensesHeaderRow,rowID=savingsHeaderRow)</f>
        <v>0</v>
      </c>
      <c r="F15">
        <f t="shared" si="1"/>
        <v>1</v>
      </c>
      <c r="G15" cm="1">
        <f t="array" ref="G15">1*OR(rowID=incomeTotalRow,rowID=expensesTotalRow,rowID=savingsTotalRow)</f>
        <v>0</v>
      </c>
      <c r="H15" s="59">
        <f t="shared" si="2"/>
        <v>0</v>
      </c>
      <c r="I15" s="58" t="str" cm="1">
        <f t="array" ref="I15">IFERROR(INDEX('Budget Planning'!$C:$C,headerRowID),"")</f>
        <v>Income</v>
      </c>
      <c r="J15" t="str" cm="1">
        <f t="array" ref="J15">IFERROR(INDEX('Budget Planning'!$C:$C,rowID),"")</f>
        <v>Side hustle</v>
      </c>
      <c r="K15" s="41" cm="1">
        <f t="array" aca="1" ref="K15" ca="1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>0</v>
      </c>
      <c r="L15" s="59" cm="1">
        <f t="array" aca="1" ref="L15" ca="1">IF(OR(isHeader,IsEmpty),"",
    INDEX('Budget Planning'!$E:$DY,rowID,
            MATCH(IF(selectedPeriod="Total Year", selectedYear, DATE(selectedYear,selectedPeriod,1)), 'Budget Planning'!$E$23:$DY$23,0)))</f>
        <v>0</v>
      </c>
      <c r="M15" s="58" cm="1">
        <f t="array" ref="M15">IF(isCat,
IF(headerRowID=incomeHeaderRow,MATCH(incomeMinRow,$C:$C,0),
IF(headerRowID=expensesHeaderRow,MATCH(expensesMinRow,$C:$C,0),
IF(headerRowID=savingsHeaderRow,MATCH(savingsMinRow,$C:$C,0),""))),"")</f>
        <v>14</v>
      </c>
      <c r="N15" s="59" cm="1">
        <f t="array" ref="N15">IF(isCat,
IF(headerRowID=incomeHeaderRow,MATCH(incomeMaxRow,$C:$C,0),
IF(headerRowID=expensesHeaderRow,MATCH(expensesMaxRow,$C:$C,0),
IF(headerRowID=savingsHeaderRow,MATCH(savingsMaxRow,$C:$C,0),""))),"")</f>
        <v>16</v>
      </c>
      <c r="O15" s="58" t="str">
        <f t="shared" si="3"/>
        <v>$K$14:$K$16</v>
      </c>
      <c r="P15">
        <f t="shared" ca="1" si="4"/>
        <v>3</v>
      </c>
      <c r="Q15" t="str">
        <f t="shared" si="5"/>
        <v>$L$14:$L$16</v>
      </c>
      <c r="R15" s="59">
        <f t="shared" ca="1" si="6"/>
        <v>3</v>
      </c>
      <c r="S15" s="58">
        <f t="shared" ca="1" si="7"/>
        <v>33</v>
      </c>
      <c r="T15" t="str">
        <f t="shared" si="8"/>
        <v>$S$14:$S$16</v>
      </c>
      <c r="U15">
        <f t="shared" ca="1" si="9"/>
        <v>3</v>
      </c>
      <c r="V15" t="str">
        <f t="shared" si="10"/>
        <v>$U$14:$U$15</v>
      </c>
      <c r="W15">
        <f t="shared" ca="1" si="11"/>
        <v>3</v>
      </c>
      <c r="X15" s="66">
        <f t="shared" ca="1" si="12"/>
        <v>12</v>
      </c>
      <c r="Y15" s="70" t="str">
        <f t="shared" ca="1" si="13"/>
        <v>Employment</v>
      </c>
      <c r="Z15" s="72">
        <f t="shared" ca="1" si="14"/>
        <v>11117</v>
      </c>
      <c r="AA15" s="72">
        <f t="shared" ca="1" si="15"/>
        <v>11000</v>
      </c>
      <c r="AB15" s="71">
        <f t="shared" ca="1" si="16"/>
        <v>1.0106363636363636</v>
      </c>
      <c r="AC15" s="72">
        <f t="shared" ca="1" si="17"/>
        <v>0</v>
      </c>
      <c r="AD15" s="72">
        <f t="shared" ca="1" si="18"/>
        <v>117</v>
      </c>
      <c r="AF15" s="58"/>
      <c r="AK15" s="59"/>
      <c r="AM15" s="58"/>
      <c r="AR15" s="59"/>
    </row>
    <row r="16" spans="1:44" x14ac:dyDescent="0.2">
      <c r="C16" s="58" cm="1">
        <f t="array" ref="C16">IF(C15=-1,-1,
   IF(C15&lt;incomeMaxRow,  C15+1,
    IF(C15=incomeMaxRow,   incomeTotalRow,
     IF(C15=incomeTotalRow,   "/1",
      IF(C15="/1",   expensesHeaderRow,
       IF(C15&lt;expensesMaxRow,   C15+1,
        IF(C15=expensesMaxRow,   expensesTotalRow,
         IF(C15=expensesTotalRow, "/2",
          IF(C15="/2", savingsHeaderRow,
           IF(C15&lt;savingsMaxRow, C15+1,
            IF(C15=savingsMaxRow,savingsTotalRow,-1)))))))))))</f>
        <v>12</v>
      </c>
      <c r="D16" s="59">
        <f t="shared" si="0"/>
        <v>9</v>
      </c>
      <c r="E16" s="58" cm="1">
        <f t="array" ref="E16">1*OR(rowID=incomeHeaderRow,rowID=expensesHeaderRow,rowID=savingsHeaderRow)</f>
        <v>0</v>
      </c>
      <c r="F16">
        <f t="shared" si="1"/>
        <v>1</v>
      </c>
      <c r="G16" cm="1">
        <f t="array" ref="G16">1*OR(rowID=incomeTotalRow,rowID=expensesTotalRow,rowID=savingsTotalRow)</f>
        <v>0</v>
      </c>
      <c r="H16" s="59">
        <f t="shared" si="2"/>
        <v>0</v>
      </c>
      <c r="I16" s="58" t="str" cm="1">
        <f t="array" ref="I16">IFERROR(INDEX('Budget Planning'!$C:$C,headerRowID),"")</f>
        <v>Income</v>
      </c>
      <c r="J16" t="str" cm="1">
        <f t="array" ref="J16">IFERROR(INDEX('Budget Planning'!$C:$C,rowID),"")</f>
        <v>Dividents</v>
      </c>
      <c r="K16" s="41" cm="1">
        <f t="array" aca="1" ref="K16" ca="1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>13251</v>
      </c>
      <c r="L16" s="59" cm="1">
        <f t="array" aca="1" ref="L16" ca="1">IF(OR(isHeader,IsEmpty),"",
    INDEX('Budget Planning'!$E:$DY,rowID,
            MATCH(IF(selectedPeriod="Total Year", selectedYear, DATE(selectedYear,selectedPeriod,1)), 'Budget Planning'!$E$23:$DY$23,0)))</f>
        <v>11000</v>
      </c>
      <c r="M16" s="58" cm="1">
        <f t="array" ref="M16">IF(isCat,
IF(headerRowID=incomeHeaderRow,MATCH(incomeMinRow,$C:$C,0),
IF(headerRowID=expensesHeaderRow,MATCH(expensesMinRow,$C:$C,0),
IF(headerRowID=savingsHeaderRow,MATCH(savingsMinRow,$C:$C,0),""))),"")</f>
        <v>14</v>
      </c>
      <c r="N16" s="59" cm="1">
        <f t="array" ref="N16">IF(isCat,
IF(headerRowID=incomeHeaderRow,MATCH(incomeMaxRow,$C:$C,0),
IF(headerRowID=expensesHeaderRow,MATCH(expensesMaxRow,$C:$C,0),
IF(headerRowID=savingsHeaderRow,MATCH(savingsMaxRow,$C:$C,0),""))),"")</f>
        <v>16</v>
      </c>
      <c r="O16" s="58" t="str">
        <f t="shared" si="3"/>
        <v>$K$14:$K$16</v>
      </c>
      <c r="P16">
        <f t="shared" ca="1" si="4"/>
        <v>1</v>
      </c>
      <c r="Q16" t="str">
        <f t="shared" si="5"/>
        <v>$L$14:$L$16</v>
      </c>
      <c r="R16" s="59">
        <f t="shared" ca="1" si="6"/>
        <v>1</v>
      </c>
      <c r="S16" s="58">
        <f t="shared" ca="1" si="7"/>
        <v>11</v>
      </c>
      <c r="T16" t="str">
        <f t="shared" si="8"/>
        <v>$S$14:$S$16</v>
      </c>
      <c r="U16">
        <f t="shared" ca="1" si="9"/>
        <v>1</v>
      </c>
      <c r="V16" t="str">
        <f t="shared" si="10"/>
        <v>$U$14:$U$16</v>
      </c>
      <c r="W16">
        <f t="shared" ca="1" si="11"/>
        <v>1</v>
      </c>
      <c r="X16" s="66">
        <f t="shared" ca="1" si="12"/>
        <v>10</v>
      </c>
      <c r="Y16" s="70" t="str">
        <f t="shared" ca="1" si="13"/>
        <v>Side hustle</v>
      </c>
      <c r="Z16" s="72">
        <f t="shared" ca="1" si="14"/>
        <v>0</v>
      </c>
      <c r="AA16" s="72">
        <f t="shared" ca="1" si="15"/>
        <v>0</v>
      </c>
      <c r="AB16" s="71" t="str">
        <f t="shared" ca="1" si="16"/>
        <v>-</v>
      </c>
      <c r="AC16" s="72">
        <f t="shared" ca="1" si="17"/>
        <v>0</v>
      </c>
      <c r="AD16" s="72">
        <f t="shared" ca="1" si="18"/>
        <v>0</v>
      </c>
      <c r="AF16" s="58"/>
      <c r="AK16" s="59"/>
      <c r="AM16" s="58"/>
      <c r="AR16" s="59"/>
    </row>
    <row r="17" spans="3:44" x14ac:dyDescent="0.2">
      <c r="C17" s="58" cm="1">
        <f t="array" ref="C17">IF(C16=-1,-1,
   IF(C16&lt;incomeMaxRow,  C16+1,
    IF(C16=incomeMaxRow,   incomeTotalRow,
     IF(C16=incomeTotalRow,   "/1",
      IF(C16="/1",   expensesHeaderRow,
       IF(C16&lt;expensesMaxRow,   C16+1,
        IF(C16=expensesMaxRow,   expensesTotalRow,
         IF(C16=expensesTotalRow, "/2",
          IF(C16="/2", savingsHeaderRow,
           IF(C16&lt;savingsMaxRow, C16+1,
            IF(C16=savingsMaxRow,savingsTotalRow,-1)))))))))))</f>
        <v>21</v>
      </c>
      <c r="D17" s="59">
        <f t="shared" si="0"/>
        <v>9</v>
      </c>
      <c r="E17" s="58" cm="1">
        <f t="array" ref="E17">1*OR(rowID=incomeHeaderRow,rowID=expensesHeaderRow,rowID=savingsHeaderRow)</f>
        <v>0</v>
      </c>
      <c r="F17">
        <f t="shared" si="1"/>
        <v>0</v>
      </c>
      <c r="G17" cm="1">
        <f t="array" ref="G17">1*OR(rowID=incomeTotalRow,rowID=expensesTotalRow,rowID=savingsTotalRow)</f>
        <v>1</v>
      </c>
      <c r="H17" s="59">
        <f t="shared" si="2"/>
        <v>0</v>
      </c>
      <c r="I17" s="58" t="str" cm="1">
        <f t="array" ref="I17">IFERROR(INDEX('Budget Planning'!$C:$C,headerRowID),"")</f>
        <v>Income</v>
      </c>
      <c r="J17" t="str" cm="1">
        <f t="array" ref="J17">IFERROR(INDEX('Budget Planning'!$C:$C,rowID),"")</f>
        <v>Total</v>
      </c>
      <c r="K17" s="41" cm="1">
        <f t="array" aca="1" ref="K17" ca="1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>24368</v>
      </c>
      <c r="L17" s="59" cm="1">
        <f t="array" aca="1" ref="L17" ca="1">IF(OR(isHeader,IsEmpty),"",
    INDEX('Budget Planning'!$E:$DY,rowID,
            MATCH(IF(selectedPeriod="Total Year", selectedYear, DATE(selectedYear,selectedPeriod,1)), 'Budget Planning'!$E$23:$DY$23,0)))</f>
        <v>22000</v>
      </c>
      <c r="M17" s="58" t="str" cm="1">
        <f t="array" ref="M17">IF(isCat,
IF(headerRowID=incomeHeaderRow,MATCH(incomeMinRow,$C:$C,0),
IF(headerRowID=expensesHeaderRow,MATCH(expensesMinRow,$C:$C,0),
IF(headerRowID=savingsHeaderRow,MATCH(savingsMinRow,$C:$C,0),""))),"")</f>
        <v/>
      </c>
      <c r="N17" s="59" t="str" cm="1">
        <f t="array" ref="N17">IF(isCat,
IF(headerRowID=incomeHeaderRow,MATCH(incomeMaxRow,$C:$C,0),
IF(headerRowID=expensesHeaderRow,MATCH(expensesMaxRow,$C:$C,0),
IF(headerRowID=savingsHeaderRow,MATCH(savingsMaxRow,$C:$C,0),""))),"")</f>
        <v/>
      </c>
      <c r="O17" s="58" t="str">
        <f t="shared" si="3"/>
        <v/>
      </c>
      <c r="P17" t="str">
        <f t="shared" ca="1" si="4"/>
        <v/>
      </c>
      <c r="Q17" t="str">
        <f t="shared" si="5"/>
        <v/>
      </c>
      <c r="R17" s="59" t="str">
        <f t="shared" ca="1" si="6"/>
        <v/>
      </c>
      <c r="S17" s="58" t="str">
        <f t="shared" si="7"/>
        <v/>
      </c>
      <c r="T17" t="str">
        <f t="shared" si="8"/>
        <v/>
      </c>
      <c r="U17" t="str">
        <f t="shared" ca="1" si="9"/>
        <v/>
      </c>
      <c r="V17" t="str">
        <f t="shared" si="10"/>
        <v/>
      </c>
      <c r="W17" t="str">
        <f t="shared" ca="1" si="11"/>
        <v/>
      </c>
      <c r="X17" s="66">
        <f t="shared" si="12"/>
        <v>21</v>
      </c>
      <c r="Y17" s="70" t="str">
        <f t="shared" ca="1" si="13"/>
        <v>Total</v>
      </c>
      <c r="Z17" s="72">
        <f t="shared" ca="1" si="14"/>
        <v>24368</v>
      </c>
      <c r="AA17" s="72">
        <f t="shared" ca="1" si="15"/>
        <v>22000</v>
      </c>
      <c r="AB17" s="71">
        <f t="shared" ca="1" si="16"/>
        <v>1.1076363636363635</v>
      </c>
      <c r="AC17" s="72">
        <f t="shared" ca="1" si="17"/>
        <v>0</v>
      </c>
      <c r="AD17" s="72">
        <f t="shared" ca="1" si="18"/>
        <v>2368</v>
      </c>
      <c r="AF17" s="58"/>
      <c r="AK17" s="59"/>
      <c r="AM17" s="58"/>
      <c r="AR17" s="59"/>
    </row>
    <row r="18" spans="3:44" x14ac:dyDescent="0.2">
      <c r="C18" s="58" t="str" cm="1">
        <f t="array" ref="C18">IF(C17=-1,-1,
   IF(C17&lt;incomeMaxRow,  C17+1,
    IF(C17=incomeMaxRow,   incomeTotalRow,
     IF(C17=incomeTotalRow,   "/1",
      IF(C17="/1",   expensesHeaderRow,
       IF(C17&lt;expensesMaxRow,   C17+1,
        IF(C17=expensesMaxRow,   expensesTotalRow,
         IF(C17=expensesTotalRow, "/2",
          IF(C17="/2", savingsHeaderRow,
           IF(C17&lt;savingsMaxRow, C17+1,
            IF(C17=savingsMaxRow,savingsTotalRow,-1)))))))))))</f>
        <v>/1</v>
      </c>
      <c r="D18" s="59">
        <f t="shared" si="0"/>
        <v>-1</v>
      </c>
      <c r="E18" s="58" cm="1">
        <f t="array" ref="E18">1*OR(rowID=incomeHeaderRow,rowID=expensesHeaderRow,rowID=savingsHeaderRow)</f>
        <v>0</v>
      </c>
      <c r="F18">
        <f t="shared" si="1"/>
        <v>0</v>
      </c>
      <c r="G18" cm="1">
        <f t="array" ref="G18">1*OR(rowID=incomeTotalRow,rowID=expensesTotalRow,rowID=savingsTotalRow)</f>
        <v>0</v>
      </c>
      <c r="H18" s="59">
        <f t="shared" si="2"/>
        <v>1</v>
      </c>
      <c r="I18" s="58" t="str" cm="1">
        <f t="array" ref="I18">IFERROR(INDEX('Budget Planning'!$C:$C,headerRowID),"")</f>
        <v/>
      </c>
      <c r="J18" t="str" cm="1">
        <f t="array" ref="J18">IFERROR(INDEX('Budget Planning'!$C:$C,rowID),"")</f>
        <v/>
      </c>
      <c r="K18" s="41" t="str" cm="1">
        <f t="array" ref="K18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/>
      </c>
      <c r="L18" s="59" t="str" cm="1">
        <f t="array" ref="L18">IF(OR(isHeader,IsEmpty),"",
    INDEX('Budget Planning'!$E:$DY,rowID,
            MATCH(IF(selectedPeriod="Total Year", selectedYear, DATE(selectedYear,selectedPeriod,1)), 'Budget Planning'!$E$23:$DY$23,0)))</f>
        <v/>
      </c>
      <c r="M18" s="58" t="str" cm="1">
        <f t="array" ref="M18">IF(isCat,
IF(headerRowID=incomeHeaderRow,MATCH(incomeMinRow,$C:$C,0),
IF(headerRowID=expensesHeaderRow,MATCH(expensesMinRow,$C:$C,0),
IF(headerRowID=savingsHeaderRow,MATCH(savingsMinRow,$C:$C,0),""))),"")</f>
        <v/>
      </c>
      <c r="N18" s="59" t="str" cm="1">
        <f t="array" ref="N18">IF(isCat,
IF(headerRowID=incomeHeaderRow,MATCH(incomeMaxRow,$C:$C,0),
IF(headerRowID=expensesHeaderRow,MATCH(expensesMaxRow,$C:$C,0),
IF(headerRowID=savingsHeaderRow,MATCH(savingsMaxRow,$C:$C,0),""))),"")</f>
        <v/>
      </c>
      <c r="O18" s="58" t="str">
        <f t="shared" si="3"/>
        <v/>
      </c>
      <c r="P18" t="str">
        <f t="shared" ca="1" si="4"/>
        <v/>
      </c>
      <c r="Q18" t="str">
        <f t="shared" si="5"/>
        <v/>
      </c>
      <c r="R18" s="59" t="str">
        <f t="shared" ca="1" si="6"/>
        <v/>
      </c>
      <c r="S18" s="58" t="str">
        <f t="shared" si="7"/>
        <v/>
      </c>
      <c r="T18" t="str">
        <f t="shared" si="8"/>
        <v/>
      </c>
      <c r="U18" t="str">
        <f t="shared" ca="1" si="9"/>
        <v/>
      </c>
      <c r="V18" t="str">
        <f t="shared" si="10"/>
        <v/>
      </c>
      <c r="W18" t="str">
        <f t="shared" ca="1" si="11"/>
        <v/>
      </c>
      <c r="X18" s="66" t="str">
        <f t="shared" si="12"/>
        <v>/1</v>
      </c>
      <c r="Y18" s="70" t="str">
        <f t="shared" si="13"/>
        <v/>
      </c>
      <c r="Z18" s="72" t="str">
        <f t="shared" si="14"/>
        <v/>
      </c>
      <c r="AA18" s="72" t="str">
        <f t="shared" si="15"/>
        <v/>
      </c>
      <c r="AB18" s="71" t="str">
        <f t="shared" si="16"/>
        <v/>
      </c>
      <c r="AC18" s="72" t="str">
        <f t="shared" si="17"/>
        <v/>
      </c>
      <c r="AD18" s="72" t="str">
        <f t="shared" si="18"/>
        <v/>
      </c>
      <c r="AF18" s="58"/>
      <c r="AI18" s="90" t="str">
        <f ca="1">Calculations!$E35</f>
        <v>Dividents</v>
      </c>
      <c r="AJ18" s="41">
        <f ca="1">Calculations!$F35</f>
        <v>13251</v>
      </c>
      <c r="AK18" s="59"/>
      <c r="AM18" s="58"/>
      <c r="AR18" s="59"/>
    </row>
    <row r="19" spans="3:44" x14ac:dyDescent="0.2">
      <c r="C19" s="58" cm="1">
        <f t="array" ref="C19">IF(C18=-1,-1,
   IF(C18&lt;incomeMaxRow,  C18+1,
    IF(C18=incomeMaxRow,   incomeTotalRow,
     IF(C18=incomeTotalRow,   "/1",
      IF(C18="/1",   expensesHeaderRow,
       IF(C18&lt;expensesMaxRow,   C18+1,
        IF(C18=expensesMaxRow,   expensesTotalRow,
         IF(C18=expensesTotalRow, "/2",
          IF(C18="/2", savingsHeaderRow,
           IF(C18&lt;savingsMaxRow, C18+1,
            IF(C18=savingsMaxRow,savingsTotalRow,-1)))))))))))</f>
        <v>23</v>
      </c>
      <c r="D19" s="59">
        <f t="shared" si="0"/>
        <v>23</v>
      </c>
      <c r="E19" s="58" cm="1">
        <f t="array" ref="E19">1*OR(rowID=incomeHeaderRow,rowID=expensesHeaderRow,rowID=savingsHeaderRow)</f>
        <v>1</v>
      </c>
      <c r="F19">
        <f t="shared" si="1"/>
        <v>0</v>
      </c>
      <c r="G19" cm="1">
        <f t="array" ref="G19">1*OR(rowID=incomeTotalRow,rowID=expensesTotalRow,rowID=savingsTotalRow)</f>
        <v>0</v>
      </c>
      <c r="H19" s="59">
        <f t="shared" si="2"/>
        <v>0</v>
      </c>
      <c r="I19" s="58" t="str" cm="1">
        <f t="array" ref="I19">IFERROR(INDEX('Budget Planning'!$C:$C,headerRowID),"")</f>
        <v>Expenses</v>
      </c>
      <c r="J19" t="str" cm="1">
        <f t="array" ref="J19">IFERROR(INDEX('Budget Planning'!$C:$C,rowID),"")</f>
        <v>Expenses</v>
      </c>
      <c r="K19" s="41" t="str" cm="1">
        <f t="array" ref="K19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/>
      </c>
      <c r="L19" s="59" t="str" cm="1">
        <f t="array" ref="L19">IF(OR(isHeader,IsEmpty),"",
    INDEX('Budget Planning'!$E:$DY,rowID,
            MATCH(IF(selectedPeriod="Total Year", selectedYear, DATE(selectedYear,selectedPeriod,1)), 'Budget Planning'!$E$23:$DY$23,0)))</f>
        <v/>
      </c>
      <c r="M19" s="58" t="str" cm="1">
        <f t="array" ref="M19">IF(isCat,
IF(headerRowID=incomeHeaderRow,MATCH(incomeMinRow,$C:$C,0),
IF(headerRowID=expensesHeaderRow,MATCH(expensesMinRow,$C:$C,0),
IF(headerRowID=savingsHeaderRow,MATCH(savingsMinRow,$C:$C,0),""))),"")</f>
        <v/>
      </c>
      <c r="N19" s="59" t="str" cm="1">
        <f t="array" ref="N19">IF(isCat,
IF(headerRowID=incomeHeaderRow,MATCH(incomeMaxRow,$C:$C,0),
IF(headerRowID=expensesHeaderRow,MATCH(expensesMaxRow,$C:$C,0),
IF(headerRowID=savingsHeaderRow,MATCH(savingsMaxRow,$C:$C,0),""))),"")</f>
        <v/>
      </c>
      <c r="O19" s="58" t="str">
        <f t="shared" si="3"/>
        <v/>
      </c>
      <c r="P19" t="str">
        <f t="shared" ca="1" si="4"/>
        <v/>
      </c>
      <c r="Q19" t="str">
        <f t="shared" si="5"/>
        <v/>
      </c>
      <c r="R19" s="59" t="str">
        <f t="shared" ca="1" si="6"/>
        <v/>
      </c>
      <c r="S19" s="58" t="str">
        <f t="shared" si="7"/>
        <v/>
      </c>
      <c r="T19" t="str">
        <f t="shared" si="8"/>
        <v/>
      </c>
      <c r="U19" t="str">
        <f t="shared" ca="1" si="9"/>
        <v/>
      </c>
      <c r="V19" t="str">
        <f t="shared" si="10"/>
        <v/>
      </c>
      <c r="W19" t="str">
        <f t="shared" ca="1" si="11"/>
        <v/>
      </c>
      <c r="X19" s="66">
        <f t="shared" si="12"/>
        <v>23</v>
      </c>
      <c r="Y19" s="70" t="str">
        <f t="shared" ca="1" si="13"/>
        <v>Expenses</v>
      </c>
      <c r="Z19" s="72" t="str">
        <f t="shared" si="14"/>
        <v>Tracked</v>
      </c>
      <c r="AA19" s="72" t="str">
        <f t="shared" si="15"/>
        <v>Budget</v>
      </c>
      <c r="AB19" s="71" t="str">
        <f t="shared" si="16"/>
        <v>% Completed</v>
      </c>
      <c r="AC19" s="72" t="str">
        <f t="shared" si="17"/>
        <v>Remaining</v>
      </c>
      <c r="AD19" s="72" t="str">
        <f t="shared" si="18"/>
        <v>Excess</v>
      </c>
      <c r="AF19" s="58"/>
      <c r="AI19" s="90" t="str">
        <f ca="1">Calculations!$E36</f>
        <v>Employment</v>
      </c>
      <c r="AJ19" s="41">
        <f ca="1">Calculations!$F36</f>
        <v>11117</v>
      </c>
      <c r="AK19" s="59"/>
      <c r="AM19" s="58"/>
      <c r="AR19" s="59"/>
    </row>
    <row r="20" spans="3:44" x14ac:dyDescent="0.2">
      <c r="C20" s="58" cm="1">
        <f t="array" ref="C20">IF(C19=-1,-1,
   IF(C19&lt;incomeMaxRow,  C19+1,
    IF(C19=incomeMaxRow,   incomeTotalRow,
     IF(C19=incomeTotalRow,   "/1",
      IF(C19="/1",   expensesHeaderRow,
       IF(C19&lt;expensesMaxRow,   C19+1,
        IF(C19=expensesMaxRow,   expensesTotalRow,
         IF(C19=expensesTotalRow, "/2",
          IF(C19="/2", savingsHeaderRow,
           IF(C19&lt;savingsMaxRow, C19+1,
            IF(C19=savingsMaxRow,savingsTotalRow,-1)))))))))))</f>
        <v>24</v>
      </c>
      <c r="D20" s="59">
        <f t="shared" si="0"/>
        <v>23</v>
      </c>
      <c r="E20" s="58" cm="1">
        <f t="array" ref="E20">1*OR(rowID=incomeHeaderRow,rowID=expensesHeaderRow,rowID=savingsHeaderRow)</f>
        <v>0</v>
      </c>
      <c r="F20">
        <f t="shared" si="1"/>
        <v>1</v>
      </c>
      <c r="G20" cm="1">
        <f t="array" ref="G20">1*OR(rowID=incomeTotalRow,rowID=expensesTotalRow,rowID=savingsTotalRow)</f>
        <v>0</v>
      </c>
      <c r="H20" s="59">
        <f t="shared" si="2"/>
        <v>0</v>
      </c>
      <c r="I20" s="58" t="str" cm="1">
        <f t="array" ref="I20">IFERROR(INDEX('Budget Planning'!$C:$C,headerRowID),"")</f>
        <v>Expenses</v>
      </c>
      <c r="J20" t="str" cm="1">
        <f t="array" ref="J20">IFERROR(INDEX('Budget Planning'!$C:$C,rowID),"")</f>
        <v>Housing</v>
      </c>
      <c r="K20" s="41" cm="1">
        <f t="array" aca="1" ref="K20" ca="1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>8911</v>
      </c>
      <c r="L20" s="59" cm="1">
        <f t="array" aca="1" ref="L20" ca="1">IF(OR(isHeader,IsEmpty),"",
    INDEX('Budget Planning'!$E:$DY,rowID,
            MATCH(IF(selectedPeriod="Total Year", selectedYear, DATE(selectedYear,selectedPeriod,1)), 'Budget Planning'!$E$23:$DY$23,0)))</f>
        <v>6500</v>
      </c>
      <c r="M20" s="58" cm="1">
        <f t="array" ref="M20">IF(isCat,
IF(headerRowID=incomeHeaderRow,MATCH(incomeMinRow,$C:$C,0),
IF(headerRowID=expensesHeaderRow,MATCH(expensesMinRow,$C:$C,0),
IF(headerRowID=savingsHeaderRow,MATCH(savingsMinRow,$C:$C,0),""))),"")</f>
        <v>20</v>
      </c>
      <c r="N20" s="59" cm="1">
        <f t="array" ref="N20">IF(isCat,
IF(headerRowID=incomeHeaderRow,MATCH(incomeMaxRow,$C:$C,0),
IF(headerRowID=expensesHeaderRow,MATCH(expensesMaxRow,$C:$C,0),
IF(headerRowID=savingsHeaderRow,MATCH(savingsMaxRow,$C:$C,0),""))),"")</f>
        <v>31</v>
      </c>
      <c r="O20" s="58" t="str">
        <f t="shared" si="3"/>
        <v>$K$20:$K$31</v>
      </c>
      <c r="P20">
        <f t="shared" ca="1" si="4"/>
        <v>1</v>
      </c>
      <c r="Q20" t="str">
        <f t="shared" si="5"/>
        <v>$L$20:$L$31</v>
      </c>
      <c r="R20" s="59">
        <f t="shared" ca="1" si="6"/>
        <v>1</v>
      </c>
      <c r="S20" s="58">
        <f t="shared" ca="1" si="7"/>
        <v>11</v>
      </c>
      <c r="T20" t="str">
        <f t="shared" si="8"/>
        <v>$S$20:$S$31</v>
      </c>
      <c r="U20">
        <f t="shared" ca="1" si="9"/>
        <v>1</v>
      </c>
      <c r="V20" t="str">
        <f t="shared" si="10"/>
        <v>$U$20:$U$20</v>
      </c>
      <c r="W20">
        <f t="shared" ca="1" si="11"/>
        <v>1</v>
      </c>
      <c r="X20" s="66">
        <f t="shared" ca="1" si="12"/>
        <v>24</v>
      </c>
      <c r="Y20" s="70" t="str">
        <f t="shared" ca="1" si="13"/>
        <v>Housing</v>
      </c>
      <c r="Z20" s="72">
        <f t="shared" ca="1" si="14"/>
        <v>8911</v>
      </c>
      <c r="AA20" s="72">
        <f t="shared" ca="1" si="15"/>
        <v>6500</v>
      </c>
      <c r="AB20" s="71">
        <f t="shared" ca="1" si="16"/>
        <v>1.3709230769230769</v>
      </c>
      <c r="AC20" s="72">
        <f t="shared" ca="1" si="17"/>
        <v>0</v>
      </c>
      <c r="AD20" s="72">
        <f t="shared" ca="1" si="18"/>
        <v>2411</v>
      </c>
      <c r="AF20" s="58"/>
      <c r="AI20" s="90" t="str">
        <f ca="1">Calculations!$E37</f>
        <v/>
      </c>
      <c r="AJ20" s="41" t="str">
        <f ca="1">Calculations!$F37</f>
        <v/>
      </c>
      <c r="AK20" s="59"/>
      <c r="AM20" s="58"/>
      <c r="AR20" s="59"/>
    </row>
    <row r="21" spans="3:44" x14ac:dyDescent="0.2">
      <c r="C21" s="58" cm="1">
        <f t="array" ref="C21">IF(C20=-1,-1,
   IF(C20&lt;incomeMaxRow,  C20+1,
    IF(C20=incomeMaxRow,   incomeTotalRow,
     IF(C20=incomeTotalRow,   "/1",
      IF(C20="/1",   expensesHeaderRow,
       IF(C20&lt;expensesMaxRow,   C20+1,
        IF(C20=expensesMaxRow,   expensesTotalRow,
         IF(C20=expensesTotalRow, "/2",
          IF(C20="/2", savingsHeaderRow,
           IF(C20&lt;savingsMaxRow, C20+1,
            IF(C20=savingsMaxRow,savingsTotalRow,-1)))))))))))</f>
        <v>25</v>
      </c>
      <c r="D21" s="59">
        <f t="shared" si="0"/>
        <v>23</v>
      </c>
      <c r="E21" s="58" cm="1">
        <f t="array" ref="E21">1*OR(rowID=incomeHeaderRow,rowID=expensesHeaderRow,rowID=savingsHeaderRow)</f>
        <v>0</v>
      </c>
      <c r="F21">
        <f t="shared" si="1"/>
        <v>1</v>
      </c>
      <c r="G21" cm="1">
        <f t="array" ref="G21">1*OR(rowID=incomeTotalRow,rowID=expensesTotalRow,rowID=savingsTotalRow)</f>
        <v>0</v>
      </c>
      <c r="H21" s="59">
        <f t="shared" si="2"/>
        <v>0</v>
      </c>
      <c r="I21" s="58" t="str" cm="1">
        <f t="array" ref="I21">IFERROR(INDEX('Budget Planning'!$C:$C,headerRowID),"")</f>
        <v>Expenses</v>
      </c>
      <c r="J21" t="str" cm="1">
        <f t="array" ref="J21">IFERROR(INDEX('Budget Planning'!$C:$C,rowID),"")</f>
        <v>Utilities</v>
      </c>
      <c r="K21" s="41" cm="1">
        <f t="array" aca="1" ref="K21" ca="1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>726</v>
      </c>
      <c r="L21" s="59" cm="1">
        <f t="array" aca="1" ref="L21" ca="1">IF(OR(isHeader,IsEmpty),"",
    INDEX('Budget Planning'!$E:$DY,rowID,
            MATCH(IF(selectedPeriod="Total Year", selectedYear, DATE(selectedYear,selectedPeriod,1)), 'Budget Planning'!$E$23:$DY$23,0)))</f>
        <v>800</v>
      </c>
      <c r="M21" s="58" cm="1">
        <f t="array" ref="M21">IF(isCat,
IF(headerRowID=incomeHeaderRow,MATCH(incomeMinRow,$C:$C,0),
IF(headerRowID=expensesHeaderRow,MATCH(expensesMinRow,$C:$C,0),
IF(headerRowID=savingsHeaderRow,MATCH(savingsMinRow,$C:$C,0),""))),"")</f>
        <v>20</v>
      </c>
      <c r="N21" s="59" cm="1">
        <f t="array" ref="N21">IF(isCat,
IF(headerRowID=incomeHeaderRow,MATCH(incomeMaxRow,$C:$C,0),
IF(headerRowID=expensesHeaderRow,MATCH(expensesMaxRow,$C:$C,0),
IF(headerRowID=savingsHeaderRow,MATCH(savingsMaxRow,$C:$C,0),""))),"")</f>
        <v>31</v>
      </c>
      <c r="O21" s="58" t="str">
        <f t="shared" si="3"/>
        <v>$K$20:$K$31</v>
      </c>
      <c r="P21">
        <f t="shared" ca="1" si="4"/>
        <v>6</v>
      </c>
      <c r="Q21" t="str">
        <f t="shared" si="5"/>
        <v>$L$20:$L$31</v>
      </c>
      <c r="R21" s="59">
        <f t="shared" ca="1" si="6"/>
        <v>5</v>
      </c>
      <c r="S21" s="58">
        <f t="shared" ca="1" si="7"/>
        <v>65</v>
      </c>
      <c r="T21" t="str">
        <f t="shared" si="8"/>
        <v>$S$20:$S$31</v>
      </c>
      <c r="U21">
        <f t="shared" ca="1" si="9"/>
        <v>6</v>
      </c>
      <c r="V21" t="str">
        <f t="shared" si="10"/>
        <v>$U$20:$U$21</v>
      </c>
      <c r="W21">
        <f t="shared" ca="1" si="11"/>
        <v>6</v>
      </c>
      <c r="X21" s="66">
        <f t="shared" ca="1" si="12"/>
        <v>29</v>
      </c>
      <c r="Y21" s="70" t="str">
        <f t="shared" ca="1" si="13"/>
        <v>Extra</v>
      </c>
      <c r="Z21" s="72">
        <f t="shared" ca="1" si="14"/>
        <v>3575</v>
      </c>
      <c r="AA21" s="72">
        <f t="shared" ca="1" si="15"/>
        <v>1400</v>
      </c>
      <c r="AB21" s="71">
        <f t="shared" ca="1" si="16"/>
        <v>2.5535714285714284</v>
      </c>
      <c r="AC21" s="72">
        <f t="shared" ca="1" si="17"/>
        <v>0</v>
      </c>
      <c r="AD21" s="72">
        <f t="shared" ca="1" si="18"/>
        <v>2175</v>
      </c>
      <c r="AF21" s="58"/>
      <c r="AI21" s="90" t="str">
        <f>Calculations!$E38</f>
        <v/>
      </c>
      <c r="AJ21" s="41" t="str">
        <f>Calculations!$F38</f>
        <v/>
      </c>
      <c r="AK21" s="59"/>
      <c r="AM21" s="58"/>
      <c r="AR21" s="59"/>
    </row>
    <row r="22" spans="3:44" x14ac:dyDescent="0.2">
      <c r="C22" s="58" cm="1">
        <f t="array" ref="C22">IF(C21=-1,-1,
   IF(C21&lt;incomeMaxRow,  C21+1,
    IF(C21=incomeMaxRow,   incomeTotalRow,
     IF(C21=incomeTotalRow,   "/1",
      IF(C21="/1",   expensesHeaderRow,
       IF(C21&lt;expensesMaxRow,   C21+1,
        IF(C21=expensesMaxRow,   expensesTotalRow,
         IF(C21=expensesTotalRow, "/2",
          IF(C21="/2", savingsHeaderRow,
           IF(C21&lt;savingsMaxRow, C21+1,
            IF(C21=savingsMaxRow,savingsTotalRow,-1)))))))))))</f>
        <v>26</v>
      </c>
      <c r="D22" s="59">
        <f t="shared" si="0"/>
        <v>23</v>
      </c>
      <c r="E22" s="58" cm="1">
        <f t="array" ref="E22">1*OR(rowID=incomeHeaderRow,rowID=expensesHeaderRow,rowID=savingsHeaderRow)</f>
        <v>0</v>
      </c>
      <c r="F22">
        <f t="shared" si="1"/>
        <v>1</v>
      </c>
      <c r="G22" cm="1">
        <f t="array" ref="G22">1*OR(rowID=incomeTotalRow,rowID=expensesTotalRow,rowID=savingsTotalRow)</f>
        <v>0</v>
      </c>
      <c r="H22" s="59">
        <f t="shared" si="2"/>
        <v>0</v>
      </c>
      <c r="I22" s="58" t="str" cm="1">
        <f t="array" ref="I22">IFERROR(INDEX('Budget Planning'!$C:$C,headerRowID),"")</f>
        <v>Expenses</v>
      </c>
      <c r="J22" t="str" cm="1">
        <f t="array" ref="J22">IFERROR(INDEX('Budget Planning'!$C:$C,rowID),"")</f>
        <v>Transport</v>
      </c>
      <c r="K22" s="41" cm="1">
        <f t="array" aca="1" ref="K22" ca="1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>0</v>
      </c>
      <c r="L22" s="59" cm="1">
        <f t="array" aca="1" ref="L22" ca="1">IF(OR(isHeader,IsEmpty),"",
    INDEX('Budget Planning'!$E:$DY,rowID,
            MATCH(IF(selectedPeriod="Total Year", selectedYear, DATE(selectedYear,selectedPeriod,1)), 'Budget Planning'!$E$23:$DY$23,0)))</f>
        <v>0</v>
      </c>
      <c r="M22" s="58" cm="1">
        <f t="array" ref="M22">IF(isCat,
IF(headerRowID=incomeHeaderRow,MATCH(incomeMinRow,$C:$C,0),
IF(headerRowID=expensesHeaderRow,MATCH(expensesMinRow,$C:$C,0),
IF(headerRowID=savingsHeaderRow,MATCH(savingsMinRow,$C:$C,0),""))),"")</f>
        <v>20</v>
      </c>
      <c r="N22" s="59" cm="1">
        <f t="array" ref="N22">IF(isCat,
IF(headerRowID=incomeHeaderRow,MATCH(incomeMaxRow,$C:$C,0),
IF(headerRowID=expensesHeaderRow,MATCH(expensesMaxRow,$C:$C,0),
IF(headerRowID=savingsHeaderRow,MATCH(savingsMaxRow,$C:$C,0),""))),"")</f>
        <v>31</v>
      </c>
      <c r="O22" s="58" t="str">
        <f t="shared" si="3"/>
        <v>$K$20:$K$31</v>
      </c>
      <c r="P22">
        <f t="shared" ca="1" si="4"/>
        <v>8</v>
      </c>
      <c r="Q22" t="str">
        <f t="shared" si="5"/>
        <v>$L$20:$L$31</v>
      </c>
      <c r="R22" s="59">
        <f t="shared" ca="1" si="6"/>
        <v>8</v>
      </c>
      <c r="S22" s="58">
        <f t="shared" ca="1" si="7"/>
        <v>88</v>
      </c>
      <c r="T22" t="str">
        <f t="shared" si="8"/>
        <v>$S$20:$S$31</v>
      </c>
      <c r="U22">
        <f t="shared" ca="1" si="9"/>
        <v>10</v>
      </c>
      <c r="V22" t="str">
        <f t="shared" si="10"/>
        <v>$U$20:$U$22</v>
      </c>
      <c r="W22">
        <f t="shared" ca="1" si="11"/>
        <v>10</v>
      </c>
      <c r="X22" s="66">
        <f t="shared" ca="1" si="12"/>
        <v>33</v>
      </c>
      <c r="Y22" s="70" t="str">
        <f t="shared" ca="1" si="13"/>
        <v>Gym</v>
      </c>
      <c r="Z22" s="72">
        <f t="shared" ca="1" si="14"/>
        <v>2490</v>
      </c>
      <c r="AA22" s="72">
        <f t="shared" ca="1" si="15"/>
        <v>1690</v>
      </c>
      <c r="AB22" s="71">
        <f t="shared" ca="1" si="16"/>
        <v>1.4733727810650887</v>
      </c>
      <c r="AC22" s="72">
        <f t="shared" ca="1" si="17"/>
        <v>0</v>
      </c>
      <c r="AD22" s="72">
        <f t="shared" ca="1" si="18"/>
        <v>800</v>
      </c>
      <c r="AF22" s="58"/>
      <c r="AI22" s="90" t="str">
        <f>Calculations!$E39</f>
        <v/>
      </c>
      <c r="AJ22" s="41" t="str">
        <f>Calculations!$F39</f>
        <v/>
      </c>
      <c r="AK22" s="59"/>
      <c r="AM22" s="58"/>
      <c r="AR22" s="59"/>
    </row>
    <row r="23" spans="3:44" x14ac:dyDescent="0.2">
      <c r="C23" s="58" cm="1">
        <f t="array" ref="C23">IF(C22=-1,-1,
   IF(C22&lt;incomeMaxRow,  C22+1,
    IF(C22=incomeMaxRow,   incomeTotalRow,
     IF(C22=incomeTotalRow,   "/1",
      IF(C22="/1",   expensesHeaderRow,
       IF(C22&lt;expensesMaxRow,   C22+1,
        IF(C22=expensesMaxRow,   expensesTotalRow,
         IF(C22=expensesTotalRow, "/2",
          IF(C22="/2", savingsHeaderRow,
           IF(C22&lt;savingsMaxRow, C22+1,
            IF(C22=savingsMaxRow,savingsTotalRow,-1)))))))))))</f>
        <v>27</v>
      </c>
      <c r="D23" s="59">
        <f t="shared" si="0"/>
        <v>23</v>
      </c>
      <c r="E23" s="58" cm="1">
        <f t="array" ref="E23">1*OR(rowID=incomeHeaderRow,rowID=expensesHeaderRow,rowID=savingsHeaderRow)</f>
        <v>0</v>
      </c>
      <c r="F23">
        <f t="shared" si="1"/>
        <v>1</v>
      </c>
      <c r="G23" cm="1">
        <f t="array" ref="G23">1*OR(rowID=incomeTotalRow,rowID=expensesTotalRow,rowID=savingsTotalRow)</f>
        <v>0</v>
      </c>
      <c r="H23" s="59">
        <f t="shared" si="2"/>
        <v>0</v>
      </c>
      <c r="I23" s="58" t="str" cm="1">
        <f t="array" ref="I23">IFERROR(INDEX('Budget Planning'!$C:$C,headerRowID),"")</f>
        <v>Expenses</v>
      </c>
      <c r="J23" t="str" cm="1">
        <f t="array" ref="J23">IFERROR(INDEX('Budget Planning'!$C:$C,rowID),"")</f>
        <v>Groceries</v>
      </c>
      <c r="K23" s="41" cm="1">
        <f t="array" aca="1" ref="K23" ca="1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>2022</v>
      </c>
      <c r="L23" s="59" cm="1">
        <f t="array" aca="1" ref="L23" ca="1">IF(OR(isHeader,IsEmpty),"",
    INDEX('Budget Planning'!$E:$DY,rowID,
            MATCH(IF(selectedPeriod="Total Year", selectedYear, DATE(selectedYear,selectedPeriod,1)), 'Budget Planning'!$E$23:$DY$23,0)))</f>
        <v>3000</v>
      </c>
      <c r="M23" s="58" cm="1">
        <f t="array" ref="M23">IF(isCat,
IF(headerRowID=incomeHeaderRow,MATCH(incomeMinRow,$C:$C,0),
IF(headerRowID=expensesHeaderRow,MATCH(expensesMinRow,$C:$C,0),
IF(headerRowID=savingsHeaderRow,MATCH(savingsMinRow,$C:$C,0),""))),"")</f>
        <v>20</v>
      </c>
      <c r="N23" s="59" cm="1">
        <f t="array" ref="N23">IF(isCat,
IF(headerRowID=incomeHeaderRow,MATCH(incomeMaxRow,$C:$C,0),
IF(headerRowID=expensesHeaderRow,MATCH(expensesMaxRow,$C:$C,0),
IF(headerRowID=savingsHeaderRow,MATCH(savingsMaxRow,$C:$C,0),""))),"")</f>
        <v>31</v>
      </c>
      <c r="O23" s="58" t="str">
        <f t="shared" si="3"/>
        <v>$K$20:$K$31</v>
      </c>
      <c r="P23">
        <f t="shared" ca="1" si="4"/>
        <v>4</v>
      </c>
      <c r="Q23" t="str">
        <f t="shared" si="5"/>
        <v>$L$20:$L$31</v>
      </c>
      <c r="R23" s="59">
        <f t="shared" ca="1" si="6"/>
        <v>2</v>
      </c>
      <c r="S23" s="58">
        <f t="shared" ca="1" si="7"/>
        <v>42</v>
      </c>
      <c r="T23" t="str">
        <f t="shared" si="8"/>
        <v>$S$20:$S$31</v>
      </c>
      <c r="U23">
        <f t="shared" ca="1" si="9"/>
        <v>4</v>
      </c>
      <c r="V23" t="str">
        <f t="shared" si="10"/>
        <v>$U$20:$U$23</v>
      </c>
      <c r="W23">
        <f t="shared" ca="1" si="11"/>
        <v>4</v>
      </c>
      <c r="X23" s="66">
        <f t="shared" ca="1" si="12"/>
        <v>27</v>
      </c>
      <c r="Y23" s="70" t="str">
        <f t="shared" ca="1" si="13"/>
        <v>Groceries</v>
      </c>
      <c r="Z23" s="72">
        <f t="shared" ca="1" si="14"/>
        <v>2022</v>
      </c>
      <c r="AA23" s="72">
        <f t="shared" ca="1" si="15"/>
        <v>3000</v>
      </c>
      <c r="AB23" s="71">
        <f t="shared" ca="1" si="16"/>
        <v>0.67400000000000004</v>
      </c>
      <c r="AC23" s="72">
        <f t="shared" ca="1" si="17"/>
        <v>978</v>
      </c>
      <c r="AD23" s="72">
        <f t="shared" ca="1" si="18"/>
        <v>0</v>
      </c>
      <c r="AF23" s="58"/>
      <c r="AI23" s="90" t="str">
        <f ca="1">Calculations!$E40</f>
        <v/>
      </c>
      <c r="AJ23" s="41" t="str">
        <f ca="1">Calculations!$F40</f>
        <v/>
      </c>
      <c r="AK23" s="59"/>
      <c r="AM23" s="58"/>
      <c r="AR23" s="59"/>
    </row>
    <row r="24" spans="3:44" x14ac:dyDescent="0.2">
      <c r="C24" s="58" cm="1">
        <f t="array" ref="C24">IF(C23=-1,-1,
   IF(C23&lt;incomeMaxRow,  C23+1,
    IF(C23=incomeMaxRow,   incomeTotalRow,
     IF(C23=incomeTotalRow,   "/1",
      IF(C23="/1",   expensesHeaderRow,
       IF(C23&lt;expensesMaxRow,   C23+1,
        IF(C23=expensesMaxRow,   expensesTotalRow,
         IF(C23=expensesTotalRow, "/2",
          IF(C23="/2", savingsHeaderRow,
           IF(C23&lt;savingsMaxRow, C23+1,
            IF(C23=savingsMaxRow,savingsTotalRow,-1)))))))))))</f>
        <v>28</v>
      </c>
      <c r="D24" s="59">
        <f t="shared" si="0"/>
        <v>23</v>
      </c>
      <c r="E24" s="58" cm="1">
        <f t="array" ref="E24">1*OR(rowID=incomeHeaderRow,rowID=expensesHeaderRow,rowID=savingsHeaderRow)</f>
        <v>0</v>
      </c>
      <c r="F24">
        <f t="shared" si="1"/>
        <v>1</v>
      </c>
      <c r="G24" cm="1">
        <f t="array" ref="G24">1*OR(rowID=incomeTotalRow,rowID=expensesTotalRow,rowID=savingsTotalRow)</f>
        <v>0</v>
      </c>
      <c r="H24" s="59">
        <f t="shared" si="2"/>
        <v>0</v>
      </c>
      <c r="I24" s="58" t="str" cm="1">
        <f t="array" ref="I24">IFERROR(INDEX('Budget Planning'!$C:$C,headerRowID),"")</f>
        <v>Expenses</v>
      </c>
      <c r="J24" t="str" cm="1">
        <f t="array" ref="J24">IFERROR(INDEX('Budget Planning'!$C:$C,rowID),"")</f>
        <v>Dates</v>
      </c>
      <c r="K24" s="41" cm="1">
        <f t="array" aca="1" ref="K24" ca="1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>360</v>
      </c>
      <c r="L24" s="59" cm="1">
        <f t="array" aca="1" ref="L24" ca="1">IF(OR(isHeader,IsEmpty),"",
    INDEX('Budget Planning'!$E:$DY,rowID,
            MATCH(IF(selectedPeriod="Total Year", selectedYear, DATE(selectedYear,selectedPeriod,1)), 'Budget Planning'!$E$23:$DY$23,0)))</f>
        <v>0</v>
      </c>
      <c r="M24" s="58" cm="1">
        <f t="array" ref="M24">IF(isCat,
IF(headerRowID=incomeHeaderRow,MATCH(incomeMinRow,$C:$C,0),
IF(headerRowID=expensesHeaderRow,MATCH(expensesMinRow,$C:$C,0),
IF(headerRowID=savingsHeaderRow,MATCH(savingsMinRow,$C:$C,0),""))),"")</f>
        <v>20</v>
      </c>
      <c r="N24" s="59" cm="1">
        <f t="array" ref="N24">IF(isCat,
IF(headerRowID=incomeHeaderRow,MATCH(incomeMaxRow,$C:$C,0),
IF(headerRowID=expensesHeaderRow,MATCH(expensesMaxRow,$C:$C,0),
IF(headerRowID=savingsHeaderRow,MATCH(savingsMaxRow,$C:$C,0),""))),"")</f>
        <v>31</v>
      </c>
      <c r="O24" s="58" t="str">
        <f t="shared" si="3"/>
        <v>$K$20:$K$31</v>
      </c>
      <c r="P24">
        <f t="shared" ca="1" si="4"/>
        <v>7</v>
      </c>
      <c r="Q24" t="str">
        <f t="shared" si="5"/>
        <v>$L$20:$L$31</v>
      </c>
      <c r="R24" s="59">
        <f t="shared" ca="1" si="6"/>
        <v>8</v>
      </c>
      <c r="S24" s="58">
        <f t="shared" ca="1" si="7"/>
        <v>78</v>
      </c>
      <c r="T24" t="str">
        <f t="shared" si="8"/>
        <v>$S$20:$S$31</v>
      </c>
      <c r="U24">
        <f t="shared" ca="1" si="9"/>
        <v>7</v>
      </c>
      <c r="V24" t="str">
        <f t="shared" si="10"/>
        <v>$U$20:$U$24</v>
      </c>
      <c r="W24">
        <f t="shared" ca="1" si="11"/>
        <v>7</v>
      </c>
      <c r="X24" s="66">
        <f t="shared" ca="1" si="12"/>
        <v>30</v>
      </c>
      <c r="Y24" s="70" t="str">
        <f t="shared" ca="1" si="13"/>
        <v>FastFoods</v>
      </c>
      <c r="Z24" s="72">
        <f t="shared" ca="1" si="14"/>
        <v>1415</v>
      </c>
      <c r="AA24" s="72">
        <f t="shared" ca="1" si="15"/>
        <v>0</v>
      </c>
      <c r="AB24" s="71" t="str">
        <f t="shared" ca="1" si="16"/>
        <v>-</v>
      </c>
      <c r="AC24" s="72">
        <f t="shared" ca="1" si="17"/>
        <v>0</v>
      </c>
      <c r="AD24" s="72">
        <f t="shared" ca="1" si="18"/>
        <v>1415</v>
      </c>
      <c r="AF24" s="58"/>
      <c r="AI24" s="91" t="str">
        <f>Calculations!$E41</f>
        <v>Total</v>
      </c>
      <c r="AJ24" s="92">
        <f ca="1">Calculations!$F41</f>
        <v>24368</v>
      </c>
      <c r="AK24" s="59"/>
      <c r="AM24" s="58"/>
      <c r="AR24" s="59"/>
    </row>
    <row r="25" spans="3:44" x14ac:dyDescent="0.2">
      <c r="C25" s="58" cm="1">
        <f t="array" ref="C25">IF(C24=-1,-1,
   IF(C24&lt;incomeMaxRow,  C24+1,
    IF(C24=incomeMaxRow,   incomeTotalRow,
     IF(C24=incomeTotalRow,   "/1",
      IF(C24="/1",   expensesHeaderRow,
       IF(C24&lt;expensesMaxRow,   C24+1,
        IF(C24=expensesMaxRow,   expensesTotalRow,
         IF(C24=expensesTotalRow, "/2",
          IF(C24="/2", savingsHeaderRow,
           IF(C24&lt;savingsMaxRow, C24+1,
            IF(C24=savingsMaxRow,savingsTotalRow,-1)))))))))))</f>
        <v>29</v>
      </c>
      <c r="D25" s="59">
        <f t="shared" si="0"/>
        <v>23</v>
      </c>
      <c r="E25" s="58" cm="1">
        <f t="array" ref="E25">1*OR(rowID=incomeHeaderRow,rowID=expensesHeaderRow,rowID=savingsHeaderRow)</f>
        <v>0</v>
      </c>
      <c r="F25">
        <f t="shared" si="1"/>
        <v>1</v>
      </c>
      <c r="G25" cm="1">
        <f t="array" ref="G25">1*OR(rowID=incomeTotalRow,rowID=expensesTotalRow,rowID=savingsTotalRow)</f>
        <v>0</v>
      </c>
      <c r="H25" s="59">
        <f t="shared" si="2"/>
        <v>0</v>
      </c>
      <c r="I25" s="58" t="str" cm="1">
        <f t="array" ref="I25">IFERROR(INDEX('Budget Planning'!$C:$C,headerRowID),"")</f>
        <v>Expenses</v>
      </c>
      <c r="J25" t="str" cm="1">
        <f t="array" ref="J25">IFERROR(INDEX('Budget Planning'!$C:$C,rowID),"")</f>
        <v>Extra</v>
      </c>
      <c r="K25" s="41" cm="1">
        <f t="array" aca="1" ref="K25" ca="1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>3575</v>
      </c>
      <c r="L25" s="59" cm="1">
        <f t="array" aca="1" ref="L25" ca="1">IF(OR(isHeader,IsEmpty),"",
    INDEX('Budget Planning'!$E:$DY,rowID,
            MATCH(IF(selectedPeriod="Total Year", selectedYear, DATE(selectedYear,selectedPeriod,1)), 'Budget Planning'!$E$23:$DY$23,0)))</f>
        <v>1400</v>
      </c>
      <c r="M25" s="58" cm="1">
        <f t="array" ref="M25">IF(isCat,
IF(headerRowID=incomeHeaderRow,MATCH(incomeMinRow,$C:$C,0),
IF(headerRowID=expensesHeaderRow,MATCH(expensesMinRow,$C:$C,0),
IF(headerRowID=savingsHeaderRow,MATCH(savingsMinRow,$C:$C,0),""))),"")</f>
        <v>20</v>
      </c>
      <c r="N25" s="59" cm="1">
        <f t="array" ref="N25">IF(isCat,
IF(headerRowID=incomeHeaderRow,MATCH(incomeMaxRow,$C:$C,0),
IF(headerRowID=expensesHeaderRow,MATCH(expensesMaxRow,$C:$C,0),
IF(headerRowID=savingsHeaderRow,MATCH(savingsMaxRow,$C:$C,0),""))),"")</f>
        <v>31</v>
      </c>
      <c r="O25" s="58" t="str">
        <f t="shared" si="3"/>
        <v>$K$20:$K$31</v>
      </c>
      <c r="P25">
        <f t="shared" ca="1" si="4"/>
        <v>2</v>
      </c>
      <c r="Q25" t="str">
        <f t="shared" si="5"/>
        <v>$L$20:$L$31</v>
      </c>
      <c r="R25" s="59">
        <f t="shared" ca="1" si="6"/>
        <v>4</v>
      </c>
      <c r="S25" s="58">
        <f t="shared" ca="1" si="7"/>
        <v>24</v>
      </c>
      <c r="T25" t="str">
        <f t="shared" si="8"/>
        <v>$S$20:$S$31</v>
      </c>
      <c r="U25">
        <f t="shared" ca="1" si="9"/>
        <v>2</v>
      </c>
      <c r="V25" t="str">
        <f t="shared" si="10"/>
        <v>$U$20:$U$25</v>
      </c>
      <c r="W25">
        <f t="shared" ca="1" si="11"/>
        <v>2</v>
      </c>
      <c r="X25" s="66">
        <f t="shared" ca="1" si="12"/>
        <v>25</v>
      </c>
      <c r="Y25" s="70" t="str">
        <f t="shared" ca="1" si="13"/>
        <v>Utilities</v>
      </c>
      <c r="Z25" s="72">
        <f t="shared" ca="1" si="14"/>
        <v>726</v>
      </c>
      <c r="AA25" s="72">
        <f t="shared" ca="1" si="15"/>
        <v>800</v>
      </c>
      <c r="AB25" s="71">
        <f t="shared" ca="1" si="16"/>
        <v>0.90749999999999997</v>
      </c>
      <c r="AC25" s="72">
        <f t="shared" ca="1" si="17"/>
        <v>74</v>
      </c>
      <c r="AD25" s="72">
        <f t="shared" ca="1" si="18"/>
        <v>0</v>
      </c>
      <c r="AF25" s="58"/>
      <c r="AK25" s="59"/>
      <c r="AM25" s="58"/>
      <c r="AR25" s="59"/>
    </row>
    <row r="26" spans="3:44" x14ac:dyDescent="0.2">
      <c r="C26" s="58" cm="1">
        <f t="array" ref="C26">IF(C25=-1,-1,
   IF(C25&lt;incomeMaxRow,  C25+1,
    IF(C25=incomeMaxRow,   incomeTotalRow,
     IF(C25=incomeTotalRow,   "/1",
      IF(C25="/1",   expensesHeaderRow,
       IF(C25&lt;expensesMaxRow,   C25+1,
        IF(C25=expensesMaxRow,   expensesTotalRow,
         IF(C25=expensesTotalRow, "/2",
          IF(C25="/2", savingsHeaderRow,
           IF(C25&lt;savingsMaxRow, C25+1,
            IF(C25=savingsMaxRow,savingsTotalRow,-1)))))))))))</f>
        <v>30</v>
      </c>
      <c r="D26" s="59">
        <f t="shared" si="0"/>
        <v>23</v>
      </c>
      <c r="E26" s="58" cm="1">
        <f t="array" ref="E26">1*OR(rowID=incomeHeaderRow,rowID=expensesHeaderRow,rowID=savingsHeaderRow)</f>
        <v>0</v>
      </c>
      <c r="F26">
        <f t="shared" si="1"/>
        <v>1</v>
      </c>
      <c r="G26" cm="1">
        <f t="array" ref="G26">1*OR(rowID=incomeTotalRow,rowID=expensesTotalRow,rowID=savingsTotalRow)</f>
        <v>0</v>
      </c>
      <c r="H26" s="59">
        <f t="shared" si="2"/>
        <v>0</v>
      </c>
      <c r="I26" s="58" t="str" cm="1">
        <f t="array" ref="I26">IFERROR(INDEX('Budget Planning'!$C:$C,headerRowID),"")</f>
        <v>Expenses</v>
      </c>
      <c r="J26" t="str" cm="1">
        <f t="array" ref="J26">IFERROR(INDEX('Budget Planning'!$C:$C,rowID),"")</f>
        <v>Clothing</v>
      </c>
      <c r="K26" s="41" cm="1">
        <f t="array" aca="1" ref="K26" ca="1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>0</v>
      </c>
      <c r="L26" s="59" cm="1">
        <f t="array" aca="1" ref="L26" ca="1">IF(OR(isHeader,IsEmpty),"",
    INDEX('Budget Planning'!$E:$DY,rowID,
            MATCH(IF(selectedPeriod="Total Year", selectedYear, DATE(selectedYear,selectedPeriod,1)), 'Budget Planning'!$E$23:$DY$23,0)))</f>
        <v>0</v>
      </c>
      <c r="M26" s="58" cm="1">
        <f t="array" ref="M26">IF(isCat,
IF(headerRowID=incomeHeaderRow,MATCH(incomeMinRow,$C:$C,0),
IF(headerRowID=expensesHeaderRow,MATCH(expensesMinRow,$C:$C,0),
IF(headerRowID=savingsHeaderRow,MATCH(savingsMinRow,$C:$C,0),""))),"")</f>
        <v>20</v>
      </c>
      <c r="N26" s="59" cm="1">
        <f t="array" ref="N26">IF(isCat,
IF(headerRowID=incomeHeaderRow,MATCH(incomeMaxRow,$C:$C,0),
IF(headerRowID=expensesHeaderRow,MATCH(expensesMaxRow,$C:$C,0),
IF(headerRowID=savingsHeaderRow,MATCH(savingsMaxRow,$C:$C,0),""))),"")</f>
        <v>31</v>
      </c>
      <c r="O26" s="58" t="str">
        <f t="shared" si="3"/>
        <v>$K$20:$K$31</v>
      </c>
      <c r="P26">
        <f t="shared" ca="1" si="4"/>
        <v>8</v>
      </c>
      <c r="Q26" t="str">
        <f t="shared" si="5"/>
        <v>$L$20:$L$31</v>
      </c>
      <c r="R26" s="59">
        <f t="shared" ca="1" si="6"/>
        <v>8</v>
      </c>
      <c r="S26" s="58">
        <f t="shared" ca="1" si="7"/>
        <v>88</v>
      </c>
      <c r="T26" t="str">
        <f t="shared" si="8"/>
        <v>$S$20:$S$31</v>
      </c>
      <c r="U26">
        <f t="shared" ca="1" si="9"/>
        <v>10</v>
      </c>
      <c r="V26" t="str">
        <f t="shared" si="10"/>
        <v>$U$20:$U$26</v>
      </c>
      <c r="W26">
        <f t="shared" ca="1" si="11"/>
        <v>11</v>
      </c>
      <c r="X26" s="66">
        <f t="shared" ca="1" si="12"/>
        <v>34</v>
      </c>
      <c r="Y26" s="70" t="str">
        <f t="shared" ca="1" si="13"/>
        <v>Dates</v>
      </c>
      <c r="Z26" s="72">
        <f t="shared" ca="1" si="14"/>
        <v>360</v>
      </c>
      <c r="AA26" s="72">
        <f t="shared" ca="1" si="15"/>
        <v>0</v>
      </c>
      <c r="AB26" s="71" t="str">
        <f t="shared" ca="1" si="16"/>
        <v>-</v>
      </c>
      <c r="AC26" s="72">
        <f t="shared" ca="1" si="17"/>
        <v>0</v>
      </c>
      <c r="AD26" s="72">
        <f t="shared" ca="1" si="18"/>
        <v>360</v>
      </c>
      <c r="AF26" s="58"/>
      <c r="AK26" s="59"/>
      <c r="AM26" s="58"/>
      <c r="AR26" s="59"/>
    </row>
    <row r="27" spans="3:44" x14ac:dyDescent="0.2">
      <c r="C27" s="58" cm="1">
        <f t="array" ref="C27">IF(C26=-1,-1,
   IF(C26&lt;incomeMaxRow,  C26+1,
    IF(C26=incomeMaxRow,   incomeTotalRow,
     IF(C26=incomeTotalRow,   "/1",
      IF(C26="/1",   expensesHeaderRow,
       IF(C26&lt;expensesMaxRow,   C26+1,
        IF(C26=expensesMaxRow,   expensesTotalRow,
         IF(C26=expensesTotalRow, "/2",
          IF(C26="/2", savingsHeaderRow,
           IF(C26&lt;savingsMaxRow, C26+1,
            IF(C26=savingsMaxRow,savingsTotalRow,-1)))))))))))</f>
        <v>31</v>
      </c>
      <c r="D27" s="59">
        <f t="shared" si="0"/>
        <v>23</v>
      </c>
      <c r="E27" s="58" cm="1">
        <f t="array" ref="E27">1*OR(rowID=incomeHeaderRow,rowID=expensesHeaderRow,rowID=savingsHeaderRow)</f>
        <v>0</v>
      </c>
      <c r="F27">
        <f t="shared" si="1"/>
        <v>1</v>
      </c>
      <c r="G27" cm="1">
        <f t="array" ref="G27">1*OR(rowID=incomeTotalRow,rowID=expensesTotalRow,rowID=savingsTotalRow)</f>
        <v>0</v>
      </c>
      <c r="H27" s="59">
        <f t="shared" si="2"/>
        <v>0</v>
      </c>
      <c r="I27" s="58" t="str" cm="1">
        <f t="array" ref="I27">IFERROR(INDEX('Budget Planning'!$C:$C,headerRowID),"")</f>
        <v>Expenses</v>
      </c>
      <c r="J27" t="str" cm="1">
        <f t="array" ref="J27">IFERROR(INDEX('Budget Planning'!$C:$C,rowID),"")</f>
        <v>Body care &amp; Medicine</v>
      </c>
      <c r="K27" s="41" cm="1">
        <f t="array" aca="1" ref="K27" ca="1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>0</v>
      </c>
      <c r="L27" s="59" cm="1">
        <f t="array" aca="1" ref="L27" ca="1">IF(OR(isHeader,IsEmpty),"",
    INDEX('Budget Planning'!$E:$DY,rowID,
            MATCH(IF(selectedPeriod="Total Year", selectedYear, DATE(selectedYear,selectedPeriod,1)), 'Budget Planning'!$E$23:$DY$23,0)))</f>
        <v>600</v>
      </c>
      <c r="M27" s="58" cm="1">
        <f t="array" ref="M27">IF(isCat,
IF(headerRowID=incomeHeaderRow,MATCH(incomeMinRow,$C:$C,0),
IF(headerRowID=expensesHeaderRow,MATCH(expensesMinRow,$C:$C,0),
IF(headerRowID=savingsHeaderRow,MATCH(savingsMinRow,$C:$C,0),""))),"")</f>
        <v>20</v>
      </c>
      <c r="N27" s="59" cm="1">
        <f t="array" ref="N27">IF(isCat,
IF(headerRowID=incomeHeaderRow,MATCH(incomeMaxRow,$C:$C,0),
IF(headerRowID=expensesHeaderRow,MATCH(expensesMaxRow,$C:$C,0),
IF(headerRowID=savingsHeaderRow,MATCH(savingsMaxRow,$C:$C,0),""))),"")</f>
        <v>31</v>
      </c>
      <c r="O27" s="58" t="str">
        <f t="shared" si="3"/>
        <v>$K$20:$K$31</v>
      </c>
      <c r="P27">
        <f t="shared" ca="1" si="4"/>
        <v>8</v>
      </c>
      <c r="Q27" t="str">
        <f t="shared" si="5"/>
        <v>$L$20:$L$31</v>
      </c>
      <c r="R27" s="59">
        <f t="shared" ca="1" si="6"/>
        <v>6</v>
      </c>
      <c r="S27" s="58">
        <f t="shared" ca="1" si="7"/>
        <v>86</v>
      </c>
      <c r="T27" t="str">
        <f t="shared" si="8"/>
        <v>$S$20:$S$31</v>
      </c>
      <c r="U27">
        <f t="shared" ca="1" si="9"/>
        <v>8</v>
      </c>
      <c r="V27" t="str">
        <f t="shared" si="10"/>
        <v>$U$20:$U$27</v>
      </c>
      <c r="W27">
        <f t="shared" ca="1" si="11"/>
        <v>8</v>
      </c>
      <c r="X27" s="66">
        <f t="shared" ca="1" si="12"/>
        <v>31</v>
      </c>
      <c r="Y27" s="70" t="str">
        <f t="shared" ca="1" si="13"/>
        <v>Body care &amp; Medicine</v>
      </c>
      <c r="Z27" s="72">
        <f t="shared" ca="1" si="14"/>
        <v>0</v>
      </c>
      <c r="AA27" s="72">
        <f t="shared" ca="1" si="15"/>
        <v>600</v>
      </c>
      <c r="AB27" s="71">
        <f t="shared" ca="1" si="16"/>
        <v>0</v>
      </c>
      <c r="AC27" s="72">
        <f t="shared" ca="1" si="17"/>
        <v>600</v>
      </c>
      <c r="AD27" s="72">
        <f t="shared" ca="1" si="18"/>
        <v>0</v>
      </c>
      <c r="AF27" s="58"/>
      <c r="AK27" s="59"/>
      <c r="AM27" s="58"/>
      <c r="AR27" s="59"/>
    </row>
    <row r="28" spans="3:44" x14ac:dyDescent="0.2">
      <c r="C28" s="58" cm="1">
        <f t="array" ref="C28">IF(C27=-1,-1,
   IF(C27&lt;incomeMaxRow,  C27+1,
    IF(C27=incomeMaxRow,   incomeTotalRow,
     IF(C27=incomeTotalRow,   "/1",
      IF(C27="/1",   expensesHeaderRow,
       IF(C27&lt;expensesMaxRow,   C27+1,
        IF(C27=expensesMaxRow,   expensesTotalRow,
         IF(C27=expensesTotalRow, "/2",
          IF(C27="/2", savingsHeaderRow,
           IF(C27&lt;savingsMaxRow, C27+1,
            IF(C27=savingsMaxRow,savingsTotalRow,-1)))))))))))</f>
        <v>32</v>
      </c>
      <c r="D28" s="59">
        <f t="shared" si="0"/>
        <v>23</v>
      </c>
      <c r="E28" s="58" cm="1">
        <f t="array" ref="E28">1*OR(rowID=incomeHeaderRow,rowID=expensesHeaderRow,rowID=savingsHeaderRow)</f>
        <v>0</v>
      </c>
      <c r="F28">
        <f t="shared" si="1"/>
        <v>1</v>
      </c>
      <c r="G28" cm="1">
        <f t="array" ref="G28">1*OR(rowID=incomeTotalRow,rowID=expensesTotalRow,rowID=savingsTotalRow)</f>
        <v>0</v>
      </c>
      <c r="H28" s="59">
        <f t="shared" si="2"/>
        <v>0</v>
      </c>
      <c r="I28" s="58" t="str" cm="1">
        <f t="array" ref="I28">IFERROR(INDEX('Budget Planning'!$C:$C,headerRowID),"")</f>
        <v>Expenses</v>
      </c>
      <c r="J28" t="str" cm="1">
        <f t="array" ref="J28">IFERROR(INDEX('Budget Planning'!$C:$C,rowID),"")</f>
        <v>FastFoods</v>
      </c>
      <c r="K28" s="41" cm="1">
        <f t="array" aca="1" ref="K28" ca="1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>1415</v>
      </c>
      <c r="L28" s="59" cm="1">
        <f t="array" aca="1" ref="L28" ca="1">IF(OR(isHeader,IsEmpty),"",
    INDEX('Budget Planning'!$E:$DY,rowID,
            MATCH(IF(selectedPeriod="Total Year", selectedYear, DATE(selectedYear,selectedPeriod,1)), 'Budget Planning'!$E$23:$DY$23,0)))</f>
        <v>0</v>
      </c>
      <c r="M28" s="58" cm="1">
        <f t="array" ref="M28">IF(isCat,
IF(headerRowID=incomeHeaderRow,MATCH(incomeMinRow,$C:$C,0),
IF(headerRowID=expensesHeaderRow,MATCH(expensesMinRow,$C:$C,0),
IF(headerRowID=savingsHeaderRow,MATCH(savingsMinRow,$C:$C,0),""))),"")</f>
        <v>20</v>
      </c>
      <c r="N28" s="59" cm="1">
        <f t="array" ref="N28">IF(isCat,
IF(headerRowID=incomeHeaderRow,MATCH(incomeMaxRow,$C:$C,0),
IF(headerRowID=expensesHeaderRow,MATCH(expensesMaxRow,$C:$C,0),
IF(headerRowID=savingsHeaderRow,MATCH(savingsMaxRow,$C:$C,0),""))),"")</f>
        <v>31</v>
      </c>
      <c r="O28" s="58" t="str">
        <f t="shared" si="3"/>
        <v>$K$20:$K$31</v>
      </c>
      <c r="P28">
        <f t="shared" ca="1" si="4"/>
        <v>5</v>
      </c>
      <c r="Q28" t="str">
        <f t="shared" si="5"/>
        <v>$L$20:$L$31</v>
      </c>
      <c r="R28" s="59">
        <f t="shared" ca="1" si="6"/>
        <v>8</v>
      </c>
      <c r="S28" s="58">
        <f t="shared" ca="1" si="7"/>
        <v>58</v>
      </c>
      <c r="T28" t="str">
        <f t="shared" si="8"/>
        <v>$S$20:$S$31</v>
      </c>
      <c r="U28">
        <f t="shared" ca="1" si="9"/>
        <v>5</v>
      </c>
      <c r="V28" t="str">
        <f t="shared" si="10"/>
        <v>$U$20:$U$28</v>
      </c>
      <c r="W28">
        <f t="shared" ca="1" si="11"/>
        <v>5</v>
      </c>
      <c r="X28" s="66">
        <f t="shared" ca="1" si="12"/>
        <v>28</v>
      </c>
      <c r="Y28" s="70" t="str">
        <f t="shared" ca="1" si="13"/>
        <v>Coffee</v>
      </c>
      <c r="Z28" s="72">
        <f t="shared" ca="1" si="14"/>
        <v>0</v>
      </c>
      <c r="AA28" s="72">
        <f t="shared" ca="1" si="15"/>
        <v>500</v>
      </c>
      <c r="AB28" s="71">
        <f t="shared" ca="1" si="16"/>
        <v>0</v>
      </c>
      <c r="AC28" s="72">
        <f t="shared" ca="1" si="17"/>
        <v>500</v>
      </c>
      <c r="AD28" s="72">
        <f t="shared" ca="1" si="18"/>
        <v>0</v>
      </c>
      <c r="AF28" s="78"/>
      <c r="AG28" s="79"/>
      <c r="AH28" s="79"/>
      <c r="AI28" s="79"/>
      <c r="AJ28" s="79"/>
      <c r="AK28" s="80"/>
      <c r="AM28" s="78"/>
      <c r="AN28" s="79"/>
      <c r="AO28" s="79"/>
      <c r="AP28" s="79"/>
      <c r="AQ28" s="79"/>
      <c r="AR28" s="80"/>
    </row>
    <row r="29" spans="3:44" x14ac:dyDescent="0.2">
      <c r="C29" s="58" cm="1">
        <f t="array" ref="C29">IF(C28=-1,-1,
   IF(C28&lt;incomeMaxRow,  C28+1,
    IF(C28=incomeMaxRow,   incomeTotalRow,
     IF(C28=incomeTotalRow,   "/1",
      IF(C28="/1",   expensesHeaderRow,
       IF(C28&lt;expensesMaxRow,   C28+1,
        IF(C28=expensesMaxRow,   expensesTotalRow,
         IF(C28=expensesTotalRow, "/2",
          IF(C28="/2", savingsHeaderRow,
           IF(C28&lt;savingsMaxRow, C28+1,
            IF(C28=savingsMaxRow,savingsTotalRow,-1)))))))))))</f>
        <v>33</v>
      </c>
      <c r="D29" s="59">
        <f t="shared" si="0"/>
        <v>23</v>
      </c>
      <c r="E29" s="58" cm="1">
        <f t="array" ref="E29">1*OR(rowID=incomeHeaderRow,rowID=expensesHeaderRow,rowID=savingsHeaderRow)</f>
        <v>0</v>
      </c>
      <c r="F29">
        <f t="shared" si="1"/>
        <v>1</v>
      </c>
      <c r="G29" cm="1">
        <f t="array" ref="G29">1*OR(rowID=incomeTotalRow,rowID=expensesTotalRow,rowID=savingsTotalRow)</f>
        <v>0</v>
      </c>
      <c r="H29" s="59">
        <f t="shared" si="2"/>
        <v>0</v>
      </c>
      <c r="I29" s="58" t="str" cm="1">
        <f t="array" ref="I29">IFERROR(INDEX('Budget Planning'!$C:$C,headerRowID),"")</f>
        <v>Expenses</v>
      </c>
      <c r="J29" t="str" cm="1">
        <f t="array" ref="J29">IFERROR(INDEX('Budget Planning'!$C:$C,rowID),"")</f>
        <v>School/Study</v>
      </c>
      <c r="K29" s="41" cm="1">
        <f t="array" aca="1" ref="K29" ca="1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>0</v>
      </c>
      <c r="L29" s="59" cm="1">
        <f t="array" aca="1" ref="L29" ca="1">IF(OR(isHeader,IsEmpty),"",
    INDEX('Budget Planning'!$E:$DY,rowID,
            MATCH(IF(selectedPeriod="Total Year", selectedYear, DATE(selectedYear,selectedPeriod,1)), 'Budget Planning'!$E$23:$DY$23,0)))</f>
        <v>0</v>
      </c>
      <c r="M29" s="58" cm="1">
        <f t="array" ref="M29">IF(isCat,
IF(headerRowID=incomeHeaderRow,MATCH(incomeMinRow,$C:$C,0),
IF(headerRowID=expensesHeaderRow,MATCH(expensesMinRow,$C:$C,0),
IF(headerRowID=savingsHeaderRow,MATCH(savingsMinRow,$C:$C,0),""))),"")</f>
        <v>20</v>
      </c>
      <c r="N29" s="59" cm="1">
        <f t="array" ref="N29">IF(isCat,
IF(headerRowID=incomeHeaderRow,MATCH(incomeMaxRow,$C:$C,0),
IF(headerRowID=expensesHeaderRow,MATCH(expensesMaxRow,$C:$C,0),
IF(headerRowID=savingsHeaderRow,MATCH(savingsMaxRow,$C:$C,0),""))),"")</f>
        <v>31</v>
      </c>
      <c r="O29" s="58" t="str">
        <f t="shared" si="3"/>
        <v>$K$20:$K$31</v>
      </c>
      <c r="P29">
        <f t="shared" ca="1" si="4"/>
        <v>8</v>
      </c>
      <c r="Q29" t="str">
        <f t="shared" si="5"/>
        <v>$L$20:$L$31</v>
      </c>
      <c r="R29" s="59">
        <f t="shared" ca="1" si="6"/>
        <v>8</v>
      </c>
      <c r="S29" s="58">
        <f t="shared" ca="1" si="7"/>
        <v>88</v>
      </c>
      <c r="T29" t="str">
        <f t="shared" si="8"/>
        <v>$S$20:$S$31</v>
      </c>
      <c r="U29">
        <f t="shared" ca="1" si="9"/>
        <v>10</v>
      </c>
      <c r="V29" t="str">
        <f t="shared" si="10"/>
        <v>$U$20:$U$29</v>
      </c>
      <c r="W29">
        <f t="shared" ca="1" si="11"/>
        <v>12</v>
      </c>
      <c r="X29" s="66">
        <f t="shared" ca="1" si="12"/>
        <v>35</v>
      </c>
      <c r="Y29" s="70" t="str">
        <f t="shared" ca="1" si="13"/>
        <v>Transport</v>
      </c>
      <c r="Z29" s="72">
        <f t="shared" ca="1" si="14"/>
        <v>0</v>
      </c>
      <c r="AA29" s="72">
        <f t="shared" ca="1" si="15"/>
        <v>0</v>
      </c>
      <c r="AB29" s="71" t="str">
        <f t="shared" ca="1" si="16"/>
        <v>-</v>
      </c>
      <c r="AC29" s="72">
        <f t="shared" ca="1" si="17"/>
        <v>0</v>
      </c>
      <c r="AD29" s="72">
        <f t="shared" ca="1" si="18"/>
        <v>0</v>
      </c>
    </row>
    <row r="30" spans="3:44" x14ac:dyDescent="0.2">
      <c r="C30" s="58" cm="1">
        <f t="array" ref="C30">IF(C29=-1,-1,
   IF(C29&lt;incomeMaxRow,  C29+1,
    IF(C29=incomeMaxRow,   incomeTotalRow,
     IF(C29=incomeTotalRow,   "/1",
      IF(C29="/1",   expensesHeaderRow,
       IF(C29&lt;expensesMaxRow,   C29+1,
        IF(C29=expensesMaxRow,   expensesTotalRow,
         IF(C29=expensesTotalRow, "/2",
          IF(C29="/2", savingsHeaderRow,
           IF(C29&lt;savingsMaxRow, C29+1,
            IF(C29=savingsMaxRow,savingsTotalRow,-1)))))))))))</f>
        <v>34</v>
      </c>
      <c r="D30" s="59">
        <f t="shared" si="0"/>
        <v>23</v>
      </c>
      <c r="E30" s="58" cm="1">
        <f t="array" ref="E30">1*OR(rowID=incomeHeaderRow,rowID=expensesHeaderRow,rowID=savingsHeaderRow)</f>
        <v>0</v>
      </c>
      <c r="F30">
        <f t="shared" si="1"/>
        <v>1</v>
      </c>
      <c r="G30" cm="1">
        <f t="array" ref="G30">1*OR(rowID=incomeTotalRow,rowID=expensesTotalRow,rowID=savingsTotalRow)</f>
        <v>0</v>
      </c>
      <c r="H30" s="59">
        <f t="shared" si="2"/>
        <v>0</v>
      </c>
      <c r="I30" s="58" t="str" cm="1">
        <f t="array" ref="I30">IFERROR(INDEX('Budget Planning'!$C:$C,headerRowID),"")</f>
        <v>Expenses</v>
      </c>
      <c r="J30" t="str" cm="1">
        <f t="array" ref="J30">IFERROR(INDEX('Budget Planning'!$C:$C,rowID),"")</f>
        <v>Gym</v>
      </c>
      <c r="K30" s="41" cm="1">
        <f t="array" aca="1" ref="K30" ca="1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>2490</v>
      </c>
      <c r="L30" s="59" cm="1">
        <f t="array" aca="1" ref="L30" ca="1">IF(OR(isHeader,IsEmpty),"",
    INDEX('Budget Planning'!$E:$DY,rowID,
            MATCH(IF(selectedPeriod="Total Year", selectedYear, DATE(selectedYear,selectedPeriod,1)), 'Budget Planning'!$E$23:$DY$23,0)))</f>
        <v>1690</v>
      </c>
      <c r="M30" s="58" cm="1">
        <f t="array" ref="M30">IF(isCat,
IF(headerRowID=incomeHeaderRow,MATCH(incomeMinRow,$C:$C,0),
IF(headerRowID=expensesHeaderRow,MATCH(expensesMinRow,$C:$C,0),
IF(headerRowID=savingsHeaderRow,MATCH(savingsMinRow,$C:$C,0),""))),"")</f>
        <v>20</v>
      </c>
      <c r="N30" s="59" cm="1">
        <f t="array" ref="N30">IF(isCat,
IF(headerRowID=incomeHeaderRow,MATCH(incomeMaxRow,$C:$C,0),
IF(headerRowID=expensesHeaderRow,MATCH(expensesMaxRow,$C:$C,0),
IF(headerRowID=savingsHeaderRow,MATCH(savingsMaxRow,$C:$C,0),""))),"")</f>
        <v>31</v>
      </c>
      <c r="O30" s="58" t="str">
        <f t="shared" si="3"/>
        <v>$K$20:$K$31</v>
      </c>
      <c r="P30">
        <f t="shared" ca="1" si="4"/>
        <v>3</v>
      </c>
      <c r="Q30" t="str">
        <f t="shared" si="5"/>
        <v>$L$20:$L$31</v>
      </c>
      <c r="R30" s="59">
        <f t="shared" ca="1" si="6"/>
        <v>3</v>
      </c>
      <c r="S30" s="58">
        <f t="shared" ca="1" si="7"/>
        <v>33</v>
      </c>
      <c r="T30" t="str">
        <f t="shared" si="8"/>
        <v>$S$20:$S$31</v>
      </c>
      <c r="U30">
        <f t="shared" ca="1" si="9"/>
        <v>3</v>
      </c>
      <c r="V30" t="str">
        <f t="shared" si="10"/>
        <v>$U$20:$U$30</v>
      </c>
      <c r="W30">
        <f t="shared" ca="1" si="11"/>
        <v>3</v>
      </c>
      <c r="X30" s="66">
        <f t="shared" ca="1" si="12"/>
        <v>26</v>
      </c>
      <c r="Y30" s="70" t="str">
        <f t="shared" ca="1" si="13"/>
        <v>Clothing</v>
      </c>
      <c r="Z30" s="72">
        <f t="shared" ca="1" si="14"/>
        <v>0</v>
      </c>
      <c r="AA30" s="72">
        <f t="shared" ca="1" si="15"/>
        <v>0</v>
      </c>
      <c r="AB30" s="71" t="str">
        <f t="shared" ca="1" si="16"/>
        <v>-</v>
      </c>
      <c r="AC30" s="72">
        <f t="shared" ca="1" si="17"/>
        <v>0</v>
      </c>
      <c r="AD30" s="72">
        <f t="shared" ca="1" si="18"/>
        <v>0</v>
      </c>
    </row>
    <row r="31" spans="3:44" x14ac:dyDescent="0.2">
      <c r="C31" s="58" cm="1">
        <f t="array" ref="C31">IF(C30=-1,-1,
   IF(C30&lt;incomeMaxRow,  C30+1,
    IF(C30=incomeMaxRow,   incomeTotalRow,
     IF(C30=incomeTotalRow,   "/1",
      IF(C30="/1",   expensesHeaderRow,
       IF(C30&lt;expensesMaxRow,   C30+1,
        IF(C30=expensesMaxRow,   expensesTotalRow,
         IF(C30=expensesTotalRow, "/2",
          IF(C30="/2", savingsHeaderRow,
           IF(C30&lt;savingsMaxRow, C30+1,
            IF(C30=savingsMaxRow,savingsTotalRow,-1)))))))))))</f>
        <v>35</v>
      </c>
      <c r="D31" s="59">
        <f t="shared" si="0"/>
        <v>23</v>
      </c>
      <c r="E31" s="58" cm="1">
        <f t="array" ref="E31">1*OR(rowID=incomeHeaderRow,rowID=expensesHeaderRow,rowID=savingsHeaderRow)</f>
        <v>0</v>
      </c>
      <c r="F31">
        <f t="shared" si="1"/>
        <v>1</v>
      </c>
      <c r="G31" cm="1">
        <f t="array" ref="G31">1*OR(rowID=incomeTotalRow,rowID=expensesTotalRow,rowID=savingsTotalRow)</f>
        <v>0</v>
      </c>
      <c r="H31" s="59">
        <f t="shared" si="2"/>
        <v>0</v>
      </c>
      <c r="I31" s="58" t="str" cm="1">
        <f t="array" ref="I31">IFERROR(INDEX('Budget Planning'!$C:$C,headerRowID),"")</f>
        <v>Expenses</v>
      </c>
      <c r="J31" t="str" cm="1">
        <f t="array" ref="J31">IFERROR(INDEX('Budget Planning'!$C:$C,rowID),"")</f>
        <v>Coffee</v>
      </c>
      <c r="K31" s="41" cm="1">
        <f t="array" aca="1" ref="K31" ca="1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>0</v>
      </c>
      <c r="L31" s="59" cm="1">
        <f t="array" aca="1" ref="L31" ca="1">IF(OR(isHeader,IsEmpty),"",
    INDEX('Budget Planning'!$E:$DY,rowID,
            MATCH(IF(selectedPeriod="Total Year", selectedYear, DATE(selectedYear,selectedPeriod,1)), 'Budget Planning'!$E$23:$DY$23,0)))</f>
        <v>500</v>
      </c>
      <c r="M31" s="58" cm="1">
        <f t="array" ref="M31">IF(isCat,
IF(headerRowID=incomeHeaderRow,MATCH(incomeMinRow,$C:$C,0),
IF(headerRowID=expensesHeaderRow,MATCH(expensesMinRow,$C:$C,0),
IF(headerRowID=savingsHeaderRow,MATCH(savingsMinRow,$C:$C,0),""))),"")</f>
        <v>20</v>
      </c>
      <c r="N31" s="59" cm="1">
        <f t="array" ref="N31">IF(isCat,
IF(headerRowID=incomeHeaderRow,MATCH(incomeMaxRow,$C:$C,0),
IF(headerRowID=expensesHeaderRow,MATCH(expensesMaxRow,$C:$C,0),
IF(headerRowID=savingsHeaderRow,MATCH(savingsMaxRow,$C:$C,0),""))),"")</f>
        <v>31</v>
      </c>
      <c r="O31" s="58" t="str">
        <f t="shared" si="3"/>
        <v>$K$20:$K$31</v>
      </c>
      <c r="P31">
        <f t="shared" ca="1" si="4"/>
        <v>8</v>
      </c>
      <c r="Q31" t="str">
        <f t="shared" si="5"/>
        <v>$L$20:$L$31</v>
      </c>
      <c r="R31" s="59">
        <f t="shared" ca="1" si="6"/>
        <v>7</v>
      </c>
      <c r="S31" s="58">
        <f t="shared" ca="1" si="7"/>
        <v>87</v>
      </c>
      <c r="T31" t="str">
        <f t="shared" si="8"/>
        <v>$S$20:$S$31</v>
      </c>
      <c r="U31">
        <f t="shared" ca="1" si="9"/>
        <v>9</v>
      </c>
      <c r="V31" t="str">
        <f t="shared" si="10"/>
        <v>$U$20:$U$31</v>
      </c>
      <c r="W31">
        <f t="shared" ca="1" si="11"/>
        <v>9</v>
      </c>
      <c r="X31" s="66">
        <f t="shared" ca="1" si="12"/>
        <v>32</v>
      </c>
      <c r="Y31" s="70" t="str">
        <f t="shared" ca="1" si="13"/>
        <v>School/Study</v>
      </c>
      <c r="Z31" s="72">
        <f t="shared" ca="1" si="14"/>
        <v>0</v>
      </c>
      <c r="AA31" s="72">
        <f t="shared" ca="1" si="15"/>
        <v>0</v>
      </c>
      <c r="AB31" s="71" t="str">
        <f t="shared" ca="1" si="16"/>
        <v>-</v>
      </c>
      <c r="AC31" s="72">
        <f t="shared" ca="1" si="17"/>
        <v>0</v>
      </c>
      <c r="AD31" s="72">
        <f t="shared" ca="1" si="18"/>
        <v>0</v>
      </c>
      <c r="AF31" s="75"/>
      <c r="AG31" s="76"/>
      <c r="AH31" s="76"/>
      <c r="AI31" s="76"/>
      <c r="AJ31" s="76"/>
      <c r="AK31" s="77"/>
      <c r="AM31" s="75"/>
      <c r="AN31" s="76"/>
      <c r="AO31" s="76"/>
      <c r="AP31" s="76"/>
      <c r="AQ31" s="76"/>
      <c r="AR31" s="77"/>
    </row>
    <row r="32" spans="3:44" x14ac:dyDescent="0.2">
      <c r="C32" s="58" cm="1">
        <f t="array" ref="C32">IF(C31=-1,-1,
   IF(C31&lt;incomeMaxRow,  C31+1,
    IF(C31=incomeMaxRow,   incomeTotalRow,
     IF(C31=incomeTotalRow,   "/1",
      IF(C31="/1",   expensesHeaderRow,
       IF(C31&lt;expensesMaxRow,   C31+1,
        IF(C31=expensesMaxRow,   expensesTotalRow,
         IF(C31=expensesTotalRow, "/2",
          IF(C31="/2", savingsHeaderRow,
           IF(C31&lt;savingsMaxRow, C31+1,
            IF(C31=savingsMaxRow,savingsTotalRow,-1)))))))))))</f>
        <v>52</v>
      </c>
      <c r="D32" s="59">
        <f t="shared" si="0"/>
        <v>23</v>
      </c>
      <c r="E32" s="58" cm="1">
        <f t="array" ref="E32">1*OR(rowID=incomeHeaderRow,rowID=expensesHeaderRow,rowID=savingsHeaderRow)</f>
        <v>0</v>
      </c>
      <c r="F32">
        <f t="shared" si="1"/>
        <v>0</v>
      </c>
      <c r="G32" cm="1">
        <f t="array" ref="G32">1*OR(rowID=incomeTotalRow,rowID=expensesTotalRow,rowID=savingsTotalRow)</f>
        <v>1</v>
      </c>
      <c r="H32" s="59">
        <f t="shared" si="2"/>
        <v>0</v>
      </c>
      <c r="I32" s="58" t="str" cm="1">
        <f t="array" ref="I32">IFERROR(INDEX('Budget Planning'!$C:$C,headerRowID),"")</f>
        <v>Expenses</v>
      </c>
      <c r="J32" t="str" cm="1">
        <f t="array" ref="J32">IFERROR(INDEX('Budget Planning'!$C:$C,rowID),"")</f>
        <v>Total</v>
      </c>
      <c r="K32" s="41" cm="1">
        <f t="array" aca="1" ref="K32" ca="1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>19499</v>
      </c>
      <c r="L32" s="59" cm="1">
        <f t="array" aca="1" ref="L32" ca="1">IF(OR(isHeader,IsEmpty),"",
    INDEX('Budget Planning'!$E:$DY,rowID,
            MATCH(IF(selectedPeriod="Total Year", selectedYear, DATE(selectedYear,selectedPeriod,1)), 'Budget Planning'!$E$23:$DY$23,0)))</f>
        <v>14490</v>
      </c>
      <c r="M32" s="58" t="str" cm="1">
        <f t="array" ref="M32">IF(isCat,
IF(headerRowID=incomeHeaderRow,MATCH(incomeMinRow,$C:$C,0),
IF(headerRowID=expensesHeaderRow,MATCH(expensesMinRow,$C:$C,0),
IF(headerRowID=savingsHeaderRow,MATCH(savingsMinRow,$C:$C,0),""))),"")</f>
        <v/>
      </c>
      <c r="N32" s="59" t="str" cm="1">
        <f t="array" ref="N32">IF(isCat,
IF(headerRowID=incomeHeaderRow,MATCH(incomeMaxRow,$C:$C,0),
IF(headerRowID=expensesHeaderRow,MATCH(expensesMaxRow,$C:$C,0),
IF(headerRowID=savingsHeaderRow,MATCH(savingsMaxRow,$C:$C,0),""))),"")</f>
        <v/>
      </c>
      <c r="O32" s="58" t="str">
        <f t="shared" si="3"/>
        <v/>
      </c>
      <c r="P32" t="str">
        <f t="shared" ca="1" si="4"/>
        <v/>
      </c>
      <c r="Q32" t="str">
        <f t="shared" si="5"/>
        <v/>
      </c>
      <c r="R32" s="59" t="str">
        <f t="shared" ca="1" si="6"/>
        <v/>
      </c>
      <c r="S32" s="58" t="str">
        <f t="shared" si="7"/>
        <v/>
      </c>
      <c r="T32" t="str">
        <f t="shared" si="8"/>
        <v/>
      </c>
      <c r="U32" t="str">
        <f t="shared" ca="1" si="9"/>
        <v/>
      </c>
      <c r="V32" t="str">
        <f t="shared" si="10"/>
        <v/>
      </c>
      <c r="W32" t="str">
        <f t="shared" ca="1" si="11"/>
        <v/>
      </c>
      <c r="X32" s="66">
        <f t="shared" si="12"/>
        <v>52</v>
      </c>
      <c r="Y32" s="70" t="str">
        <f t="shared" ca="1" si="13"/>
        <v>Total</v>
      </c>
      <c r="Z32" s="72">
        <f t="shared" ca="1" si="14"/>
        <v>19499</v>
      </c>
      <c r="AA32" s="72">
        <f t="shared" ca="1" si="15"/>
        <v>14490</v>
      </c>
      <c r="AB32" s="71">
        <f t="shared" ca="1" si="16"/>
        <v>1.3456866804692891</v>
      </c>
      <c r="AC32" s="72">
        <f t="shared" ca="1" si="17"/>
        <v>0</v>
      </c>
      <c r="AD32" s="72">
        <f t="shared" ca="1" si="18"/>
        <v>5009</v>
      </c>
      <c r="AF32" s="58"/>
      <c r="AK32" s="59"/>
      <c r="AM32" s="58"/>
      <c r="AR32" s="59"/>
    </row>
    <row r="33" spans="3:44" x14ac:dyDescent="0.2">
      <c r="C33" s="58" t="str" cm="1">
        <f t="array" ref="C33">IF(C32=-1,-1,
   IF(C32&lt;incomeMaxRow,  C32+1,
    IF(C32=incomeMaxRow,   incomeTotalRow,
     IF(C32=incomeTotalRow,   "/1",
      IF(C32="/1",   expensesHeaderRow,
       IF(C32&lt;expensesMaxRow,   C32+1,
        IF(C32=expensesMaxRow,   expensesTotalRow,
         IF(C32=expensesTotalRow, "/2",
          IF(C32="/2", savingsHeaderRow,
           IF(C32&lt;savingsMaxRow, C32+1,
            IF(C32=savingsMaxRow,savingsTotalRow,-1)))))))))))</f>
        <v>/2</v>
      </c>
      <c r="D33" s="59">
        <f t="shared" si="0"/>
        <v>-1</v>
      </c>
      <c r="E33" s="58" cm="1">
        <f t="array" ref="E33">1*OR(rowID=incomeHeaderRow,rowID=expensesHeaderRow,rowID=savingsHeaderRow)</f>
        <v>0</v>
      </c>
      <c r="F33">
        <f t="shared" si="1"/>
        <v>0</v>
      </c>
      <c r="G33" cm="1">
        <f t="array" ref="G33">1*OR(rowID=incomeTotalRow,rowID=expensesTotalRow,rowID=savingsTotalRow)</f>
        <v>0</v>
      </c>
      <c r="H33" s="59">
        <f t="shared" si="2"/>
        <v>1</v>
      </c>
      <c r="I33" s="58" t="str" cm="1">
        <f t="array" ref="I33">IFERROR(INDEX('Budget Planning'!$C:$C,headerRowID),"")</f>
        <v/>
      </c>
      <c r="J33" t="str" cm="1">
        <f t="array" ref="J33">IFERROR(INDEX('Budget Planning'!$C:$C,rowID),"")</f>
        <v/>
      </c>
      <c r="K33" s="41" t="str" cm="1">
        <f t="array" ref="K33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/>
      </c>
      <c r="L33" s="59" t="str" cm="1">
        <f t="array" ref="L33">IF(OR(isHeader,IsEmpty),"",
    INDEX('Budget Planning'!$E:$DY,rowID,
            MATCH(IF(selectedPeriod="Total Year", selectedYear, DATE(selectedYear,selectedPeriod,1)), 'Budget Planning'!$E$23:$DY$23,0)))</f>
        <v/>
      </c>
      <c r="M33" s="58" t="str" cm="1">
        <f t="array" ref="M33">IF(isCat,
IF(headerRowID=incomeHeaderRow,MATCH(incomeMinRow,$C:$C,0),
IF(headerRowID=expensesHeaderRow,MATCH(expensesMinRow,$C:$C,0),
IF(headerRowID=savingsHeaderRow,MATCH(savingsMinRow,$C:$C,0),""))),"")</f>
        <v/>
      </c>
      <c r="N33" s="59" t="str" cm="1">
        <f t="array" ref="N33">IF(isCat,
IF(headerRowID=incomeHeaderRow,MATCH(incomeMaxRow,$C:$C,0),
IF(headerRowID=expensesHeaderRow,MATCH(expensesMaxRow,$C:$C,0),
IF(headerRowID=savingsHeaderRow,MATCH(savingsMaxRow,$C:$C,0),""))),"")</f>
        <v/>
      </c>
      <c r="O33" s="58" t="str">
        <f t="shared" si="3"/>
        <v/>
      </c>
      <c r="P33" t="str">
        <f t="shared" ca="1" si="4"/>
        <v/>
      </c>
      <c r="Q33" t="str">
        <f t="shared" si="5"/>
        <v/>
      </c>
      <c r="R33" s="59" t="str">
        <f t="shared" ca="1" si="6"/>
        <v/>
      </c>
      <c r="S33" s="58" t="str">
        <f t="shared" si="7"/>
        <v/>
      </c>
      <c r="T33" t="str">
        <f t="shared" si="8"/>
        <v/>
      </c>
      <c r="U33" t="str">
        <f t="shared" ca="1" si="9"/>
        <v/>
      </c>
      <c r="V33" t="str">
        <f t="shared" si="10"/>
        <v/>
      </c>
      <c r="W33" t="str">
        <f t="shared" ca="1" si="11"/>
        <v/>
      </c>
      <c r="X33" s="66" t="str">
        <f t="shared" si="12"/>
        <v>/2</v>
      </c>
      <c r="Y33" s="70" t="str">
        <f t="shared" si="13"/>
        <v/>
      </c>
      <c r="Z33" s="72" t="str">
        <f t="shared" si="14"/>
        <v/>
      </c>
      <c r="AA33" s="72" t="str">
        <f t="shared" si="15"/>
        <v/>
      </c>
      <c r="AB33" s="71" t="str">
        <f t="shared" si="16"/>
        <v/>
      </c>
      <c r="AC33" s="72" t="str">
        <f t="shared" si="17"/>
        <v/>
      </c>
      <c r="AD33" s="72" t="str">
        <f t="shared" si="18"/>
        <v/>
      </c>
      <c r="AF33" s="58"/>
      <c r="AK33" s="59"/>
      <c r="AM33" s="58"/>
      <c r="AR33" s="59"/>
    </row>
    <row r="34" spans="3:44" x14ac:dyDescent="0.2">
      <c r="C34" s="58" cm="1">
        <f t="array" ref="C34">IF(C33=-1,-1,
   IF(C33&lt;incomeMaxRow,  C33+1,
    IF(C33=incomeMaxRow,   incomeTotalRow,
     IF(C33=incomeTotalRow,   "/1",
      IF(C33="/1",   expensesHeaderRow,
       IF(C33&lt;expensesMaxRow,   C33+1,
        IF(C33=expensesMaxRow,   expensesTotalRow,
         IF(C33=expensesTotalRow, "/2",
          IF(C33="/2", savingsHeaderRow,
           IF(C33&lt;savingsMaxRow, C33+1,
            IF(C33=savingsMaxRow,savingsTotalRow,-1)))))))))))</f>
        <v>54</v>
      </c>
      <c r="D34" s="59">
        <f t="shared" si="0"/>
        <v>54</v>
      </c>
      <c r="E34" s="58" cm="1">
        <f t="array" ref="E34">1*OR(rowID=incomeHeaderRow,rowID=expensesHeaderRow,rowID=savingsHeaderRow)</f>
        <v>1</v>
      </c>
      <c r="F34">
        <f t="shared" si="1"/>
        <v>0</v>
      </c>
      <c r="G34" cm="1">
        <f t="array" ref="G34">1*OR(rowID=incomeTotalRow,rowID=expensesTotalRow,rowID=savingsTotalRow)</f>
        <v>0</v>
      </c>
      <c r="H34" s="59">
        <f t="shared" si="2"/>
        <v>0</v>
      </c>
      <c r="I34" s="58" t="str" cm="1">
        <f t="array" ref="I34">IFERROR(INDEX('Budget Planning'!$C:$C,headerRowID),"")</f>
        <v>Savings</v>
      </c>
      <c r="J34" t="str" cm="1">
        <f t="array" ref="J34">IFERROR(INDEX('Budget Planning'!$C:$C,rowID),"")</f>
        <v>Savings</v>
      </c>
      <c r="K34" s="41" t="str" cm="1">
        <f t="array" ref="K34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/>
      </c>
      <c r="L34" s="59" t="str" cm="1">
        <f t="array" ref="L34">IF(OR(isHeader,IsEmpty),"",
    INDEX('Budget Planning'!$E:$DY,rowID,
            MATCH(IF(selectedPeriod="Total Year", selectedYear, DATE(selectedYear,selectedPeriod,1)), 'Budget Planning'!$E$23:$DY$23,0)))</f>
        <v/>
      </c>
      <c r="M34" s="58" t="str" cm="1">
        <f t="array" ref="M34">IF(isCat,
IF(headerRowID=incomeHeaderRow,MATCH(incomeMinRow,$C:$C,0),
IF(headerRowID=expensesHeaderRow,MATCH(expensesMinRow,$C:$C,0),
IF(headerRowID=savingsHeaderRow,MATCH(savingsMinRow,$C:$C,0),""))),"")</f>
        <v/>
      </c>
      <c r="N34" s="59" t="str" cm="1">
        <f t="array" ref="N34">IF(isCat,
IF(headerRowID=incomeHeaderRow,MATCH(incomeMaxRow,$C:$C,0),
IF(headerRowID=expensesHeaderRow,MATCH(expensesMaxRow,$C:$C,0),
IF(headerRowID=savingsHeaderRow,MATCH(savingsMaxRow,$C:$C,0),""))),"")</f>
        <v/>
      </c>
      <c r="O34" s="58" t="str">
        <f t="shared" si="3"/>
        <v/>
      </c>
      <c r="P34" t="str">
        <f t="shared" ca="1" si="4"/>
        <v/>
      </c>
      <c r="Q34" t="str">
        <f t="shared" si="5"/>
        <v/>
      </c>
      <c r="R34" s="59" t="str">
        <f t="shared" ca="1" si="6"/>
        <v/>
      </c>
      <c r="S34" s="58" t="str">
        <f t="shared" si="7"/>
        <v/>
      </c>
      <c r="T34" t="str">
        <f t="shared" si="8"/>
        <v/>
      </c>
      <c r="U34" t="str">
        <f t="shared" ca="1" si="9"/>
        <v/>
      </c>
      <c r="V34" t="str">
        <f t="shared" si="10"/>
        <v/>
      </c>
      <c r="W34" t="str">
        <f t="shared" ca="1" si="11"/>
        <v/>
      </c>
      <c r="X34" s="66">
        <f t="shared" si="12"/>
        <v>54</v>
      </c>
      <c r="Y34" s="70" t="str">
        <f t="shared" ca="1" si="13"/>
        <v>Savings</v>
      </c>
      <c r="Z34" s="72" t="str">
        <f t="shared" si="14"/>
        <v>Tracked</v>
      </c>
      <c r="AA34" s="72" t="str">
        <f t="shared" si="15"/>
        <v>Budget</v>
      </c>
      <c r="AB34" s="71" t="str">
        <f t="shared" si="16"/>
        <v>% Completed</v>
      </c>
      <c r="AC34" s="72" t="str">
        <f t="shared" si="17"/>
        <v>Remaining</v>
      </c>
      <c r="AD34" s="72" t="str">
        <f t="shared" si="18"/>
        <v>Excess</v>
      </c>
      <c r="AF34" s="58"/>
      <c r="AK34" s="59"/>
      <c r="AM34" s="58"/>
      <c r="AR34" s="59"/>
    </row>
    <row r="35" spans="3:44" x14ac:dyDescent="0.2">
      <c r="C35" s="58" cm="1">
        <f t="array" ref="C35">IF(C34=-1,-1,
   IF(C34&lt;incomeMaxRow,  C34+1,
    IF(C34=incomeMaxRow,   incomeTotalRow,
     IF(C34=incomeTotalRow,   "/1",
      IF(C34="/1",   expensesHeaderRow,
       IF(C34&lt;expensesMaxRow,   C34+1,
        IF(C34=expensesMaxRow,   expensesTotalRow,
         IF(C34=expensesTotalRow, "/2",
          IF(C34="/2", savingsHeaderRow,
           IF(C34&lt;savingsMaxRow, C34+1,
            IF(C34=savingsMaxRow,savingsTotalRow,-1)))))))))))</f>
        <v>55</v>
      </c>
      <c r="D35" s="59">
        <f t="shared" si="0"/>
        <v>54</v>
      </c>
      <c r="E35" s="58" cm="1">
        <f t="array" ref="E35">1*OR(rowID=incomeHeaderRow,rowID=expensesHeaderRow,rowID=savingsHeaderRow)</f>
        <v>0</v>
      </c>
      <c r="F35">
        <f t="shared" si="1"/>
        <v>1</v>
      </c>
      <c r="G35" cm="1">
        <f t="array" ref="G35">1*OR(rowID=incomeTotalRow,rowID=expensesTotalRow,rowID=savingsTotalRow)</f>
        <v>0</v>
      </c>
      <c r="H35" s="59">
        <f t="shared" si="2"/>
        <v>0</v>
      </c>
      <c r="I35" s="58" t="str" cm="1">
        <f t="array" ref="I35">IFERROR(INDEX('Budget Planning'!$C:$C,headerRowID),"")</f>
        <v>Savings</v>
      </c>
      <c r="J35" t="str" cm="1">
        <f t="array" ref="J35">IFERROR(INDEX('Budget Planning'!$C:$C,rowID),"")</f>
        <v>Emergency Fund</v>
      </c>
      <c r="K35" s="41" cm="1">
        <f t="array" aca="1" ref="K35" ca="1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>0</v>
      </c>
      <c r="L35" s="59" cm="1">
        <f t="array" aca="1" ref="L35" ca="1">IF(OR(isHeader,IsEmpty),"",
    INDEX('Budget Planning'!$E:$DY,rowID,
            MATCH(IF(selectedPeriod="Total Year", selectedYear, DATE(selectedYear,selectedPeriod,1)), 'Budget Planning'!$E$23:$DY$23,0)))</f>
        <v>0</v>
      </c>
      <c r="M35" s="58" cm="1">
        <f t="array" ref="M35">IF(isCat,
IF(headerRowID=incomeHeaderRow,MATCH(incomeMinRow,$C:$C,0),
IF(headerRowID=expensesHeaderRow,MATCH(expensesMinRow,$C:$C,0),
IF(headerRowID=savingsHeaderRow,MATCH(savingsMinRow,$C:$C,0),""))),"")</f>
        <v>35</v>
      </c>
      <c r="N35" s="59" cm="1">
        <f t="array" ref="N35">IF(isCat,
IF(headerRowID=incomeHeaderRow,MATCH(incomeMaxRow,$C:$C,0),
IF(headerRowID=expensesHeaderRow,MATCH(expensesMaxRow,$C:$C,0),
IF(headerRowID=savingsHeaderRow,MATCH(savingsMaxRow,$C:$C,0),""))),"")</f>
        <v>38</v>
      </c>
      <c r="O35" s="58" t="str">
        <f t="shared" si="3"/>
        <v>$K$35:$K$38</v>
      </c>
      <c r="P35">
        <f t="shared" ca="1" si="4"/>
        <v>1</v>
      </c>
      <c r="Q35" t="str">
        <f t="shared" si="5"/>
        <v>$L$35:$L$38</v>
      </c>
      <c r="R35" s="59">
        <f t="shared" ca="1" si="6"/>
        <v>1</v>
      </c>
      <c r="S35" s="58">
        <f t="shared" ca="1" si="7"/>
        <v>11</v>
      </c>
      <c r="T35" t="str">
        <f t="shared" si="8"/>
        <v>$S$35:$S$38</v>
      </c>
      <c r="U35">
        <f t="shared" ca="1" si="9"/>
        <v>1</v>
      </c>
      <c r="V35" t="str">
        <f t="shared" si="10"/>
        <v>$U$35:$U$35</v>
      </c>
      <c r="W35">
        <f t="shared" ca="1" si="11"/>
        <v>1</v>
      </c>
      <c r="X35" s="66">
        <f t="shared" ca="1" si="12"/>
        <v>55</v>
      </c>
      <c r="Y35" s="70" t="str">
        <f t="shared" ca="1" si="13"/>
        <v>Emergency Fund</v>
      </c>
      <c r="Z35" s="72">
        <f t="shared" ca="1" si="14"/>
        <v>0</v>
      </c>
      <c r="AA35" s="72">
        <f t="shared" ca="1" si="15"/>
        <v>0</v>
      </c>
      <c r="AB35" s="71" t="str">
        <f t="shared" ca="1" si="16"/>
        <v>-</v>
      </c>
      <c r="AC35" s="72">
        <f t="shared" ca="1" si="17"/>
        <v>0</v>
      </c>
      <c r="AD35" s="72">
        <f t="shared" ca="1" si="18"/>
        <v>0</v>
      </c>
      <c r="AF35" s="58"/>
      <c r="AK35" s="59"/>
      <c r="AM35" s="58"/>
      <c r="AR35" s="59"/>
    </row>
    <row r="36" spans="3:44" x14ac:dyDescent="0.2">
      <c r="C36" s="58" cm="1">
        <f t="array" ref="C36">IF(C35=-1,-1,
   IF(C35&lt;incomeMaxRow,  C35+1,
    IF(C35=incomeMaxRow,   incomeTotalRow,
     IF(C35=incomeTotalRow,   "/1",
      IF(C35="/1",   expensesHeaderRow,
       IF(C35&lt;expensesMaxRow,   C35+1,
        IF(C35=expensesMaxRow,   expensesTotalRow,
         IF(C35=expensesTotalRow, "/2",
          IF(C35="/2", savingsHeaderRow,
           IF(C35&lt;savingsMaxRow, C35+1,
            IF(C35=savingsMaxRow,savingsTotalRow,-1)))))))))))</f>
        <v>56</v>
      </c>
      <c r="D36" s="59">
        <f t="shared" si="0"/>
        <v>54</v>
      </c>
      <c r="E36" s="58" cm="1">
        <f t="array" ref="E36">1*OR(rowID=incomeHeaderRow,rowID=expensesHeaderRow,rowID=savingsHeaderRow)</f>
        <v>0</v>
      </c>
      <c r="F36">
        <f t="shared" si="1"/>
        <v>1</v>
      </c>
      <c r="G36" cm="1">
        <f t="array" ref="G36">1*OR(rowID=incomeTotalRow,rowID=expensesTotalRow,rowID=savingsTotalRow)</f>
        <v>0</v>
      </c>
      <c r="H36" s="59">
        <f t="shared" si="2"/>
        <v>0</v>
      </c>
      <c r="I36" s="58" t="str" cm="1">
        <f t="array" ref="I36">IFERROR(INDEX('Budget Planning'!$C:$C,headerRowID),"")</f>
        <v>Savings</v>
      </c>
      <c r="J36" t="str" cm="1">
        <f t="array" ref="J36">IFERROR(INDEX('Budget Planning'!$C:$C,rowID),"")</f>
        <v>Investment AI</v>
      </c>
      <c r="K36" s="41" cm="1">
        <f t="array" aca="1" ref="K36" ca="1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>0</v>
      </c>
      <c r="L36" s="59" cm="1">
        <f t="array" aca="1" ref="L36" ca="1">IF(OR(isHeader,IsEmpty),"",
    INDEX('Budget Planning'!$E:$DY,rowID,
            MATCH(IF(selectedPeriod="Total Year", selectedYear, DATE(selectedYear,selectedPeriod,1)), 'Budget Planning'!$E$23:$DY$23,0)))</f>
        <v>0</v>
      </c>
      <c r="M36" s="58" cm="1">
        <f t="array" ref="M36">IF(isCat,
IF(headerRowID=incomeHeaderRow,MATCH(incomeMinRow,$C:$C,0),
IF(headerRowID=expensesHeaderRow,MATCH(expensesMinRow,$C:$C,0),
IF(headerRowID=savingsHeaderRow,MATCH(savingsMinRow,$C:$C,0),""))),"")</f>
        <v>35</v>
      </c>
      <c r="N36" s="59" cm="1">
        <f t="array" ref="N36">IF(isCat,
IF(headerRowID=incomeHeaderRow,MATCH(incomeMaxRow,$C:$C,0),
IF(headerRowID=expensesHeaderRow,MATCH(expensesMaxRow,$C:$C,0),
IF(headerRowID=savingsHeaderRow,MATCH(savingsMaxRow,$C:$C,0),""))),"")</f>
        <v>38</v>
      </c>
      <c r="O36" s="58" t="str">
        <f t="shared" si="3"/>
        <v>$K$35:$K$38</v>
      </c>
      <c r="P36">
        <f t="shared" ca="1" si="4"/>
        <v>1</v>
      </c>
      <c r="Q36" t="str">
        <f t="shared" si="5"/>
        <v>$L$35:$L$38</v>
      </c>
      <c r="R36" s="59">
        <f t="shared" ca="1" si="6"/>
        <v>1</v>
      </c>
      <c r="S36" s="58">
        <f t="shared" ca="1" si="7"/>
        <v>11</v>
      </c>
      <c r="T36" t="str">
        <f t="shared" si="8"/>
        <v>$S$35:$S$38</v>
      </c>
      <c r="U36">
        <f t="shared" ca="1" si="9"/>
        <v>1</v>
      </c>
      <c r="V36" t="str">
        <f t="shared" si="10"/>
        <v>$U$35:$U$36</v>
      </c>
      <c r="W36">
        <f t="shared" ca="1" si="11"/>
        <v>2</v>
      </c>
      <c r="X36" s="66">
        <f t="shared" ca="1" si="12"/>
        <v>56</v>
      </c>
      <c r="Y36" s="70" t="str">
        <f t="shared" ca="1" si="13"/>
        <v>Investment AI</v>
      </c>
      <c r="Z36" s="72">
        <f t="shared" ca="1" si="14"/>
        <v>0</v>
      </c>
      <c r="AA36" s="72">
        <f t="shared" ca="1" si="15"/>
        <v>0</v>
      </c>
      <c r="AB36" s="71" t="str">
        <f t="shared" ca="1" si="16"/>
        <v>-</v>
      </c>
      <c r="AC36" s="72">
        <f t="shared" ca="1" si="17"/>
        <v>0</v>
      </c>
      <c r="AD36" s="72">
        <f t="shared" ca="1" si="18"/>
        <v>0</v>
      </c>
      <c r="AF36" s="58"/>
      <c r="AI36" s="90" t="str">
        <f ca="1">Calculations!$I35</f>
        <v>Housing</v>
      </c>
      <c r="AJ36" s="41">
        <f ca="1">Calculations!$J35</f>
        <v>8911</v>
      </c>
      <c r="AK36" s="59"/>
      <c r="AM36" s="58"/>
      <c r="AP36" s="90" t="str">
        <f ca="1">Calculations!M35</f>
        <v/>
      </c>
      <c r="AQ36" s="41" t="str">
        <f ca="1">Calculations!N35</f>
        <v/>
      </c>
      <c r="AR36" s="59"/>
    </row>
    <row r="37" spans="3:44" x14ac:dyDescent="0.2">
      <c r="C37" s="58" cm="1">
        <f t="array" ref="C37">IF(C36=-1,-1,
   IF(C36&lt;incomeMaxRow,  C36+1,
    IF(C36=incomeMaxRow,   incomeTotalRow,
     IF(C36=incomeTotalRow,   "/1",
      IF(C36="/1",   expensesHeaderRow,
       IF(C36&lt;expensesMaxRow,   C36+1,
        IF(C36=expensesMaxRow,   expensesTotalRow,
         IF(C36=expensesTotalRow, "/2",
          IF(C36="/2", savingsHeaderRow,
           IF(C36&lt;savingsMaxRow, C36+1,
            IF(C36=savingsMaxRow,savingsTotalRow,-1)))))))))))</f>
        <v>57</v>
      </c>
      <c r="D37" s="59">
        <f t="shared" si="0"/>
        <v>54</v>
      </c>
      <c r="E37" s="58" cm="1">
        <f t="array" ref="E37">1*OR(rowID=incomeHeaderRow,rowID=expensesHeaderRow,rowID=savingsHeaderRow)</f>
        <v>0</v>
      </c>
      <c r="F37">
        <f t="shared" si="1"/>
        <v>1</v>
      </c>
      <c r="G37" cm="1">
        <f t="array" ref="G37">1*OR(rowID=incomeTotalRow,rowID=expensesTotalRow,rowID=savingsTotalRow)</f>
        <v>0</v>
      </c>
      <c r="H37" s="59">
        <f t="shared" si="2"/>
        <v>0</v>
      </c>
      <c r="I37" s="58" t="str" cm="1">
        <f t="array" ref="I37">IFERROR(INDEX('Budget Planning'!$C:$C,headerRowID),"")</f>
        <v>Savings</v>
      </c>
      <c r="J37" t="str" cm="1">
        <f t="array" ref="J37">IFERROR(INDEX('Budget Planning'!$C:$C,rowID),"")</f>
        <v>Bank</v>
      </c>
      <c r="K37" s="41" cm="1">
        <f t="array" aca="1" ref="K37" ca="1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>0</v>
      </c>
      <c r="L37" s="59" cm="1">
        <f t="array" aca="1" ref="L37" ca="1">IF(OR(isHeader,IsEmpty),"",
    INDEX('Budget Planning'!$E:$DY,rowID,
            MATCH(IF(selectedPeriod="Total Year", selectedYear, DATE(selectedYear,selectedPeriod,1)), 'Budget Planning'!$E$23:$DY$23,0)))</f>
        <v>0</v>
      </c>
      <c r="M37" s="58" cm="1">
        <f t="array" ref="M37">IF(isCat,
IF(headerRowID=incomeHeaderRow,MATCH(incomeMinRow,$C:$C,0),
IF(headerRowID=expensesHeaderRow,MATCH(expensesMinRow,$C:$C,0),
IF(headerRowID=savingsHeaderRow,MATCH(savingsMinRow,$C:$C,0),""))),"")</f>
        <v>35</v>
      </c>
      <c r="N37" s="59" cm="1">
        <f t="array" ref="N37">IF(isCat,
IF(headerRowID=incomeHeaderRow,MATCH(incomeMaxRow,$C:$C,0),
IF(headerRowID=expensesHeaderRow,MATCH(expensesMaxRow,$C:$C,0),
IF(headerRowID=savingsHeaderRow,MATCH(savingsMaxRow,$C:$C,0),""))),"")</f>
        <v>38</v>
      </c>
      <c r="O37" s="58" t="str">
        <f t="shared" si="3"/>
        <v>$K$35:$K$38</v>
      </c>
      <c r="P37">
        <f t="shared" ca="1" si="4"/>
        <v>1</v>
      </c>
      <c r="Q37" t="str">
        <f t="shared" si="5"/>
        <v>$L$35:$L$38</v>
      </c>
      <c r="R37" s="59">
        <f t="shared" ca="1" si="6"/>
        <v>1</v>
      </c>
      <c r="S37" s="58">
        <f t="shared" ca="1" si="7"/>
        <v>11</v>
      </c>
      <c r="T37" t="str">
        <f t="shared" si="8"/>
        <v>$S$35:$S$38</v>
      </c>
      <c r="U37">
        <f t="shared" ca="1" si="9"/>
        <v>1</v>
      </c>
      <c r="V37" t="str">
        <f t="shared" si="10"/>
        <v>$U$35:$U$37</v>
      </c>
      <c r="W37">
        <f t="shared" ca="1" si="11"/>
        <v>3</v>
      </c>
      <c r="X37" s="66">
        <f t="shared" ca="1" si="12"/>
        <v>57</v>
      </c>
      <c r="Y37" s="70" t="str">
        <f t="shared" ca="1" si="13"/>
        <v>Bank</v>
      </c>
      <c r="Z37" s="72">
        <f t="shared" ca="1" si="14"/>
        <v>0</v>
      </c>
      <c r="AA37" s="72">
        <f t="shared" ca="1" si="15"/>
        <v>0</v>
      </c>
      <c r="AB37" s="71" t="str">
        <f t="shared" ca="1" si="16"/>
        <v>-</v>
      </c>
      <c r="AC37" s="72">
        <f t="shared" ca="1" si="17"/>
        <v>0</v>
      </c>
      <c r="AD37" s="72">
        <f t="shared" ca="1" si="18"/>
        <v>0</v>
      </c>
      <c r="AF37" s="58"/>
      <c r="AI37" s="90" t="str">
        <f ca="1">Calculations!$I36</f>
        <v>Extra</v>
      </c>
      <c r="AJ37" s="41">
        <f ca="1">Calculations!$J36</f>
        <v>3575</v>
      </c>
      <c r="AK37" s="59"/>
      <c r="AM37" s="58"/>
      <c r="AP37" s="90" t="str">
        <f ca="1">Calculations!M36</f>
        <v/>
      </c>
      <c r="AQ37" s="41" t="str">
        <f ca="1">Calculations!N36</f>
        <v/>
      </c>
      <c r="AR37" s="59"/>
    </row>
    <row r="38" spans="3:44" x14ac:dyDescent="0.2">
      <c r="C38" s="58" cm="1">
        <f t="array" ref="C38">IF(C37=-1,-1,
   IF(C37&lt;incomeMaxRow,  C37+1,
    IF(C37=incomeMaxRow,   incomeTotalRow,
     IF(C37=incomeTotalRow,   "/1",
      IF(C37="/1",   expensesHeaderRow,
       IF(C37&lt;expensesMaxRow,   C37+1,
        IF(C37=expensesMaxRow,   expensesTotalRow,
         IF(C37=expensesTotalRow, "/2",
          IF(C37="/2", savingsHeaderRow,
           IF(C37&lt;savingsMaxRow, C37+1,
            IF(C37=savingsMaxRow,savingsTotalRow,-1)))))))))))</f>
        <v>58</v>
      </c>
      <c r="D38" s="59">
        <f t="shared" si="0"/>
        <v>54</v>
      </c>
      <c r="E38" s="58" cm="1">
        <f t="array" ref="E38">1*OR(rowID=incomeHeaderRow,rowID=expensesHeaderRow,rowID=savingsHeaderRow)</f>
        <v>0</v>
      </c>
      <c r="F38">
        <f t="shared" si="1"/>
        <v>1</v>
      </c>
      <c r="G38" cm="1">
        <f t="array" ref="G38">1*OR(rowID=incomeTotalRow,rowID=expensesTotalRow,rowID=savingsTotalRow)</f>
        <v>0</v>
      </c>
      <c r="H38" s="59">
        <f t="shared" si="2"/>
        <v>0</v>
      </c>
      <c r="I38" s="58" t="str" cm="1">
        <f t="array" ref="I38">IFERROR(INDEX('Budget Planning'!$C:$C,headerRowID),"")</f>
        <v>Savings</v>
      </c>
      <c r="J38" t="str" cm="1">
        <f t="array" ref="J38">IFERROR(INDEX('Budget Planning'!$C:$C,rowID),"")</f>
        <v>Gold</v>
      </c>
      <c r="K38" s="41" cm="1">
        <f t="array" aca="1" ref="K38" ca="1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>0</v>
      </c>
      <c r="L38" s="59" cm="1">
        <f t="array" aca="1" ref="L38" ca="1">IF(OR(isHeader,IsEmpty),"",
    INDEX('Budget Planning'!$E:$DY,rowID,
            MATCH(IF(selectedPeriod="Total Year", selectedYear, DATE(selectedYear,selectedPeriod,1)), 'Budget Planning'!$E$23:$DY$23,0)))</f>
        <v>0</v>
      </c>
      <c r="M38" s="58" cm="1">
        <f t="array" ref="M38">IF(isCat,
IF(headerRowID=incomeHeaderRow,MATCH(incomeMinRow,$C:$C,0),
IF(headerRowID=expensesHeaderRow,MATCH(expensesMinRow,$C:$C,0),
IF(headerRowID=savingsHeaderRow,MATCH(savingsMinRow,$C:$C,0),""))),"")</f>
        <v>35</v>
      </c>
      <c r="N38" s="59" cm="1">
        <f t="array" ref="N38">IF(isCat,
IF(headerRowID=incomeHeaderRow,MATCH(incomeMaxRow,$C:$C,0),
IF(headerRowID=expensesHeaderRow,MATCH(expensesMaxRow,$C:$C,0),
IF(headerRowID=savingsHeaderRow,MATCH(savingsMaxRow,$C:$C,0),""))),"")</f>
        <v>38</v>
      </c>
      <c r="O38" s="58" t="str">
        <f t="shared" si="3"/>
        <v>$K$35:$K$38</v>
      </c>
      <c r="P38">
        <f t="shared" ca="1" si="4"/>
        <v>1</v>
      </c>
      <c r="Q38" t="str">
        <f t="shared" si="5"/>
        <v>$L$35:$L$38</v>
      </c>
      <c r="R38" s="59">
        <f t="shared" ca="1" si="6"/>
        <v>1</v>
      </c>
      <c r="S38" s="58">
        <f t="shared" ca="1" si="7"/>
        <v>11</v>
      </c>
      <c r="T38" t="str">
        <f t="shared" si="8"/>
        <v>$S$35:$S$38</v>
      </c>
      <c r="U38">
        <f t="shared" ca="1" si="9"/>
        <v>1</v>
      </c>
      <c r="V38" t="str">
        <f t="shared" si="10"/>
        <v>$U$35:$U$38</v>
      </c>
      <c r="W38">
        <f t="shared" ca="1" si="11"/>
        <v>4</v>
      </c>
      <c r="X38" s="66">
        <f t="shared" ca="1" si="12"/>
        <v>58</v>
      </c>
      <c r="Y38" s="70" t="str">
        <f t="shared" ca="1" si="13"/>
        <v>Gold</v>
      </c>
      <c r="Z38" s="72">
        <f t="shared" ca="1" si="14"/>
        <v>0</v>
      </c>
      <c r="AA38" s="72">
        <f t="shared" ca="1" si="15"/>
        <v>0</v>
      </c>
      <c r="AB38" s="71" t="str">
        <f t="shared" ca="1" si="16"/>
        <v>-</v>
      </c>
      <c r="AC38" s="72">
        <f t="shared" ca="1" si="17"/>
        <v>0</v>
      </c>
      <c r="AD38" s="72">
        <f t="shared" ca="1" si="18"/>
        <v>0</v>
      </c>
      <c r="AF38" s="58"/>
      <c r="AI38" s="90" t="str">
        <f ca="1">Calculations!$I37</f>
        <v>Gym</v>
      </c>
      <c r="AJ38" s="41">
        <f ca="1">Calculations!$J37</f>
        <v>2490</v>
      </c>
      <c r="AK38" s="59"/>
      <c r="AM38" s="58"/>
      <c r="AP38" s="90" t="str">
        <f ca="1">Calculations!M37</f>
        <v/>
      </c>
      <c r="AQ38" s="41" t="str">
        <f ca="1">Calculations!N37</f>
        <v/>
      </c>
      <c r="AR38" s="59"/>
    </row>
    <row r="39" spans="3:44" x14ac:dyDescent="0.2">
      <c r="C39" s="58" cm="1">
        <f t="array" ref="C39">IF(C38=-1,-1,
   IF(C38&lt;incomeMaxRow,  C38+1,
    IF(C38=incomeMaxRow,   incomeTotalRow,
     IF(C38=incomeTotalRow,   "/1",
      IF(C38="/1",   expensesHeaderRow,
       IF(C38&lt;expensesMaxRow,   C38+1,
        IF(C38=expensesMaxRow,   expensesTotalRow,
         IF(C38=expensesTotalRow, "/2",
          IF(C38="/2", savingsHeaderRow,
           IF(C38&lt;savingsMaxRow, C38+1,
            IF(C38=savingsMaxRow,savingsTotalRow,-1)))))))))))</f>
        <v>66</v>
      </c>
      <c r="D39" s="59">
        <f t="shared" si="0"/>
        <v>54</v>
      </c>
      <c r="E39" s="58" cm="1">
        <f t="array" ref="E39">1*OR(rowID=incomeHeaderRow,rowID=expensesHeaderRow,rowID=savingsHeaderRow)</f>
        <v>0</v>
      </c>
      <c r="F39">
        <f t="shared" si="1"/>
        <v>0</v>
      </c>
      <c r="G39" cm="1">
        <f t="array" ref="G39">1*OR(rowID=incomeTotalRow,rowID=expensesTotalRow,rowID=savingsTotalRow)</f>
        <v>1</v>
      </c>
      <c r="H39" s="59">
        <f t="shared" si="2"/>
        <v>0</v>
      </c>
      <c r="I39" s="58" t="str" cm="1">
        <f t="array" ref="I39">IFERROR(INDEX('Budget Planning'!$C:$C,headerRowID),"")</f>
        <v>Savings</v>
      </c>
      <c r="J39" t="str" cm="1">
        <f t="array" ref="J39">IFERROR(INDEX('Budget Planning'!$C:$C,rowID),"")</f>
        <v>Total</v>
      </c>
      <c r="K39" s="41" cm="1">
        <f t="array" aca="1" ref="K39" ca="1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>0</v>
      </c>
      <c r="L39" s="59" cm="1">
        <f t="array" aca="1" ref="L39" ca="1">IF(OR(isHeader,IsEmpty),"",
    INDEX('Budget Planning'!$E:$DY,rowID,
            MATCH(IF(selectedPeriod="Total Year", selectedYear, DATE(selectedYear,selectedPeriod,1)), 'Budget Planning'!$E$23:$DY$23,0)))</f>
        <v>0</v>
      </c>
      <c r="M39" s="58" t="str" cm="1">
        <f t="array" ref="M39">IF(isCat,
IF(headerRowID=incomeHeaderRow,MATCH(incomeMinRow,$C:$C,0),
IF(headerRowID=expensesHeaderRow,MATCH(expensesMinRow,$C:$C,0),
IF(headerRowID=savingsHeaderRow,MATCH(savingsMinRow,$C:$C,0),""))),"")</f>
        <v/>
      </c>
      <c r="N39" s="59" t="str" cm="1">
        <f t="array" ref="N39">IF(isCat,
IF(headerRowID=incomeHeaderRow,MATCH(incomeMaxRow,$C:$C,0),
IF(headerRowID=expensesHeaderRow,MATCH(expensesMaxRow,$C:$C,0),
IF(headerRowID=savingsHeaderRow,MATCH(savingsMaxRow,$C:$C,0),""))),"")</f>
        <v/>
      </c>
      <c r="O39" s="58" t="str">
        <f t="shared" si="3"/>
        <v/>
      </c>
      <c r="P39" t="str">
        <f t="shared" ca="1" si="4"/>
        <v/>
      </c>
      <c r="Q39" t="str">
        <f t="shared" si="5"/>
        <v/>
      </c>
      <c r="R39" s="59" t="str">
        <f t="shared" ca="1" si="6"/>
        <v/>
      </c>
      <c r="S39" s="58" t="str">
        <f t="shared" si="7"/>
        <v/>
      </c>
      <c r="T39" t="str">
        <f t="shared" si="8"/>
        <v/>
      </c>
      <c r="U39" t="str">
        <f t="shared" ca="1" si="9"/>
        <v/>
      </c>
      <c r="V39" t="str">
        <f t="shared" si="10"/>
        <v/>
      </c>
      <c r="W39" t="str">
        <f t="shared" ca="1" si="11"/>
        <v/>
      </c>
      <c r="X39" s="66">
        <f t="shared" si="12"/>
        <v>66</v>
      </c>
      <c r="Y39" s="70" t="str">
        <f t="shared" ca="1" si="13"/>
        <v>Total</v>
      </c>
      <c r="Z39" s="72">
        <f t="shared" ca="1" si="14"/>
        <v>0</v>
      </c>
      <c r="AA39" s="72">
        <f t="shared" ca="1" si="15"/>
        <v>0</v>
      </c>
      <c r="AB39" s="71" t="str">
        <f t="shared" ca="1" si="16"/>
        <v>-</v>
      </c>
      <c r="AC39" s="72">
        <f t="shared" ca="1" si="17"/>
        <v>0</v>
      </c>
      <c r="AD39" s="72">
        <f t="shared" ca="1" si="18"/>
        <v>0</v>
      </c>
      <c r="AF39" s="58"/>
      <c r="AI39" s="90" t="str">
        <f ca="1">Calculations!$I38</f>
        <v>Groceries</v>
      </c>
      <c r="AJ39" s="41">
        <f ca="1">Calculations!$J38</f>
        <v>2022</v>
      </c>
      <c r="AK39" s="59"/>
      <c r="AM39" s="58"/>
      <c r="AP39" s="90" t="str">
        <f ca="1">Calculations!M38</f>
        <v/>
      </c>
      <c r="AQ39" s="41" t="str">
        <f ca="1">Calculations!N38</f>
        <v/>
      </c>
      <c r="AR39" s="59"/>
    </row>
    <row r="40" spans="3:44" x14ac:dyDescent="0.2">
      <c r="C40" s="58" cm="1">
        <f t="array" ref="C40">IF(C39=-1,-1,
   IF(C39&lt;incomeMaxRow,  C39+1,
    IF(C39=incomeMaxRow,   incomeTotalRow,
     IF(C39=incomeTotalRow,   "/1",
      IF(C39="/1",   expensesHeaderRow,
       IF(C39&lt;expensesMaxRow,   C39+1,
        IF(C39=expensesMaxRow,   expensesTotalRow,
         IF(C39=expensesTotalRow, "/2",
          IF(C39="/2", savingsHeaderRow,
           IF(C39&lt;savingsMaxRow, C39+1,
            IF(C39=savingsMaxRow,savingsTotalRow,-1)))))))))))</f>
        <v>-1</v>
      </c>
      <c r="D40" s="59">
        <f t="shared" si="0"/>
        <v>-1</v>
      </c>
      <c r="E40" s="58" cm="1">
        <f t="array" ref="E40">1*OR(rowID=incomeHeaderRow,rowID=expensesHeaderRow,rowID=savingsHeaderRow)</f>
        <v>0</v>
      </c>
      <c r="F40">
        <f t="shared" si="1"/>
        <v>0</v>
      </c>
      <c r="G40" cm="1">
        <f t="array" ref="G40">1*OR(rowID=incomeTotalRow,rowID=expensesTotalRow,rowID=savingsTotalRow)</f>
        <v>0</v>
      </c>
      <c r="H40" s="59">
        <f t="shared" si="2"/>
        <v>1</v>
      </c>
      <c r="I40" s="58" t="str" cm="1">
        <f t="array" ref="I40">IFERROR(INDEX('Budget Planning'!$C:$C,headerRowID),"")</f>
        <v/>
      </c>
      <c r="J40" t="str" cm="1">
        <f t="array" ref="J40">IFERROR(INDEX('Budget Planning'!$C:$C,rowID),"")</f>
        <v/>
      </c>
      <c r="K40" s="41" t="str" cm="1">
        <f t="array" ref="K40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/>
      </c>
      <c r="L40" s="59" t="str" cm="1">
        <f t="array" ref="L40">IF(OR(isHeader,IsEmpty),"",
    INDEX('Budget Planning'!$E:$DY,rowID,
            MATCH(IF(selectedPeriod="Total Year", selectedYear, DATE(selectedYear,selectedPeriod,1)), 'Budget Planning'!$E$23:$DY$23,0)))</f>
        <v/>
      </c>
      <c r="M40" s="58" t="str" cm="1">
        <f t="array" ref="M40">IF(isCat,
IF(headerRowID=incomeHeaderRow,MATCH(incomeMinRow,$C:$C,0),
IF(headerRowID=expensesHeaderRow,MATCH(expensesMinRow,$C:$C,0),
IF(headerRowID=savingsHeaderRow,MATCH(savingsMinRow,$C:$C,0),""))),"")</f>
        <v/>
      </c>
      <c r="N40" s="59" t="str" cm="1">
        <f t="array" ref="N40">IF(isCat,
IF(headerRowID=incomeHeaderRow,MATCH(incomeMaxRow,$C:$C,0),
IF(headerRowID=expensesHeaderRow,MATCH(expensesMaxRow,$C:$C,0),
IF(headerRowID=savingsHeaderRow,MATCH(savingsMaxRow,$C:$C,0),""))),"")</f>
        <v/>
      </c>
      <c r="O40" s="58" t="str">
        <f t="shared" si="3"/>
        <v/>
      </c>
      <c r="P40" t="str">
        <f t="shared" ca="1" si="4"/>
        <v/>
      </c>
      <c r="Q40" t="str">
        <f t="shared" si="5"/>
        <v/>
      </c>
      <c r="R40" s="59" t="str">
        <f t="shared" ca="1" si="6"/>
        <v/>
      </c>
      <c r="S40" s="58" t="str">
        <f t="shared" si="7"/>
        <v/>
      </c>
      <c r="T40" t="str">
        <f t="shared" si="8"/>
        <v/>
      </c>
      <c r="U40" t="str">
        <f t="shared" ca="1" si="9"/>
        <v/>
      </c>
      <c r="V40" t="str">
        <f t="shared" si="10"/>
        <v/>
      </c>
      <c r="W40" t="str">
        <f t="shared" ca="1" si="11"/>
        <v/>
      </c>
      <c r="X40" s="66">
        <f t="shared" si="12"/>
        <v>-1</v>
      </c>
      <c r="Y40" s="70" t="str">
        <f t="shared" si="13"/>
        <v/>
      </c>
      <c r="Z40" s="72" t="str">
        <f t="shared" si="14"/>
        <v/>
      </c>
      <c r="AA40" s="72" t="str">
        <f t="shared" si="15"/>
        <v/>
      </c>
      <c r="AB40" s="71" t="str">
        <f t="shared" si="16"/>
        <v/>
      </c>
      <c r="AC40" s="72" t="str">
        <f t="shared" si="17"/>
        <v/>
      </c>
      <c r="AD40" s="72" t="str">
        <f t="shared" si="18"/>
        <v/>
      </c>
      <c r="AF40" s="58"/>
      <c r="AI40" s="90" t="str">
        <f ca="1">Calculations!$I39</f>
        <v>FastFoods</v>
      </c>
      <c r="AJ40" s="41">
        <f ca="1">Calculations!$J39</f>
        <v>1415</v>
      </c>
      <c r="AK40" s="59"/>
      <c r="AM40" s="58"/>
      <c r="AP40" s="90" t="str">
        <f>Calculations!M39</f>
        <v/>
      </c>
      <c r="AQ40" s="41" t="str">
        <f>Calculations!N39</f>
        <v/>
      </c>
      <c r="AR40" s="59"/>
    </row>
    <row r="41" spans="3:44" x14ac:dyDescent="0.2">
      <c r="C41" s="58" cm="1">
        <f t="array" ref="C41">IF(C40=-1,-1,
   IF(C40&lt;incomeMaxRow,  C40+1,
    IF(C40=incomeMaxRow,   incomeTotalRow,
     IF(C40=incomeTotalRow,   "/1",
      IF(C40="/1",   expensesHeaderRow,
       IF(C40&lt;expensesMaxRow,   C40+1,
        IF(C40=expensesMaxRow,   expensesTotalRow,
         IF(C40=expensesTotalRow, "/2",
          IF(C40="/2", savingsHeaderRow,
           IF(C40&lt;savingsMaxRow, C40+1,
            IF(C40=savingsMaxRow,savingsTotalRow,-1)))))))))))</f>
        <v>-1</v>
      </c>
      <c r="D41" s="59">
        <f t="shared" si="0"/>
        <v>-1</v>
      </c>
      <c r="E41" s="58" cm="1">
        <f t="array" ref="E41">1*OR(rowID=incomeHeaderRow,rowID=expensesHeaderRow,rowID=savingsHeaderRow)</f>
        <v>0</v>
      </c>
      <c r="F41">
        <f t="shared" si="1"/>
        <v>0</v>
      </c>
      <c r="G41" cm="1">
        <f t="array" ref="G41">1*OR(rowID=incomeTotalRow,rowID=expensesTotalRow,rowID=savingsTotalRow)</f>
        <v>0</v>
      </c>
      <c r="H41" s="59">
        <f t="shared" si="2"/>
        <v>1</v>
      </c>
      <c r="I41" s="58" t="str" cm="1">
        <f t="array" ref="I41">IFERROR(INDEX('Budget Planning'!$C:$C,headerRowID),"")</f>
        <v/>
      </c>
      <c r="J41" t="str" cm="1">
        <f t="array" ref="J41">IFERROR(INDEX('Budget Planning'!$C:$C,rowID),"")</f>
        <v/>
      </c>
      <c r="K41" s="41" t="str" cm="1">
        <f t="array" ref="K41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/>
      </c>
      <c r="L41" s="59" t="str" cm="1">
        <f t="array" ref="L41">IF(OR(isHeader,IsEmpty),"",
    INDEX('Budget Planning'!$E:$DY,rowID,
            MATCH(IF(selectedPeriod="Total Year", selectedYear, DATE(selectedYear,selectedPeriod,1)), 'Budget Planning'!$E$23:$DY$23,0)))</f>
        <v/>
      </c>
      <c r="M41" s="58" t="str" cm="1">
        <f t="array" ref="M41">IF(isCat,
IF(headerRowID=incomeHeaderRow,MATCH(incomeMinRow,$C:$C,0),
IF(headerRowID=expensesHeaderRow,MATCH(expensesMinRow,$C:$C,0),
IF(headerRowID=savingsHeaderRow,MATCH(savingsMinRow,$C:$C,0),""))),"")</f>
        <v/>
      </c>
      <c r="N41" s="59" t="str" cm="1">
        <f t="array" ref="N41">IF(isCat,
IF(headerRowID=incomeHeaderRow,MATCH(incomeMaxRow,$C:$C,0),
IF(headerRowID=expensesHeaderRow,MATCH(expensesMaxRow,$C:$C,0),
IF(headerRowID=savingsHeaderRow,MATCH(savingsMaxRow,$C:$C,0),""))),"")</f>
        <v/>
      </c>
      <c r="O41" s="58" t="str">
        <f t="shared" si="3"/>
        <v/>
      </c>
      <c r="P41" t="str">
        <f t="shared" ca="1" si="4"/>
        <v/>
      </c>
      <c r="Q41" t="str">
        <f t="shared" si="5"/>
        <v/>
      </c>
      <c r="R41" s="59" t="str">
        <f t="shared" ca="1" si="6"/>
        <v/>
      </c>
      <c r="S41" s="58" t="str">
        <f t="shared" si="7"/>
        <v/>
      </c>
      <c r="T41" t="str">
        <f t="shared" si="8"/>
        <v/>
      </c>
      <c r="U41" t="str">
        <f t="shared" ca="1" si="9"/>
        <v/>
      </c>
      <c r="V41" t="str">
        <f t="shared" si="10"/>
        <v/>
      </c>
      <c r="W41" t="str">
        <f t="shared" ca="1" si="11"/>
        <v/>
      </c>
      <c r="X41" s="66">
        <f t="shared" si="12"/>
        <v>-1</v>
      </c>
      <c r="Y41" s="70" t="str">
        <f t="shared" si="13"/>
        <v/>
      </c>
      <c r="Z41" s="72" t="str">
        <f t="shared" si="14"/>
        <v/>
      </c>
      <c r="AA41" s="72" t="str">
        <f t="shared" si="15"/>
        <v/>
      </c>
      <c r="AB41" s="71" t="str">
        <f t="shared" si="16"/>
        <v/>
      </c>
      <c r="AC41" s="72" t="str">
        <f t="shared" si="17"/>
        <v/>
      </c>
      <c r="AD41" s="72" t="str">
        <f t="shared" si="18"/>
        <v/>
      </c>
      <c r="AF41" s="58"/>
      <c r="AI41" s="90" t="str">
        <f ca="1">Calculations!$I40</f>
        <v>Other</v>
      </c>
      <c r="AJ41" s="41">
        <f ca="1">Calculations!$J40</f>
        <v>1086</v>
      </c>
      <c r="AK41" s="59"/>
      <c r="AM41" s="58"/>
      <c r="AP41" s="90" t="str">
        <f ca="1">Calculations!M40</f>
        <v/>
      </c>
      <c r="AQ41" s="41" t="str">
        <f ca="1">Calculations!N40</f>
        <v/>
      </c>
      <c r="AR41" s="59"/>
    </row>
    <row r="42" spans="3:44" x14ac:dyDescent="0.2">
      <c r="C42" s="58" cm="1">
        <f t="array" ref="C42">IF(C41=-1,-1,
   IF(C41&lt;incomeMaxRow,  C41+1,
    IF(C41=incomeMaxRow,   incomeTotalRow,
     IF(C41=incomeTotalRow,   "/1",
      IF(C41="/1",   expensesHeaderRow,
       IF(C41&lt;expensesMaxRow,   C41+1,
        IF(C41=expensesMaxRow,   expensesTotalRow,
         IF(C41=expensesTotalRow, "/2",
          IF(C41="/2", savingsHeaderRow,
           IF(C41&lt;savingsMaxRow, C41+1,
            IF(C41=savingsMaxRow,savingsTotalRow,-1)))))))))))</f>
        <v>-1</v>
      </c>
      <c r="D42" s="59">
        <f t="shared" si="0"/>
        <v>-1</v>
      </c>
      <c r="E42" s="58" cm="1">
        <f t="array" ref="E42">1*OR(rowID=incomeHeaderRow,rowID=expensesHeaderRow,rowID=savingsHeaderRow)</f>
        <v>0</v>
      </c>
      <c r="F42">
        <f t="shared" si="1"/>
        <v>0</v>
      </c>
      <c r="G42" cm="1">
        <f t="array" ref="G42">1*OR(rowID=incomeTotalRow,rowID=expensesTotalRow,rowID=savingsTotalRow)</f>
        <v>0</v>
      </c>
      <c r="H42" s="59">
        <f t="shared" si="2"/>
        <v>1</v>
      </c>
      <c r="I42" s="58" t="str" cm="1">
        <f t="array" ref="I42">IFERROR(INDEX('Budget Planning'!$C:$C,headerRowID),"")</f>
        <v/>
      </c>
      <c r="J42" t="str" cm="1">
        <f t="array" ref="J42">IFERROR(INDEX('Budget Planning'!$C:$C,rowID),"")</f>
        <v/>
      </c>
      <c r="K42" s="41" t="str" cm="1">
        <f t="array" ref="K42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/>
      </c>
      <c r="L42" s="59" t="str" cm="1">
        <f t="array" ref="L42">IF(OR(isHeader,IsEmpty),"",
    INDEX('Budget Planning'!$E:$DY,rowID,
            MATCH(IF(selectedPeriod="Total Year", selectedYear, DATE(selectedYear,selectedPeriod,1)), 'Budget Planning'!$E$23:$DY$23,0)))</f>
        <v/>
      </c>
      <c r="M42" s="58" t="str" cm="1">
        <f t="array" ref="M42">IF(isCat,
IF(headerRowID=incomeHeaderRow,MATCH(incomeMinRow,$C:$C,0),
IF(headerRowID=expensesHeaderRow,MATCH(expensesMinRow,$C:$C,0),
IF(headerRowID=savingsHeaderRow,MATCH(savingsMinRow,$C:$C,0),""))),"")</f>
        <v/>
      </c>
      <c r="N42" s="59" t="str" cm="1">
        <f t="array" ref="N42">IF(isCat,
IF(headerRowID=incomeHeaderRow,MATCH(incomeMaxRow,$C:$C,0),
IF(headerRowID=expensesHeaderRow,MATCH(expensesMaxRow,$C:$C,0),
IF(headerRowID=savingsHeaderRow,MATCH(savingsMaxRow,$C:$C,0),""))),"")</f>
        <v/>
      </c>
      <c r="O42" s="58" t="str">
        <f t="shared" si="3"/>
        <v/>
      </c>
      <c r="P42" t="str">
        <f t="shared" ca="1" si="4"/>
        <v/>
      </c>
      <c r="Q42" t="str">
        <f t="shared" si="5"/>
        <v/>
      </c>
      <c r="R42" s="59" t="str">
        <f t="shared" ca="1" si="6"/>
        <v/>
      </c>
      <c r="S42" s="58" t="str">
        <f t="shared" si="7"/>
        <v/>
      </c>
      <c r="T42" t="str">
        <f t="shared" si="8"/>
        <v/>
      </c>
      <c r="U42" t="str">
        <f t="shared" ca="1" si="9"/>
        <v/>
      </c>
      <c r="V42" t="str">
        <f t="shared" si="10"/>
        <v/>
      </c>
      <c r="W42" t="str">
        <f t="shared" ca="1" si="11"/>
        <v/>
      </c>
      <c r="X42" s="66">
        <f t="shared" si="12"/>
        <v>-1</v>
      </c>
      <c r="Y42" s="70" t="str">
        <f t="shared" si="13"/>
        <v/>
      </c>
      <c r="Z42" s="72" t="str">
        <f t="shared" si="14"/>
        <v/>
      </c>
      <c r="AA42" s="72" t="str">
        <f t="shared" si="15"/>
        <v/>
      </c>
      <c r="AB42" s="71" t="str">
        <f t="shared" si="16"/>
        <v/>
      </c>
      <c r="AC42" s="72" t="str">
        <f t="shared" si="17"/>
        <v/>
      </c>
      <c r="AD42" s="72" t="str">
        <f t="shared" si="18"/>
        <v/>
      </c>
      <c r="AF42" s="58"/>
      <c r="AI42" s="91" t="str">
        <f>Calculations!$I41</f>
        <v>Total</v>
      </c>
      <c r="AJ42" s="92">
        <f ca="1">Calculations!$J41</f>
        <v>19499</v>
      </c>
      <c r="AK42" s="59"/>
      <c r="AM42" s="58"/>
      <c r="AP42" s="91" t="str">
        <f>Calculations!M41</f>
        <v>Total</v>
      </c>
      <c r="AQ42" s="92">
        <f ca="1">Calculations!N41</f>
        <v>0</v>
      </c>
      <c r="AR42" s="59"/>
    </row>
    <row r="43" spans="3:44" x14ac:dyDescent="0.2">
      <c r="C43" s="58" cm="1">
        <f t="array" ref="C43">IF(C42=-1,-1,
   IF(C42&lt;incomeMaxRow,  C42+1,
    IF(C42=incomeMaxRow,   incomeTotalRow,
     IF(C42=incomeTotalRow,   "/1",
      IF(C42="/1",   expensesHeaderRow,
       IF(C42&lt;expensesMaxRow,   C42+1,
        IF(C42=expensesMaxRow,   expensesTotalRow,
         IF(C42=expensesTotalRow, "/2",
          IF(C42="/2", savingsHeaderRow,
           IF(C42&lt;savingsMaxRow, C42+1,
            IF(C42=savingsMaxRow,savingsTotalRow,-1)))))))))))</f>
        <v>-1</v>
      </c>
      <c r="D43" s="59">
        <f t="shared" si="0"/>
        <v>-1</v>
      </c>
      <c r="E43" s="58" cm="1">
        <f t="array" ref="E43">1*OR(rowID=incomeHeaderRow,rowID=expensesHeaderRow,rowID=savingsHeaderRow)</f>
        <v>0</v>
      </c>
      <c r="F43">
        <f t="shared" si="1"/>
        <v>0</v>
      </c>
      <c r="G43" cm="1">
        <f t="array" ref="G43">1*OR(rowID=incomeTotalRow,rowID=expensesTotalRow,rowID=savingsTotalRow)</f>
        <v>0</v>
      </c>
      <c r="H43" s="59">
        <f t="shared" si="2"/>
        <v>1</v>
      </c>
      <c r="I43" s="58" t="str" cm="1">
        <f t="array" ref="I43">IFERROR(INDEX('Budget Planning'!$C:$C,headerRowID),"")</f>
        <v/>
      </c>
      <c r="J43" t="str" cm="1">
        <f t="array" ref="J43">IFERROR(INDEX('Budget Planning'!$C:$C,rowID),"")</f>
        <v/>
      </c>
      <c r="K43" s="41" t="str" cm="1">
        <f t="array" ref="K43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/>
      </c>
      <c r="L43" s="59" t="str" cm="1">
        <f t="array" ref="L43">IF(OR(isHeader,IsEmpty),"",
    INDEX('Budget Planning'!$E:$DY,rowID,
            MATCH(IF(selectedPeriod="Total Year", selectedYear, DATE(selectedYear,selectedPeriod,1)), 'Budget Planning'!$E$23:$DY$23,0)))</f>
        <v/>
      </c>
      <c r="M43" s="58" t="str" cm="1">
        <f t="array" ref="M43">IF(isCat,
IF(headerRowID=incomeHeaderRow,MATCH(incomeMinRow,$C:$C,0),
IF(headerRowID=expensesHeaderRow,MATCH(expensesMinRow,$C:$C,0),
IF(headerRowID=savingsHeaderRow,MATCH(savingsMinRow,$C:$C,0),""))),"")</f>
        <v/>
      </c>
      <c r="N43" s="59" t="str" cm="1">
        <f t="array" ref="N43">IF(isCat,
IF(headerRowID=incomeHeaderRow,MATCH(incomeMaxRow,$C:$C,0),
IF(headerRowID=expensesHeaderRow,MATCH(expensesMaxRow,$C:$C,0),
IF(headerRowID=savingsHeaderRow,MATCH(savingsMaxRow,$C:$C,0),""))),"")</f>
        <v/>
      </c>
      <c r="O43" s="58" t="str">
        <f t="shared" si="3"/>
        <v/>
      </c>
      <c r="P43" t="str">
        <f t="shared" ca="1" si="4"/>
        <v/>
      </c>
      <c r="Q43" t="str">
        <f t="shared" si="5"/>
        <v/>
      </c>
      <c r="R43" s="59" t="str">
        <f t="shared" ca="1" si="6"/>
        <v/>
      </c>
      <c r="S43" s="58" t="str">
        <f t="shared" si="7"/>
        <v/>
      </c>
      <c r="T43" t="str">
        <f t="shared" si="8"/>
        <v/>
      </c>
      <c r="U43" t="str">
        <f t="shared" ca="1" si="9"/>
        <v/>
      </c>
      <c r="V43" t="str">
        <f t="shared" si="10"/>
        <v/>
      </c>
      <c r="W43" t="str">
        <f t="shared" ca="1" si="11"/>
        <v/>
      </c>
      <c r="X43" s="66">
        <f t="shared" si="12"/>
        <v>-1</v>
      </c>
      <c r="Y43" s="70" t="str">
        <f t="shared" si="13"/>
        <v/>
      </c>
      <c r="Z43" s="72" t="str">
        <f t="shared" si="14"/>
        <v/>
      </c>
      <c r="AA43" s="72" t="str">
        <f t="shared" si="15"/>
        <v/>
      </c>
      <c r="AB43" s="71" t="str">
        <f t="shared" si="16"/>
        <v/>
      </c>
      <c r="AC43" s="72" t="str">
        <f t="shared" si="17"/>
        <v/>
      </c>
      <c r="AD43" s="72" t="str">
        <f t="shared" si="18"/>
        <v/>
      </c>
      <c r="AF43" s="58"/>
      <c r="AK43" s="59"/>
      <c r="AM43" s="58"/>
      <c r="AR43" s="59"/>
    </row>
    <row r="44" spans="3:44" x14ac:dyDescent="0.2">
      <c r="C44" s="58" cm="1">
        <f t="array" ref="C44">IF(C43=-1,-1,
   IF(C43&lt;incomeMaxRow,  C43+1,
    IF(C43=incomeMaxRow,   incomeTotalRow,
     IF(C43=incomeTotalRow,   "/1",
      IF(C43="/1",   expensesHeaderRow,
       IF(C43&lt;expensesMaxRow,   C43+1,
        IF(C43=expensesMaxRow,   expensesTotalRow,
         IF(C43=expensesTotalRow, "/2",
          IF(C43="/2", savingsHeaderRow,
           IF(C43&lt;savingsMaxRow, C43+1,
            IF(C43=savingsMaxRow,savingsTotalRow,-1)))))))))))</f>
        <v>-1</v>
      </c>
      <c r="D44" s="59">
        <f t="shared" si="0"/>
        <v>-1</v>
      </c>
      <c r="E44" s="58" cm="1">
        <f t="array" ref="E44">1*OR(rowID=incomeHeaderRow,rowID=expensesHeaderRow,rowID=savingsHeaderRow)</f>
        <v>0</v>
      </c>
      <c r="F44">
        <f t="shared" si="1"/>
        <v>0</v>
      </c>
      <c r="G44" cm="1">
        <f t="array" ref="G44">1*OR(rowID=incomeTotalRow,rowID=expensesTotalRow,rowID=savingsTotalRow)</f>
        <v>0</v>
      </c>
      <c r="H44" s="59">
        <f t="shared" si="2"/>
        <v>1</v>
      </c>
      <c r="I44" s="58" t="str" cm="1">
        <f t="array" ref="I44">IFERROR(INDEX('Budget Planning'!$C:$C,headerRowID),"")</f>
        <v/>
      </c>
      <c r="J44" t="str" cm="1">
        <f t="array" ref="J44">IFERROR(INDEX('Budget Planning'!$C:$C,rowID),"")</f>
        <v/>
      </c>
      <c r="K44" s="41" t="str" cm="1">
        <f t="array" ref="K44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/>
      </c>
      <c r="L44" s="59" t="str" cm="1">
        <f t="array" ref="L44">IF(OR(isHeader,IsEmpty),"",
    INDEX('Budget Planning'!$E:$DY,rowID,
            MATCH(IF(selectedPeriod="Total Year", selectedYear, DATE(selectedYear,selectedPeriod,1)), 'Budget Planning'!$E$23:$DY$23,0)))</f>
        <v/>
      </c>
      <c r="M44" s="58" t="str" cm="1">
        <f t="array" ref="M44">IF(isCat,
IF(headerRowID=incomeHeaderRow,MATCH(incomeMinRow,$C:$C,0),
IF(headerRowID=expensesHeaderRow,MATCH(expensesMinRow,$C:$C,0),
IF(headerRowID=savingsHeaderRow,MATCH(savingsMinRow,$C:$C,0),""))),"")</f>
        <v/>
      </c>
      <c r="N44" s="59" t="str" cm="1">
        <f t="array" ref="N44">IF(isCat,
IF(headerRowID=incomeHeaderRow,MATCH(incomeMaxRow,$C:$C,0),
IF(headerRowID=expensesHeaderRow,MATCH(expensesMaxRow,$C:$C,0),
IF(headerRowID=savingsHeaderRow,MATCH(savingsMaxRow,$C:$C,0),""))),"")</f>
        <v/>
      </c>
      <c r="O44" s="58" t="str">
        <f t="shared" si="3"/>
        <v/>
      </c>
      <c r="P44" t="str">
        <f t="shared" ca="1" si="4"/>
        <v/>
      </c>
      <c r="Q44" t="str">
        <f t="shared" si="5"/>
        <v/>
      </c>
      <c r="R44" s="59" t="str">
        <f t="shared" ca="1" si="6"/>
        <v/>
      </c>
      <c r="S44" s="58" t="str">
        <f t="shared" si="7"/>
        <v/>
      </c>
      <c r="T44" t="str">
        <f t="shared" si="8"/>
        <v/>
      </c>
      <c r="U44" t="str">
        <f t="shared" ca="1" si="9"/>
        <v/>
      </c>
      <c r="V44" t="str">
        <f t="shared" si="10"/>
        <v/>
      </c>
      <c r="W44" t="str">
        <f t="shared" ca="1" si="11"/>
        <v/>
      </c>
      <c r="X44" s="66">
        <f t="shared" si="12"/>
        <v>-1</v>
      </c>
      <c r="Y44" s="70" t="str">
        <f t="shared" si="13"/>
        <v/>
      </c>
      <c r="Z44" s="72" t="str">
        <f t="shared" si="14"/>
        <v/>
      </c>
      <c r="AA44" s="72" t="str">
        <f t="shared" si="15"/>
        <v/>
      </c>
      <c r="AB44" s="71" t="str">
        <f t="shared" si="16"/>
        <v/>
      </c>
      <c r="AC44" s="72" t="str">
        <f t="shared" si="17"/>
        <v/>
      </c>
      <c r="AD44" s="72" t="str">
        <f t="shared" si="18"/>
        <v/>
      </c>
      <c r="AF44" s="58"/>
      <c r="AK44" s="59"/>
      <c r="AM44" s="58"/>
      <c r="AR44" s="59"/>
    </row>
    <row r="45" spans="3:44" x14ac:dyDescent="0.2">
      <c r="C45" s="58" cm="1">
        <f t="array" ref="C45">IF(C44=-1,-1,
   IF(C44&lt;incomeMaxRow,  C44+1,
    IF(C44=incomeMaxRow,   incomeTotalRow,
     IF(C44=incomeTotalRow,   "/1",
      IF(C44="/1",   expensesHeaderRow,
       IF(C44&lt;expensesMaxRow,   C44+1,
        IF(C44=expensesMaxRow,   expensesTotalRow,
         IF(C44=expensesTotalRow, "/2",
          IF(C44="/2", savingsHeaderRow,
           IF(C44&lt;savingsMaxRow, C44+1,
            IF(C44=savingsMaxRow,savingsTotalRow,-1)))))))))))</f>
        <v>-1</v>
      </c>
      <c r="D45" s="59">
        <f t="shared" ref="D45:D66" si="19">IF(isHeader,rowID,
IF(NOT(IsEmpty),D44,-1))</f>
        <v>-1</v>
      </c>
      <c r="E45" s="58" cm="1">
        <f t="array" ref="E45">1*OR(rowID=incomeHeaderRow,rowID=expensesHeaderRow,rowID=savingsHeaderRow)</f>
        <v>0</v>
      </c>
      <c r="F45">
        <f t="shared" ref="F45:F66" si="20">1*NOT(OR(isHeader,isTotal,IsEmpty))</f>
        <v>0</v>
      </c>
      <c r="G45" cm="1">
        <f t="array" ref="G45">1*OR(rowID=incomeTotalRow,rowID=expensesTotalRow,rowID=savingsTotalRow)</f>
        <v>0</v>
      </c>
      <c r="H45" s="59">
        <f t="shared" ref="H45:H66" si="21">1*OR(rowID="/1",rowID="/2",rowID=-1)</f>
        <v>1</v>
      </c>
      <c r="I45" s="58" t="str" cm="1">
        <f t="array" ref="I45">IFERROR(INDEX('Budget Planning'!$C:$C,headerRowID),"")</f>
        <v/>
      </c>
      <c r="J45" t="str" cm="1">
        <f t="array" ref="J45">IFERROR(INDEX('Budget Planning'!$C:$C,rowID),"")</f>
        <v/>
      </c>
      <c r="K45" s="41" t="str" cm="1">
        <f t="array" ref="K45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/>
      </c>
      <c r="L45" s="59" t="str" cm="1">
        <f t="array" ref="L45">IF(OR(isHeader,IsEmpty),"",
    INDEX('Budget Planning'!$E:$DY,rowID,
            MATCH(IF(selectedPeriod="Total Year", selectedYear, DATE(selectedYear,selectedPeriod,1)), 'Budget Planning'!$E$23:$DY$23,0)))</f>
        <v/>
      </c>
      <c r="M45" s="58" t="str" cm="1">
        <f t="array" ref="M45">IF(isCat,
IF(headerRowID=incomeHeaderRow,MATCH(incomeMinRow,$C:$C,0),
IF(headerRowID=expensesHeaderRow,MATCH(expensesMinRow,$C:$C,0),
IF(headerRowID=savingsHeaderRow,MATCH(savingsMinRow,$C:$C,0),""))),"")</f>
        <v/>
      </c>
      <c r="N45" s="59" t="str" cm="1">
        <f t="array" ref="N45">IF(isCat,
IF(headerRowID=incomeHeaderRow,MATCH(incomeMaxRow,$C:$C,0),
IF(headerRowID=expensesHeaderRow,MATCH(expensesMaxRow,$C:$C,0),
IF(headerRowID=savingsHeaderRow,MATCH(savingsMaxRow,$C:$C,0),""))),"")</f>
        <v/>
      </c>
      <c r="O45" s="58" t="str">
        <f t="shared" ref="O45:O66" si="22">IF(isCat,ADDRESS(sortMinRow,COLUMN(tracked)) &amp; ":" &amp; ADDRESS(sortMaxRow,COLUMN(tracked)),"")</f>
        <v/>
      </c>
      <c r="P45" t="str">
        <f t="shared" ref="P45:P66" ca="1" si="23">IF(isCat,  RANK(tracked,INDIRECT(trackedRange),0),"")</f>
        <v/>
      </c>
      <c r="Q45" t="str">
        <f t="shared" ref="Q45:Q66" si="24">IF(isCat,ADDRESS(sortMinRow,COLUMN(budget)) &amp; ":" &amp; ADDRESS(sortMaxRow,COLUMN(budget)),"")</f>
        <v/>
      </c>
      <c r="R45" s="59" t="str">
        <f t="shared" ref="R45:R66" ca="1" si="25">IF(isCat,  RANK(budget,INDIRECT(budgetRange),0),"")</f>
        <v/>
      </c>
      <c r="S45" s="58" t="str">
        <f t="shared" ref="S45:S66" si="26">IF(isCat,_xlfn.NUMBERVALUE(trackedRank &amp; budgetRank),"")</f>
        <v/>
      </c>
      <c r="T45" t="str">
        <f t="shared" ref="T45:T66" si="27">IF(isCat,ADDRESS(sortMinRow,COLUMN(combRank)) &amp; ":" &amp; ADDRESS(sortMaxRow,COLUMN(combRank)),"")</f>
        <v/>
      </c>
      <c r="U45" t="str">
        <f t="shared" ref="U45:U66" ca="1" si="28">IF(isCat,RANK(combRank,INDIRECT(combRankRange),1),"")</f>
        <v/>
      </c>
      <c r="V45" t="str">
        <f t="shared" ref="V45:V66" si="29">IF(isCat,ADDRESS(sortMinRow,COLUMN(combRankNorm)) &amp; ":" &amp; ADDRESS(ROW(),COLUMN(combRankNorm)),"")</f>
        <v/>
      </c>
      <c r="W45" t="str">
        <f t="shared" ref="W45:W66" ca="1" si="30">IF(isCat,combRankNorm + COUNTIF(INDIRECT(combRankNormRunRange),combRankNorm)-1,"")</f>
        <v/>
      </c>
      <c r="X45" s="66">
        <f t="shared" ref="X45:X66" si="31">IF(isCat,headerRowID + combRankUnique,rowID)</f>
        <v>-1</v>
      </c>
      <c r="Y45" s="70" t="str">
        <f t="shared" ref="Y45:Y66" si="32">IF(IsEmpty,"",INDEX($J:$J,MATCH(rowID,$X:$X,0)))</f>
        <v/>
      </c>
      <c r="Z45" s="72" t="str">
        <f t="shared" ref="Z45:Z66" si="33">IF(IsEmpty,"",IF(isHeader,"Tracked",INDEX($K:$K,MATCH(rowID,$X:$X,0))))</f>
        <v/>
      </c>
      <c r="AA45" s="72" t="str">
        <f t="shared" ref="AA45:AA66" si="34">IF(IsEmpty,"",IF(isHeader,"Budget",INDEX($L:$L,MATCH(rowID,$X:$X,0))))</f>
        <v/>
      </c>
      <c r="AB45" s="71" t="str">
        <f t="shared" ref="AB45:AB66" si="35">IF(IsEmpty,"",IF(isHeader,"% Completed",IFERROR(outTracked/outBudget,"-")))</f>
        <v/>
      </c>
      <c r="AC45" s="72" t="str">
        <f t="shared" ref="AC45:AC66" si="36">IF(IsEmpty,"",IF(isHeader,"Remaining", IF(outBudget-outTracked&gt;0,outBudget-outTracked,0)))</f>
        <v/>
      </c>
      <c r="AD45" s="72" t="str">
        <f t="shared" ref="AD45:AD66" si="37">IF(IsEmpty,"",IF(isHeader,"Excess", IF(outBudget-outTracked &lt; 0,outTracked - outBudget,0)))</f>
        <v/>
      </c>
      <c r="AF45" s="58"/>
      <c r="AK45" s="59"/>
      <c r="AM45" s="58"/>
      <c r="AR45" s="59"/>
    </row>
    <row r="46" spans="3:44" x14ac:dyDescent="0.2">
      <c r="C46" s="58" cm="1">
        <f t="array" ref="C46">IF(C45=-1,-1,
   IF(C45&lt;incomeMaxRow,  C45+1,
    IF(C45=incomeMaxRow,   incomeTotalRow,
     IF(C45=incomeTotalRow,   "/1",
      IF(C45="/1",   expensesHeaderRow,
       IF(C45&lt;expensesMaxRow,   C45+1,
        IF(C45=expensesMaxRow,   expensesTotalRow,
         IF(C45=expensesTotalRow, "/2",
          IF(C45="/2", savingsHeaderRow,
           IF(C45&lt;savingsMaxRow, C45+1,
            IF(C45=savingsMaxRow,savingsTotalRow,-1)))))))))))</f>
        <v>-1</v>
      </c>
      <c r="D46" s="59">
        <f t="shared" si="19"/>
        <v>-1</v>
      </c>
      <c r="E46" s="58" t="b">
        <v>0</v>
      </c>
      <c r="F46">
        <f t="shared" si="20"/>
        <v>0</v>
      </c>
      <c r="G46" cm="1">
        <f t="array" ref="G46">1*OR(rowID=incomeTotalRow,rowID=expensesTotalRow,rowID=savingsTotalRow)</f>
        <v>0</v>
      </c>
      <c r="H46" s="59">
        <f t="shared" si="21"/>
        <v>1</v>
      </c>
      <c r="I46" s="58" t="str" cm="1">
        <f t="array" ref="I46">IFERROR(INDEX('Budget Planning'!$C:$C,headerRowID),"")</f>
        <v/>
      </c>
      <c r="J46" t="str" cm="1">
        <f t="array" ref="J46">IFERROR(INDEX('Budget Planning'!$C:$C,rowID),"")</f>
        <v/>
      </c>
      <c r="K46" s="41" t="str" cm="1">
        <f t="array" ref="K46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/>
      </c>
      <c r="L46" s="59" t="str" cm="1">
        <f t="array" ref="L46">IF(OR(isHeader,IsEmpty),"",
    INDEX('Budget Planning'!$E:$DY,rowID,
            MATCH(IF(selectedPeriod="Total Year", selectedYear, DATE(selectedYear,selectedPeriod,1)), 'Budget Planning'!$E$23:$DY$23,0)))</f>
        <v/>
      </c>
      <c r="M46" s="58" t="str" cm="1">
        <f t="array" ref="M46">IF(isCat,
IF(headerRowID=incomeHeaderRow,MATCH(incomeMinRow,$C:$C,0),
IF(headerRowID=expensesHeaderRow,MATCH(expensesMinRow,$C:$C,0),
IF(headerRowID=savingsHeaderRow,MATCH(savingsMinRow,$C:$C,0),""))),"")</f>
        <v/>
      </c>
      <c r="N46" s="59" t="str" cm="1">
        <f t="array" ref="N46">IF(isCat,
IF(headerRowID=incomeHeaderRow,MATCH(incomeMaxRow,$C:$C,0),
IF(headerRowID=expensesHeaderRow,MATCH(expensesMaxRow,$C:$C,0),
IF(headerRowID=savingsHeaderRow,MATCH(savingsMaxRow,$C:$C,0),""))),"")</f>
        <v/>
      </c>
      <c r="O46" s="58" t="str">
        <f t="shared" si="22"/>
        <v/>
      </c>
      <c r="P46" t="str">
        <f t="shared" ca="1" si="23"/>
        <v/>
      </c>
      <c r="Q46" t="str">
        <f t="shared" si="24"/>
        <v/>
      </c>
      <c r="R46" s="59" t="str">
        <f t="shared" ca="1" si="25"/>
        <v/>
      </c>
      <c r="S46" s="58" t="str">
        <f t="shared" si="26"/>
        <v/>
      </c>
      <c r="T46" t="str">
        <f t="shared" si="27"/>
        <v/>
      </c>
      <c r="U46" t="str">
        <f t="shared" ca="1" si="28"/>
        <v/>
      </c>
      <c r="V46" t="str">
        <f t="shared" si="29"/>
        <v/>
      </c>
      <c r="W46" t="str">
        <f t="shared" ca="1" si="30"/>
        <v/>
      </c>
      <c r="X46" s="66">
        <f t="shared" si="31"/>
        <v>-1</v>
      </c>
      <c r="Y46" s="70" t="str">
        <f t="shared" si="32"/>
        <v/>
      </c>
      <c r="Z46" s="72" t="str">
        <f t="shared" si="33"/>
        <v/>
      </c>
      <c r="AA46" s="72" t="str">
        <f t="shared" si="34"/>
        <v/>
      </c>
      <c r="AB46" s="71" t="str">
        <f t="shared" si="35"/>
        <v/>
      </c>
      <c r="AC46" s="72" t="str">
        <f t="shared" si="36"/>
        <v/>
      </c>
      <c r="AD46" s="72" t="str">
        <f t="shared" si="37"/>
        <v/>
      </c>
      <c r="AF46" s="78"/>
      <c r="AG46" s="79"/>
      <c r="AH46" s="79"/>
      <c r="AI46" s="79"/>
      <c r="AJ46" s="79"/>
      <c r="AK46" s="80"/>
      <c r="AM46" s="78"/>
      <c r="AN46" s="79"/>
      <c r="AO46" s="79"/>
      <c r="AP46" s="79"/>
      <c r="AQ46" s="79"/>
      <c r="AR46" s="80"/>
    </row>
    <row r="47" spans="3:44" x14ac:dyDescent="0.2">
      <c r="C47" s="58" cm="1">
        <f t="array" ref="C47">IF(C46=-1,-1,
   IF(C46&lt;incomeMaxRow,  C46+1,
    IF(C46=incomeMaxRow,   incomeTotalRow,
     IF(C46=incomeTotalRow,   "/1",
      IF(C46="/1",   expensesHeaderRow,
       IF(C46&lt;expensesMaxRow,   C46+1,
        IF(C46=expensesMaxRow,   expensesTotalRow,
         IF(C46=expensesTotalRow, "/2",
          IF(C46="/2", savingsHeaderRow,
           IF(C46&lt;savingsMaxRow, C46+1,
            IF(C46=savingsMaxRow,savingsTotalRow,-1)))))))))))</f>
        <v>-1</v>
      </c>
      <c r="D47" s="59">
        <f t="shared" si="19"/>
        <v>-1</v>
      </c>
      <c r="E47" s="58" t="b">
        <v>1</v>
      </c>
      <c r="F47">
        <f t="shared" si="20"/>
        <v>0</v>
      </c>
      <c r="G47" cm="1">
        <f t="array" ref="G47">1*OR(rowID=incomeTotalRow,rowID=expensesTotalRow,rowID=savingsTotalRow)</f>
        <v>0</v>
      </c>
      <c r="H47" s="59">
        <f t="shared" si="21"/>
        <v>1</v>
      </c>
      <c r="I47" s="58" t="str" cm="1">
        <f t="array" ref="I47">IFERROR(INDEX('Budget Planning'!$C:$C,headerRowID),"")</f>
        <v/>
      </c>
      <c r="J47" t="str" cm="1">
        <f t="array" ref="J47">IFERROR(INDEX('Budget Planning'!$C:$C,rowID),"")</f>
        <v/>
      </c>
      <c r="K47" s="41" t="str" cm="1">
        <f t="array" ref="K47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/>
      </c>
      <c r="L47" s="59" t="str" cm="1">
        <f t="array" ref="L47">IF(OR(isHeader,IsEmpty),"",
    INDEX('Budget Planning'!$E:$DY,rowID,
            MATCH(IF(selectedPeriod="Total Year", selectedYear, DATE(selectedYear,selectedPeriod,1)), 'Budget Planning'!$E$23:$DY$23,0)))</f>
        <v/>
      </c>
      <c r="M47" s="58" t="str" cm="1">
        <f t="array" ref="M47">IF(isCat,
IF(headerRowID=incomeHeaderRow,MATCH(incomeMinRow,$C:$C,0),
IF(headerRowID=expensesHeaderRow,MATCH(expensesMinRow,$C:$C,0),
IF(headerRowID=savingsHeaderRow,MATCH(savingsMinRow,$C:$C,0),""))),"")</f>
        <v/>
      </c>
      <c r="N47" s="59" t="str" cm="1">
        <f t="array" ref="N47">IF(isCat,
IF(headerRowID=incomeHeaderRow,MATCH(incomeMaxRow,$C:$C,0),
IF(headerRowID=expensesHeaderRow,MATCH(expensesMaxRow,$C:$C,0),
IF(headerRowID=savingsHeaderRow,MATCH(savingsMaxRow,$C:$C,0),""))),"")</f>
        <v/>
      </c>
      <c r="O47" s="58" t="str">
        <f t="shared" si="22"/>
        <v/>
      </c>
      <c r="P47" t="str">
        <f t="shared" ca="1" si="23"/>
        <v/>
      </c>
      <c r="Q47" t="str">
        <f t="shared" si="24"/>
        <v/>
      </c>
      <c r="R47" s="59" t="str">
        <f t="shared" ca="1" si="25"/>
        <v/>
      </c>
      <c r="S47" s="58" t="str">
        <f t="shared" si="26"/>
        <v/>
      </c>
      <c r="T47" t="str">
        <f t="shared" si="27"/>
        <v/>
      </c>
      <c r="U47" t="str">
        <f t="shared" ca="1" si="28"/>
        <v/>
      </c>
      <c r="V47" t="str">
        <f t="shared" si="29"/>
        <v/>
      </c>
      <c r="W47" t="str">
        <f t="shared" ca="1" si="30"/>
        <v/>
      </c>
      <c r="X47" s="66">
        <f t="shared" si="31"/>
        <v>-1</v>
      </c>
      <c r="Y47" s="70" t="str">
        <f t="shared" si="32"/>
        <v/>
      </c>
      <c r="Z47" s="72" t="str">
        <f t="shared" si="33"/>
        <v/>
      </c>
      <c r="AA47" s="72" t="str">
        <f t="shared" si="34"/>
        <v/>
      </c>
      <c r="AB47" s="71" t="str">
        <f t="shared" si="35"/>
        <v/>
      </c>
      <c r="AC47" s="72" t="str">
        <f t="shared" si="36"/>
        <v/>
      </c>
      <c r="AD47" s="72" t="str">
        <f t="shared" si="37"/>
        <v/>
      </c>
    </row>
    <row r="48" spans="3:44" x14ac:dyDescent="0.2">
      <c r="C48" s="58" cm="1">
        <f t="array" ref="C48">IF(C47=-1,-1,
   IF(C47&lt;incomeMaxRow,  C47+1,
    IF(C47=incomeMaxRow,   incomeTotalRow,
     IF(C47=incomeTotalRow,   "/1",
      IF(C47="/1",   expensesHeaderRow,
       IF(C47&lt;expensesMaxRow,   C47+1,
        IF(C47=expensesMaxRow,   expensesTotalRow,
         IF(C47=expensesTotalRow, "/2",
          IF(C47="/2", savingsHeaderRow,
           IF(C47&lt;savingsMaxRow, C47+1,
            IF(C47=savingsMaxRow,savingsTotalRow,-1)))))))))))</f>
        <v>-1</v>
      </c>
      <c r="D48" s="59">
        <f t="shared" si="19"/>
        <v>-1</v>
      </c>
      <c r="E48" s="58" t="b">
        <v>1</v>
      </c>
      <c r="F48">
        <f t="shared" si="20"/>
        <v>0</v>
      </c>
      <c r="G48" cm="1">
        <f t="array" ref="G48">1*OR(rowID=incomeTotalRow,rowID=expensesTotalRow,rowID=savingsTotalRow)</f>
        <v>0</v>
      </c>
      <c r="H48" s="59">
        <f t="shared" si="21"/>
        <v>1</v>
      </c>
      <c r="I48" s="58" t="str" cm="1">
        <f t="array" ref="I48">IFERROR(INDEX('Budget Planning'!$C:$C,headerRowID),"")</f>
        <v/>
      </c>
      <c r="J48" t="str" cm="1">
        <f t="array" ref="J48">IFERROR(INDEX('Budget Planning'!$C:$C,rowID),"")</f>
        <v/>
      </c>
      <c r="K48" s="41" t="str" cm="1">
        <f t="array" ref="K48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/>
      </c>
      <c r="L48" s="59" t="str" cm="1">
        <f t="array" ref="L48">IF(OR(isHeader,IsEmpty),"",
    INDEX('Budget Planning'!$E:$DY,rowID,
            MATCH(IF(selectedPeriod="Total Year", selectedYear, DATE(selectedYear,selectedPeriod,1)), 'Budget Planning'!$E$23:$DY$23,0)))</f>
        <v/>
      </c>
      <c r="M48" s="58" t="str" cm="1">
        <f t="array" ref="M48">IF(isCat,
IF(headerRowID=incomeHeaderRow,MATCH(incomeMinRow,$C:$C,0),
IF(headerRowID=expensesHeaderRow,MATCH(expensesMinRow,$C:$C,0),
IF(headerRowID=savingsHeaderRow,MATCH(savingsMinRow,$C:$C,0),""))),"")</f>
        <v/>
      </c>
      <c r="N48" s="59" t="str" cm="1">
        <f t="array" ref="N48">IF(isCat,
IF(headerRowID=incomeHeaderRow,MATCH(incomeMaxRow,$C:$C,0),
IF(headerRowID=expensesHeaderRow,MATCH(expensesMaxRow,$C:$C,0),
IF(headerRowID=savingsHeaderRow,MATCH(savingsMaxRow,$C:$C,0),""))),"")</f>
        <v/>
      </c>
      <c r="O48" s="58" t="str">
        <f t="shared" si="22"/>
        <v/>
      </c>
      <c r="P48" t="str">
        <f t="shared" ca="1" si="23"/>
        <v/>
      </c>
      <c r="Q48" t="str">
        <f t="shared" si="24"/>
        <v/>
      </c>
      <c r="R48" s="59" t="str">
        <f t="shared" ca="1" si="25"/>
        <v/>
      </c>
      <c r="S48" s="58" t="str">
        <f t="shared" si="26"/>
        <v/>
      </c>
      <c r="T48" t="str">
        <f t="shared" si="27"/>
        <v/>
      </c>
      <c r="U48" t="str">
        <f t="shared" ca="1" si="28"/>
        <v/>
      </c>
      <c r="V48" t="str">
        <f t="shared" si="29"/>
        <v/>
      </c>
      <c r="W48" t="str">
        <f t="shared" ca="1" si="30"/>
        <v/>
      </c>
      <c r="X48" s="66">
        <f t="shared" si="31"/>
        <v>-1</v>
      </c>
      <c r="Y48" s="70" t="str">
        <f t="shared" si="32"/>
        <v/>
      </c>
      <c r="Z48" s="72" t="str">
        <f t="shared" si="33"/>
        <v/>
      </c>
      <c r="AA48" s="72" t="str">
        <f t="shared" si="34"/>
        <v/>
      </c>
      <c r="AB48" s="71" t="str">
        <f t="shared" si="35"/>
        <v/>
      </c>
      <c r="AC48" s="72" t="str">
        <f t="shared" si="36"/>
        <v/>
      </c>
      <c r="AD48" s="72" t="str">
        <f t="shared" si="37"/>
        <v/>
      </c>
    </row>
    <row r="49" spans="3:30" x14ac:dyDescent="0.2">
      <c r="C49" s="58" cm="1">
        <f t="array" ref="C49">IF(C48=-1,-1,
   IF(C48&lt;incomeMaxRow,  C48+1,
    IF(C48=incomeMaxRow,   incomeTotalRow,
     IF(C48=incomeTotalRow,   "/1",
      IF(C48="/1",   expensesHeaderRow,
       IF(C48&lt;expensesMaxRow,   C48+1,
        IF(C48=expensesMaxRow,   expensesTotalRow,
         IF(C48=expensesTotalRow, "/2",
          IF(C48="/2", savingsHeaderRow,
           IF(C48&lt;savingsMaxRow, C48+1,
            IF(C48=savingsMaxRow,savingsTotalRow,-1)))))))))))</f>
        <v>-1</v>
      </c>
      <c r="D49" s="59">
        <f t="shared" si="19"/>
        <v>-1</v>
      </c>
      <c r="E49" s="58" t="b">
        <v>1</v>
      </c>
      <c r="F49">
        <f t="shared" si="20"/>
        <v>0</v>
      </c>
      <c r="G49" cm="1">
        <f t="array" ref="G49">1*OR(rowID=incomeTotalRow,rowID=expensesTotalRow,rowID=savingsTotalRow)</f>
        <v>0</v>
      </c>
      <c r="H49" s="59">
        <f t="shared" si="21"/>
        <v>1</v>
      </c>
      <c r="I49" s="58" t="str" cm="1">
        <f t="array" ref="I49">IFERROR(INDEX('Budget Planning'!$C:$C,headerRowID),"")</f>
        <v/>
      </c>
      <c r="J49" t="str" cm="1">
        <f t="array" ref="J49">IFERROR(INDEX('Budget Planning'!$C:$C,rowID),"")</f>
        <v/>
      </c>
      <c r="K49" s="41" t="str" cm="1">
        <f t="array" ref="K49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/>
      </c>
      <c r="L49" s="59" t="str" cm="1">
        <f t="array" ref="L49">IF(OR(isHeader,IsEmpty),"",
    INDEX('Budget Planning'!$E:$DY,rowID,
            MATCH(IF(selectedPeriod="Total Year", selectedYear, DATE(selectedYear,selectedPeriod,1)), 'Budget Planning'!$E$23:$DY$23,0)))</f>
        <v/>
      </c>
      <c r="M49" s="58" t="str" cm="1">
        <f t="array" ref="M49">IF(isCat,
IF(headerRowID=incomeHeaderRow,MATCH(incomeMinRow,$C:$C,0),
IF(headerRowID=expensesHeaderRow,MATCH(expensesMinRow,$C:$C,0),
IF(headerRowID=savingsHeaderRow,MATCH(savingsMinRow,$C:$C,0),""))),"")</f>
        <v/>
      </c>
      <c r="N49" s="59" t="str" cm="1">
        <f t="array" ref="N49">IF(isCat,
IF(headerRowID=incomeHeaderRow,MATCH(incomeMaxRow,$C:$C,0),
IF(headerRowID=expensesHeaderRow,MATCH(expensesMaxRow,$C:$C,0),
IF(headerRowID=savingsHeaderRow,MATCH(savingsMaxRow,$C:$C,0),""))),"")</f>
        <v/>
      </c>
      <c r="O49" s="58" t="str">
        <f t="shared" si="22"/>
        <v/>
      </c>
      <c r="P49" t="str">
        <f t="shared" ca="1" si="23"/>
        <v/>
      </c>
      <c r="Q49" t="str">
        <f t="shared" si="24"/>
        <v/>
      </c>
      <c r="R49" s="59" t="str">
        <f t="shared" ca="1" si="25"/>
        <v/>
      </c>
      <c r="S49" s="58" t="str">
        <f t="shared" si="26"/>
        <v/>
      </c>
      <c r="T49" t="str">
        <f t="shared" si="27"/>
        <v/>
      </c>
      <c r="U49" t="str">
        <f t="shared" ca="1" si="28"/>
        <v/>
      </c>
      <c r="V49" t="str">
        <f t="shared" si="29"/>
        <v/>
      </c>
      <c r="W49" t="str">
        <f t="shared" ca="1" si="30"/>
        <v/>
      </c>
      <c r="X49" s="66">
        <f t="shared" si="31"/>
        <v>-1</v>
      </c>
      <c r="Y49" s="70" t="str">
        <f t="shared" si="32"/>
        <v/>
      </c>
      <c r="Z49" s="72" t="str">
        <f t="shared" si="33"/>
        <v/>
      </c>
      <c r="AA49" s="72" t="str">
        <f t="shared" si="34"/>
        <v/>
      </c>
      <c r="AB49" s="71" t="str">
        <f t="shared" si="35"/>
        <v/>
      </c>
      <c r="AC49" s="72" t="str">
        <f t="shared" si="36"/>
        <v/>
      </c>
      <c r="AD49" s="72" t="str">
        <f t="shared" si="37"/>
        <v/>
      </c>
    </row>
    <row r="50" spans="3:30" x14ac:dyDescent="0.2">
      <c r="C50" s="58" cm="1">
        <f t="array" ref="C50">IF(C49=-1,-1,
   IF(C49&lt;incomeMaxRow,  C49+1,
    IF(C49=incomeMaxRow,   incomeTotalRow,
     IF(C49=incomeTotalRow,   "/1",
      IF(C49="/1",   expensesHeaderRow,
       IF(C49&lt;expensesMaxRow,   C49+1,
        IF(C49=expensesMaxRow,   expensesTotalRow,
         IF(C49=expensesTotalRow, "/2",
          IF(C49="/2", savingsHeaderRow,
           IF(C49&lt;savingsMaxRow, C49+1,
            IF(C49=savingsMaxRow,savingsTotalRow,-1)))))))))))</f>
        <v>-1</v>
      </c>
      <c r="D50" s="59">
        <f t="shared" si="19"/>
        <v>-1</v>
      </c>
      <c r="E50" s="58" cm="1">
        <f t="array" ref="E50">1*OR(rowID=incomeHeaderRow,rowID=expensesHeaderRow,rowID=savingsHeaderRow)</f>
        <v>0</v>
      </c>
      <c r="F50">
        <f t="shared" si="20"/>
        <v>0</v>
      </c>
      <c r="G50" cm="1">
        <f t="array" ref="G50">1*OR(rowID=incomeTotalRow,rowID=expensesTotalRow,rowID=savingsTotalRow)</f>
        <v>0</v>
      </c>
      <c r="H50" s="59">
        <f t="shared" si="21"/>
        <v>1</v>
      </c>
      <c r="I50" s="58" t="str" cm="1">
        <f t="array" ref="I50">IFERROR(INDEX('Budget Planning'!$C:$C,headerRowID),"")</f>
        <v/>
      </c>
      <c r="J50" t="str" cm="1">
        <f t="array" ref="J50">IFERROR(INDEX('Budget Planning'!$C:$C,rowID),"")</f>
        <v/>
      </c>
      <c r="K50" s="41" t="str" cm="1">
        <f t="array" ref="K50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/>
      </c>
      <c r="L50" s="59" t="str" cm="1">
        <f t="array" ref="L50">IF(OR(isHeader,IsEmpty),"",
    INDEX('Budget Planning'!$E:$DY,rowID,
            MATCH(IF(selectedPeriod="Total Year", selectedYear, DATE(selectedYear,selectedPeriod,1)), 'Budget Planning'!$E$23:$DY$23,0)))</f>
        <v/>
      </c>
      <c r="M50" s="58" t="str" cm="1">
        <f t="array" ref="M50">IF(isCat,
IF(headerRowID=incomeHeaderRow,MATCH(incomeMinRow,$C:$C,0),
IF(headerRowID=expensesHeaderRow,MATCH(expensesMinRow,$C:$C,0),
IF(headerRowID=savingsHeaderRow,MATCH(savingsMinRow,$C:$C,0),""))),"")</f>
        <v/>
      </c>
      <c r="N50" s="59" t="str" cm="1">
        <f t="array" ref="N50">IF(isCat,
IF(headerRowID=incomeHeaderRow,MATCH(incomeMaxRow,$C:$C,0),
IF(headerRowID=expensesHeaderRow,MATCH(expensesMaxRow,$C:$C,0),
IF(headerRowID=savingsHeaderRow,MATCH(savingsMaxRow,$C:$C,0),""))),"")</f>
        <v/>
      </c>
      <c r="O50" s="58" t="str">
        <f t="shared" si="22"/>
        <v/>
      </c>
      <c r="P50" t="str">
        <f t="shared" ca="1" si="23"/>
        <v/>
      </c>
      <c r="Q50" t="str">
        <f t="shared" si="24"/>
        <v/>
      </c>
      <c r="R50" s="59" t="str">
        <f t="shared" ca="1" si="25"/>
        <v/>
      </c>
      <c r="S50" s="58" t="str">
        <f t="shared" si="26"/>
        <v/>
      </c>
      <c r="T50" t="str">
        <f t="shared" si="27"/>
        <v/>
      </c>
      <c r="U50" t="str">
        <f t="shared" ca="1" si="28"/>
        <v/>
      </c>
      <c r="V50" t="str">
        <f t="shared" si="29"/>
        <v/>
      </c>
      <c r="W50" t="str">
        <f t="shared" ca="1" si="30"/>
        <v/>
      </c>
      <c r="X50" s="66">
        <f t="shared" si="31"/>
        <v>-1</v>
      </c>
      <c r="Y50" s="70" t="str">
        <f t="shared" si="32"/>
        <v/>
      </c>
      <c r="Z50" s="72" t="str">
        <f t="shared" si="33"/>
        <v/>
      </c>
      <c r="AA50" s="72" t="str">
        <f t="shared" si="34"/>
        <v/>
      </c>
      <c r="AB50" s="71" t="str">
        <f t="shared" si="35"/>
        <v/>
      </c>
      <c r="AC50" s="72" t="str">
        <f t="shared" si="36"/>
        <v/>
      </c>
      <c r="AD50" s="72" t="str">
        <f t="shared" si="37"/>
        <v/>
      </c>
    </row>
    <row r="51" spans="3:30" x14ac:dyDescent="0.2">
      <c r="C51" s="58" cm="1">
        <f t="array" ref="C51">IF(C50=-1,-1,
   IF(C50&lt;incomeMaxRow,  C50+1,
    IF(C50=incomeMaxRow,   incomeTotalRow,
     IF(C50=incomeTotalRow,   "/1",
      IF(C50="/1",   expensesHeaderRow,
       IF(C50&lt;expensesMaxRow,   C50+1,
        IF(C50=expensesMaxRow,   expensesTotalRow,
         IF(C50=expensesTotalRow, "/2",
          IF(C50="/2", savingsHeaderRow,
           IF(C50&lt;savingsMaxRow, C50+1,
            IF(C50=savingsMaxRow,savingsTotalRow,-1)))))))))))</f>
        <v>-1</v>
      </c>
      <c r="D51" s="59">
        <f t="shared" si="19"/>
        <v>-1</v>
      </c>
      <c r="E51" s="58" cm="1">
        <f t="array" ref="E51">1*OR(rowID=incomeHeaderRow,rowID=expensesHeaderRow,rowID=savingsHeaderRow)</f>
        <v>0</v>
      </c>
      <c r="F51">
        <f t="shared" si="20"/>
        <v>0</v>
      </c>
      <c r="G51" cm="1">
        <f t="array" ref="G51">1*OR(rowID=incomeTotalRow,rowID=expensesTotalRow,rowID=savingsTotalRow)</f>
        <v>0</v>
      </c>
      <c r="H51" s="59">
        <f t="shared" si="21"/>
        <v>1</v>
      </c>
      <c r="I51" s="58" t="str" cm="1">
        <f t="array" ref="I51">IFERROR(INDEX('Budget Planning'!$C:$C,headerRowID),"")</f>
        <v/>
      </c>
      <c r="J51" t="str" cm="1">
        <f t="array" ref="J51">IFERROR(INDEX('Budget Planning'!$C:$C,rowID),"")</f>
        <v/>
      </c>
      <c r="K51" s="41" t="str" cm="1">
        <f t="array" ref="K51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/>
      </c>
      <c r="L51" s="59" t="str" cm="1">
        <f t="array" ref="L51">IF(OR(isHeader,IsEmpty),"",
    INDEX('Budget Planning'!$E:$DY,rowID,
            MATCH(IF(selectedPeriod="Total Year", selectedYear, DATE(selectedYear,selectedPeriod,1)), 'Budget Planning'!$E$23:$DY$23,0)))</f>
        <v/>
      </c>
      <c r="M51" s="58" t="str" cm="1">
        <f t="array" ref="M51">IF(isCat,
IF(headerRowID=incomeHeaderRow,MATCH(incomeMinRow,$C:$C,0),
IF(headerRowID=expensesHeaderRow,MATCH(expensesMinRow,$C:$C,0),
IF(headerRowID=savingsHeaderRow,MATCH(savingsMinRow,$C:$C,0),""))),"")</f>
        <v/>
      </c>
      <c r="N51" s="59" t="str" cm="1">
        <f t="array" ref="N51">IF(isCat,
IF(headerRowID=incomeHeaderRow,MATCH(incomeMaxRow,$C:$C,0),
IF(headerRowID=expensesHeaderRow,MATCH(expensesMaxRow,$C:$C,0),
IF(headerRowID=savingsHeaderRow,MATCH(savingsMaxRow,$C:$C,0),""))),"")</f>
        <v/>
      </c>
      <c r="O51" s="58" t="str">
        <f t="shared" si="22"/>
        <v/>
      </c>
      <c r="P51" t="str">
        <f t="shared" ca="1" si="23"/>
        <v/>
      </c>
      <c r="Q51" t="str">
        <f t="shared" si="24"/>
        <v/>
      </c>
      <c r="R51" s="59" t="str">
        <f t="shared" ca="1" si="25"/>
        <v/>
      </c>
      <c r="S51" s="58" t="str">
        <f t="shared" si="26"/>
        <v/>
      </c>
      <c r="T51" t="str">
        <f t="shared" si="27"/>
        <v/>
      </c>
      <c r="U51" t="str">
        <f t="shared" ca="1" si="28"/>
        <v/>
      </c>
      <c r="V51" t="str">
        <f t="shared" si="29"/>
        <v/>
      </c>
      <c r="W51" t="str">
        <f t="shared" ca="1" si="30"/>
        <v/>
      </c>
      <c r="X51" s="66">
        <f t="shared" si="31"/>
        <v>-1</v>
      </c>
      <c r="Y51" s="70" t="str">
        <f t="shared" si="32"/>
        <v/>
      </c>
      <c r="Z51" s="72" t="str">
        <f t="shared" si="33"/>
        <v/>
      </c>
      <c r="AA51" s="72" t="str">
        <f t="shared" si="34"/>
        <v/>
      </c>
      <c r="AB51" s="71" t="str">
        <f t="shared" si="35"/>
        <v/>
      </c>
      <c r="AC51" s="72" t="str">
        <f t="shared" si="36"/>
        <v/>
      </c>
      <c r="AD51" s="72" t="str">
        <f t="shared" si="37"/>
        <v/>
      </c>
    </row>
    <row r="52" spans="3:30" x14ac:dyDescent="0.2">
      <c r="C52" s="58" cm="1">
        <f t="array" ref="C52">IF(C51=-1,-1,
   IF(C51&lt;incomeMaxRow,  C51+1,
    IF(C51=incomeMaxRow,   incomeTotalRow,
     IF(C51=incomeTotalRow,   "/1",
      IF(C51="/1",   expensesHeaderRow,
       IF(C51&lt;expensesMaxRow,   C51+1,
        IF(C51=expensesMaxRow,   expensesTotalRow,
         IF(C51=expensesTotalRow, "/2",
          IF(C51="/2", savingsHeaderRow,
           IF(C51&lt;savingsMaxRow, C51+1,
            IF(C51=savingsMaxRow,savingsTotalRow,-1)))))))))))</f>
        <v>-1</v>
      </c>
      <c r="D52" s="59">
        <f t="shared" si="19"/>
        <v>-1</v>
      </c>
      <c r="E52" s="58" cm="1">
        <f t="array" ref="E52">1*OR(rowID=incomeHeaderRow,rowID=expensesHeaderRow,rowID=savingsHeaderRow)</f>
        <v>0</v>
      </c>
      <c r="F52">
        <f t="shared" si="20"/>
        <v>0</v>
      </c>
      <c r="G52" cm="1">
        <f t="array" ref="G52">1*OR(rowID=incomeTotalRow,rowID=expensesTotalRow,rowID=savingsTotalRow)</f>
        <v>0</v>
      </c>
      <c r="H52" s="59">
        <f t="shared" si="21"/>
        <v>1</v>
      </c>
      <c r="I52" s="58" t="str" cm="1">
        <f t="array" ref="I52">IFERROR(INDEX('Budget Planning'!$C:$C,headerRowID),"")</f>
        <v/>
      </c>
      <c r="J52" t="str" cm="1">
        <f t="array" ref="J52">IFERROR(INDEX('Budget Planning'!$C:$C,rowID),"")</f>
        <v/>
      </c>
      <c r="K52" s="41" t="str" cm="1">
        <f t="array" ref="K52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/>
      </c>
      <c r="L52" s="59" t="str" cm="1">
        <f t="array" ref="L52">IF(OR(isHeader,IsEmpty),"",
    INDEX('Budget Planning'!$E:$DY,rowID,
            MATCH(IF(selectedPeriod="Total Year", selectedYear, DATE(selectedYear,selectedPeriod,1)), 'Budget Planning'!$E$23:$DY$23,0)))</f>
        <v/>
      </c>
      <c r="M52" s="58" t="str" cm="1">
        <f t="array" ref="M52">IF(isCat,
IF(headerRowID=incomeHeaderRow,MATCH(incomeMinRow,$C:$C,0),
IF(headerRowID=expensesHeaderRow,MATCH(expensesMinRow,$C:$C,0),
IF(headerRowID=savingsHeaderRow,MATCH(savingsMinRow,$C:$C,0),""))),"")</f>
        <v/>
      </c>
      <c r="N52" s="59" t="str" cm="1">
        <f t="array" ref="N52">IF(isCat,
IF(headerRowID=incomeHeaderRow,MATCH(incomeMaxRow,$C:$C,0),
IF(headerRowID=expensesHeaderRow,MATCH(expensesMaxRow,$C:$C,0),
IF(headerRowID=savingsHeaderRow,MATCH(savingsMaxRow,$C:$C,0),""))),"")</f>
        <v/>
      </c>
      <c r="O52" s="58" t="str">
        <f t="shared" si="22"/>
        <v/>
      </c>
      <c r="P52" t="str">
        <f t="shared" ca="1" si="23"/>
        <v/>
      </c>
      <c r="Q52" t="str">
        <f t="shared" si="24"/>
        <v/>
      </c>
      <c r="R52" s="59" t="str">
        <f t="shared" ca="1" si="25"/>
        <v/>
      </c>
      <c r="S52" s="58" t="str">
        <f t="shared" si="26"/>
        <v/>
      </c>
      <c r="T52" t="str">
        <f t="shared" si="27"/>
        <v/>
      </c>
      <c r="U52" t="str">
        <f t="shared" ca="1" si="28"/>
        <v/>
      </c>
      <c r="V52" t="str">
        <f t="shared" si="29"/>
        <v/>
      </c>
      <c r="W52" t="str">
        <f t="shared" ca="1" si="30"/>
        <v/>
      </c>
      <c r="X52" s="66">
        <f t="shared" si="31"/>
        <v>-1</v>
      </c>
      <c r="Y52" s="70" t="str">
        <f t="shared" si="32"/>
        <v/>
      </c>
      <c r="Z52" s="72" t="str">
        <f t="shared" si="33"/>
        <v/>
      </c>
      <c r="AA52" s="72" t="str">
        <f t="shared" si="34"/>
        <v/>
      </c>
      <c r="AB52" s="71" t="str">
        <f t="shared" si="35"/>
        <v/>
      </c>
      <c r="AC52" s="72" t="str">
        <f t="shared" si="36"/>
        <v/>
      </c>
      <c r="AD52" s="72" t="str">
        <f t="shared" si="37"/>
        <v/>
      </c>
    </row>
    <row r="53" spans="3:30" x14ac:dyDescent="0.2">
      <c r="C53" s="58" cm="1">
        <f t="array" ref="C53">IF(C52=-1,-1,
   IF(C52&lt;incomeMaxRow,  C52+1,
    IF(C52=incomeMaxRow,   incomeTotalRow,
     IF(C52=incomeTotalRow,   "/1",
      IF(C52="/1",   expensesHeaderRow,
       IF(C52&lt;expensesMaxRow,   C52+1,
        IF(C52=expensesMaxRow,   expensesTotalRow,
         IF(C52=expensesTotalRow, "/2",
          IF(C52="/2", savingsHeaderRow,
           IF(C52&lt;savingsMaxRow, C52+1,
            IF(C52=savingsMaxRow,savingsTotalRow,-1)))))))))))</f>
        <v>-1</v>
      </c>
      <c r="D53" s="59">
        <f t="shared" si="19"/>
        <v>-1</v>
      </c>
      <c r="E53" s="58" cm="1">
        <f t="array" ref="E53">1*OR(rowID=incomeHeaderRow,rowID=expensesHeaderRow,rowID=savingsHeaderRow)</f>
        <v>0</v>
      </c>
      <c r="F53">
        <f t="shared" si="20"/>
        <v>0</v>
      </c>
      <c r="G53" cm="1">
        <f t="array" ref="G53">1*OR(rowID=incomeTotalRow,rowID=expensesTotalRow,rowID=savingsTotalRow)</f>
        <v>0</v>
      </c>
      <c r="H53" s="59">
        <f t="shared" si="21"/>
        <v>1</v>
      </c>
      <c r="I53" s="58" t="str" cm="1">
        <f t="array" ref="I53">IFERROR(INDEX('Budget Planning'!$C:$C,headerRowID),"")</f>
        <v/>
      </c>
      <c r="J53" t="str" cm="1">
        <f t="array" ref="J53">IFERROR(INDEX('Budget Planning'!$C:$C,rowID),"")</f>
        <v/>
      </c>
      <c r="K53" s="41" t="str" cm="1">
        <f t="array" ref="K53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/>
      </c>
      <c r="L53" s="59" t="str" cm="1">
        <f t="array" ref="L53">IF(OR(isHeader,IsEmpty),"",
    INDEX('Budget Planning'!$E:$DY,rowID,
            MATCH(IF(selectedPeriod="Total Year", selectedYear, DATE(selectedYear,selectedPeriod,1)), 'Budget Planning'!$E$23:$DY$23,0)))</f>
        <v/>
      </c>
      <c r="M53" s="58" t="str" cm="1">
        <f t="array" ref="M53">IF(isCat,
IF(headerRowID=incomeHeaderRow,MATCH(incomeMinRow,$C:$C,0),
IF(headerRowID=expensesHeaderRow,MATCH(expensesMinRow,$C:$C,0),
IF(headerRowID=savingsHeaderRow,MATCH(savingsMinRow,$C:$C,0),""))),"")</f>
        <v/>
      </c>
      <c r="N53" s="59" t="str" cm="1">
        <f t="array" ref="N53">IF(isCat,
IF(headerRowID=incomeHeaderRow,MATCH(incomeMaxRow,$C:$C,0),
IF(headerRowID=expensesHeaderRow,MATCH(expensesMaxRow,$C:$C,0),
IF(headerRowID=savingsHeaderRow,MATCH(savingsMaxRow,$C:$C,0),""))),"")</f>
        <v/>
      </c>
      <c r="O53" s="58" t="str">
        <f t="shared" si="22"/>
        <v/>
      </c>
      <c r="P53" t="str">
        <f t="shared" ca="1" si="23"/>
        <v/>
      </c>
      <c r="Q53" t="str">
        <f t="shared" si="24"/>
        <v/>
      </c>
      <c r="R53" s="59" t="str">
        <f t="shared" ca="1" si="25"/>
        <v/>
      </c>
      <c r="S53" s="58" t="str">
        <f t="shared" si="26"/>
        <v/>
      </c>
      <c r="T53" t="str">
        <f t="shared" si="27"/>
        <v/>
      </c>
      <c r="U53" t="str">
        <f t="shared" ca="1" si="28"/>
        <v/>
      </c>
      <c r="V53" t="str">
        <f t="shared" si="29"/>
        <v/>
      </c>
      <c r="W53" t="str">
        <f t="shared" ca="1" si="30"/>
        <v/>
      </c>
      <c r="X53" s="66">
        <f t="shared" si="31"/>
        <v>-1</v>
      </c>
      <c r="Y53" s="70" t="str">
        <f t="shared" si="32"/>
        <v/>
      </c>
      <c r="Z53" s="72" t="str">
        <f t="shared" si="33"/>
        <v/>
      </c>
      <c r="AA53" s="72" t="str">
        <f t="shared" si="34"/>
        <v/>
      </c>
      <c r="AB53" s="71" t="str">
        <f t="shared" si="35"/>
        <v/>
      </c>
      <c r="AC53" s="72" t="str">
        <f t="shared" si="36"/>
        <v/>
      </c>
      <c r="AD53" s="72" t="str">
        <f t="shared" si="37"/>
        <v/>
      </c>
    </row>
    <row r="54" spans="3:30" x14ac:dyDescent="0.2">
      <c r="C54" s="58" cm="1">
        <f t="array" ref="C54">IF(C53=-1,-1,
   IF(C53&lt;incomeMaxRow,  C53+1,
    IF(C53=incomeMaxRow,   incomeTotalRow,
     IF(C53=incomeTotalRow,   "/1",
      IF(C53="/1",   expensesHeaderRow,
       IF(C53&lt;expensesMaxRow,   C53+1,
        IF(C53=expensesMaxRow,   expensesTotalRow,
         IF(C53=expensesTotalRow, "/2",
          IF(C53="/2", savingsHeaderRow,
           IF(C53&lt;savingsMaxRow, C53+1,
            IF(C53=savingsMaxRow,savingsTotalRow,-1)))))))))))</f>
        <v>-1</v>
      </c>
      <c r="D54" s="59">
        <f t="shared" si="19"/>
        <v>-1</v>
      </c>
      <c r="E54" s="58" cm="1">
        <f t="array" ref="E54">1*OR(rowID=incomeHeaderRow,rowID=expensesHeaderRow,rowID=savingsHeaderRow)</f>
        <v>0</v>
      </c>
      <c r="F54">
        <f t="shared" si="20"/>
        <v>0</v>
      </c>
      <c r="G54" cm="1">
        <f t="array" ref="G54">1*OR(rowID=incomeTotalRow,rowID=expensesTotalRow,rowID=savingsTotalRow)</f>
        <v>0</v>
      </c>
      <c r="H54" s="59">
        <f t="shared" si="21"/>
        <v>1</v>
      </c>
      <c r="I54" s="58" t="str" cm="1">
        <f t="array" ref="I54">IFERROR(INDEX('Budget Planning'!$C:$C,headerRowID),"")</f>
        <v/>
      </c>
      <c r="J54" t="str" cm="1">
        <f t="array" ref="J54">IFERROR(INDEX('Budget Planning'!$C:$C,rowID),"")</f>
        <v/>
      </c>
      <c r="K54" s="41" t="str" cm="1">
        <f t="array" ref="K54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/>
      </c>
      <c r="L54" s="59" t="str" cm="1">
        <f t="array" ref="L54">IF(OR(isHeader,IsEmpty),"",
    INDEX('Budget Planning'!$E:$DY,rowID,
            MATCH(IF(selectedPeriod="Total Year", selectedYear, DATE(selectedYear,selectedPeriod,1)), 'Budget Planning'!$E$23:$DY$23,0)))</f>
        <v/>
      </c>
      <c r="M54" s="58" t="str" cm="1">
        <f t="array" ref="M54">IF(isCat,
IF(headerRowID=incomeHeaderRow,MATCH(incomeMinRow,$C:$C,0),
IF(headerRowID=expensesHeaderRow,MATCH(expensesMinRow,$C:$C,0),
IF(headerRowID=savingsHeaderRow,MATCH(savingsMinRow,$C:$C,0),""))),"")</f>
        <v/>
      </c>
      <c r="N54" s="59" t="str" cm="1">
        <f t="array" ref="N54">IF(isCat,
IF(headerRowID=incomeHeaderRow,MATCH(incomeMaxRow,$C:$C,0),
IF(headerRowID=expensesHeaderRow,MATCH(expensesMaxRow,$C:$C,0),
IF(headerRowID=savingsHeaderRow,MATCH(savingsMaxRow,$C:$C,0),""))),"")</f>
        <v/>
      </c>
      <c r="O54" s="58" t="str">
        <f t="shared" si="22"/>
        <v/>
      </c>
      <c r="P54" t="str">
        <f t="shared" ca="1" si="23"/>
        <v/>
      </c>
      <c r="Q54" t="str">
        <f t="shared" si="24"/>
        <v/>
      </c>
      <c r="R54" s="59" t="str">
        <f t="shared" ca="1" si="25"/>
        <v/>
      </c>
      <c r="S54" s="58" t="str">
        <f t="shared" si="26"/>
        <v/>
      </c>
      <c r="T54" t="str">
        <f t="shared" si="27"/>
        <v/>
      </c>
      <c r="U54" t="str">
        <f t="shared" ca="1" si="28"/>
        <v/>
      </c>
      <c r="V54" t="str">
        <f t="shared" si="29"/>
        <v/>
      </c>
      <c r="W54" t="str">
        <f t="shared" ca="1" si="30"/>
        <v/>
      </c>
      <c r="X54" s="66">
        <f t="shared" si="31"/>
        <v>-1</v>
      </c>
      <c r="Y54" s="70" t="str">
        <f t="shared" si="32"/>
        <v/>
      </c>
      <c r="Z54" s="72" t="str">
        <f t="shared" si="33"/>
        <v/>
      </c>
      <c r="AA54" s="72" t="str">
        <f t="shared" si="34"/>
        <v/>
      </c>
      <c r="AB54" s="71" t="str">
        <f t="shared" si="35"/>
        <v/>
      </c>
      <c r="AC54" s="72" t="str">
        <f t="shared" si="36"/>
        <v/>
      </c>
      <c r="AD54" s="72" t="str">
        <f t="shared" si="37"/>
        <v/>
      </c>
    </row>
    <row r="55" spans="3:30" x14ac:dyDescent="0.2">
      <c r="C55" s="58" cm="1">
        <f t="array" ref="C55">IF(C54=-1,-1,
   IF(C54&lt;incomeMaxRow,  C54+1,
    IF(C54=incomeMaxRow,   incomeTotalRow,
     IF(C54=incomeTotalRow,   "/1",
      IF(C54="/1",   expensesHeaderRow,
       IF(C54&lt;expensesMaxRow,   C54+1,
        IF(C54=expensesMaxRow,   expensesTotalRow,
         IF(C54=expensesTotalRow, "/2",
          IF(C54="/2", savingsHeaderRow,
           IF(C54&lt;savingsMaxRow, C54+1,
            IF(C54=savingsMaxRow,savingsTotalRow,-1)))))))))))</f>
        <v>-1</v>
      </c>
      <c r="D55" s="59">
        <f t="shared" si="19"/>
        <v>-1</v>
      </c>
      <c r="E55" s="58" cm="1">
        <f t="array" ref="E55">1*OR(rowID=incomeHeaderRow,rowID=expensesHeaderRow,rowID=savingsHeaderRow)</f>
        <v>0</v>
      </c>
      <c r="F55">
        <f t="shared" si="20"/>
        <v>0</v>
      </c>
      <c r="G55" cm="1">
        <f t="array" ref="G55">1*OR(rowID=incomeTotalRow,rowID=expensesTotalRow,rowID=savingsTotalRow)</f>
        <v>0</v>
      </c>
      <c r="H55" s="59">
        <f t="shared" si="21"/>
        <v>1</v>
      </c>
      <c r="I55" s="58" t="str" cm="1">
        <f t="array" ref="I55">IFERROR(INDEX('Budget Planning'!$C:$C,headerRowID),"")</f>
        <v/>
      </c>
      <c r="J55" t="str" cm="1">
        <f t="array" ref="J55">IFERROR(INDEX('Budget Planning'!$C:$C,rowID),"")</f>
        <v/>
      </c>
      <c r="K55" s="41" t="str" cm="1">
        <f t="array" ref="K55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/>
      </c>
      <c r="L55" s="59" t="str" cm="1">
        <f t="array" ref="L55">IF(OR(isHeader,IsEmpty),"",
    INDEX('Budget Planning'!$E:$DY,rowID,
            MATCH(IF(selectedPeriod="Total Year", selectedYear, DATE(selectedYear,selectedPeriod,1)), 'Budget Planning'!$E$23:$DY$23,0)))</f>
        <v/>
      </c>
      <c r="M55" s="58" t="str" cm="1">
        <f t="array" ref="M55">IF(isCat,
IF(headerRowID=incomeHeaderRow,MATCH(incomeMinRow,$C:$C,0),
IF(headerRowID=expensesHeaderRow,MATCH(expensesMinRow,$C:$C,0),
IF(headerRowID=savingsHeaderRow,MATCH(savingsMinRow,$C:$C,0),""))),"")</f>
        <v/>
      </c>
      <c r="N55" s="59" t="str" cm="1">
        <f t="array" ref="N55">IF(isCat,
IF(headerRowID=incomeHeaderRow,MATCH(incomeMaxRow,$C:$C,0),
IF(headerRowID=expensesHeaderRow,MATCH(expensesMaxRow,$C:$C,0),
IF(headerRowID=savingsHeaderRow,MATCH(savingsMaxRow,$C:$C,0),""))),"")</f>
        <v/>
      </c>
      <c r="O55" s="58" t="str">
        <f t="shared" si="22"/>
        <v/>
      </c>
      <c r="P55" t="str">
        <f t="shared" ca="1" si="23"/>
        <v/>
      </c>
      <c r="Q55" t="str">
        <f t="shared" si="24"/>
        <v/>
      </c>
      <c r="R55" s="59" t="str">
        <f t="shared" ca="1" si="25"/>
        <v/>
      </c>
      <c r="S55" s="58" t="str">
        <f t="shared" si="26"/>
        <v/>
      </c>
      <c r="T55" t="str">
        <f t="shared" si="27"/>
        <v/>
      </c>
      <c r="U55" t="str">
        <f t="shared" ca="1" si="28"/>
        <v/>
      </c>
      <c r="V55" t="str">
        <f t="shared" si="29"/>
        <v/>
      </c>
      <c r="W55" t="str">
        <f t="shared" ca="1" si="30"/>
        <v/>
      </c>
      <c r="X55" s="66">
        <f t="shared" si="31"/>
        <v>-1</v>
      </c>
      <c r="Y55" s="70" t="str">
        <f t="shared" si="32"/>
        <v/>
      </c>
      <c r="Z55" s="72" t="str">
        <f t="shared" si="33"/>
        <v/>
      </c>
      <c r="AA55" s="72" t="str">
        <f t="shared" si="34"/>
        <v/>
      </c>
      <c r="AB55" s="71" t="str">
        <f t="shared" si="35"/>
        <v/>
      </c>
      <c r="AC55" s="72" t="str">
        <f t="shared" si="36"/>
        <v/>
      </c>
      <c r="AD55" s="72" t="str">
        <f t="shared" si="37"/>
        <v/>
      </c>
    </row>
    <row r="56" spans="3:30" x14ac:dyDescent="0.2">
      <c r="C56" s="58" cm="1">
        <f t="array" ref="C56">IF(C55=-1,-1,
   IF(C55&lt;incomeMaxRow,  C55+1,
    IF(C55=incomeMaxRow,   incomeTotalRow,
     IF(C55=incomeTotalRow,   "/1",
      IF(C55="/1",   expensesHeaderRow,
       IF(C55&lt;expensesMaxRow,   C55+1,
        IF(C55=expensesMaxRow,   expensesTotalRow,
         IF(C55=expensesTotalRow, "/2",
          IF(C55="/2", savingsHeaderRow,
           IF(C55&lt;savingsMaxRow, C55+1,
            IF(C55=savingsMaxRow,savingsTotalRow,-1)))))))))))</f>
        <v>-1</v>
      </c>
      <c r="D56" s="59">
        <f t="shared" si="19"/>
        <v>-1</v>
      </c>
      <c r="E56" s="58" cm="1">
        <f t="array" ref="E56">1*OR(rowID=incomeHeaderRow,rowID=expensesHeaderRow,rowID=savingsHeaderRow)</f>
        <v>0</v>
      </c>
      <c r="F56">
        <f t="shared" si="20"/>
        <v>0</v>
      </c>
      <c r="G56" cm="1">
        <f t="array" ref="G56">1*OR(rowID=incomeTotalRow,rowID=expensesTotalRow,rowID=savingsTotalRow)</f>
        <v>0</v>
      </c>
      <c r="H56" s="59">
        <f t="shared" si="21"/>
        <v>1</v>
      </c>
      <c r="I56" s="58" t="str" cm="1">
        <f t="array" ref="I56">IFERROR(INDEX('Budget Planning'!$C:$C,headerRowID),"")</f>
        <v/>
      </c>
      <c r="J56" t="str" cm="1">
        <f t="array" ref="J56">IFERROR(INDEX('Budget Planning'!$C:$C,rowID),"")</f>
        <v/>
      </c>
      <c r="K56" s="41" t="str" cm="1">
        <f t="array" ref="K56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/>
      </c>
      <c r="L56" s="59" t="str" cm="1">
        <f t="array" ref="L56">IF(OR(isHeader,IsEmpty),"",
    INDEX('Budget Planning'!$E:$DY,rowID,
            MATCH(IF(selectedPeriod="Total Year", selectedYear, DATE(selectedYear,selectedPeriod,1)), 'Budget Planning'!$E$23:$DY$23,0)))</f>
        <v/>
      </c>
      <c r="M56" s="58" t="str" cm="1">
        <f t="array" ref="M56">IF(isCat,
IF(headerRowID=incomeHeaderRow,MATCH(incomeMinRow,$C:$C,0),
IF(headerRowID=expensesHeaderRow,MATCH(expensesMinRow,$C:$C,0),
IF(headerRowID=savingsHeaderRow,MATCH(savingsMinRow,$C:$C,0),""))),"")</f>
        <v/>
      </c>
      <c r="N56" s="59" t="str" cm="1">
        <f t="array" ref="N56">IF(isCat,
IF(headerRowID=incomeHeaderRow,MATCH(incomeMaxRow,$C:$C,0),
IF(headerRowID=expensesHeaderRow,MATCH(expensesMaxRow,$C:$C,0),
IF(headerRowID=savingsHeaderRow,MATCH(savingsMaxRow,$C:$C,0),""))),"")</f>
        <v/>
      </c>
      <c r="O56" s="58" t="str">
        <f t="shared" si="22"/>
        <v/>
      </c>
      <c r="P56" t="str">
        <f t="shared" ca="1" si="23"/>
        <v/>
      </c>
      <c r="Q56" t="str">
        <f t="shared" si="24"/>
        <v/>
      </c>
      <c r="R56" s="59" t="str">
        <f t="shared" ca="1" si="25"/>
        <v/>
      </c>
      <c r="S56" s="58" t="str">
        <f t="shared" si="26"/>
        <v/>
      </c>
      <c r="T56" t="str">
        <f t="shared" si="27"/>
        <v/>
      </c>
      <c r="U56" t="str">
        <f t="shared" ca="1" si="28"/>
        <v/>
      </c>
      <c r="V56" t="str">
        <f t="shared" si="29"/>
        <v/>
      </c>
      <c r="W56" t="str">
        <f t="shared" ca="1" si="30"/>
        <v/>
      </c>
      <c r="X56" s="66">
        <f t="shared" si="31"/>
        <v>-1</v>
      </c>
      <c r="Y56" s="70" t="str">
        <f t="shared" si="32"/>
        <v/>
      </c>
      <c r="Z56" s="72" t="str">
        <f t="shared" si="33"/>
        <v/>
      </c>
      <c r="AA56" s="72" t="str">
        <f t="shared" si="34"/>
        <v/>
      </c>
      <c r="AB56" s="71" t="str">
        <f t="shared" si="35"/>
        <v/>
      </c>
      <c r="AC56" s="72" t="str">
        <f t="shared" si="36"/>
        <v/>
      </c>
      <c r="AD56" s="72" t="str">
        <f t="shared" si="37"/>
        <v/>
      </c>
    </row>
    <row r="57" spans="3:30" x14ac:dyDescent="0.2">
      <c r="C57" s="58" cm="1">
        <f t="array" ref="C57">IF(C56=-1,-1,
   IF(C56&lt;incomeMaxRow,  C56+1,
    IF(C56=incomeMaxRow,   incomeTotalRow,
     IF(C56=incomeTotalRow,   "/1",
      IF(C56="/1",   expensesHeaderRow,
       IF(C56&lt;expensesMaxRow,   C56+1,
        IF(C56=expensesMaxRow,   expensesTotalRow,
         IF(C56=expensesTotalRow, "/2",
          IF(C56="/2", savingsHeaderRow,
           IF(C56&lt;savingsMaxRow, C56+1,
            IF(C56=savingsMaxRow,savingsTotalRow,-1)))))))))))</f>
        <v>-1</v>
      </c>
      <c r="D57" s="59">
        <f t="shared" si="19"/>
        <v>-1</v>
      </c>
      <c r="E57" s="58" cm="1">
        <f t="array" ref="E57">1*OR(rowID=incomeHeaderRow,rowID=expensesHeaderRow,rowID=savingsHeaderRow)</f>
        <v>0</v>
      </c>
      <c r="F57">
        <f t="shared" si="20"/>
        <v>0</v>
      </c>
      <c r="G57" cm="1">
        <f t="array" ref="G57">1*OR(rowID=incomeTotalRow,rowID=expensesTotalRow,rowID=savingsTotalRow)</f>
        <v>0</v>
      </c>
      <c r="H57" s="59">
        <f t="shared" si="21"/>
        <v>1</v>
      </c>
      <c r="I57" s="58" t="str" cm="1">
        <f t="array" ref="I57">IFERROR(INDEX('Budget Planning'!$C:$C,headerRowID),"")</f>
        <v/>
      </c>
      <c r="J57" t="str" cm="1">
        <f t="array" ref="J57">IFERROR(INDEX('Budget Planning'!$C:$C,rowID),"")</f>
        <v/>
      </c>
      <c r="K57" s="41" t="str" cm="1">
        <f t="array" ref="K57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/>
      </c>
      <c r="L57" s="59" t="str" cm="1">
        <f t="array" ref="L57">IF(OR(isHeader,IsEmpty),"",
    INDEX('Budget Planning'!$E:$DY,rowID,
            MATCH(IF(selectedPeriod="Total Year", selectedYear, DATE(selectedYear,selectedPeriod,1)), 'Budget Planning'!$E$23:$DY$23,0)))</f>
        <v/>
      </c>
      <c r="M57" s="58" t="str" cm="1">
        <f t="array" ref="M57">IF(isCat,
IF(headerRowID=incomeHeaderRow,MATCH(incomeMinRow,$C:$C,0),
IF(headerRowID=expensesHeaderRow,MATCH(expensesMinRow,$C:$C,0),
IF(headerRowID=savingsHeaderRow,MATCH(savingsMinRow,$C:$C,0),""))),"")</f>
        <v/>
      </c>
      <c r="N57" s="59" t="str" cm="1">
        <f t="array" ref="N57">IF(isCat,
IF(headerRowID=incomeHeaderRow,MATCH(incomeMaxRow,$C:$C,0),
IF(headerRowID=expensesHeaderRow,MATCH(expensesMaxRow,$C:$C,0),
IF(headerRowID=savingsHeaderRow,MATCH(savingsMaxRow,$C:$C,0),""))),"")</f>
        <v/>
      </c>
      <c r="O57" s="58" t="str">
        <f t="shared" si="22"/>
        <v/>
      </c>
      <c r="P57" t="str">
        <f t="shared" ca="1" si="23"/>
        <v/>
      </c>
      <c r="Q57" t="str">
        <f t="shared" si="24"/>
        <v/>
      </c>
      <c r="R57" s="59" t="str">
        <f t="shared" ca="1" si="25"/>
        <v/>
      </c>
      <c r="S57" s="58" t="str">
        <f t="shared" si="26"/>
        <v/>
      </c>
      <c r="T57" t="str">
        <f t="shared" si="27"/>
        <v/>
      </c>
      <c r="U57" t="str">
        <f t="shared" ca="1" si="28"/>
        <v/>
      </c>
      <c r="V57" t="str">
        <f t="shared" si="29"/>
        <v/>
      </c>
      <c r="W57" t="str">
        <f t="shared" ca="1" si="30"/>
        <v/>
      </c>
      <c r="X57" s="66">
        <f t="shared" si="31"/>
        <v>-1</v>
      </c>
      <c r="Y57" s="70" t="str">
        <f t="shared" si="32"/>
        <v/>
      </c>
      <c r="Z57" s="72" t="str">
        <f t="shared" si="33"/>
        <v/>
      </c>
      <c r="AA57" s="72" t="str">
        <f t="shared" si="34"/>
        <v/>
      </c>
      <c r="AB57" s="71" t="str">
        <f t="shared" si="35"/>
        <v/>
      </c>
      <c r="AC57" s="72" t="str">
        <f t="shared" si="36"/>
        <v/>
      </c>
      <c r="AD57" s="72" t="str">
        <f t="shared" si="37"/>
        <v/>
      </c>
    </row>
    <row r="58" spans="3:30" x14ac:dyDescent="0.2">
      <c r="C58" s="58" cm="1">
        <f t="array" ref="C58">IF(C57=-1,-1,
   IF(C57&lt;incomeMaxRow,  C57+1,
    IF(C57=incomeMaxRow,   incomeTotalRow,
     IF(C57=incomeTotalRow,   "/1",
      IF(C57="/1",   expensesHeaderRow,
       IF(C57&lt;expensesMaxRow,   C57+1,
        IF(C57=expensesMaxRow,   expensesTotalRow,
         IF(C57=expensesTotalRow, "/2",
          IF(C57="/2", savingsHeaderRow,
           IF(C57&lt;savingsMaxRow, C57+1,
            IF(C57=savingsMaxRow,savingsTotalRow,-1)))))))))))</f>
        <v>-1</v>
      </c>
      <c r="D58" s="59">
        <f t="shared" si="19"/>
        <v>-1</v>
      </c>
      <c r="E58" s="58" cm="1">
        <f t="array" ref="E58">1*OR(rowID=incomeHeaderRow,rowID=expensesHeaderRow,rowID=savingsHeaderRow)</f>
        <v>0</v>
      </c>
      <c r="F58">
        <f t="shared" si="20"/>
        <v>0</v>
      </c>
      <c r="G58" cm="1">
        <f t="array" ref="G58">1*OR(rowID=incomeTotalRow,rowID=expensesTotalRow,rowID=savingsTotalRow)</f>
        <v>0</v>
      </c>
      <c r="H58" s="59">
        <f t="shared" si="21"/>
        <v>1</v>
      </c>
      <c r="I58" s="58" t="str" cm="1">
        <f t="array" ref="I58">IFERROR(INDEX('Budget Planning'!$C:$C,headerRowID),"")</f>
        <v/>
      </c>
      <c r="J58" t="str" cm="1">
        <f t="array" ref="J58">IFERROR(INDEX('Budget Planning'!$C:$C,rowID),"")</f>
        <v/>
      </c>
      <c r="K58" s="41" t="str" cm="1">
        <f t="array" ref="K58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/>
      </c>
      <c r="L58" s="59" t="str" cm="1">
        <f t="array" ref="L58">IF(OR(isHeader,IsEmpty),"",
    INDEX('Budget Planning'!$E:$DY,rowID,
            MATCH(IF(selectedPeriod="Total Year", selectedYear, DATE(selectedYear,selectedPeriod,1)), 'Budget Planning'!$E$23:$DY$23,0)))</f>
        <v/>
      </c>
      <c r="M58" s="58" t="str" cm="1">
        <f t="array" ref="M58">IF(isCat,
IF(headerRowID=incomeHeaderRow,MATCH(incomeMinRow,$C:$C,0),
IF(headerRowID=expensesHeaderRow,MATCH(expensesMinRow,$C:$C,0),
IF(headerRowID=savingsHeaderRow,MATCH(savingsMinRow,$C:$C,0),""))),"")</f>
        <v/>
      </c>
      <c r="N58" s="59" t="str" cm="1">
        <f t="array" ref="N58">IF(isCat,
IF(headerRowID=incomeHeaderRow,MATCH(incomeMaxRow,$C:$C,0),
IF(headerRowID=expensesHeaderRow,MATCH(expensesMaxRow,$C:$C,0),
IF(headerRowID=savingsHeaderRow,MATCH(savingsMaxRow,$C:$C,0),""))),"")</f>
        <v/>
      </c>
      <c r="O58" s="58" t="str">
        <f t="shared" si="22"/>
        <v/>
      </c>
      <c r="P58" t="str">
        <f t="shared" ca="1" si="23"/>
        <v/>
      </c>
      <c r="Q58" t="str">
        <f t="shared" si="24"/>
        <v/>
      </c>
      <c r="R58" s="59" t="str">
        <f t="shared" ca="1" si="25"/>
        <v/>
      </c>
      <c r="S58" s="58" t="str">
        <f t="shared" si="26"/>
        <v/>
      </c>
      <c r="T58" t="str">
        <f t="shared" si="27"/>
        <v/>
      </c>
      <c r="U58" t="str">
        <f t="shared" ca="1" si="28"/>
        <v/>
      </c>
      <c r="V58" t="str">
        <f t="shared" si="29"/>
        <v/>
      </c>
      <c r="W58" t="str">
        <f t="shared" ca="1" si="30"/>
        <v/>
      </c>
      <c r="X58" s="66">
        <f t="shared" si="31"/>
        <v>-1</v>
      </c>
      <c r="Y58" s="70" t="str">
        <f t="shared" si="32"/>
        <v/>
      </c>
      <c r="Z58" s="72" t="str">
        <f t="shared" si="33"/>
        <v/>
      </c>
      <c r="AA58" s="72" t="str">
        <f t="shared" si="34"/>
        <v/>
      </c>
      <c r="AB58" s="71" t="str">
        <f t="shared" si="35"/>
        <v/>
      </c>
      <c r="AC58" s="72" t="str">
        <f t="shared" si="36"/>
        <v/>
      </c>
      <c r="AD58" s="72" t="str">
        <f t="shared" si="37"/>
        <v/>
      </c>
    </row>
    <row r="59" spans="3:30" x14ac:dyDescent="0.2">
      <c r="C59" s="58" cm="1">
        <f t="array" ref="C59">IF(C58=-1,-1,
   IF(C58&lt;incomeMaxRow,  C58+1,
    IF(C58=incomeMaxRow,   incomeTotalRow,
     IF(C58=incomeTotalRow,   "/1",
      IF(C58="/1",   expensesHeaderRow,
       IF(C58&lt;expensesMaxRow,   C58+1,
        IF(C58=expensesMaxRow,   expensesTotalRow,
         IF(C58=expensesTotalRow, "/2",
          IF(C58="/2", savingsHeaderRow,
           IF(C58&lt;savingsMaxRow, C58+1,
            IF(C58=savingsMaxRow,savingsTotalRow,-1)))))))))))</f>
        <v>-1</v>
      </c>
      <c r="D59" s="59">
        <f t="shared" si="19"/>
        <v>-1</v>
      </c>
      <c r="E59" s="58" cm="1">
        <f t="array" ref="E59">1*OR(rowID=incomeHeaderRow,rowID=expensesHeaderRow,rowID=savingsHeaderRow)</f>
        <v>0</v>
      </c>
      <c r="F59">
        <f t="shared" si="20"/>
        <v>0</v>
      </c>
      <c r="G59" cm="1">
        <f t="array" ref="G59">1*OR(rowID=incomeTotalRow,rowID=expensesTotalRow,rowID=savingsTotalRow)</f>
        <v>0</v>
      </c>
      <c r="H59" s="59">
        <f t="shared" si="21"/>
        <v>1</v>
      </c>
      <c r="I59" s="58" t="str" cm="1">
        <f t="array" ref="I59">IFERROR(INDEX('Budget Planning'!$C:$C,headerRowID),"")</f>
        <v/>
      </c>
      <c r="J59" t="str" cm="1">
        <f t="array" ref="J59">IFERROR(INDEX('Budget Planning'!$C:$C,rowID),"")</f>
        <v/>
      </c>
      <c r="K59" s="41" t="str" cm="1">
        <f t="array" ref="K59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/>
      </c>
      <c r="L59" s="59" t="str" cm="1">
        <f t="array" ref="L59">IF(OR(isHeader,IsEmpty),"",
    INDEX('Budget Planning'!$E:$DY,rowID,
            MATCH(IF(selectedPeriod="Total Year", selectedYear, DATE(selectedYear,selectedPeriod,1)), 'Budget Planning'!$E$23:$DY$23,0)))</f>
        <v/>
      </c>
      <c r="M59" s="58" t="str" cm="1">
        <f t="array" ref="M59">IF(isCat,
IF(headerRowID=incomeHeaderRow,MATCH(incomeMinRow,$C:$C,0),
IF(headerRowID=expensesHeaderRow,MATCH(expensesMinRow,$C:$C,0),
IF(headerRowID=savingsHeaderRow,MATCH(savingsMinRow,$C:$C,0),""))),"")</f>
        <v/>
      </c>
      <c r="N59" s="59" t="str" cm="1">
        <f t="array" ref="N59">IF(isCat,
IF(headerRowID=incomeHeaderRow,MATCH(incomeMaxRow,$C:$C,0),
IF(headerRowID=expensesHeaderRow,MATCH(expensesMaxRow,$C:$C,0),
IF(headerRowID=savingsHeaderRow,MATCH(savingsMaxRow,$C:$C,0),""))),"")</f>
        <v/>
      </c>
      <c r="O59" s="58" t="str">
        <f t="shared" si="22"/>
        <v/>
      </c>
      <c r="P59" t="str">
        <f t="shared" ca="1" si="23"/>
        <v/>
      </c>
      <c r="Q59" t="str">
        <f t="shared" si="24"/>
        <v/>
      </c>
      <c r="R59" s="59" t="str">
        <f t="shared" ca="1" si="25"/>
        <v/>
      </c>
      <c r="S59" s="58" t="str">
        <f t="shared" si="26"/>
        <v/>
      </c>
      <c r="T59" t="str">
        <f t="shared" si="27"/>
        <v/>
      </c>
      <c r="U59" t="str">
        <f t="shared" ca="1" si="28"/>
        <v/>
      </c>
      <c r="V59" t="str">
        <f t="shared" si="29"/>
        <v/>
      </c>
      <c r="W59" t="str">
        <f t="shared" ca="1" si="30"/>
        <v/>
      </c>
      <c r="X59" s="66">
        <f t="shared" si="31"/>
        <v>-1</v>
      </c>
      <c r="Y59" s="70" t="str">
        <f t="shared" si="32"/>
        <v/>
      </c>
      <c r="Z59" s="72" t="str">
        <f t="shared" si="33"/>
        <v/>
      </c>
      <c r="AA59" s="72" t="str">
        <f t="shared" si="34"/>
        <v/>
      </c>
      <c r="AB59" s="71" t="str">
        <f t="shared" si="35"/>
        <v/>
      </c>
      <c r="AC59" s="72" t="str">
        <f t="shared" si="36"/>
        <v/>
      </c>
      <c r="AD59" s="72" t="str">
        <f t="shared" si="37"/>
        <v/>
      </c>
    </row>
    <row r="60" spans="3:30" x14ac:dyDescent="0.2">
      <c r="C60" s="58" cm="1">
        <f t="array" ref="C60">IF(C59=-1,-1,
   IF(C59&lt;incomeMaxRow,  C59+1,
    IF(C59=incomeMaxRow,   incomeTotalRow,
     IF(C59=incomeTotalRow,   "/1",
      IF(C59="/1",   expensesHeaderRow,
       IF(C59&lt;expensesMaxRow,   C59+1,
        IF(C59=expensesMaxRow,   expensesTotalRow,
         IF(C59=expensesTotalRow, "/2",
          IF(C59="/2", savingsHeaderRow,
           IF(C59&lt;savingsMaxRow, C59+1,
            IF(C59=savingsMaxRow,savingsTotalRow,-1)))))))))))</f>
        <v>-1</v>
      </c>
      <c r="D60" s="59">
        <f t="shared" si="19"/>
        <v>-1</v>
      </c>
      <c r="E60" s="58" cm="1">
        <f t="array" ref="E60">1*OR(rowID=incomeHeaderRow,rowID=expensesHeaderRow,rowID=savingsHeaderRow)</f>
        <v>0</v>
      </c>
      <c r="F60">
        <f t="shared" si="20"/>
        <v>0</v>
      </c>
      <c r="G60" cm="1">
        <f t="array" ref="G60">1*OR(rowID=incomeTotalRow,rowID=expensesTotalRow,rowID=savingsTotalRow)</f>
        <v>0</v>
      </c>
      <c r="H60" s="59">
        <f t="shared" si="21"/>
        <v>1</v>
      </c>
      <c r="I60" s="58" t="str" cm="1">
        <f t="array" ref="I60">IFERROR(INDEX('Budget Planning'!$C:$C,headerRowID),"")</f>
        <v/>
      </c>
      <c r="J60" t="str" cm="1">
        <f t="array" ref="J60">IFERROR(INDEX('Budget Planning'!$C:$C,rowID),"")</f>
        <v/>
      </c>
      <c r="K60" s="41" t="str" cm="1">
        <f t="array" ref="K60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/>
      </c>
      <c r="L60" s="59" t="str" cm="1">
        <f t="array" ref="L60">IF(OR(isHeader,IsEmpty),"",
    INDEX('Budget Planning'!$E:$DY,rowID,
            MATCH(IF(selectedPeriod="Total Year", selectedYear, DATE(selectedYear,selectedPeriod,1)), 'Budget Planning'!$E$23:$DY$23,0)))</f>
        <v/>
      </c>
      <c r="M60" s="58" t="str" cm="1">
        <f t="array" ref="M60">IF(isCat,
IF(headerRowID=incomeHeaderRow,MATCH(incomeMinRow,$C:$C,0),
IF(headerRowID=expensesHeaderRow,MATCH(expensesMinRow,$C:$C,0),
IF(headerRowID=savingsHeaderRow,MATCH(savingsMinRow,$C:$C,0),""))),"")</f>
        <v/>
      </c>
      <c r="N60" s="59" t="str" cm="1">
        <f t="array" ref="N60">IF(isCat,
IF(headerRowID=incomeHeaderRow,MATCH(incomeMaxRow,$C:$C,0),
IF(headerRowID=expensesHeaderRow,MATCH(expensesMaxRow,$C:$C,0),
IF(headerRowID=savingsHeaderRow,MATCH(savingsMaxRow,$C:$C,0),""))),"")</f>
        <v/>
      </c>
      <c r="O60" s="58" t="str">
        <f t="shared" si="22"/>
        <v/>
      </c>
      <c r="P60" t="str">
        <f t="shared" ca="1" si="23"/>
        <v/>
      </c>
      <c r="Q60" t="str">
        <f t="shared" si="24"/>
        <v/>
      </c>
      <c r="R60" s="59" t="str">
        <f t="shared" ca="1" si="25"/>
        <v/>
      </c>
      <c r="S60" s="58" t="str">
        <f t="shared" si="26"/>
        <v/>
      </c>
      <c r="T60" t="str">
        <f t="shared" si="27"/>
        <v/>
      </c>
      <c r="U60" t="str">
        <f t="shared" ca="1" si="28"/>
        <v/>
      </c>
      <c r="V60" t="str">
        <f t="shared" si="29"/>
        <v/>
      </c>
      <c r="W60" t="str">
        <f t="shared" ca="1" si="30"/>
        <v/>
      </c>
      <c r="X60" s="66">
        <f t="shared" si="31"/>
        <v>-1</v>
      </c>
      <c r="Y60" s="70" t="str">
        <f t="shared" si="32"/>
        <v/>
      </c>
      <c r="Z60" s="72" t="str">
        <f t="shared" si="33"/>
        <v/>
      </c>
      <c r="AA60" s="72" t="str">
        <f t="shared" si="34"/>
        <v/>
      </c>
      <c r="AB60" s="71" t="str">
        <f t="shared" si="35"/>
        <v/>
      </c>
      <c r="AC60" s="72" t="str">
        <f t="shared" si="36"/>
        <v/>
      </c>
      <c r="AD60" s="72" t="str">
        <f t="shared" si="37"/>
        <v/>
      </c>
    </row>
    <row r="61" spans="3:30" x14ac:dyDescent="0.2">
      <c r="C61" s="58" cm="1">
        <f t="array" ref="C61">IF(C60=-1,-1,
   IF(C60&lt;incomeMaxRow,  C60+1,
    IF(C60=incomeMaxRow,   incomeTotalRow,
     IF(C60=incomeTotalRow,   "/1",
      IF(C60="/1",   expensesHeaderRow,
       IF(C60&lt;expensesMaxRow,   C60+1,
        IF(C60=expensesMaxRow,   expensesTotalRow,
         IF(C60=expensesTotalRow, "/2",
          IF(C60="/2", savingsHeaderRow,
           IF(C60&lt;savingsMaxRow, C60+1,
            IF(C60=savingsMaxRow,savingsTotalRow,-1)))))))))))</f>
        <v>-1</v>
      </c>
      <c r="D61" s="59">
        <f t="shared" si="19"/>
        <v>-1</v>
      </c>
      <c r="E61" s="58" cm="1">
        <f t="array" ref="E61">1*OR(rowID=incomeHeaderRow,rowID=expensesHeaderRow,rowID=savingsHeaderRow)</f>
        <v>0</v>
      </c>
      <c r="F61">
        <f t="shared" si="20"/>
        <v>0</v>
      </c>
      <c r="G61" cm="1">
        <f t="array" ref="G61">1*OR(rowID=incomeTotalRow,rowID=expensesTotalRow,rowID=savingsTotalRow)</f>
        <v>0</v>
      </c>
      <c r="H61" s="59">
        <f t="shared" si="21"/>
        <v>1</v>
      </c>
      <c r="I61" s="58" t="str" cm="1">
        <f t="array" ref="I61">IFERROR(INDEX('Budget Planning'!$C:$C,headerRowID),"")</f>
        <v/>
      </c>
      <c r="J61" t="str" cm="1">
        <f t="array" ref="J61">IFERROR(INDEX('Budget Planning'!$C:$C,rowID),"")</f>
        <v/>
      </c>
      <c r="K61" s="41" t="str" cm="1">
        <f t="array" ref="K61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/>
      </c>
      <c r="L61" s="59" t="str" cm="1">
        <f t="array" ref="L61">IF(OR(isHeader,IsEmpty),"",
    INDEX('Budget Planning'!$E:$DY,rowID,
            MATCH(IF(selectedPeriod="Total Year", selectedYear, DATE(selectedYear,selectedPeriod,1)), 'Budget Planning'!$E$23:$DY$23,0)))</f>
        <v/>
      </c>
      <c r="M61" s="58" t="str" cm="1">
        <f t="array" ref="M61">IF(isCat,
IF(headerRowID=incomeHeaderRow,MATCH(incomeMinRow,$C:$C,0),
IF(headerRowID=expensesHeaderRow,MATCH(expensesMinRow,$C:$C,0),
IF(headerRowID=savingsHeaderRow,MATCH(savingsMinRow,$C:$C,0),""))),"")</f>
        <v/>
      </c>
      <c r="N61" s="59" t="str" cm="1">
        <f t="array" ref="N61">IF(isCat,
IF(headerRowID=incomeHeaderRow,MATCH(incomeMaxRow,$C:$C,0),
IF(headerRowID=expensesHeaderRow,MATCH(expensesMaxRow,$C:$C,0),
IF(headerRowID=savingsHeaderRow,MATCH(savingsMaxRow,$C:$C,0),""))),"")</f>
        <v/>
      </c>
      <c r="O61" s="58" t="str">
        <f t="shared" si="22"/>
        <v/>
      </c>
      <c r="P61" t="str">
        <f t="shared" ca="1" si="23"/>
        <v/>
      </c>
      <c r="Q61" t="str">
        <f t="shared" si="24"/>
        <v/>
      </c>
      <c r="R61" s="59" t="str">
        <f t="shared" ca="1" si="25"/>
        <v/>
      </c>
      <c r="S61" s="58" t="str">
        <f t="shared" si="26"/>
        <v/>
      </c>
      <c r="T61" t="str">
        <f t="shared" si="27"/>
        <v/>
      </c>
      <c r="U61" t="str">
        <f t="shared" ca="1" si="28"/>
        <v/>
      </c>
      <c r="V61" t="str">
        <f t="shared" si="29"/>
        <v/>
      </c>
      <c r="W61" t="str">
        <f t="shared" ca="1" si="30"/>
        <v/>
      </c>
      <c r="X61" s="66">
        <f t="shared" si="31"/>
        <v>-1</v>
      </c>
      <c r="Y61" s="70" t="str">
        <f t="shared" si="32"/>
        <v/>
      </c>
      <c r="Z61" s="72" t="str">
        <f t="shared" si="33"/>
        <v/>
      </c>
      <c r="AA61" s="72" t="str">
        <f t="shared" si="34"/>
        <v/>
      </c>
      <c r="AB61" s="71" t="str">
        <f t="shared" si="35"/>
        <v/>
      </c>
      <c r="AC61" s="72" t="str">
        <f t="shared" si="36"/>
        <v/>
      </c>
      <c r="AD61" s="72" t="str">
        <f t="shared" si="37"/>
        <v/>
      </c>
    </row>
    <row r="62" spans="3:30" x14ac:dyDescent="0.2">
      <c r="C62" s="58" cm="1">
        <f t="array" ref="C62">IF(C61=-1,-1,
   IF(C61&lt;incomeMaxRow,  C61+1,
    IF(C61=incomeMaxRow,   incomeTotalRow,
     IF(C61=incomeTotalRow,   "/1",
      IF(C61="/1",   expensesHeaderRow,
       IF(C61&lt;expensesMaxRow,   C61+1,
        IF(C61=expensesMaxRow,   expensesTotalRow,
         IF(C61=expensesTotalRow, "/2",
          IF(C61="/2", savingsHeaderRow,
           IF(C61&lt;savingsMaxRow, C61+1,
            IF(C61=savingsMaxRow,savingsTotalRow,-1)))))))))))</f>
        <v>-1</v>
      </c>
      <c r="D62" s="59">
        <f t="shared" si="19"/>
        <v>-1</v>
      </c>
      <c r="E62" s="58" cm="1">
        <f t="array" ref="E62">1*OR(rowID=incomeHeaderRow,rowID=expensesHeaderRow,rowID=savingsHeaderRow)</f>
        <v>0</v>
      </c>
      <c r="F62">
        <f t="shared" si="20"/>
        <v>0</v>
      </c>
      <c r="G62" cm="1">
        <f t="array" ref="G62">1*OR(rowID=incomeTotalRow,rowID=expensesTotalRow,rowID=savingsTotalRow)</f>
        <v>0</v>
      </c>
      <c r="H62" s="59">
        <f t="shared" si="21"/>
        <v>1</v>
      </c>
      <c r="I62" s="58" t="str" cm="1">
        <f t="array" ref="I62">IFERROR(INDEX('Budget Planning'!$C:$C,headerRowID),"")</f>
        <v/>
      </c>
      <c r="J62" t="str" cm="1">
        <f t="array" ref="J62">IFERROR(INDEX('Budget Planning'!$C:$C,rowID),"")</f>
        <v/>
      </c>
      <c r="K62" s="41" t="str" cm="1">
        <f t="array" ref="K62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/>
      </c>
      <c r="L62" s="59" t="str" cm="1">
        <f t="array" ref="L62">IF(OR(isHeader,IsEmpty),"",
    INDEX('Budget Planning'!$E:$DY,rowID,
            MATCH(IF(selectedPeriod="Total Year", selectedYear, DATE(selectedYear,selectedPeriod,1)), 'Budget Planning'!$E$23:$DY$23,0)))</f>
        <v/>
      </c>
      <c r="M62" s="58" t="str" cm="1">
        <f t="array" ref="M62">IF(isCat,
IF(headerRowID=incomeHeaderRow,MATCH(incomeMinRow,$C:$C,0),
IF(headerRowID=expensesHeaderRow,MATCH(expensesMinRow,$C:$C,0),
IF(headerRowID=savingsHeaderRow,MATCH(savingsMinRow,$C:$C,0),""))),"")</f>
        <v/>
      </c>
      <c r="N62" s="59" t="str" cm="1">
        <f t="array" ref="N62">IF(isCat,
IF(headerRowID=incomeHeaderRow,MATCH(incomeMaxRow,$C:$C,0),
IF(headerRowID=expensesHeaderRow,MATCH(expensesMaxRow,$C:$C,0),
IF(headerRowID=savingsHeaderRow,MATCH(savingsMaxRow,$C:$C,0),""))),"")</f>
        <v/>
      </c>
      <c r="O62" s="58" t="str">
        <f t="shared" si="22"/>
        <v/>
      </c>
      <c r="P62" t="str">
        <f t="shared" ca="1" si="23"/>
        <v/>
      </c>
      <c r="Q62" t="str">
        <f t="shared" si="24"/>
        <v/>
      </c>
      <c r="R62" s="59" t="str">
        <f t="shared" ca="1" si="25"/>
        <v/>
      </c>
      <c r="S62" s="58" t="str">
        <f t="shared" si="26"/>
        <v/>
      </c>
      <c r="T62" t="str">
        <f t="shared" si="27"/>
        <v/>
      </c>
      <c r="U62" t="str">
        <f t="shared" ca="1" si="28"/>
        <v/>
      </c>
      <c r="V62" t="str">
        <f t="shared" si="29"/>
        <v/>
      </c>
      <c r="W62" t="str">
        <f t="shared" ca="1" si="30"/>
        <v/>
      </c>
      <c r="X62" s="66">
        <f t="shared" si="31"/>
        <v>-1</v>
      </c>
      <c r="Y62" s="70" t="str">
        <f t="shared" si="32"/>
        <v/>
      </c>
      <c r="Z62" s="72" t="str">
        <f t="shared" si="33"/>
        <v/>
      </c>
      <c r="AA62" s="72" t="str">
        <f t="shared" si="34"/>
        <v/>
      </c>
      <c r="AB62" s="71" t="str">
        <f t="shared" si="35"/>
        <v/>
      </c>
      <c r="AC62" s="72" t="str">
        <f t="shared" si="36"/>
        <v/>
      </c>
      <c r="AD62" s="72" t="str">
        <f t="shared" si="37"/>
        <v/>
      </c>
    </row>
    <row r="63" spans="3:30" x14ac:dyDescent="0.2">
      <c r="C63" s="58" cm="1">
        <f t="array" ref="C63">IF(C62=-1,-1,
   IF(C62&lt;incomeMaxRow,  C62+1,
    IF(C62=incomeMaxRow,   incomeTotalRow,
     IF(C62=incomeTotalRow,   "/1",
      IF(C62="/1",   expensesHeaderRow,
       IF(C62&lt;expensesMaxRow,   C62+1,
        IF(C62=expensesMaxRow,   expensesTotalRow,
         IF(C62=expensesTotalRow, "/2",
          IF(C62="/2", savingsHeaderRow,
           IF(C62&lt;savingsMaxRow, C62+1,
            IF(C62=savingsMaxRow,savingsTotalRow,-1)))))))))))</f>
        <v>-1</v>
      </c>
      <c r="D63" s="59">
        <f t="shared" si="19"/>
        <v>-1</v>
      </c>
      <c r="E63" s="58" cm="1">
        <f t="array" ref="E63">1*OR(rowID=incomeHeaderRow,rowID=expensesHeaderRow,rowID=savingsHeaderRow)</f>
        <v>0</v>
      </c>
      <c r="F63">
        <f t="shared" si="20"/>
        <v>0</v>
      </c>
      <c r="G63" cm="1">
        <f t="array" ref="G63">1*OR(rowID=incomeTotalRow,rowID=expensesTotalRow,rowID=savingsTotalRow)</f>
        <v>0</v>
      </c>
      <c r="H63" s="59">
        <f t="shared" si="21"/>
        <v>1</v>
      </c>
      <c r="I63" s="58" t="str" cm="1">
        <f t="array" ref="I63">IFERROR(INDEX('Budget Planning'!$C:$C,headerRowID),"")</f>
        <v/>
      </c>
      <c r="J63" t="str" cm="1">
        <f t="array" ref="J63">IFERROR(INDEX('Budget Planning'!$C:$C,rowID),"")</f>
        <v/>
      </c>
      <c r="K63" s="41" t="str" cm="1">
        <f t="array" ref="K63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/>
      </c>
      <c r="L63" s="59" t="str" cm="1">
        <f t="array" ref="L63">IF(OR(isHeader,IsEmpty),"",
    INDEX('Budget Planning'!$E:$DY,rowID,
            MATCH(IF(selectedPeriod="Total Year", selectedYear, DATE(selectedYear,selectedPeriod,1)), 'Budget Planning'!$E$23:$DY$23,0)))</f>
        <v/>
      </c>
      <c r="M63" s="58" t="str" cm="1">
        <f t="array" ref="M63">IF(isCat,
IF(headerRowID=incomeHeaderRow,MATCH(incomeMinRow,$C:$C,0),
IF(headerRowID=expensesHeaderRow,MATCH(expensesMinRow,$C:$C,0),
IF(headerRowID=savingsHeaderRow,MATCH(savingsMinRow,$C:$C,0),""))),"")</f>
        <v/>
      </c>
      <c r="N63" s="59" t="str" cm="1">
        <f t="array" ref="N63">IF(isCat,
IF(headerRowID=incomeHeaderRow,MATCH(incomeMaxRow,$C:$C,0),
IF(headerRowID=expensesHeaderRow,MATCH(expensesMaxRow,$C:$C,0),
IF(headerRowID=savingsHeaderRow,MATCH(savingsMaxRow,$C:$C,0),""))),"")</f>
        <v/>
      </c>
      <c r="O63" s="58" t="str">
        <f t="shared" si="22"/>
        <v/>
      </c>
      <c r="P63" t="str">
        <f t="shared" ca="1" si="23"/>
        <v/>
      </c>
      <c r="Q63" t="str">
        <f t="shared" si="24"/>
        <v/>
      </c>
      <c r="R63" s="59" t="str">
        <f t="shared" ca="1" si="25"/>
        <v/>
      </c>
      <c r="S63" s="58" t="str">
        <f t="shared" si="26"/>
        <v/>
      </c>
      <c r="T63" t="str">
        <f t="shared" si="27"/>
        <v/>
      </c>
      <c r="U63" t="str">
        <f t="shared" ca="1" si="28"/>
        <v/>
      </c>
      <c r="V63" t="str">
        <f t="shared" si="29"/>
        <v/>
      </c>
      <c r="W63" t="str">
        <f t="shared" ca="1" si="30"/>
        <v/>
      </c>
      <c r="X63" s="66">
        <f t="shared" si="31"/>
        <v>-1</v>
      </c>
      <c r="Y63" s="70" t="str">
        <f t="shared" si="32"/>
        <v/>
      </c>
      <c r="Z63" s="72" t="str">
        <f t="shared" si="33"/>
        <v/>
      </c>
      <c r="AA63" s="72" t="str">
        <f t="shared" si="34"/>
        <v/>
      </c>
      <c r="AB63" s="71" t="str">
        <f t="shared" si="35"/>
        <v/>
      </c>
      <c r="AC63" s="72" t="str">
        <f t="shared" si="36"/>
        <v/>
      </c>
      <c r="AD63" s="72" t="str">
        <f t="shared" si="37"/>
        <v/>
      </c>
    </row>
    <row r="64" spans="3:30" x14ac:dyDescent="0.2">
      <c r="C64" s="58" cm="1">
        <f t="array" ref="C64">IF(C63=-1,-1,
   IF(C63&lt;incomeMaxRow,  C63+1,
    IF(C63=incomeMaxRow,   incomeTotalRow,
     IF(C63=incomeTotalRow,   "/1",
      IF(C63="/1",   expensesHeaderRow,
       IF(C63&lt;expensesMaxRow,   C63+1,
        IF(C63=expensesMaxRow,   expensesTotalRow,
         IF(C63=expensesTotalRow, "/2",
          IF(C63="/2", savingsHeaderRow,
           IF(C63&lt;savingsMaxRow, C63+1,
            IF(C63=savingsMaxRow,savingsTotalRow,-1)))))))))))</f>
        <v>-1</v>
      </c>
      <c r="D64" s="59">
        <f t="shared" si="19"/>
        <v>-1</v>
      </c>
      <c r="E64" s="58" cm="1">
        <f t="array" ref="E64">1*OR(rowID=incomeHeaderRow,rowID=expensesHeaderRow,rowID=savingsHeaderRow)</f>
        <v>0</v>
      </c>
      <c r="F64">
        <f t="shared" si="20"/>
        <v>0</v>
      </c>
      <c r="G64" cm="1">
        <f t="array" ref="G64">1*OR(rowID=incomeTotalRow,rowID=expensesTotalRow,rowID=savingsTotalRow)</f>
        <v>0</v>
      </c>
      <c r="H64" s="59">
        <f t="shared" si="21"/>
        <v>1</v>
      </c>
      <c r="I64" s="58" t="str" cm="1">
        <f t="array" ref="I64">IFERROR(INDEX('Budget Planning'!$C:$C,headerRowID),"")</f>
        <v/>
      </c>
      <c r="J64" t="str" cm="1">
        <f t="array" ref="J64">IFERROR(INDEX('Budget Planning'!$C:$C,rowID),"")</f>
        <v/>
      </c>
      <c r="K64" s="41" t="str" cm="1">
        <f t="array" ref="K64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/>
      </c>
      <c r="L64" s="59" t="str" cm="1">
        <f t="array" ref="L64">IF(OR(isHeader,IsEmpty),"",
    INDEX('Budget Planning'!$E:$DY,rowID,
            MATCH(IF(selectedPeriod="Total Year", selectedYear, DATE(selectedYear,selectedPeriod,1)), 'Budget Planning'!$E$23:$DY$23,0)))</f>
        <v/>
      </c>
      <c r="M64" s="58" t="str" cm="1">
        <f t="array" ref="M64">IF(isCat,
IF(headerRowID=incomeHeaderRow,MATCH(incomeMinRow,$C:$C,0),
IF(headerRowID=expensesHeaderRow,MATCH(expensesMinRow,$C:$C,0),
IF(headerRowID=savingsHeaderRow,MATCH(savingsMinRow,$C:$C,0),""))),"")</f>
        <v/>
      </c>
      <c r="N64" s="59" t="str" cm="1">
        <f t="array" ref="N64">IF(isCat,
IF(headerRowID=incomeHeaderRow,MATCH(incomeMaxRow,$C:$C,0),
IF(headerRowID=expensesHeaderRow,MATCH(expensesMaxRow,$C:$C,0),
IF(headerRowID=savingsHeaderRow,MATCH(savingsMaxRow,$C:$C,0),""))),"")</f>
        <v/>
      </c>
      <c r="O64" s="58" t="str">
        <f t="shared" si="22"/>
        <v/>
      </c>
      <c r="P64" t="str">
        <f t="shared" ca="1" si="23"/>
        <v/>
      </c>
      <c r="Q64" t="str">
        <f t="shared" si="24"/>
        <v/>
      </c>
      <c r="R64" s="59" t="str">
        <f t="shared" ca="1" si="25"/>
        <v/>
      </c>
      <c r="S64" s="58" t="str">
        <f t="shared" si="26"/>
        <v/>
      </c>
      <c r="T64" t="str">
        <f t="shared" si="27"/>
        <v/>
      </c>
      <c r="U64" t="str">
        <f t="shared" ca="1" si="28"/>
        <v/>
      </c>
      <c r="V64" t="str">
        <f t="shared" si="29"/>
        <v/>
      </c>
      <c r="W64" t="str">
        <f t="shared" ca="1" si="30"/>
        <v/>
      </c>
      <c r="X64" s="66">
        <f t="shared" si="31"/>
        <v>-1</v>
      </c>
      <c r="Y64" s="70" t="str">
        <f t="shared" si="32"/>
        <v/>
      </c>
      <c r="Z64" s="72" t="str">
        <f t="shared" si="33"/>
        <v/>
      </c>
      <c r="AA64" s="72" t="str">
        <f t="shared" si="34"/>
        <v/>
      </c>
      <c r="AB64" s="71" t="str">
        <f t="shared" si="35"/>
        <v/>
      </c>
      <c r="AC64" s="72" t="str">
        <f t="shared" si="36"/>
        <v/>
      </c>
      <c r="AD64" s="72" t="str">
        <f t="shared" si="37"/>
        <v/>
      </c>
    </row>
    <row r="65" spans="1:33" x14ac:dyDescent="0.2">
      <c r="C65" s="58" cm="1">
        <f t="array" ref="C65">IF(C64=-1,-1,
   IF(C64&lt;incomeMaxRow,  C64+1,
    IF(C64=incomeMaxRow,   incomeTotalRow,
     IF(C64=incomeTotalRow,   "/1",
      IF(C64="/1",   expensesHeaderRow,
       IF(C64&lt;expensesMaxRow,   C64+1,
        IF(C64=expensesMaxRow,   expensesTotalRow,
         IF(C64=expensesTotalRow, "/2",
          IF(C64="/2", savingsHeaderRow,
           IF(C64&lt;savingsMaxRow, C64+1,
            IF(C64=savingsMaxRow,savingsTotalRow,-1)))))))))))</f>
        <v>-1</v>
      </c>
      <c r="D65" s="59">
        <f t="shared" si="19"/>
        <v>-1</v>
      </c>
      <c r="E65" s="58" cm="1">
        <f t="array" ref="E65">1*OR(rowID=incomeHeaderRow,rowID=expensesHeaderRow,rowID=savingsHeaderRow)</f>
        <v>0</v>
      </c>
      <c r="F65">
        <f t="shared" si="20"/>
        <v>0</v>
      </c>
      <c r="G65" cm="1">
        <f t="array" ref="G65">1*OR(rowID=incomeTotalRow,rowID=expensesTotalRow,rowID=savingsTotalRow)</f>
        <v>0</v>
      </c>
      <c r="H65" s="59">
        <f t="shared" si="21"/>
        <v>1</v>
      </c>
      <c r="I65" s="58" t="str" cm="1">
        <f t="array" ref="I65">IFERROR(INDEX('Budget Planning'!$C:$C,headerRowID),"")</f>
        <v/>
      </c>
      <c r="J65" t="str" cm="1">
        <f t="array" ref="J65">IFERROR(INDEX('Budget Planning'!$C:$C,rowID),"")</f>
        <v/>
      </c>
      <c r="K65" s="41" t="str" cm="1">
        <f t="array" ref="K65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/>
      </c>
      <c r="L65" s="59" t="str" cm="1">
        <f t="array" ref="L65">IF(OR(isHeader,IsEmpty),"",
    INDEX('Budget Planning'!$E:$DY,rowID,
            MATCH(IF(selectedPeriod="Total Year", selectedYear, DATE(selectedYear,selectedPeriod,1)), 'Budget Planning'!$E$23:$DY$23,0)))</f>
        <v/>
      </c>
      <c r="M65" s="58" t="str" cm="1">
        <f t="array" ref="M65">IF(isCat,
IF(headerRowID=incomeHeaderRow,MATCH(incomeMinRow,$C:$C,0),
IF(headerRowID=expensesHeaderRow,MATCH(expensesMinRow,$C:$C,0),
IF(headerRowID=savingsHeaderRow,MATCH(savingsMinRow,$C:$C,0),""))),"")</f>
        <v/>
      </c>
      <c r="N65" s="59" t="str" cm="1">
        <f t="array" ref="N65">IF(isCat,
IF(headerRowID=incomeHeaderRow,MATCH(incomeMaxRow,$C:$C,0),
IF(headerRowID=expensesHeaderRow,MATCH(expensesMaxRow,$C:$C,0),
IF(headerRowID=savingsHeaderRow,MATCH(savingsMaxRow,$C:$C,0),""))),"")</f>
        <v/>
      </c>
      <c r="O65" s="58" t="str">
        <f t="shared" si="22"/>
        <v/>
      </c>
      <c r="P65" t="str">
        <f t="shared" ca="1" si="23"/>
        <v/>
      </c>
      <c r="Q65" t="str">
        <f t="shared" si="24"/>
        <v/>
      </c>
      <c r="R65" s="59" t="str">
        <f t="shared" ca="1" si="25"/>
        <v/>
      </c>
      <c r="S65" s="58" t="str">
        <f t="shared" si="26"/>
        <v/>
      </c>
      <c r="T65" t="str">
        <f t="shared" si="27"/>
        <v/>
      </c>
      <c r="U65" t="str">
        <f t="shared" ca="1" si="28"/>
        <v/>
      </c>
      <c r="V65" t="str">
        <f t="shared" si="29"/>
        <v/>
      </c>
      <c r="W65" t="str">
        <f t="shared" ca="1" si="30"/>
        <v/>
      </c>
      <c r="X65" s="66">
        <f t="shared" si="31"/>
        <v>-1</v>
      </c>
      <c r="Y65" s="70" t="str">
        <f t="shared" si="32"/>
        <v/>
      </c>
      <c r="Z65" s="72" t="str">
        <f t="shared" si="33"/>
        <v/>
      </c>
      <c r="AA65" s="72" t="str">
        <f t="shared" si="34"/>
        <v/>
      </c>
      <c r="AB65" s="71" t="str">
        <f t="shared" si="35"/>
        <v/>
      </c>
      <c r="AC65" s="72" t="str">
        <f t="shared" si="36"/>
        <v/>
      </c>
      <c r="AD65" s="72" t="str">
        <f t="shared" si="37"/>
        <v/>
      </c>
    </row>
    <row r="66" spans="1:33" x14ac:dyDescent="0.2">
      <c r="C66" s="58" cm="1">
        <f t="array" ref="C66">IF(C65=-1,-1,
   IF(C65&lt;incomeMaxRow,  C65+1,
    IF(C65=incomeMaxRow,   incomeTotalRow,
     IF(C65=incomeTotalRow,   "/1",
      IF(C65="/1",   expensesHeaderRow,
       IF(C65&lt;expensesMaxRow,   C65+1,
        IF(C65=expensesMaxRow,   expensesTotalRow,
         IF(C65=expensesTotalRow, "/2",
          IF(C65="/2", savingsHeaderRow,
           IF(C65&lt;savingsMaxRow, C65+1,
            IF(C65=savingsMaxRow,savingsTotalRow,-1)))))))))))</f>
        <v>-1</v>
      </c>
      <c r="D66" s="59">
        <f t="shared" si="19"/>
        <v>-1</v>
      </c>
      <c r="E66" s="58" cm="1">
        <f t="array" ref="E66">1*OR(rowID=incomeHeaderRow,rowID=expensesHeaderRow,rowID=savingsHeaderRow)</f>
        <v>0</v>
      </c>
      <c r="F66">
        <f t="shared" si="20"/>
        <v>0</v>
      </c>
      <c r="G66" cm="1">
        <f t="array" ref="G66">1*OR(rowID=incomeTotalRow,rowID=expensesTotalRow,rowID=savingsTotalRow)</f>
        <v>0</v>
      </c>
      <c r="H66" s="59">
        <f t="shared" si="21"/>
        <v>1</v>
      </c>
      <c r="I66" s="58" t="str" cm="1">
        <f t="array" ref="I66">IFERROR(INDEX('Budget Planning'!$C:$C,headerRowID),"")</f>
        <v/>
      </c>
      <c r="J66" t="str" cm="1">
        <f t="array" ref="J66">IFERROR(INDEX('Budget Planning'!$C:$C,rowID),"")</f>
        <v/>
      </c>
      <c r="K66" s="41" t="str" cm="1">
        <f t="array" ref="K66">IF(OR(isHeader,IsEmpty),"",
    IF(isTotal,
      IF(selectedPeriod="Total Year",
SUM(Tracking[Amount] * (Tracking[Type]=type)*(YEAR(Tracking[Effective Date])=selectedYear)),
SUM(Tracking[Amount] * (Tracking[Type]=type)*(YEAR(Tracking[Effective Date])=selectedYear) * (MONTH(Tracking[Effective Date])=selectedPeriod))),
        IF(selectedPeriod="Total Year",
SUM(Tracking[Amount] * (Tracking[Type]=type)* (Tracking[Category]=item) *(YEAR(Tracking[Effective Date])=selectedYear)),
SUM(Tracking[Amount] * (Tracking[Type]=type)* (Tracking[Category]=item) *(YEAR(Tracking[Effective Date])=selectedYear) * (MONTH(Tracking[Effective Date])=selectedPeriod)))
         )
      )</f>
        <v/>
      </c>
      <c r="L66" s="59" t="str" cm="1">
        <f t="array" ref="L66">IF(OR(isHeader,IsEmpty),"",
    INDEX('Budget Planning'!$E:$DY,rowID,
            MATCH(IF(selectedPeriod="Total Year", selectedYear, DATE(selectedYear,selectedPeriod,1)), 'Budget Planning'!$E$23:$DY$23,0)))</f>
        <v/>
      </c>
      <c r="M66" s="58" t="str" cm="1">
        <f t="array" ref="M66">IF(isCat,
IF(headerRowID=incomeHeaderRow,MATCH(incomeMinRow,$C:$C,0),
IF(headerRowID=expensesHeaderRow,MATCH(expensesMinRow,$C:$C,0),
IF(headerRowID=savingsHeaderRow,MATCH(savingsMinRow,$C:$C,0),""))),"")</f>
        <v/>
      </c>
      <c r="N66" s="59" t="str" cm="1">
        <f t="array" ref="N66">IF(isCat,
IF(headerRowID=incomeHeaderRow,MATCH(incomeMaxRow,$C:$C,0),
IF(headerRowID=expensesHeaderRow,MATCH(expensesMaxRow,$C:$C,0),
IF(headerRowID=savingsHeaderRow,MATCH(savingsMaxRow,$C:$C,0),""))),"")</f>
        <v/>
      </c>
      <c r="O66" s="58" t="str">
        <f t="shared" si="22"/>
        <v/>
      </c>
      <c r="P66" t="str">
        <f t="shared" ca="1" si="23"/>
        <v/>
      </c>
      <c r="Q66" t="str">
        <f t="shared" si="24"/>
        <v/>
      </c>
      <c r="R66" s="59" t="str">
        <f t="shared" ca="1" si="25"/>
        <v/>
      </c>
      <c r="S66" s="58" t="str">
        <f t="shared" si="26"/>
        <v/>
      </c>
      <c r="T66" t="str">
        <f t="shared" si="27"/>
        <v/>
      </c>
      <c r="U66" t="str">
        <f t="shared" ca="1" si="28"/>
        <v/>
      </c>
      <c r="V66" t="str">
        <f t="shared" si="29"/>
        <v/>
      </c>
      <c r="W66" t="str">
        <f t="shared" ca="1" si="30"/>
        <v/>
      </c>
      <c r="X66" s="66">
        <f t="shared" si="31"/>
        <v>-1</v>
      </c>
      <c r="Y66" s="70" t="str">
        <f t="shared" si="32"/>
        <v/>
      </c>
      <c r="Z66" s="72" t="str">
        <f t="shared" si="33"/>
        <v/>
      </c>
      <c r="AA66" s="72" t="str">
        <f t="shared" si="34"/>
        <v/>
      </c>
      <c r="AB66" s="71" t="str">
        <f t="shared" si="35"/>
        <v/>
      </c>
      <c r="AC66" s="72" t="str">
        <f t="shared" si="36"/>
        <v/>
      </c>
      <c r="AD66" s="72" t="str">
        <f t="shared" si="37"/>
        <v/>
      </c>
    </row>
    <row r="67" spans="1:33" x14ac:dyDescent="0.2">
      <c r="A67" s="112"/>
      <c r="B67" s="112"/>
      <c r="C67" s="112"/>
      <c r="D67" s="112"/>
      <c r="E67" s="112"/>
      <c r="F67" s="112"/>
      <c r="G67" s="112"/>
      <c r="H67" s="112"/>
      <c r="I67" s="112"/>
      <c r="J67" s="112"/>
      <c r="K67" s="113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2"/>
      <c r="AE67" s="112"/>
      <c r="AF67" s="112"/>
      <c r="AG67" s="112"/>
    </row>
  </sheetData>
  <mergeCells count="6">
    <mergeCell ref="AQ5:AR5"/>
    <mergeCell ref="AQ6:AR6"/>
    <mergeCell ref="AQ9:AR9"/>
    <mergeCell ref="Y11:AD11"/>
    <mergeCell ref="AF11:AR11"/>
    <mergeCell ref="AQ8:AR8"/>
  </mergeCells>
  <conditionalFormatting sqref="Y13:AD66">
    <cfRule type="expression" dxfId="30" priority="20" stopIfTrue="1">
      <formula>rowID=incomeHeaderRow</formula>
    </cfRule>
    <cfRule type="expression" dxfId="29" priority="21" stopIfTrue="1">
      <formula>rowID=expensesHeaderRow</formula>
    </cfRule>
    <cfRule type="expression" dxfId="28" priority="22" stopIfTrue="1">
      <formula>rowID=savingsHeaderRow</formula>
    </cfRule>
    <cfRule type="expression" dxfId="27" priority="23" stopIfTrue="1">
      <formula>isTotal</formula>
    </cfRule>
  </conditionalFormatting>
  <conditionalFormatting sqref="AB13:AB35">
    <cfRule type="expression" dxfId="26" priority="24" stopIfTrue="1">
      <formula>AND(OR(isCat, isTotal),outBudget&gt;0,outPercentageCompleted &gt;=1,headerRowID=incomeHeaderRow)</formula>
    </cfRule>
    <cfRule type="expression" dxfId="25" priority="25" stopIfTrue="1">
      <formula>AND(OR(isCat, isTotal),outBudget&gt;0,outPercentageCompleted &gt;=1,headerRowID=expensesHeaderRow)</formula>
    </cfRule>
    <cfRule type="expression" dxfId="24" priority="26" stopIfTrue="1">
      <formula>AND(OR(isCat, isTotal),outBudget&gt;0,outPercentageCompleted &gt;=1,headerRowID=savingsHeaderRow)</formula>
    </cfRule>
  </conditionalFormatting>
  <conditionalFormatting sqref="AB13:AB66">
    <cfRule type="dataBar" priority="27">
      <dataBar>
        <cfvo type="num" val="0"/>
        <cfvo type="num" val="1"/>
        <color theme="0" tint="-0.14999847407452621"/>
      </dataBar>
      <extLst>
        <ext xmlns:x14="http://schemas.microsoft.com/office/spreadsheetml/2009/9/main" uri="{B025F937-C7B1-47D3-B67F-A62EFF666E3E}">
          <x14:id>{1A45BBEC-22F7-E043-95E7-4F9579F97489}</x14:id>
        </ext>
      </extLst>
    </cfRule>
  </conditionalFormatting>
  <conditionalFormatting sqref="AH18">
    <cfRule type="expression" dxfId="23" priority="14">
      <formula>AI18&lt;&gt;""</formula>
    </cfRule>
  </conditionalFormatting>
  <conditionalFormatting sqref="AH19">
    <cfRule type="expression" dxfId="22" priority="15">
      <formula>AI19&lt;&gt;""</formula>
    </cfRule>
  </conditionalFormatting>
  <conditionalFormatting sqref="AH20">
    <cfRule type="expression" dxfId="21" priority="16">
      <formula>AI20&lt;&gt;""</formula>
    </cfRule>
  </conditionalFormatting>
  <conditionalFormatting sqref="AH21">
    <cfRule type="expression" dxfId="20" priority="17">
      <formula>AI21&lt;&gt;""</formula>
    </cfRule>
  </conditionalFormatting>
  <conditionalFormatting sqref="AH22">
    <cfRule type="expression" dxfId="19" priority="18">
      <formula>AI22&lt;&gt;""</formula>
    </cfRule>
  </conditionalFormatting>
  <conditionalFormatting sqref="AH23">
    <cfRule type="expression" dxfId="18" priority="19">
      <formula>AI23&lt;&gt;""</formula>
    </cfRule>
  </conditionalFormatting>
  <conditionalFormatting sqref="AH36">
    <cfRule type="expression" dxfId="17" priority="8">
      <formula>AI36&lt;&gt;""</formula>
    </cfRule>
  </conditionalFormatting>
  <conditionalFormatting sqref="AH37">
    <cfRule type="expression" dxfId="16" priority="9">
      <formula>AI37&lt;&gt;""</formula>
    </cfRule>
  </conditionalFormatting>
  <conditionalFormatting sqref="AH38">
    <cfRule type="expression" dxfId="15" priority="10">
      <formula>AI38&lt;&gt;""</formula>
    </cfRule>
  </conditionalFormatting>
  <conditionalFormatting sqref="AH39">
    <cfRule type="expression" dxfId="14" priority="11">
      <formula>AI39&lt;&gt;""</formula>
    </cfRule>
  </conditionalFormatting>
  <conditionalFormatting sqref="AH40">
    <cfRule type="expression" dxfId="13" priority="12">
      <formula>AI40&lt;&gt;""</formula>
    </cfRule>
  </conditionalFormatting>
  <conditionalFormatting sqref="AH41">
    <cfRule type="expression" dxfId="12" priority="13">
      <formula>AI41&lt;&gt;""</formula>
    </cfRule>
  </conditionalFormatting>
  <conditionalFormatting sqref="AO36">
    <cfRule type="expression" dxfId="11" priority="1">
      <formula>AP36&lt;&gt;""</formula>
    </cfRule>
  </conditionalFormatting>
  <conditionalFormatting sqref="AO37">
    <cfRule type="expression" dxfId="10" priority="2">
      <formula>AP37&lt;&gt;""</formula>
    </cfRule>
  </conditionalFormatting>
  <conditionalFormatting sqref="AO38">
    <cfRule type="expression" dxfId="9" priority="3">
      <formula>AP38&lt;&gt;""</formula>
    </cfRule>
  </conditionalFormatting>
  <conditionalFormatting sqref="AO39">
    <cfRule type="expression" dxfId="8" priority="4">
      <formula>AP39&lt;&gt;""</formula>
    </cfRule>
  </conditionalFormatting>
  <conditionalFormatting sqref="AO40">
    <cfRule type="expression" dxfId="7" priority="5">
      <formula>AP40&lt;&gt;""</formula>
    </cfRule>
  </conditionalFormatting>
  <conditionalFormatting sqref="AO41">
    <cfRule type="expression" dxfId="6" priority="6">
      <formula>AP41&lt;&gt;""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5" r:id="rId3" name="Check Box 7">
              <controlPr defaultSize="0" autoFill="0" autoLine="0" autoPict="0">
                <anchor moveWithCells="1">
                  <from>
                    <xdr:col>39</xdr:col>
                    <xdr:colOff>1104900</xdr:colOff>
                    <xdr:row>13</xdr:row>
                    <xdr:rowOff>63500</xdr:rowOff>
                  </from>
                  <to>
                    <xdr:col>41</xdr:col>
                    <xdr:colOff>114300</xdr:colOff>
                    <xdr:row>14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4" name="Check Box 8">
              <controlPr defaultSize="0" autoFill="0" autoLine="0" autoPict="0">
                <anchor moveWithCells="1">
                  <from>
                    <xdr:col>41</xdr:col>
                    <xdr:colOff>228600</xdr:colOff>
                    <xdr:row>13</xdr:row>
                    <xdr:rowOff>63500</xdr:rowOff>
                  </from>
                  <to>
                    <xdr:col>41</xdr:col>
                    <xdr:colOff>1143000</xdr:colOff>
                    <xdr:row>14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5" name="Check Box 9">
              <controlPr defaultSize="0" autoFill="0" autoLine="0" autoPict="0">
                <anchor moveWithCells="1">
                  <from>
                    <xdr:col>41</xdr:col>
                    <xdr:colOff>1244600</xdr:colOff>
                    <xdr:row>13</xdr:row>
                    <xdr:rowOff>63500</xdr:rowOff>
                  </from>
                  <to>
                    <xdr:col>42</xdr:col>
                    <xdr:colOff>342900</xdr:colOff>
                    <xdr:row>14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6" name="Check Box 10">
              <controlPr defaultSize="0" autoFill="0" autoLine="0" autoPict="0">
                <anchor moveWithCells="1">
                  <from>
                    <xdr:col>42</xdr:col>
                    <xdr:colOff>457200</xdr:colOff>
                    <xdr:row>13</xdr:row>
                    <xdr:rowOff>50800</xdr:rowOff>
                  </from>
                  <to>
                    <xdr:col>43</xdr:col>
                    <xdr:colOff>355600</xdr:colOff>
                    <xdr:row>14</xdr:row>
                    <xdr:rowOff>165100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A45BBEC-22F7-E043-95E7-4F9579F9748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AB13:AB66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300CC05-3D2B-764B-B6B4-7E9D0C60CB75}">
          <x14:formula1>
            <xm:f>'Dropdown Data'!$B$7:$B$16</xm:f>
          </x14:formula1>
          <xm:sqref>AQ6</xm:sqref>
        </x14:dataValidation>
        <x14:dataValidation type="list" allowBlank="1" showInputMessage="1" showErrorMessage="1" xr:uid="{ED4B3A6D-452B-C849-BE51-253458F98106}">
          <x14:formula1>
            <xm:f>'Dropdown Data'!$E$7:$E$20</xm:f>
          </x14:formula1>
          <xm:sqref>AQ9:AR9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39</vt:i4>
      </vt:variant>
    </vt:vector>
  </HeadingPairs>
  <TitlesOfParts>
    <vt:vector size="45" baseType="lpstr">
      <vt:lpstr>Dropdown Data</vt:lpstr>
      <vt:lpstr>Calculations</vt:lpstr>
      <vt:lpstr>Settings</vt:lpstr>
      <vt:lpstr>Budget Planning</vt:lpstr>
      <vt:lpstr>Budget Tracking</vt:lpstr>
      <vt:lpstr>Budget Dashboard</vt:lpstr>
      <vt:lpstr>'Budget Dashboard'!budget</vt:lpstr>
      <vt:lpstr>'Budget Dashboard'!budgetRange</vt:lpstr>
      <vt:lpstr>'Budget Dashboard'!budgetRank</vt:lpstr>
      <vt:lpstr>Calculations!ccBudget</vt:lpstr>
      <vt:lpstr>Calculations!ccDelta</vt:lpstr>
      <vt:lpstr>Calculations!ccInFocus</vt:lpstr>
      <vt:lpstr>Calculations!ccMonthNumber</vt:lpstr>
      <vt:lpstr>Calculations!ccShowRemBudget</vt:lpstr>
      <vt:lpstr>Calculations!ccShowType</vt:lpstr>
      <vt:lpstr>Calculations!ccTracked</vt:lpstr>
      <vt:lpstr>Calculations!ccType</vt:lpstr>
      <vt:lpstr>'Budget Dashboard'!combRank</vt:lpstr>
      <vt:lpstr>'Budget Dashboard'!combRankNorm</vt:lpstr>
      <vt:lpstr>'Budget Dashboard'!combRankNormRunRange</vt:lpstr>
      <vt:lpstr>'Budget Dashboard'!combRankRange</vt:lpstr>
      <vt:lpstr>'Budget Dashboard'!combRankUnique</vt:lpstr>
      <vt:lpstr>'Budget Dashboard'!headerRowID</vt:lpstr>
      <vt:lpstr>'Budget Dashboard'!isCat</vt:lpstr>
      <vt:lpstr>'Budget Dashboard'!IsEmpty</vt:lpstr>
      <vt:lpstr>'Budget Dashboard'!isHeader</vt:lpstr>
      <vt:lpstr>'Budget Dashboard'!isTotal</vt:lpstr>
      <vt:lpstr>'Budget Dashboard'!item</vt:lpstr>
      <vt:lpstr>'Budget Dashboard'!outBudget</vt:lpstr>
      <vt:lpstr>'Budget Dashboard'!outPercentageCompleted</vt:lpstr>
      <vt:lpstr>'Budget Dashboard'!outTracked</vt:lpstr>
      <vt:lpstr>'Budget Dashboard'!rowID</vt:lpstr>
      <vt:lpstr>savingsRateType</vt:lpstr>
      <vt:lpstr>selectedPeriod</vt:lpstr>
      <vt:lpstr>selectedPeriodDisplay</vt:lpstr>
      <vt:lpstr>selectedYear</vt:lpstr>
      <vt:lpstr>shiftLateIncomeStartingDate</vt:lpstr>
      <vt:lpstr>shiftLateIncomeStatus</vt:lpstr>
      <vt:lpstr>'Budget Dashboard'!sortMaxRow</vt:lpstr>
      <vt:lpstr>'Budget Dashboard'!sortMinRow</vt:lpstr>
      <vt:lpstr>startingYear</vt:lpstr>
      <vt:lpstr>'Budget Dashboard'!tracked</vt:lpstr>
      <vt:lpstr>'Budget Dashboard'!trackedRange</vt:lpstr>
      <vt:lpstr>'Budget Dashboard'!trackedRank</vt:lpstr>
      <vt:lpstr>'Budget Dashboard'!type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Baranovic, Benjamin</dc:creator>
  <cp:lastModifiedBy>Baranovic, Benjamin</cp:lastModifiedBy>
  <dcterms:created xsi:type="dcterms:W3CDTF">2024-07-28T07:38:58Z</dcterms:created>
  <dcterms:modified xsi:type="dcterms:W3CDTF">2024-11-19T14:32:39Z</dcterms:modified>
</cp:coreProperties>
</file>