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Econometria\"/>
    </mc:Choice>
  </mc:AlternateContent>
  <xr:revisionPtr revIDLastSave="0" documentId="8_{A7A388E3-E422-49B6-857B-F32FA624BDAE}" xr6:coauthVersionLast="47" xr6:coauthVersionMax="47" xr10:uidLastSave="{00000000-0000-0000-0000-000000000000}"/>
  <bookViews>
    <workbookView xWindow="16485" yWindow="2265" windowWidth="21600" windowHeight="11385" activeTab="3" xr2:uid="{00000000-000D-0000-FFFF-FFFF00000000}"/>
  </bookViews>
  <sheets>
    <sheet name="Datos" sheetId="1" r:id="rId1"/>
    <sheet name="P1" sheetId="7" r:id="rId2"/>
    <sheet name="P1a-b-c" sheetId="3" r:id="rId3"/>
    <sheet name="P2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1" i="4" l="1"/>
  <c r="R31" i="4" l="1"/>
  <c r="U31" i="4"/>
  <c r="Q32" i="4"/>
  <c r="Q31" i="4"/>
  <c r="N29" i="3" l="1"/>
  <c r="M21" i="4"/>
  <c r="F21" i="4" l="1" a="1"/>
  <c r="F21" i="4" s="1"/>
  <c r="H17" i="4"/>
  <c r="G15" i="4"/>
  <c r="G11" i="4"/>
  <c r="G17" i="4" s="1"/>
  <c r="M22" i="4"/>
  <c r="G20" i="4" a="1"/>
  <c r="G16" i="4" l="1"/>
  <c r="G20" i="4"/>
  <c r="H20" i="4"/>
  <c r="G21" i="4"/>
  <c r="H21" i="4"/>
  <c r="G22" i="4"/>
  <c r="H22" i="4"/>
  <c r="F22" i="4"/>
  <c r="I22" i="4" l="1"/>
  <c r="J22" i="4" s="1"/>
  <c r="Q17" i="4" s="1"/>
  <c r="K22" i="4"/>
  <c r="L22" i="4"/>
  <c r="I21" i="4"/>
  <c r="J21" i="4" s="1"/>
  <c r="Q16" i="4" s="1"/>
  <c r="L21" i="4"/>
  <c r="K21" i="4"/>
  <c r="L20" i="4"/>
  <c r="K20" i="4"/>
  <c r="I20" i="4"/>
  <c r="J20" i="4" s="1"/>
  <c r="N30" i="3"/>
  <c r="L30" i="3"/>
  <c r="Q30" i="3" s="1"/>
  <c r="L29" i="3"/>
  <c r="Q29" i="3" s="1"/>
  <c r="D13" i="4" l="1"/>
  <c r="D12" i="4"/>
  <c r="D11" i="4"/>
  <c r="D10" i="4"/>
  <c r="D9" i="4"/>
  <c r="D8" i="4"/>
  <c r="D7" i="4"/>
  <c r="D6" i="4"/>
  <c r="D5" i="4"/>
  <c r="D4" i="4"/>
  <c r="D3" i="4"/>
  <c r="D2" i="4"/>
  <c r="H15" i="4"/>
  <c r="I15" i="4" l="1"/>
  <c r="G8" i="4"/>
  <c r="H16" i="4"/>
  <c r="J9" i="4" l="1"/>
  <c r="I16" i="4"/>
  <c r="J7" i="4"/>
  <c r="J8" i="4" s="1"/>
  <c r="G7" i="4"/>
  <c r="S16" i="4"/>
  <c r="G9" i="4"/>
  <c r="G10" i="4" l="1"/>
  <c r="R16" i="4"/>
  <c r="J15" i="4"/>
  <c r="K15" i="4" s="1"/>
  <c r="T16" i="4" l="1"/>
  <c r="U16" i="4" s="1"/>
  <c r="U24" i="4" s="1"/>
  <c r="L15" i="4"/>
</calcChain>
</file>

<file path=xl/sharedStrings.xml><?xml version="1.0" encoding="utf-8"?>
<sst xmlns="http://schemas.openxmlformats.org/spreadsheetml/2006/main" count="156" uniqueCount="105">
  <si>
    <t>Producción</t>
  </si>
  <si>
    <t>L</t>
  </si>
  <si>
    <t>K</t>
  </si>
  <si>
    <t>L : Valoración de la mano de obra de la economía</t>
  </si>
  <si>
    <t>K: Valoración del stock de capital de la economía</t>
  </si>
  <si>
    <t>ln(Y)</t>
  </si>
  <si>
    <t>ln(L)</t>
  </si>
  <si>
    <t>ln(K)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</si>
  <si>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</si>
  <si>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</si>
  <si>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</si>
  <si>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</si>
  <si>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</si>
  <si>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</si>
  <si>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</si>
  <si>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</si>
  <si>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</si>
  <si>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</si>
  <si>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</si>
  <si>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</si>
  <si>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</si>
  <si>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</si>
  <si>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</si>
  <si>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</si>
  <si>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</si>
  <si>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</si>
  <si>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</si>
  <si>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</si>
  <si>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</si>
  <si>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</si>
  <si>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</si>
  <si>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Análisis de los residuales</t>
  </si>
  <si>
    <t>Observación</t>
  </si>
  <si>
    <t>Pronóstico para Y</t>
  </si>
  <si>
    <t>Residuos estándares</t>
  </si>
  <si>
    <t>Resultados de datos de probabilidad</t>
  </si>
  <si>
    <t>Percentil</t>
  </si>
  <si>
    <t>ln(Producción)</t>
  </si>
  <si>
    <t>Ln(y)+Bo + B1 *ln(l) + b2* Ln(k)</t>
  </si>
  <si>
    <t>Modelo Econometrico de la muestra</t>
  </si>
  <si>
    <t>Ln(y)=ln(a) + a *ln(l) + b* Ln(k)</t>
  </si>
  <si>
    <t>Modelo Economico</t>
  </si>
  <si>
    <t xml:space="preserve"> - Bajar el exponente</t>
  </si>
  <si>
    <t>Ln(y)=ln(a) + Ln(l^a) + Ln(k ^b)</t>
  </si>
  <si>
    <t xml:space="preserve"> - Multiplicación se separa en suma</t>
  </si>
  <si>
    <t>Utilizar propiedades de logaritmos</t>
  </si>
  <si>
    <t>Paso N°2</t>
  </si>
  <si>
    <t>Ln(y)=Ln(a L^a k ^b)</t>
  </si>
  <si>
    <t>"Aplicar logaritmo a la funcion entregada.</t>
  </si>
  <si>
    <t>Paso N°1</t>
  </si>
  <si>
    <t>Ln(y) = Ln (A L^a K ^b)</t>
  </si>
  <si>
    <t>Ln(y) = Ln (A) + Ln (L^a) + Ln (K ^b)</t>
  </si>
  <si>
    <t>Ln(y) = Ln (A) + a * Ln (L) + b* Ln (K)</t>
  </si>
  <si>
    <r>
      <t xml:space="preserve">Ln(y)= 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Cambria"/>
        <family val="1"/>
      </rPr>
      <t xml:space="preserve">o + 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Cambria"/>
        <family val="1"/>
      </rPr>
      <t xml:space="preserve">1 * Ln (L) + 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Cambria"/>
        <family val="1"/>
      </rPr>
      <t>2 * Ln (K)</t>
    </r>
  </si>
  <si>
    <r>
      <t xml:space="preserve">H0: </t>
    </r>
    <r>
      <rPr>
        <sz val="11"/>
        <color theme="1"/>
        <rFont val="Symbol"/>
        <family val="1"/>
        <charset val="2"/>
      </rPr>
      <t>b1 = 0, b2 = 0</t>
    </r>
  </si>
  <si>
    <t>Ha: H0 no es verdadera</t>
  </si>
  <si>
    <t>P value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</si>
  <si>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</si>
  <si>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</si>
  <si>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</si>
  <si>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</si>
  <si>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</si>
  <si>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</si>
  <si>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</si>
  <si>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</si>
  <si>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</si>
  <si>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</si>
  <si>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</si>
  <si>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</si>
  <si>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</si>
  <si>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</si>
  <si>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</si>
  <si>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p-value</t>
  </si>
  <si>
    <t>sig</t>
  </si>
  <si>
    <t>Regression</t>
  </si>
  <si>
    <t>Residual</t>
  </si>
  <si>
    <t>coeff</t>
  </si>
  <si>
    <t>std err</t>
  </si>
  <si>
    <t>t stat</t>
  </si>
  <si>
    <t>lower</t>
  </si>
  <si>
    <t>upper</t>
  </si>
  <si>
    <t>vif</t>
  </si>
  <si>
    <t>Intercept</t>
  </si>
  <si>
    <r>
      <t xml:space="preserve">Ln(L)  </t>
    </r>
    <r>
      <rPr>
        <sz val="11"/>
        <color theme="1"/>
        <rFont val="Symbol"/>
        <family val="1"/>
        <charset val="2"/>
      </rPr>
      <t>b1</t>
    </r>
  </si>
  <si>
    <r>
      <t xml:space="preserve">Ln(K) </t>
    </r>
    <r>
      <rPr>
        <sz val="11"/>
        <color theme="1"/>
        <rFont val="Symbol"/>
        <family val="1"/>
        <charset val="2"/>
      </rPr>
      <t>b</t>
    </r>
    <r>
      <rPr>
        <sz val="13.2"/>
        <color theme="1"/>
        <rFont val="Cambria"/>
        <family val="2"/>
      </rPr>
      <t>2</t>
    </r>
  </si>
  <si>
    <t>t calculado</t>
  </si>
  <si>
    <t>t critico</t>
  </si>
  <si>
    <t>p value</t>
  </si>
  <si>
    <r>
      <t xml:space="preserve">H0: </t>
    </r>
    <r>
      <rPr>
        <sz val="11"/>
        <color theme="1"/>
        <rFont val="Symbol"/>
        <family val="1"/>
        <charset val="2"/>
      </rPr>
      <t>b1 = 0</t>
    </r>
  </si>
  <si>
    <t>Ha: β1 ≠ 0</t>
  </si>
  <si>
    <r>
      <t xml:space="preserve">H0: </t>
    </r>
    <r>
      <rPr>
        <sz val="11"/>
        <color theme="1"/>
        <rFont val="Symbol"/>
        <family val="1"/>
        <charset val="2"/>
      </rPr>
      <t>b2 = 0</t>
    </r>
  </si>
  <si>
    <t>Ha: β2 ≠ 0</t>
  </si>
  <si>
    <t>Pregunta a</t>
  </si>
  <si>
    <t>Pregunta c</t>
  </si>
  <si>
    <r>
      <t xml:space="preserve">H0: </t>
    </r>
    <r>
      <rPr>
        <sz val="11"/>
        <color theme="1"/>
        <rFont val="Calibri"/>
        <family val="2"/>
      </rPr>
      <t xml:space="preserve">α+ </t>
    </r>
    <r>
      <rPr>
        <sz val="11"/>
        <color theme="1"/>
        <rFont val="Symbol"/>
        <family val="1"/>
        <charset val="2"/>
      </rPr>
      <t>b = 1</t>
    </r>
  </si>
  <si>
    <t>Ha: α+ β ≠ 1</t>
  </si>
  <si>
    <t>pregunta d</t>
  </si>
  <si>
    <t>b1</t>
  </si>
  <si>
    <t>b2</t>
  </si>
  <si>
    <r>
      <t xml:space="preserve">Y= 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Cambria"/>
        <family val="2"/>
      </rPr>
      <t xml:space="preserve">o + 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Cambria"/>
        <family val="2"/>
      </rPr>
      <t xml:space="preserve">1 * L + 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Cambria"/>
        <family val="2"/>
      </rPr>
      <t>2 * K</t>
    </r>
  </si>
  <si>
    <t>yes</t>
  </si>
  <si>
    <t>p value global</t>
  </si>
  <si>
    <t>p value local</t>
  </si>
  <si>
    <t>varianza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</si>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</sst>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1" formatCode="_ * #,##0_ ;_ * \-#,##0_ ;_ * &quot;-&quot;_ ;_ @_ "/>
    <numFmt numFmtId="164" formatCode="&quot;$&quot;#,##0"/>
    <numFmt numFmtId="165" formatCode="_ * #,##0.000000000_ ;_ * \-#,##0.000000000_ ;_ * &quot;-&quot;_ ;_ @_ "/>
    <numFmt numFmtId="166" formatCode="0.00000"/>
    <numFmt numFmtId="167" formatCode="0.0000E+00"/>
    <numFmt numFmtId="168" formatCode="0.000%"/>
    <numFmt numFmtId="169" formatCode="0.000000000%"/>
    <numFmt numFmtId="170" formatCode="0.0000.E+00"/>
    <numFmt numFmtId="171" formatCode="0.000E+00"/>
  </numFmts>
  <fonts count="12" x14ac:knownFonts="1">
    <font>
      <sz val="11"/>
      <color theme="1"/>
      <name val="Cambri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mbria"/>
      <family val="2"/>
    </font>
    <font>
      <b/>
      <sz val="11"/>
      <color theme="1"/>
      <name val="Cambria"/>
      <family val="1"/>
    </font>
    <font>
      <sz val="11"/>
      <color theme="1"/>
      <name val="Cambria"/>
      <family val="2"/>
    </font>
    <font>
      <b/>
      <sz val="11"/>
      <color theme="1"/>
      <name val="Symbol"/>
      <family val="1"/>
      <charset val="2"/>
    </font>
    <font>
      <sz val="11"/>
      <color theme="1"/>
      <name val="Cambria"/>
      <family val="1"/>
    </font>
    <font>
      <sz val="11"/>
      <color theme="1"/>
      <name val="Symbol"/>
      <family val="1"/>
      <charset val="2"/>
    </font>
    <font>
      <b/>
      <sz val="11"/>
      <color theme="1"/>
      <name val="Cambria"/>
      <family val="2"/>
    </font>
    <font>
      <sz val="13.2"/>
      <color theme="1"/>
      <name val="Cambria"/>
      <family val="2"/>
    </font>
    <font>
      <i/>
      <sz val="11"/>
      <color theme="1"/>
      <name val="Cambria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0" borderId="6" xfId="0" applyBorder="1"/>
    <xf numFmtId="0" fontId="0" fillId="0" borderId="2" xfId="0" applyBorder="1"/>
    <xf numFmtId="0" fontId="3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3" fillId="0" borderId="0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/>
    <xf numFmtId="0" fontId="8" fillId="0" borderId="0" xfId="0" applyFont="1"/>
    <xf numFmtId="0" fontId="0" fillId="0" borderId="13" xfId="0" applyBorder="1"/>
    <xf numFmtId="0" fontId="0" fillId="0" borderId="5" xfId="0" applyBorder="1"/>
    <xf numFmtId="0" fontId="10" fillId="0" borderId="14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3" borderId="0" xfId="0" applyFont="1" applyFill="1" applyAlignment="1">
      <alignment horizontal="center"/>
    </xf>
    <xf numFmtId="165" fontId="0" fillId="0" borderId="0" xfId="1" applyNumberFormat="1" applyFont="1"/>
    <xf numFmtId="166" fontId="0" fillId="0" borderId="0" xfId="0" applyNumberForma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166" fontId="0" fillId="0" borderId="2" xfId="1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6" fontId="6" fillId="0" borderId="2" xfId="0" applyNumberFormat="1" applyFont="1" applyFill="1" applyBorder="1" applyAlignment="1">
      <alignment horizontal="center"/>
    </xf>
    <xf numFmtId="167" fontId="0" fillId="0" borderId="0" xfId="1" applyNumberFormat="1" applyFont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168" fontId="0" fillId="0" borderId="0" xfId="2" applyNumberFormat="1" applyFont="1"/>
    <xf numFmtId="167" fontId="0" fillId="0" borderId="0" xfId="0" applyNumberFormat="1"/>
    <xf numFmtId="0" fontId="7" fillId="0" borderId="4" xfId="0" applyFont="1" applyBorder="1"/>
    <xf numFmtId="0" fontId="0" fillId="0" borderId="4" xfId="0" applyBorder="1"/>
    <xf numFmtId="0" fontId="10" fillId="0" borderId="4" xfId="0" applyFont="1" applyFill="1" applyBorder="1" applyAlignment="1">
      <alignment horizontal="center"/>
    </xf>
    <xf numFmtId="168" fontId="0" fillId="0" borderId="4" xfId="2" applyNumberFormat="1" applyFont="1" applyBorder="1"/>
    <xf numFmtId="169" fontId="0" fillId="0" borderId="0" xfId="2" applyNumberFormat="1" applyFont="1"/>
    <xf numFmtId="169" fontId="0" fillId="0" borderId="0" xfId="0" applyNumberFormat="1"/>
    <xf numFmtId="170" fontId="0" fillId="0" borderId="4" xfId="1" applyNumberFormat="1" applyFont="1" applyBorder="1"/>
    <xf numFmtId="0" fontId="0" fillId="0" borderId="0" xfId="0" applyAlignment="1">
      <alignment horizontal="center"/>
    </xf>
    <xf numFmtId="171" fontId="3" fillId="3" borderId="0" xfId="0" applyNumberFormat="1" applyFont="1" applyFill="1" applyBorder="1" applyAlignment="1"/>
    <xf numFmtId="166" fontId="3" fillId="3" borderId="0" xfId="0" applyNumberFormat="1" applyFont="1" applyFill="1" applyBorder="1" applyAlignment="1">
      <alignment horizontal="center"/>
    </xf>
    <xf numFmtId="166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6" fontId="6" fillId="3" borderId="0" xfId="0" applyNumberFormat="1" applyFont="1" applyFill="1" applyBorder="1" applyAlignment="1">
      <alignment horizontal="center"/>
    </xf>
    <xf numFmtId="166" fontId="0" fillId="3" borderId="0" xfId="1" applyNumberFormat="1" applyFont="1" applyFill="1" applyBorder="1" applyAlignment="1">
      <alignment horizontal="center"/>
    </xf>
    <xf numFmtId="0" fontId="0" fillId="0" borderId="0" xfId="0" applyFill="1"/>
  </cellXfs>
  <cellStyles count="3">
    <cellStyle name="Millares [0]" xfId="1" builtinId="6"/>
    <cellStyle name="Normal" xfId="0" builtinId="0"/>
    <cellStyle name="Porcentaje" xfId="2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028571" cy="628571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28571" cy="62857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bro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ESIGN"/>
      <definedName name="RegCoeff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workbookViewId="0">
      <selection activeCell="F30" sqref="F30"/>
    </sheetView>
  </sheetViews>
  <sheetFormatPr baseColWidth="10" defaultRowHeight="14.25" x14ac:dyDescent="0.2"/>
  <cols>
    <col min="1" max="1" width="2" customWidth="1"/>
  </cols>
  <sheetData>
    <row r="2" spans="2:4" ht="15" x14ac:dyDescent="0.25">
      <c r="B2" s="1" t="s">
        <v>0</v>
      </c>
      <c r="C2" s="1" t="s">
        <v>1</v>
      </c>
      <c r="D2" s="1" t="s">
        <v>2</v>
      </c>
    </row>
    <row r="3" spans="2:4" x14ac:dyDescent="0.2">
      <c r="B3" s="2">
        <v>3267636</v>
      </c>
      <c r="C3" s="2">
        <v>1493800</v>
      </c>
      <c r="D3" s="2">
        <v>2923423</v>
      </c>
    </row>
    <row r="4" spans="2:4" x14ac:dyDescent="0.2">
      <c r="B4" s="2">
        <v>3664620</v>
      </c>
      <c r="C4" s="2">
        <v>1549100</v>
      </c>
      <c r="D4" s="2">
        <v>3138053</v>
      </c>
    </row>
    <row r="5" spans="2:4" x14ac:dyDescent="0.2">
      <c r="B5" s="2">
        <v>4106758</v>
      </c>
      <c r="C5" s="2">
        <v>1637600</v>
      </c>
      <c r="D5" s="2">
        <v>3364006</v>
      </c>
    </row>
    <row r="6" spans="2:4" x14ac:dyDescent="0.2">
      <c r="B6" s="2">
        <v>4592483</v>
      </c>
      <c r="C6" s="2">
        <v>1727600</v>
      </c>
      <c r="D6" s="2">
        <v>4672090</v>
      </c>
    </row>
    <row r="7" spans="2:4" x14ac:dyDescent="0.2">
      <c r="B7" s="2">
        <v>5250695</v>
      </c>
      <c r="C7" s="2">
        <v>1848600</v>
      </c>
      <c r="D7" s="2">
        <v>6413698</v>
      </c>
    </row>
    <row r="8" spans="2:4" x14ac:dyDescent="0.2">
      <c r="B8" s="2">
        <v>6074133</v>
      </c>
      <c r="C8" s="2">
        <v>1963500</v>
      </c>
      <c r="D8" s="2">
        <v>8526638</v>
      </c>
    </row>
    <row r="9" spans="2:4" x14ac:dyDescent="0.2">
      <c r="B9" s="2">
        <v>6887865</v>
      </c>
      <c r="C9" s="2">
        <v>2036200</v>
      </c>
      <c r="D9" s="2">
        <v>10744839</v>
      </c>
    </row>
    <row r="10" spans="2:4" x14ac:dyDescent="0.2">
      <c r="B10" s="2">
        <v>7848365</v>
      </c>
      <c r="C10" s="2">
        <v>2070800</v>
      </c>
      <c r="D10" s="2">
        <v>12597038</v>
      </c>
    </row>
    <row r="11" spans="2:4" x14ac:dyDescent="0.2">
      <c r="B11" s="2">
        <v>8168404</v>
      </c>
      <c r="C11" s="2">
        <v>2065400</v>
      </c>
      <c r="D11" s="2">
        <v>14444431</v>
      </c>
    </row>
    <row r="12" spans="2:4" x14ac:dyDescent="0.2">
      <c r="B12" s="2">
        <v>8392581</v>
      </c>
      <c r="C12" s="2">
        <v>2055900</v>
      </c>
      <c r="D12" s="2">
        <v>16260040</v>
      </c>
    </row>
    <row r="13" spans="2:4" x14ac:dyDescent="0.2">
      <c r="B13" s="2">
        <v>8972103</v>
      </c>
      <c r="C13" s="2">
        <v>2093780</v>
      </c>
      <c r="D13" s="2">
        <v>17962362</v>
      </c>
    </row>
    <row r="14" spans="2:4" x14ac:dyDescent="0.2">
      <c r="B14" s="2">
        <v>9420052</v>
      </c>
      <c r="C14" s="2">
        <v>2107615</v>
      </c>
      <c r="D14" s="2">
        <v>19226538</v>
      </c>
    </row>
    <row r="17" spans="2:2" x14ac:dyDescent="0.2">
      <c r="B17" t="s">
        <v>3</v>
      </c>
    </row>
    <row r="18" spans="2:2" x14ac:dyDescent="0.2">
      <c r="B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K26"/>
  <sheetViews>
    <sheetView showGridLines="0" workbookViewId="0">
      <selection activeCell="C34" sqref="C34"/>
    </sheetView>
  </sheetViews>
  <sheetFormatPr baseColWidth="10" defaultRowHeight="14.25" x14ac:dyDescent="0.2"/>
  <cols>
    <col min="1" max="1" width="2.5" customWidth="1"/>
  </cols>
  <sheetData>
    <row r="6" spans="2:11" ht="15" thickBot="1" x14ac:dyDescent="0.25">
      <c r="I6" t="s">
        <v>50</v>
      </c>
      <c r="J6" s="20"/>
      <c r="K6" s="21"/>
    </row>
    <row r="7" spans="2:11" x14ac:dyDescent="0.2">
      <c r="B7" s="13" t="s">
        <v>49</v>
      </c>
      <c r="C7" s="12" t="s">
        <v>48</v>
      </c>
      <c r="D7" s="12"/>
      <c r="E7" s="11"/>
      <c r="I7" t="s">
        <v>51</v>
      </c>
      <c r="J7" s="20"/>
    </row>
    <row r="8" spans="2:11" x14ac:dyDescent="0.2">
      <c r="B8" s="16"/>
      <c r="C8" s="15"/>
      <c r="D8" s="15"/>
      <c r="E8" s="14"/>
      <c r="I8" t="s">
        <v>52</v>
      </c>
      <c r="J8" s="21"/>
      <c r="K8" s="21"/>
    </row>
    <row r="9" spans="2:11" ht="15" x14ac:dyDescent="0.25">
      <c r="B9" s="16"/>
      <c r="C9" s="17" t="s">
        <v>47</v>
      </c>
      <c r="D9" s="15"/>
      <c r="E9" s="14"/>
      <c r="I9" s="22" t="s">
        <v>53</v>
      </c>
      <c r="J9" s="22"/>
      <c r="K9" s="22"/>
    </row>
    <row r="10" spans="2:11" ht="15" thickBot="1" x14ac:dyDescent="0.25">
      <c r="B10" s="10"/>
      <c r="C10" s="8"/>
      <c r="D10" s="8"/>
      <c r="E10" s="7"/>
    </row>
    <row r="11" spans="2:11" ht="15" thickBot="1" x14ac:dyDescent="0.25"/>
    <row r="12" spans="2:11" x14ac:dyDescent="0.2">
      <c r="B12" s="13" t="s">
        <v>46</v>
      </c>
      <c r="C12" s="12" t="s">
        <v>45</v>
      </c>
      <c r="D12" s="12"/>
      <c r="E12" s="11"/>
    </row>
    <row r="13" spans="2:11" x14ac:dyDescent="0.2">
      <c r="B13" s="16"/>
      <c r="C13" s="15"/>
      <c r="D13" s="15"/>
      <c r="E13" s="14"/>
    </row>
    <row r="14" spans="2:11" x14ac:dyDescent="0.2">
      <c r="B14" s="16" t="s">
        <v>44</v>
      </c>
      <c r="C14" s="15"/>
      <c r="D14" s="15"/>
      <c r="E14" s="14"/>
    </row>
    <row r="15" spans="2:11" x14ac:dyDescent="0.2">
      <c r="B15" s="16"/>
      <c r="C15" s="17" t="s">
        <v>43</v>
      </c>
      <c r="D15" s="15"/>
      <c r="E15" s="14"/>
    </row>
    <row r="16" spans="2:11" x14ac:dyDescent="0.2">
      <c r="B16" s="16"/>
      <c r="C16" s="15"/>
      <c r="D16" s="15"/>
      <c r="E16" s="14"/>
    </row>
    <row r="17" spans="2:5" x14ac:dyDescent="0.2">
      <c r="B17" s="16" t="s">
        <v>42</v>
      </c>
      <c r="C17" s="15"/>
      <c r="D17" s="15"/>
      <c r="E17" s="14"/>
    </row>
    <row r="18" spans="2:5" ht="15" thickBot="1" x14ac:dyDescent="0.25">
      <c r="B18" s="10"/>
      <c r="C18" s="9" t="s">
        <v>40</v>
      </c>
      <c r="D18" s="8"/>
      <c r="E18" s="7"/>
    </row>
    <row r="20" spans="2:5" ht="15" thickBot="1" x14ac:dyDescent="0.25"/>
    <row r="21" spans="2:5" x14ac:dyDescent="0.2">
      <c r="B21" s="13" t="s">
        <v>41</v>
      </c>
      <c r="C21" s="12"/>
      <c r="D21" s="12"/>
      <c r="E21" s="11"/>
    </row>
    <row r="22" spans="2:5" ht="15" thickBot="1" x14ac:dyDescent="0.25">
      <c r="B22" s="10"/>
      <c r="C22" s="9" t="s">
        <v>40</v>
      </c>
      <c r="D22" s="8"/>
      <c r="E22" s="7"/>
    </row>
    <row r="24" spans="2:5" ht="15" thickBot="1" x14ac:dyDescent="0.25"/>
    <row r="25" spans="2:5" x14ac:dyDescent="0.2">
      <c r="B25" s="13" t="s">
        <v>39</v>
      </c>
      <c r="C25" s="12"/>
      <c r="D25" s="12"/>
      <c r="E25" s="11"/>
    </row>
    <row r="26" spans="2:5" ht="15" thickBot="1" x14ac:dyDescent="0.25">
      <c r="B26" s="10"/>
      <c r="C26" s="9" t="s">
        <v>38</v>
      </c>
      <c r="D26" s="8"/>
      <c r="E26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37"/>
  <sheetViews>
    <sheetView showGridLines="0" topLeftCell="H1" zoomScaleNormal="100" workbookViewId="0">
      <selection activeCell="J24" sqref="J24"/>
    </sheetView>
  </sheetViews>
  <sheetFormatPr baseColWidth="10" defaultRowHeight="14.25" x14ac:dyDescent="0.2"/>
  <cols>
    <col min="1" max="1" width="2.25" customWidth="1"/>
    <col min="2" max="2" width="12.625" customWidth="1"/>
    <col min="3" max="3" width="15.875" bestFit="1" customWidth="1"/>
    <col min="4" max="4" width="16.75" bestFit="1" customWidth="1"/>
    <col min="5" max="5" width="22.75" bestFit="1" customWidth="1"/>
    <col min="6" max="6" width="12.375" customWidth="1"/>
    <col min="7" max="7" width="13.875" customWidth="1"/>
    <col min="8" max="8" width="13.625" bestFit="1" customWidth="1"/>
    <col min="9" max="9" width="14.25" customWidth="1"/>
    <col min="10" max="10" width="15.5" customWidth="1"/>
  </cols>
  <sheetData>
    <row r="1" spans="2:11" x14ac:dyDescent="0.2">
      <c r="B1" t="s">
        <v>8</v>
      </c>
    </row>
    <row r="2" spans="2:11" ht="15" thickBot="1" x14ac:dyDescent="0.25"/>
    <row r="3" spans="2:11" x14ac:dyDescent="0.2">
      <c r="B3" s="6" t="s">
        <v>9</v>
      </c>
      <c r="C3" s="6"/>
    </row>
    <row r="4" spans="2:11" x14ac:dyDescent="0.2">
      <c r="B4" s="3" t="s">
        <v>10</v>
      </c>
      <c r="C4" s="3">
        <v>0.99619998806925558</v>
      </c>
    </row>
    <row r="5" spans="2:11" ht="15" x14ac:dyDescent="0.25">
      <c r="B5" s="3" t="s">
        <v>11</v>
      </c>
      <c r="C5" s="3">
        <v>0.99241441622918503</v>
      </c>
      <c r="E5" t="s">
        <v>54</v>
      </c>
      <c r="G5" t="s">
        <v>88</v>
      </c>
      <c r="I5" t="s">
        <v>90</v>
      </c>
      <c r="K5" t="s">
        <v>94</v>
      </c>
    </row>
    <row r="6" spans="2:11" x14ac:dyDescent="0.2">
      <c r="B6" s="3" t="s">
        <v>12</v>
      </c>
      <c r="C6" s="3">
        <v>0.99072873094678171</v>
      </c>
      <c r="E6" t="s">
        <v>55</v>
      </c>
      <c r="G6" t="s">
        <v>89</v>
      </c>
      <c r="I6" t="s">
        <v>91</v>
      </c>
      <c r="K6" t="s">
        <v>95</v>
      </c>
    </row>
    <row r="7" spans="2:11" x14ac:dyDescent="0.2">
      <c r="B7" s="3" t="s">
        <v>13</v>
      </c>
      <c r="C7" s="3">
        <v>3.5671855167538923E-2</v>
      </c>
      <c r="E7" t="s">
        <v>92</v>
      </c>
      <c r="G7" s="47" t="s">
        <v>93</v>
      </c>
      <c r="H7" s="47"/>
      <c r="I7" s="47"/>
      <c r="K7" t="s">
        <v>96</v>
      </c>
    </row>
    <row r="8" spans="2:11" ht="15" thickBot="1" x14ac:dyDescent="0.25">
      <c r="B8" s="4" t="s">
        <v>14</v>
      </c>
      <c r="C8" s="4">
        <v>12</v>
      </c>
    </row>
    <row r="10" spans="2:11" ht="15" thickBot="1" x14ac:dyDescent="0.25">
      <c r="B10" t="s">
        <v>15</v>
      </c>
    </row>
    <row r="11" spans="2:11" x14ac:dyDescent="0.2">
      <c r="B11" s="5"/>
      <c r="C11" s="5" t="s">
        <v>20</v>
      </c>
      <c r="D11" s="5" t="s">
        <v>21</v>
      </c>
      <c r="E11" s="5" t="s">
        <v>22</v>
      </c>
      <c r="F11" s="5" t="s">
        <v>23</v>
      </c>
      <c r="G11" s="5" t="s">
        <v>56</v>
      </c>
      <c r="H11" s="5" t="s">
        <v>73</v>
      </c>
    </row>
    <row r="12" spans="2:11" x14ac:dyDescent="0.2">
      <c r="B12" s="3" t="s">
        <v>16</v>
      </c>
      <c r="C12" s="3">
        <v>2</v>
      </c>
      <c r="D12" s="3">
        <v>1.4982971627615596</v>
      </c>
      <c r="E12" s="3">
        <v>0.74914858138077978</v>
      </c>
      <c r="F12" s="3">
        <v>588.73054572457022</v>
      </c>
      <c r="G12" s="48">
        <v>2.8837030691464588E-10</v>
      </c>
      <c r="H12" s="27" t="s">
        <v>100</v>
      </c>
    </row>
    <row r="13" spans="2:11" x14ac:dyDescent="0.2">
      <c r="B13" s="3" t="s">
        <v>17</v>
      </c>
      <c r="C13" s="3">
        <v>9</v>
      </c>
      <c r="D13" s="3">
        <v>1.1452331259844859E-2</v>
      </c>
      <c r="E13" s="3">
        <v>1.2724812510938731E-3</v>
      </c>
      <c r="F13" s="3"/>
      <c r="G13" s="3"/>
    </row>
    <row r="14" spans="2:11" ht="15" thickBot="1" x14ac:dyDescent="0.25">
      <c r="B14" s="4" t="s">
        <v>18</v>
      </c>
      <c r="C14" s="4">
        <v>11</v>
      </c>
      <c r="D14" s="4">
        <v>1.5097494940214045</v>
      </c>
      <c r="E14" s="4"/>
      <c r="F14" s="4"/>
      <c r="G14" s="4"/>
    </row>
    <row r="15" spans="2:11" ht="15" thickBot="1" x14ac:dyDescent="0.25">
      <c r="C15" t="s">
        <v>24</v>
      </c>
      <c r="F15" s="19" t="s">
        <v>56</v>
      </c>
    </row>
    <row r="16" spans="2:11" x14ac:dyDescent="0.2">
      <c r="B16" s="5"/>
      <c r="C16" s="5" t="s">
        <v>24</v>
      </c>
      <c r="D16" s="5" t="s">
        <v>13</v>
      </c>
      <c r="E16" s="5" t="s">
        <v>25</v>
      </c>
      <c r="F16" s="5" t="s">
        <v>26</v>
      </c>
      <c r="G16" s="51" t="s">
        <v>27</v>
      </c>
      <c r="H16" s="51" t="s">
        <v>28</v>
      </c>
      <c r="I16" s="5" t="s">
        <v>29</v>
      </c>
      <c r="J16" s="5" t="s">
        <v>30</v>
      </c>
    </row>
    <row r="17" spans="2:17" x14ac:dyDescent="0.2">
      <c r="B17" s="3" t="s">
        <v>19</v>
      </c>
      <c r="C17" s="33">
        <v>0.12517137613870766</v>
      </c>
      <c r="D17" s="29">
        <v>4.1560164037612335</v>
      </c>
      <c r="E17" s="29">
        <v>3.011811407323282E-2</v>
      </c>
      <c r="F17" s="30">
        <v>0.97663016635036903</v>
      </c>
      <c r="G17" s="33">
        <v>-9.2763909003366045</v>
      </c>
      <c r="H17" s="33">
        <v>9.5267336526140198</v>
      </c>
      <c r="I17" s="29">
        <v>-9.2763909003366045</v>
      </c>
      <c r="J17" s="29">
        <v>9.5267336526140198</v>
      </c>
    </row>
    <row r="18" spans="2:17" ht="15" x14ac:dyDescent="0.25">
      <c r="B18" t="s">
        <v>83</v>
      </c>
      <c r="C18" s="52">
        <v>0.61782138340060366</v>
      </c>
      <c r="D18" s="29">
        <v>0.35483992183874391</v>
      </c>
      <c r="E18" s="29">
        <v>1.7411270417350926</v>
      </c>
      <c r="F18" s="53">
        <v>0.11564618892137511</v>
      </c>
      <c r="G18" s="49">
        <v>-0.18488228743366619</v>
      </c>
      <c r="H18" s="49">
        <v>1.4205250542348735</v>
      </c>
      <c r="I18" s="29">
        <v>-0.18488228743366619</v>
      </c>
      <c r="J18" s="29">
        <v>1.4205250542348735</v>
      </c>
    </row>
    <row r="19" spans="2:17" ht="18" thickBot="1" x14ac:dyDescent="0.3">
      <c r="B19" s="24" t="s">
        <v>84</v>
      </c>
      <c r="C19" s="34">
        <v>0.4123038091205693</v>
      </c>
      <c r="D19" s="31">
        <v>6.3182692507157981E-2</v>
      </c>
      <c r="E19" s="31">
        <v>6.5255814964495116</v>
      </c>
      <c r="F19" s="32">
        <v>1.081882940889457E-4</v>
      </c>
      <c r="G19" s="50">
        <v>0.26937462870062534</v>
      </c>
      <c r="H19" s="50">
        <v>0.55523298954051326</v>
      </c>
      <c r="I19" s="31">
        <v>0.26937462870062534</v>
      </c>
      <c r="J19" s="31">
        <v>0.55523298954051326</v>
      </c>
    </row>
    <row r="23" spans="2:17" x14ac:dyDescent="0.2">
      <c r="B23" s="18" t="s">
        <v>31</v>
      </c>
      <c r="C23" s="18"/>
      <c r="G23" t="s">
        <v>35</v>
      </c>
    </row>
    <row r="24" spans="2:17" ht="15" thickBot="1" x14ac:dyDescent="0.25"/>
    <row r="25" spans="2:17" x14ac:dyDescent="0.2">
      <c r="B25" s="5" t="s">
        <v>32</v>
      </c>
      <c r="C25" s="5" t="s">
        <v>33</v>
      </c>
      <c r="D25" s="5" t="s">
        <v>17</v>
      </c>
      <c r="E25" s="5" t="s">
        <v>34</v>
      </c>
      <c r="G25" s="5" t="s">
        <v>36</v>
      </c>
      <c r="H25" s="5" t="s">
        <v>37</v>
      </c>
    </row>
    <row r="26" spans="2:17" x14ac:dyDescent="0.2">
      <c r="B26" s="3">
        <v>1</v>
      </c>
      <c r="C26" s="3">
        <v>15.047123960666763</v>
      </c>
      <c r="D26" s="3">
        <v>-4.7546615017227012E-2</v>
      </c>
      <c r="E26" s="3">
        <v>-1.4735639747636879</v>
      </c>
      <c r="G26" s="3">
        <v>4.166666666666667</v>
      </c>
      <c r="H26" s="3">
        <v>14.999577345649536</v>
      </c>
    </row>
    <row r="27" spans="2:17" x14ac:dyDescent="0.2">
      <c r="B27" s="3">
        <v>2</v>
      </c>
      <c r="C27" s="3">
        <v>15.098792962936745</v>
      </c>
      <c r="D27" s="3">
        <v>1.544224149814255E-2</v>
      </c>
      <c r="E27" s="3">
        <v>0.47858571536625899</v>
      </c>
      <c r="G27" s="3">
        <v>12.5</v>
      </c>
      <c r="H27" s="3">
        <v>15.114235204434888</v>
      </c>
    </row>
    <row r="28" spans="2:17" x14ac:dyDescent="0.2">
      <c r="B28" s="3">
        <v>3</v>
      </c>
      <c r="C28" s="3">
        <v>15.161785136190829</v>
      </c>
      <c r="D28" s="3">
        <v>6.6359331223138085E-2</v>
      </c>
      <c r="E28" s="3">
        <v>2.0566073913862901</v>
      </c>
      <c r="G28" s="3">
        <v>20.833333333333336</v>
      </c>
      <c r="H28" s="3">
        <v>15.228144467413967</v>
      </c>
    </row>
    <row r="29" spans="2:17" x14ac:dyDescent="0.2">
      <c r="B29" s="3">
        <v>4</v>
      </c>
      <c r="C29" s="3">
        <v>15.330270523844135</v>
      </c>
      <c r="D29" s="3">
        <v>9.6608705328975475E-3</v>
      </c>
      <c r="E29" s="3">
        <v>0.29940955369748123</v>
      </c>
      <c r="G29" s="3">
        <v>29.166666666666668</v>
      </c>
      <c r="H29" s="3">
        <v>15.339931394377032</v>
      </c>
      <c r="K29" s="26" t="s">
        <v>85</v>
      </c>
      <c r="L29">
        <f>(C18-0)/D18</f>
        <v>1.7411270417350926</v>
      </c>
      <c r="M29" s="26" t="s">
        <v>86</v>
      </c>
      <c r="N29">
        <f>_xlfn.T.INV.2T(0.05,C13)</f>
        <v>2.2621571627982053</v>
      </c>
      <c r="P29" t="s">
        <v>87</v>
      </c>
      <c r="Q29">
        <f>_xlfn.T.DIST.2T(L29,C13)</f>
        <v>0.11564618892137511</v>
      </c>
    </row>
    <row r="30" spans="2:17" x14ac:dyDescent="0.2">
      <c r="B30" s="3">
        <v>5</v>
      </c>
      <c r="C30" s="3">
        <v>15.502724222791379</v>
      </c>
      <c r="D30" s="3">
        <v>-2.885321603277724E-2</v>
      </c>
      <c r="E30" s="3">
        <v>-0.8942184356671844</v>
      </c>
      <c r="G30" s="3">
        <v>37.5</v>
      </c>
      <c r="H30" s="3">
        <v>15.473871006758602</v>
      </c>
      <c r="K30" s="26" t="s">
        <v>85</v>
      </c>
      <c r="L30">
        <f>(C19-0)/D19</f>
        <v>6.5255814964495116</v>
      </c>
      <c r="M30" s="26" t="s">
        <v>86</v>
      </c>
      <c r="N30">
        <f>_xlfn.T.INV.2T(0.05,C13)</f>
        <v>2.2621571627982053</v>
      </c>
      <c r="P30" t="s">
        <v>87</v>
      </c>
      <c r="Q30">
        <f>_xlfn.T.DIST.2T(L30,C13)</f>
        <v>1.081882940889457E-4</v>
      </c>
    </row>
    <row r="31" spans="2:17" x14ac:dyDescent="0.2">
      <c r="B31" s="3">
        <v>6</v>
      </c>
      <c r="C31" s="3">
        <v>15.657386125613204</v>
      </c>
      <c r="D31" s="3">
        <v>-3.7836304656604369E-2</v>
      </c>
      <c r="E31" s="3">
        <v>-1.1726221826717842</v>
      </c>
      <c r="G31" s="3">
        <v>45.833333333333336</v>
      </c>
      <c r="H31" s="3">
        <v>15.6195498209566</v>
      </c>
    </row>
    <row r="32" spans="2:17" x14ac:dyDescent="0.2">
      <c r="B32" s="3">
        <v>7</v>
      </c>
      <c r="C32" s="3">
        <v>15.77518526627405</v>
      </c>
      <c r="D32" s="3">
        <v>-2.9913540679551431E-2</v>
      </c>
      <c r="E32" s="3">
        <v>-0.92708000111141997</v>
      </c>
      <c r="G32" s="3">
        <v>54.166666666666664</v>
      </c>
      <c r="H32" s="3">
        <v>15.745271725594499</v>
      </c>
    </row>
    <row r="33" spans="2:8" x14ac:dyDescent="0.2">
      <c r="B33" s="3">
        <v>8</v>
      </c>
      <c r="C33" s="3">
        <v>15.851166573940194</v>
      </c>
      <c r="D33" s="3">
        <v>2.4649213870276299E-2</v>
      </c>
      <c r="E33" s="3">
        <v>0.76392806411822112</v>
      </c>
      <c r="G33" s="3">
        <v>62.5</v>
      </c>
      <c r="H33" s="3">
        <v>15.87581578781047</v>
      </c>
    </row>
    <row r="34" spans="2:8" x14ac:dyDescent="0.2">
      <c r="B34" s="3">
        <v>9</v>
      </c>
      <c r="C34" s="3">
        <v>15.905976020782477</v>
      </c>
      <c r="D34" s="3">
        <v>9.8080781334299871E-3</v>
      </c>
      <c r="E34" s="3">
        <v>0.30397180943066882</v>
      </c>
      <c r="G34" s="3">
        <v>70.833333333333343</v>
      </c>
      <c r="H34" s="3">
        <v>15.915784098915907</v>
      </c>
    </row>
    <row r="35" spans="2:8" x14ac:dyDescent="0.2">
      <c r="B35" s="3">
        <v>10</v>
      </c>
      <c r="C35" s="3">
        <v>15.951945177854096</v>
      </c>
      <c r="D35" s="3">
        <v>-9.0865185898127976E-3</v>
      </c>
      <c r="E35" s="3">
        <v>-0.28160924694886064</v>
      </c>
      <c r="G35" s="3">
        <v>79.166666666666671</v>
      </c>
      <c r="H35" s="3">
        <v>15.942858659264283</v>
      </c>
    </row>
    <row r="36" spans="2:8" x14ac:dyDescent="0.2">
      <c r="B36" s="3">
        <v>11</v>
      </c>
      <c r="C36" s="3">
        <v>16.004277218337908</v>
      </c>
      <c r="D36" s="3">
        <v>5.3534363789324857E-3</v>
      </c>
      <c r="E36" s="3">
        <v>0.16591361943065941</v>
      </c>
      <c r="G36" s="3">
        <v>87.500000000000014</v>
      </c>
      <c r="H36" s="3">
        <v>16.00963065471684</v>
      </c>
    </row>
    <row r="37" spans="2:8" ht="15" thickBot="1" x14ac:dyDescent="0.25">
      <c r="B37" s="4">
        <v>12</v>
      </c>
      <c r="C37" s="4">
        <v>16.036388143367994</v>
      </c>
      <c r="D37" s="4">
        <v>2.196302333916833E-2</v>
      </c>
      <c r="E37" s="4">
        <v>0.68067768773374271</v>
      </c>
      <c r="G37" s="4">
        <v>95.833333333333343</v>
      </c>
      <c r="H37" s="4">
        <v>16.058351166707162</v>
      </c>
    </row>
  </sheetData>
  <sortState xmlns:xlrd2="http://schemas.microsoft.com/office/spreadsheetml/2017/richdata2" ref="H26:H37">
    <sortCondition ref="H26"/>
  </sortState>
  <mergeCells count="1">
    <mergeCell ref="G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showGridLines="0" tabSelected="1" topLeftCell="E1" zoomScale="90" zoomScaleNormal="90" workbookViewId="0">
      <selection activeCell="M30" sqref="M30"/>
    </sheetView>
  </sheetViews>
  <sheetFormatPr baseColWidth="10" defaultRowHeight="14.25" x14ac:dyDescent="0.2"/>
  <cols>
    <col min="11" max="11" width="12.5" bestFit="1" customWidth="1"/>
    <col min="14" max="14" width="12" bestFit="1" customWidth="1"/>
    <col min="15" max="16" width="11" customWidth="1"/>
    <col min="17" max="17" width="12" bestFit="1" customWidth="1"/>
    <col min="19" max="19" width="7.875" bestFit="1" customWidth="1"/>
    <col min="20" max="20" width="12.375" bestFit="1" customWidth="1"/>
    <col min="21" max="21" width="16.125" bestFit="1" customWidth="1"/>
  </cols>
  <sheetData>
    <row r="1" spans="1:21" ht="15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21" ht="15" x14ac:dyDescent="0.25">
      <c r="A2" s="2">
        <v>3267636</v>
      </c>
      <c r="B2" s="2">
        <v>1493800</v>
      </c>
      <c r="C2" s="2">
        <v>2923423</v>
      </c>
      <c r="D2">
        <f>LN(A2)</f>
        <v>14.999577345649536</v>
      </c>
      <c r="F2" s="22" t="s">
        <v>99</v>
      </c>
    </row>
    <row r="3" spans="1:21" x14ac:dyDescent="0.2">
      <c r="A3" s="2">
        <v>3664620</v>
      </c>
      <c r="B3" s="2">
        <v>1549100</v>
      </c>
      <c r="C3" s="2">
        <v>3138053</v>
      </c>
      <c r="D3">
        <f t="shared" ref="D3:D13" si="0">LN(A3)</f>
        <v>15.114235204434888</v>
      </c>
      <c r="F3" s="22"/>
    </row>
    <row r="4" spans="1:21" x14ac:dyDescent="0.2">
      <c r="A4" s="2">
        <v>4106758</v>
      </c>
      <c r="B4" s="2">
        <v>1637600</v>
      </c>
      <c r="C4" s="2">
        <v>3364006</v>
      </c>
      <c r="D4">
        <f t="shared" si="0"/>
        <v>15.228144467413967</v>
      </c>
      <c r="F4" t="s">
        <v>57</v>
      </c>
    </row>
    <row r="5" spans="1:21" x14ac:dyDescent="0.2">
      <c r="A5" s="2">
        <v>4592483</v>
      </c>
      <c r="B5" s="2">
        <v>1727600</v>
      </c>
      <c r="C5" s="2">
        <v>4672090</v>
      </c>
      <c r="D5">
        <f t="shared" si="0"/>
        <v>15.339931394377032</v>
      </c>
    </row>
    <row r="6" spans="1:21" ht="15" thickBot="1" x14ac:dyDescent="0.25">
      <c r="A6" s="2">
        <v>5250695</v>
      </c>
      <c r="B6" s="2">
        <v>1848600</v>
      </c>
      <c r="C6" s="2">
        <v>6413698</v>
      </c>
      <c r="D6">
        <f t="shared" si="0"/>
        <v>15.473871006758602</v>
      </c>
      <c r="F6" s="23" t="s">
        <v>58</v>
      </c>
      <c r="G6" s="23"/>
      <c r="I6" s="23"/>
      <c r="J6" s="23"/>
    </row>
    <row r="7" spans="1:21" ht="15" thickTop="1" x14ac:dyDescent="0.2">
      <c r="A7" s="2">
        <v>6074133</v>
      </c>
      <c r="B7" s="2">
        <v>1963500</v>
      </c>
      <c r="C7" s="2">
        <v>8526638</v>
      </c>
      <c r="D7">
        <f t="shared" si="0"/>
        <v>15.6195498209566</v>
      </c>
      <c r="F7" t="s">
        <v>59</v>
      </c>
      <c r="G7">
        <f>SQRT(G8)</f>
        <v>0.99815874255537473</v>
      </c>
      <c r="I7" t="s">
        <v>64</v>
      </c>
      <c r="J7">
        <f>G11*LN(H16/G11)+2*(G15+1)</f>
        <v>288.00272795352066</v>
      </c>
    </row>
    <row r="8" spans="1:21" x14ac:dyDescent="0.2">
      <c r="A8" s="2">
        <v>6887865</v>
      </c>
      <c r="B8" s="2">
        <v>2036200</v>
      </c>
      <c r="C8" s="2">
        <v>10744839</v>
      </c>
      <c r="D8">
        <f t="shared" si="0"/>
        <v>15.745271725594499</v>
      </c>
      <c r="F8" t="s">
        <v>60</v>
      </c>
      <c r="G8">
        <f>H15/H17</f>
        <v>0.9963208753397268</v>
      </c>
      <c r="I8" t="s">
        <v>65</v>
      </c>
      <c r="J8">
        <f>J7+2*(G15+2)*(G15+3)/(G11-G15-3)</f>
        <v>293.71701366780638</v>
      </c>
    </row>
    <row r="9" spans="1:21" x14ac:dyDescent="0.2">
      <c r="A9" s="2">
        <v>7848365</v>
      </c>
      <c r="B9" s="2">
        <v>2070800</v>
      </c>
      <c r="C9" s="2">
        <v>12597038</v>
      </c>
      <c r="D9">
        <f t="shared" si="0"/>
        <v>15.87581578781047</v>
      </c>
      <c r="F9" t="s">
        <v>61</v>
      </c>
      <c r="G9">
        <f>1-(1-G8)*(G11-1)/(G11-G15-1)</f>
        <v>0.99550329208188826</v>
      </c>
      <c r="I9" s="24" t="s">
        <v>66</v>
      </c>
      <c r="J9" s="24">
        <f>G11*LN(H16/G11)+(G15+1)*LN(G11)</f>
        <v>289.45744790288467</v>
      </c>
    </row>
    <row r="10" spans="1:21" x14ac:dyDescent="0.2">
      <c r="A10" s="2">
        <v>8168404</v>
      </c>
      <c r="B10" s="2">
        <v>2065400</v>
      </c>
      <c r="C10" s="2">
        <v>14444431</v>
      </c>
      <c r="D10">
        <f t="shared" si="0"/>
        <v>15.915784098915907</v>
      </c>
      <c r="F10" t="s">
        <v>62</v>
      </c>
      <c r="G10">
        <f>SQRT(I16)</f>
        <v>146379.04001393451</v>
      </c>
    </row>
    <row r="11" spans="1:21" x14ac:dyDescent="0.2">
      <c r="A11" s="2">
        <v>8392581</v>
      </c>
      <c r="B11" s="2">
        <v>2055900</v>
      </c>
      <c r="C11" s="2">
        <v>16260040</v>
      </c>
      <c r="D11">
        <f t="shared" si="0"/>
        <v>15.942858659264283</v>
      </c>
      <c r="F11" s="24" t="s">
        <v>63</v>
      </c>
      <c r="G11" s="24">
        <f>COUNT(A2:A13)</f>
        <v>12</v>
      </c>
    </row>
    <row r="12" spans="1:21" x14ac:dyDescent="0.2">
      <c r="A12" s="2">
        <v>8972103</v>
      </c>
      <c r="B12" s="2">
        <v>2093780</v>
      </c>
      <c r="C12" s="2">
        <v>17962362</v>
      </c>
      <c r="D12">
        <f t="shared" si="0"/>
        <v>16.00963065471684</v>
      </c>
    </row>
    <row r="13" spans="1:21" ht="15" thickBot="1" x14ac:dyDescent="0.25">
      <c r="A13" s="2">
        <v>9420052</v>
      </c>
      <c r="B13" s="2">
        <v>2107615</v>
      </c>
      <c r="C13" s="2">
        <v>19226538</v>
      </c>
      <c r="D13">
        <f t="shared" si="0"/>
        <v>16.058351166707162</v>
      </c>
      <c r="F13" t="s">
        <v>67</v>
      </c>
      <c r="J13" s="19" t="s">
        <v>68</v>
      </c>
      <c r="K13" s="19">
        <v>0.05</v>
      </c>
    </row>
    <row r="14" spans="1:21" ht="15" thickTop="1" x14ac:dyDescent="0.2">
      <c r="F14" s="25"/>
      <c r="G14" s="25" t="s">
        <v>69</v>
      </c>
      <c r="H14" s="25" t="s">
        <v>70</v>
      </c>
      <c r="I14" s="25" t="s">
        <v>71</v>
      </c>
      <c r="J14" s="25" t="s">
        <v>23</v>
      </c>
      <c r="K14" s="25" t="s">
        <v>72</v>
      </c>
      <c r="L14" s="25" t="s">
        <v>73</v>
      </c>
    </row>
    <row r="15" spans="1:21" x14ac:dyDescent="0.2">
      <c r="F15" t="s">
        <v>74</v>
      </c>
      <c r="G15">
        <f>COUNT(B2:C2)</f>
        <v>2</v>
      </c>
      <c r="H15">
        <f>DEVSQ(MMULT([1]!DESIGN(B2:C13),G20:G22))</f>
        <v>52222183359385.641</v>
      </c>
      <c r="I15">
        <f>H15/G15</f>
        <v>26111091679692.82</v>
      </c>
      <c r="J15">
        <f>I15/I16</f>
        <v>1218.6170225326946</v>
      </c>
      <c r="K15" s="35">
        <f>_xlfn.F.DIST.RT(J15,G15,G16)</f>
        <v>1.1113484932366276E-11</v>
      </c>
      <c r="L15" s="19" t="str">
        <f>IF(K15&lt;K13,"yes","no")</f>
        <v>yes</v>
      </c>
      <c r="N15" s="28"/>
      <c r="Q15" s="42" t="s">
        <v>102</v>
      </c>
      <c r="R15" s="42" t="s">
        <v>103</v>
      </c>
      <c r="S15" s="42" t="s">
        <v>104</v>
      </c>
      <c r="T15" s="42" t="s">
        <v>101</v>
      </c>
    </row>
    <row r="16" spans="1:21" ht="15" x14ac:dyDescent="0.25">
      <c r="F16" t="s">
        <v>75</v>
      </c>
      <c r="G16">
        <f>G17-G15</f>
        <v>9</v>
      </c>
      <c r="H16">
        <f>H17-H15</f>
        <v>192841410198.60938</v>
      </c>
      <c r="I16">
        <f>H16/G16</f>
        <v>21426823355.401043</v>
      </c>
      <c r="P16" s="40" t="s">
        <v>97</v>
      </c>
      <c r="Q16" s="41">
        <f>+J21</f>
        <v>1.2270658762098165E-4</v>
      </c>
      <c r="R16" s="41">
        <f>+SQRT(I16)</f>
        <v>146379.04001393451</v>
      </c>
      <c r="S16" s="43">
        <f>+G8</f>
        <v>0.9963208753397268</v>
      </c>
      <c r="T16" s="46">
        <f>+K15</f>
        <v>1.1113484932366276E-11</v>
      </c>
      <c r="U16" s="44">
        <f>1-T16</f>
        <v>0.99999999998888656</v>
      </c>
    </row>
    <row r="17" spans="6:21" ht="15" x14ac:dyDescent="0.25">
      <c r="F17" s="24" t="s">
        <v>18</v>
      </c>
      <c r="G17" s="24">
        <f>G11-1</f>
        <v>11</v>
      </c>
      <c r="H17" s="24">
        <f>DEVSQ(A2:A13)</f>
        <v>52415024769584.25</v>
      </c>
      <c r="I17" s="24"/>
      <c r="J17" s="24"/>
      <c r="K17" s="24"/>
      <c r="L17" s="24"/>
      <c r="P17" s="40" t="s">
        <v>98</v>
      </c>
      <c r="Q17" s="41">
        <f>+J22</f>
        <v>1.5717504920248814E-7</v>
      </c>
    </row>
    <row r="18" spans="6:21" ht="15" thickBot="1" x14ac:dyDescent="0.25"/>
    <row r="19" spans="6:21" ht="15" thickTop="1" x14ac:dyDescent="0.2">
      <c r="F19" s="25"/>
      <c r="G19" s="25" t="s">
        <v>76</v>
      </c>
      <c r="H19" s="25" t="s">
        <v>77</v>
      </c>
      <c r="I19" s="25" t="s">
        <v>78</v>
      </c>
      <c r="J19" s="25" t="s">
        <v>72</v>
      </c>
      <c r="K19" s="25" t="s">
        <v>79</v>
      </c>
      <c r="L19" s="25" t="s">
        <v>80</v>
      </c>
      <c r="M19" s="25" t="s">
        <v>81</v>
      </c>
    </row>
    <row r="20" spans="6:21" x14ac:dyDescent="0.2">
      <c r="F20" t="s">
        <v>82</v>
      </c>
      <c r="G20">
        <f t="array" ref="G20:H22">[1]!RegCoeff(B2:C13,A2:A13)</f>
        <v>-1832783.1818861831</v>
      </c>
      <c r="H20">
        <v>725849.95731159917</v>
      </c>
      <c r="I20">
        <f>G20/H20</f>
        <v>-2.525016587001589</v>
      </c>
      <c r="J20">
        <f>_xlfn.T.DIST.2T(ABS(I20),$G$16)</f>
        <v>3.2500031810089036E-2</v>
      </c>
      <c r="K20">
        <f>G20-_xlfn.T.INV.2T(K$13,$G$16)*H20</f>
        <v>-3474769.8619353888</v>
      </c>
      <c r="L20">
        <f>G20+_xlfn.T.INV.2T(K$13,$G$16)*H20</f>
        <v>-190796.50183697743</v>
      </c>
    </row>
    <row r="21" spans="6:21" x14ac:dyDescent="0.2">
      <c r="F21" t="str">
        <f t="array" ref="F21:F22">TRANSPOSE(B1:C1)</f>
        <v>L</v>
      </c>
      <c r="G21">
        <v>2.9994822274306121</v>
      </c>
      <c r="H21">
        <v>0.46738182643399534</v>
      </c>
      <c r="I21">
        <f t="shared" ref="I21:I22" si="1">G21/H21</f>
        <v>6.4176269974292754</v>
      </c>
      <c r="J21">
        <f t="shared" ref="J21:J22" si="2">_xlfn.T.DIST.2T(ABS(I21),$G$16)</f>
        <v>1.2270658762098165E-4</v>
      </c>
      <c r="K21">
        <f t="shared" ref="K21:K22" si="3">G21-_xlfn.T.INV.2T(K$13,$G$16)*H21</f>
        <v>1.9421910810012419</v>
      </c>
      <c r="L21">
        <f t="shared" ref="L21:L22" si="4">G21+_xlfn.T.INV.2T(K$13,$G$16)*H21</f>
        <v>4.0567733738599827</v>
      </c>
      <c r="M21" t="e">
        <f>[1]!VIF(B2:C13,1)</f>
        <v>#VALUE!</v>
      </c>
    </row>
    <row r="22" spans="6:21" x14ac:dyDescent="0.2">
      <c r="F22" s="24" t="str">
        <v>K</v>
      </c>
      <c r="G22" s="24">
        <v>0.25526174499790055</v>
      </c>
      <c r="H22" s="24">
        <v>1.7680772784855841E-2</v>
      </c>
      <c r="I22" s="24">
        <f t="shared" si="1"/>
        <v>14.437250458675685</v>
      </c>
      <c r="J22" s="24">
        <f t="shared" si="2"/>
        <v>1.5717504920248814E-7</v>
      </c>
      <c r="K22" s="24">
        <f t="shared" si="3"/>
        <v>0.21526505819883135</v>
      </c>
      <c r="L22" s="24">
        <f t="shared" si="4"/>
        <v>0.29525843179696976</v>
      </c>
      <c r="M22" s="24" t="e">
        <f>[1]!VIF(B2:C13,2)</f>
        <v>#VALUE!</v>
      </c>
    </row>
    <row r="24" spans="6:21" x14ac:dyDescent="0.2">
      <c r="U24" s="45">
        <f>+U31-U16</f>
        <v>-2.7725688411806004E-10</v>
      </c>
    </row>
    <row r="27" spans="6:21" x14ac:dyDescent="0.2">
      <c r="F27" t="s">
        <v>57</v>
      </c>
    </row>
    <row r="29" spans="6:21" ht="15" thickBot="1" x14ac:dyDescent="0.25">
      <c r="F29" s="23" t="s">
        <v>58</v>
      </c>
      <c r="G29" s="23"/>
      <c r="I29" s="23"/>
      <c r="J29" s="23"/>
      <c r="P29" s="39"/>
      <c r="S29" s="38"/>
    </row>
    <row r="30" spans="6:21" ht="15" thickTop="1" x14ac:dyDescent="0.2">
      <c r="F30" t="s">
        <v>59</v>
      </c>
      <c r="G30">
        <v>0.99619998806925392</v>
      </c>
      <c r="I30" t="s">
        <v>64</v>
      </c>
      <c r="J30">
        <v>-77.453623392166975</v>
      </c>
      <c r="Q30" s="42" t="s">
        <v>102</v>
      </c>
      <c r="R30" s="42" t="s">
        <v>103</v>
      </c>
      <c r="S30" s="42" t="s">
        <v>104</v>
      </c>
      <c r="T30" s="42" t="s">
        <v>101</v>
      </c>
    </row>
    <row r="31" spans="6:21" ht="15" x14ac:dyDescent="0.25">
      <c r="F31" t="s">
        <v>60</v>
      </c>
      <c r="G31">
        <v>0.99241441622918158</v>
      </c>
      <c r="I31" t="s">
        <v>65</v>
      </c>
      <c r="J31">
        <v>-71.739337677881267</v>
      </c>
      <c r="P31" s="40" t="s">
        <v>97</v>
      </c>
      <c r="Q31" s="41">
        <f>+J44</f>
        <v>0.11564618892137511</v>
      </c>
      <c r="R31" s="41">
        <f>+SQRT(I39)</f>
        <v>3.5671855167546944E-2</v>
      </c>
      <c r="S31" s="43">
        <v>0.99241441622918158</v>
      </c>
      <c r="T31" s="46">
        <f>+K38</f>
        <v>2.8837030691522987E-10</v>
      </c>
      <c r="U31" s="44">
        <f>1-T31</f>
        <v>0.99999999971162967</v>
      </c>
    </row>
    <row r="32" spans="6:21" ht="15" x14ac:dyDescent="0.25">
      <c r="F32" t="s">
        <v>61</v>
      </c>
      <c r="G32">
        <v>0.99072873094677749</v>
      </c>
      <c r="I32" s="24" t="s">
        <v>66</v>
      </c>
      <c r="J32" s="24">
        <v>-75.99890344280297</v>
      </c>
      <c r="P32" s="40" t="s">
        <v>98</v>
      </c>
      <c r="Q32" s="41">
        <f>+J45</f>
        <v>1.081882940889457E-4</v>
      </c>
    </row>
    <row r="33" spans="6:13" x14ac:dyDescent="0.2">
      <c r="F33" t="s">
        <v>62</v>
      </c>
      <c r="G33">
        <v>3.5671855167546944E-2</v>
      </c>
    </row>
    <row r="34" spans="6:13" x14ac:dyDescent="0.2">
      <c r="F34" s="24" t="s">
        <v>63</v>
      </c>
      <c r="G34" s="24">
        <v>12</v>
      </c>
    </row>
    <row r="36" spans="6:13" ht="15" thickBot="1" x14ac:dyDescent="0.25">
      <c r="F36" t="s">
        <v>67</v>
      </c>
      <c r="J36" s="19" t="s">
        <v>68</v>
      </c>
      <c r="K36" s="19">
        <v>0.05</v>
      </c>
    </row>
    <row r="37" spans="6:13" ht="15" thickTop="1" x14ac:dyDescent="0.2">
      <c r="F37" s="25"/>
      <c r="G37" s="25" t="s">
        <v>69</v>
      </c>
      <c r="H37" s="25" t="s">
        <v>70</v>
      </c>
      <c r="I37" s="25" t="s">
        <v>71</v>
      </c>
      <c r="J37" s="25" t="s">
        <v>23</v>
      </c>
      <c r="K37" s="25" t="s">
        <v>72</v>
      </c>
      <c r="L37" s="25" t="s">
        <v>73</v>
      </c>
    </row>
    <row r="38" spans="6:13" x14ac:dyDescent="0.2">
      <c r="F38" t="s">
        <v>74</v>
      </c>
      <c r="G38">
        <v>2</v>
      </c>
      <c r="H38">
        <v>1.4982971627615544</v>
      </c>
      <c r="I38">
        <v>0.74914858138077722</v>
      </c>
      <c r="J38">
        <v>588.73054572430328</v>
      </c>
      <c r="K38" s="36">
        <v>2.8837030691522987E-10</v>
      </c>
      <c r="L38" s="37" t="s">
        <v>100</v>
      </c>
    </row>
    <row r="39" spans="6:13" x14ac:dyDescent="0.2">
      <c r="F39" t="s">
        <v>75</v>
      </c>
      <c r="G39">
        <v>9</v>
      </c>
      <c r="H39">
        <v>1.1452331259850013E-2</v>
      </c>
      <c r="I39">
        <v>1.2724812510944458E-3</v>
      </c>
    </row>
    <row r="40" spans="6:13" x14ac:dyDescent="0.2">
      <c r="F40" s="24" t="s">
        <v>18</v>
      </c>
      <c r="G40" s="24">
        <v>11</v>
      </c>
      <c r="H40" s="24">
        <v>1.5097494940214045</v>
      </c>
      <c r="I40" s="24"/>
      <c r="J40" s="24"/>
      <c r="K40" s="24"/>
      <c r="L40" s="24"/>
    </row>
    <row r="41" spans="6:13" ht="15" thickBot="1" x14ac:dyDescent="0.25"/>
    <row r="42" spans="6:13" ht="15" thickTop="1" x14ac:dyDescent="0.2">
      <c r="F42" s="25"/>
      <c r="G42" s="25" t="s">
        <v>76</v>
      </c>
      <c r="H42" s="25" t="s">
        <v>77</v>
      </c>
      <c r="I42" s="25" t="s">
        <v>78</v>
      </c>
      <c r="J42" s="25" t="s">
        <v>72</v>
      </c>
      <c r="K42" s="25" t="s">
        <v>79</v>
      </c>
      <c r="L42" s="25" t="s">
        <v>80</v>
      </c>
      <c r="M42" s="25" t="s">
        <v>81</v>
      </c>
    </row>
    <row r="43" spans="6:13" x14ac:dyDescent="0.2">
      <c r="F43" t="s">
        <v>82</v>
      </c>
      <c r="G43">
        <v>0.12517137613870766</v>
      </c>
      <c r="H43">
        <v>4.1560164037612335</v>
      </c>
      <c r="I43">
        <v>3.011811407323282E-2</v>
      </c>
      <c r="J43">
        <v>0.97663016635036903</v>
      </c>
      <c r="K43">
        <v>-9.2763909003366045</v>
      </c>
      <c r="L43">
        <v>9.5267336526140198</v>
      </c>
    </row>
    <row r="44" spans="6:13" x14ac:dyDescent="0.2">
      <c r="F44" t="s">
        <v>6</v>
      </c>
      <c r="G44">
        <v>0.61782138340060366</v>
      </c>
      <c r="H44">
        <v>0.35483992183874391</v>
      </c>
      <c r="I44">
        <v>1.7411270417350926</v>
      </c>
      <c r="J44" s="54">
        <v>0.11564618892137511</v>
      </c>
      <c r="K44">
        <v>-0.18488228743366619</v>
      </c>
      <c r="L44">
        <v>1.4205250542348735</v>
      </c>
      <c r="M44">
        <v>17.398561644003607</v>
      </c>
    </row>
    <row r="45" spans="6:13" x14ac:dyDescent="0.2">
      <c r="F45" s="24" t="s">
        <v>7</v>
      </c>
      <c r="G45" s="24">
        <v>0.4123038091205693</v>
      </c>
      <c r="H45" s="24">
        <v>6.3182692507157981E-2</v>
      </c>
      <c r="I45" s="24">
        <v>6.5255814964495116</v>
      </c>
      <c r="J45" s="24">
        <v>1.081882940889457E-4</v>
      </c>
      <c r="K45" s="24">
        <v>0.26937462870062534</v>
      </c>
      <c r="L45" s="24">
        <v>0.55523298954051326</v>
      </c>
      <c r="M45" s="24">
        <v>17.398561644001958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P1</vt:lpstr>
      <vt:lpstr>P1a-b-c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Bascuñán Lara</dc:creator>
  <cp:lastModifiedBy>Luis</cp:lastModifiedBy>
  <dcterms:created xsi:type="dcterms:W3CDTF">2021-05-01T17:22:17Z</dcterms:created>
  <dcterms:modified xsi:type="dcterms:W3CDTF">2021-07-04T04:01:24Z</dcterms:modified>
</cp:coreProperties>
</file>