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filterPrivacy="1" defaultThemeVersion="123820"/>
  <xr:revisionPtr revIDLastSave="0" documentId="13_ncr:1_{3BF67043-1C43-4088-9DBD-E73EDE00EBBC}" xr6:coauthVersionLast="47" xr6:coauthVersionMax="47" xr10:uidLastSave="{00000000-0000-0000-0000-000000000000}"/>
  <bookViews>
    <workbookView xWindow="-9825" yWindow="1035" windowWidth="21600" windowHeight="11385" tabRatio="911" firstSheet="8" activeTab="11" xr2:uid="{00000000-000D-0000-FFFF-FFFF00000000}"/>
  </bookViews>
  <sheets>
    <sheet name="Data Hamburguesa" sheetId="1" r:id="rId1"/>
    <sheet name="Modelo Nivel" sheetId="4" r:id="rId2"/>
    <sheet name="Sin Observ Infly nivel" sheetId="11" r:id="rId3"/>
    <sheet name="Modelo Log" sheetId="9" r:id="rId4"/>
    <sheet name="Sin Observ influy log" sheetId="10" r:id="rId5"/>
    <sheet name="Data Azucar" sheetId="12" r:id="rId6"/>
    <sheet name="Procedimiento" sheetId="13" r:id="rId7"/>
    <sheet name="Data Entrenamiento" sheetId="14" r:id="rId8"/>
    <sheet name="Modelo Econometrico" sheetId="20" r:id="rId9"/>
    <sheet name="Modelo Ajustado" sheetId="21" r:id="rId10"/>
    <sheet name="Obs. Influyentes" sheetId="23" r:id="rId11"/>
    <sheet name="Modelo 2" sheetId="25" r:id="rId12"/>
  </sheets>
  <externalReferences>
    <externalReference r:id="rId13"/>
  </externalReferences>
  <definedNames>
    <definedName name="_xlnm._FilterDatabase" localSheetId="7" hidden="1">'Data Entrenamiento'!$A$1:$I$303</definedName>
    <definedName name="_xlnm._FilterDatabase" localSheetId="0" hidden="1">'Data Hamburguesa'!$A$1:$F$76</definedName>
    <definedName name="_xlnm._FilterDatabase" localSheetId="11" hidden="1">'Modelo 2'!$B$1:$D$296</definedName>
    <definedName name="_xlnm._FilterDatabase" localSheetId="1" hidden="1">'Modelo Nivel'!$L$1:$AA$78</definedName>
    <definedName name="_xlnm._FilterDatabase" localSheetId="10" hidden="1">'Obs. Influyentes'!$J$1:$W$344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9" i="25" l="1"/>
  <c r="J19" i="25" s="1"/>
  <c r="K19" i="25"/>
  <c r="L19" i="25"/>
  <c r="I20" i="25"/>
  <c r="J20" i="25"/>
  <c r="K20" i="25"/>
  <c r="L20" i="25"/>
  <c r="I21" i="25"/>
  <c r="J21" i="25"/>
  <c r="K21" i="25"/>
  <c r="L21" i="25"/>
  <c r="L18" i="25"/>
  <c r="K18" i="25"/>
  <c r="J18" i="25"/>
  <c r="I18" i="25"/>
  <c r="F19" i="25" a="1"/>
  <c r="F19" i="25" s="1"/>
  <c r="F21" i="25"/>
  <c r="H15" i="25"/>
  <c r="G15" i="25"/>
  <c r="G14" i="25" s="1"/>
  <c r="G13" i="25"/>
  <c r="G9" i="25"/>
  <c r="A296" i="25"/>
  <c r="D296" i="25"/>
  <c r="C296" i="25"/>
  <c r="B296" i="25"/>
  <c r="A295" i="25"/>
  <c r="D295" i="25"/>
  <c r="C295" i="25"/>
  <c r="B295" i="25"/>
  <c r="A294" i="25"/>
  <c r="D294" i="25"/>
  <c r="C294" i="25"/>
  <c r="B294" i="25"/>
  <c r="A293" i="25"/>
  <c r="D293" i="25"/>
  <c r="C293" i="25"/>
  <c r="B293" i="25"/>
  <c r="A292" i="25"/>
  <c r="D292" i="25"/>
  <c r="C292" i="25"/>
  <c r="B292" i="25"/>
  <c r="A291" i="25"/>
  <c r="D291" i="25"/>
  <c r="C291" i="25"/>
  <c r="B291" i="25"/>
  <c r="A290" i="25"/>
  <c r="D290" i="25"/>
  <c r="C290" i="25"/>
  <c r="B290" i="25"/>
  <c r="A289" i="25"/>
  <c r="D289" i="25"/>
  <c r="C289" i="25"/>
  <c r="B289" i="25"/>
  <c r="A288" i="25"/>
  <c r="D288" i="25"/>
  <c r="C288" i="25"/>
  <c r="B288" i="25"/>
  <c r="A287" i="25"/>
  <c r="D287" i="25"/>
  <c r="C287" i="25"/>
  <c r="B287" i="25"/>
  <c r="A286" i="25"/>
  <c r="D286" i="25"/>
  <c r="C286" i="25"/>
  <c r="B286" i="25"/>
  <c r="A285" i="25"/>
  <c r="D285" i="25"/>
  <c r="C285" i="25"/>
  <c r="B285" i="25"/>
  <c r="A284" i="25"/>
  <c r="D284" i="25"/>
  <c r="C284" i="25"/>
  <c r="B284" i="25"/>
  <c r="A283" i="25"/>
  <c r="D283" i="25"/>
  <c r="C283" i="25"/>
  <c r="B283" i="25"/>
  <c r="A282" i="25"/>
  <c r="D282" i="25"/>
  <c r="C282" i="25"/>
  <c r="B282" i="25"/>
  <c r="A281" i="25"/>
  <c r="D281" i="25"/>
  <c r="C281" i="25"/>
  <c r="B281" i="25"/>
  <c r="A280" i="25"/>
  <c r="D280" i="25"/>
  <c r="C280" i="25"/>
  <c r="B280" i="25"/>
  <c r="A279" i="25"/>
  <c r="D279" i="25"/>
  <c r="C279" i="25"/>
  <c r="B279" i="25"/>
  <c r="A278" i="25"/>
  <c r="D278" i="25"/>
  <c r="C278" i="25"/>
  <c r="B278" i="25"/>
  <c r="A277" i="25"/>
  <c r="D277" i="25"/>
  <c r="C277" i="25"/>
  <c r="B277" i="25"/>
  <c r="A276" i="25"/>
  <c r="D276" i="25"/>
  <c r="C276" i="25"/>
  <c r="B276" i="25"/>
  <c r="A275" i="25"/>
  <c r="D275" i="25"/>
  <c r="C275" i="25"/>
  <c r="B275" i="25"/>
  <c r="A274" i="25"/>
  <c r="D274" i="25"/>
  <c r="C274" i="25"/>
  <c r="B274" i="25"/>
  <c r="A273" i="25"/>
  <c r="D273" i="25"/>
  <c r="C273" i="25"/>
  <c r="B273" i="25"/>
  <c r="A272" i="25"/>
  <c r="D272" i="25"/>
  <c r="C272" i="25"/>
  <c r="B272" i="25"/>
  <c r="A271" i="25"/>
  <c r="D271" i="25"/>
  <c r="C271" i="25"/>
  <c r="B271" i="25"/>
  <c r="A270" i="25"/>
  <c r="D270" i="25"/>
  <c r="C270" i="25"/>
  <c r="B270" i="25"/>
  <c r="A269" i="25"/>
  <c r="D269" i="25"/>
  <c r="C269" i="25"/>
  <c r="B269" i="25"/>
  <c r="A268" i="25"/>
  <c r="D268" i="25"/>
  <c r="C268" i="25"/>
  <c r="B268" i="25"/>
  <c r="A267" i="25"/>
  <c r="D267" i="25"/>
  <c r="C267" i="25"/>
  <c r="B267" i="25"/>
  <c r="A266" i="25"/>
  <c r="D266" i="25"/>
  <c r="C266" i="25"/>
  <c r="B266" i="25"/>
  <c r="A265" i="25"/>
  <c r="D265" i="25"/>
  <c r="C265" i="25"/>
  <c r="B265" i="25"/>
  <c r="A264" i="25"/>
  <c r="D264" i="25"/>
  <c r="C264" i="25"/>
  <c r="B264" i="25"/>
  <c r="A263" i="25"/>
  <c r="D263" i="25"/>
  <c r="C263" i="25"/>
  <c r="B263" i="25"/>
  <c r="A262" i="25"/>
  <c r="D262" i="25"/>
  <c r="C262" i="25"/>
  <c r="B262" i="25"/>
  <c r="A261" i="25"/>
  <c r="D261" i="25"/>
  <c r="C261" i="25"/>
  <c r="B261" i="25"/>
  <c r="A260" i="25"/>
  <c r="D260" i="25"/>
  <c r="C260" i="25"/>
  <c r="B260" i="25"/>
  <c r="A259" i="25"/>
  <c r="D259" i="25"/>
  <c r="C259" i="25"/>
  <c r="B259" i="25"/>
  <c r="A258" i="25"/>
  <c r="D258" i="25"/>
  <c r="C258" i="25"/>
  <c r="B258" i="25"/>
  <c r="A257" i="25"/>
  <c r="D257" i="25"/>
  <c r="C257" i="25"/>
  <c r="B257" i="25"/>
  <c r="A256" i="25"/>
  <c r="D256" i="25"/>
  <c r="C256" i="25"/>
  <c r="B256" i="25"/>
  <c r="A255" i="25"/>
  <c r="D255" i="25"/>
  <c r="C255" i="25"/>
  <c r="B255" i="25"/>
  <c r="A254" i="25"/>
  <c r="D254" i="25"/>
  <c r="C254" i="25"/>
  <c r="B254" i="25"/>
  <c r="A253" i="25"/>
  <c r="D253" i="25"/>
  <c r="C253" i="25"/>
  <c r="B253" i="25"/>
  <c r="A252" i="25"/>
  <c r="D252" i="25"/>
  <c r="C252" i="25"/>
  <c r="B252" i="25"/>
  <c r="A251" i="25"/>
  <c r="D251" i="25"/>
  <c r="C251" i="25"/>
  <c r="B251" i="25"/>
  <c r="A250" i="25"/>
  <c r="D250" i="25"/>
  <c r="C250" i="25"/>
  <c r="B250" i="25"/>
  <c r="A249" i="25"/>
  <c r="D249" i="25"/>
  <c r="C249" i="25"/>
  <c r="B249" i="25"/>
  <c r="A248" i="25"/>
  <c r="D248" i="25"/>
  <c r="C248" i="25"/>
  <c r="B248" i="25"/>
  <c r="A247" i="25"/>
  <c r="D247" i="25"/>
  <c r="C247" i="25"/>
  <c r="B247" i="25"/>
  <c r="A246" i="25"/>
  <c r="D246" i="25"/>
  <c r="C246" i="25"/>
  <c r="B246" i="25"/>
  <c r="A245" i="25"/>
  <c r="D245" i="25"/>
  <c r="C245" i="25"/>
  <c r="B245" i="25"/>
  <c r="A244" i="25"/>
  <c r="D244" i="25"/>
  <c r="C244" i="25"/>
  <c r="B244" i="25"/>
  <c r="A243" i="25"/>
  <c r="D243" i="25"/>
  <c r="C243" i="25"/>
  <c r="B243" i="25"/>
  <c r="A242" i="25"/>
  <c r="D242" i="25"/>
  <c r="C242" i="25"/>
  <c r="B242" i="25"/>
  <c r="A241" i="25"/>
  <c r="D241" i="25"/>
  <c r="C241" i="25"/>
  <c r="B241" i="25"/>
  <c r="A240" i="25"/>
  <c r="D240" i="25"/>
  <c r="C240" i="25"/>
  <c r="B240" i="25"/>
  <c r="A239" i="25"/>
  <c r="D239" i="25"/>
  <c r="C239" i="25"/>
  <c r="B239" i="25"/>
  <c r="A238" i="25"/>
  <c r="D238" i="25"/>
  <c r="C238" i="25"/>
  <c r="B238" i="25"/>
  <c r="A237" i="25"/>
  <c r="D237" i="25"/>
  <c r="C237" i="25"/>
  <c r="B237" i="25"/>
  <c r="A236" i="25"/>
  <c r="D236" i="25"/>
  <c r="C236" i="25"/>
  <c r="B236" i="25"/>
  <c r="A235" i="25"/>
  <c r="D235" i="25"/>
  <c r="C235" i="25"/>
  <c r="B235" i="25"/>
  <c r="A234" i="25"/>
  <c r="D234" i="25"/>
  <c r="C234" i="25"/>
  <c r="B234" i="25"/>
  <c r="A233" i="25"/>
  <c r="D233" i="25"/>
  <c r="C233" i="25"/>
  <c r="B233" i="25"/>
  <c r="A232" i="25"/>
  <c r="D232" i="25"/>
  <c r="C232" i="25"/>
  <c r="B232" i="25"/>
  <c r="A231" i="25"/>
  <c r="D231" i="25"/>
  <c r="C231" i="25"/>
  <c r="B231" i="25"/>
  <c r="A230" i="25"/>
  <c r="D230" i="25"/>
  <c r="C230" i="25"/>
  <c r="B230" i="25"/>
  <c r="A229" i="25"/>
  <c r="D229" i="25"/>
  <c r="C229" i="25"/>
  <c r="B229" i="25"/>
  <c r="A228" i="25"/>
  <c r="D228" i="25"/>
  <c r="C228" i="25"/>
  <c r="B228" i="25"/>
  <c r="A227" i="25"/>
  <c r="D227" i="25"/>
  <c r="C227" i="25"/>
  <c r="B227" i="25"/>
  <c r="A226" i="25"/>
  <c r="D226" i="25"/>
  <c r="C226" i="25"/>
  <c r="B226" i="25"/>
  <c r="A225" i="25"/>
  <c r="D225" i="25"/>
  <c r="C225" i="25"/>
  <c r="B225" i="25"/>
  <c r="A224" i="25"/>
  <c r="D224" i="25"/>
  <c r="C224" i="25"/>
  <c r="B224" i="25"/>
  <c r="A223" i="25"/>
  <c r="D223" i="25"/>
  <c r="C223" i="25"/>
  <c r="B223" i="25"/>
  <c r="A222" i="25"/>
  <c r="D222" i="25"/>
  <c r="C222" i="25"/>
  <c r="B222" i="25"/>
  <c r="A221" i="25"/>
  <c r="D221" i="25"/>
  <c r="C221" i="25"/>
  <c r="B221" i="25"/>
  <c r="A220" i="25"/>
  <c r="D220" i="25"/>
  <c r="C220" i="25"/>
  <c r="B220" i="25"/>
  <c r="A219" i="25"/>
  <c r="D219" i="25"/>
  <c r="C219" i="25"/>
  <c r="B219" i="25"/>
  <c r="A218" i="25"/>
  <c r="D218" i="25"/>
  <c r="C218" i="25"/>
  <c r="B218" i="25"/>
  <c r="A217" i="25"/>
  <c r="D217" i="25"/>
  <c r="C217" i="25"/>
  <c r="B217" i="25"/>
  <c r="A216" i="25"/>
  <c r="D216" i="25"/>
  <c r="C216" i="25"/>
  <c r="B216" i="25"/>
  <c r="A215" i="25"/>
  <c r="D215" i="25"/>
  <c r="C215" i="25"/>
  <c r="B215" i="25"/>
  <c r="A214" i="25"/>
  <c r="D214" i="25"/>
  <c r="C214" i="25"/>
  <c r="B214" i="25"/>
  <c r="A213" i="25"/>
  <c r="D213" i="25"/>
  <c r="C213" i="25"/>
  <c r="B213" i="25"/>
  <c r="A212" i="25"/>
  <c r="D212" i="25"/>
  <c r="C212" i="25"/>
  <c r="B212" i="25"/>
  <c r="A211" i="25"/>
  <c r="D211" i="25"/>
  <c r="C211" i="25"/>
  <c r="B211" i="25"/>
  <c r="A210" i="25"/>
  <c r="D210" i="25"/>
  <c r="C210" i="25"/>
  <c r="B210" i="25"/>
  <c r="A209" i="25"/>
  <c r="D209" i="25"/>
  <c r="C209" i="25"/>
  <c r="B209" i="25"/>
  <c r="A208" i="25"/>
  <c r="D208" i="25"/>
  <c r="C208" i="25"/>
  <c r="B208" i="25"/>
  <c r="A207" i="25"/>
  <c r="D207" i="25"/>
  <c r="C207" i="25"/>
  <c r="B207" i="25"/>
  <c r="A206" i="25"/>
  <c r="D206" i="25"/>
  <c r="C206" i="25"/>
  <c r="B206" i="25"/>
  <c r="A205" i="25"/>
  <c r="D205" i="25"/>
  <c r="C205" i="25"/>
  <c r="B205" i="25"/>
  <c r="A204" i="25"/>
  <c r="D204" i="25"/>
  <c r="C204" i="25"/>
  <c r="B204" i="25"/>
  <c r="A203" i="25"/>
  <c r="D203" i="25"/>
  <c r="C203" i="25"/>
  <c r="B203" i="25"/>
  <c r="A202" i="25"/>
  <c r="D202" i="25"/>
  <c r="C202" i="25"/>
  <c r="B202" i="25"/>
  <c r="A201" i="25"/>
  <c r="D201" i="25"/>
  <c r="C201" i="25"/>
  <c r="B201" i="25"/>
  <c r="A200" i="25"/>
  <c r="D200" i="25"/>
  <c r="C200" i="25"/>
  <c r="B200" i="25"/>
  <c r="A199" i="25"/>
  <c r="D199" i="25"/>
  <c r="C199" i="25"/>
  <c r="B199" i="25"/>
  <c r="A198" i="25"/>
  <c r="D198" i="25"/>
  <c r="C198" i="25"/>
  <c r="B198" i="25"/>
  <c r="A197" i="25"/>
  <c r="D197" i="25"/>
  <c r="C197" i="25"/>
  <c r="B197" i="25"/>
  <c r="A196" i="25"/>
  <c r="D196" i="25"/>
  <c r="C196" i="25"/>
  <c r="B196" i="25"/>
  <c r="A195" i="25"/>
  <c r="D195" i="25"/>
  <c r="C195" i="25"/>
  <c r="B195" i="25"/>
  <c r="A194" i="25"/>
  <c r="D194" i="25"/>
  <c r="C194" i="25"/>
  <c r="B194" i="25"/>
  <c r="A193" i="25"/>
  <c r="D193" i="25"/>
  <c r="C193" i="25"/>
  <c r="B193" i="25"/>
  <c r="A192" i="25"/>
  <c r="D192" i="25"/>
  <c r="C192" i="25"/>
  <c r="B192" i="25"/>
  <c r="A191" i="25"/>
  <c r="D191" i="25"/>
  <c r="C191" i="25"/>
  <c r="B191" i="25"/>
  <c r="A190" i="25"/>
  <c r="D190" i="25"/>
  <c r="C190" i="25"/>
  <c r="B190" i="25"/>
  <c r="A189" i="25"/>
  <c r="D189" i="25"/>
  <c r="C189" i="25"/>
  <c r="B189" i="25"/>
  <c r="A188" i="25"/>
  <c r="D188" i="25"/>
  <c r="C188" i="25"/>
  <c r="B188" i="25"/>
  <c r="A187" i="25"/>
  <c r="D187" i="25"/>
  <c r="C187" i="25"/>
  <c r="B187" i="25"/>
  <c r="A186" i="25"/>
  <c r="D186" i="25"/>
  <c r="C186" i="25"/>
  <c r="B186" i="25"/>
  <c r="A185" i="25"/>
  <c r="D185" i="25"/>
  <c r="C185" i="25"/>
  <c r="B185" i="25"/>
  <c r="A184" i="25"/>
  <c r="D184" i="25"/>
  <c r="C184" i="25"/>
  <c r="B184" i="25"/>
  <c r="A183" i="25"/>
  <c r="D183" i="25"/>
  <c r="C183" i="25"/>
  <c r="B183" i="25"/>
  <c r="A182" i="25"/>
  <c r="D182" i="25"/>
  <c r="C182" i="25"/>
  <c r="B182" i="25"/>
  <c r="A181" i="25"/>
  <c r="D181" i="25"/>
  <c r="C181" i="25"/>
  <c r="B181" i="25"/>
  <c r="A180" i="25"/>
  <c r="D180" i="25"/>
  <c r="C180" i="25"/>
  <c r="B180" i="25"/>
  <c r="A179" i="25"/>
  <c r="D179" i="25"/>
  <c r="C179" i="25"/>
  <c r="B179" i="25"/>
  <c r="A178" i="25"/>
  <c r="D178" i="25"/>
  <c r="C178" i="25"/>
  <c r="B178" i="25"/>
  <c r="A177" i="25"/>
  <c r="D177" i="25"/>
  <c r="C177" i="25"/>
  <c r="B177" i="25"/>
  <c r="A176" i="25"/>
  <c r="D176" i="25"/>
  <c r="C176" i="25"/>
  <c r="B176" i="25"/>
  <c r="A175" i="25"/>
  <c r="D175" i="25"/>
  <c r="C175" i="25"/>
  <c r="B175" i="25"/>
  <c r="A174" i="25"/>
  <c r="D174" i="25"/>
  <c r="C174" i="25"/>
  <c r="B174" i="25"/>
  <c r="A173" i="25"/>
  <c r="D173" i="25"/>
  <c r="C173" i="25"/>
  <c r="B173" i="25"/>
  <c r="A172" i="25"/>
  <c r="D172" i="25"/>
  <c r="C172" i="25"/>
  <c r="B172" i="25"/>
  <c r="A171" i="25"/>
  <c r="D171" i="25"/>
  <c r="C171" i="25"/>
  <c r="B171" i="25"/>
  <c r="A170" i="25"/>
  <c r="D170" i="25"/>
  <c r="C170" i="25"/>
  <c r="B170" i="25"/>
  <c r="A169" i="25"/>
  <c r="D169" i="25"/>
  <c r="C169" i="25"/>
  <c r="B169" i="25"/>
  <c r="A168" i="25"/>
  <c r="D168" i="25"/>
  <c r="C168" i="25"/>
  <c r="B168" i="25"/>
  <c r="A167" i="25"/>
  <c r="D167" i="25"/>
  <c r="C167" i="25"/>
  <c r="B167" i="25"/>
  <c r="A166" i="25"/>
  <c r="D166" i="25"/>
  <c r="C166" i="25"/>
  <c r="B166" i="25"/>
  <c r="A165" i="25"/>
  <c r="D165" i="25"/>
  <c r="C165" i="25"/>
  <c r="B165" i="25"/>
  <c r="A164" i="25"/>
  <c r="D164" i="25"/>
  <c r="C164" i="25"/>
  <c r="B164" i="25"/>
  <c r="A163" i="25"/>
  <c r="D163" i="25"/>
  <c r="C163" i="25"/>
  <c r="B163" i="25"/>
  <c r="A162" i="25"/>
  <c r="D162" i="25"/>
  <c r="C162" i="25"/>
  <c r="B162" i="25"/>
  <c r="A161" i="25"/>
  <c r="D161" i="25"/>
  <c r="C161" i="25"/>
  <c r="B161" i="25"/>
  <c r="A160" i="25"/>
  <c r="D160" i="25"/>
  <c r="C160" i="25"/>
  <c r="B160" i="25"/>
  <c r="A159" i="25"/>
  <c r="D159" i="25"/>
  <c r="C159" i="25"/>
  <c r="B159" i="25"/>
  <c r="A158" i="25"/>
  <c r="D158" i="25"/>
  <c r="C158" i="25"/>
  <c r="B158" i="25"/>
  <c r="A157" i="25"/>
  <c r="D157" i="25"/>
  <c r="C157" i="25"/>
  <c r="B157" i="25"/>
  <c r="A156" i="25"/>
  <c r="D156" i="25"/>
  <c r="C156" i="25"/>
  <c r="B156" i="25"/>
  <c r="A155" i="25"/>
  <c r="D155" i="25"/>
  <c r="C155" i="25"/>
  <c r="B155" i="25"/>
  <c r="A154" i="25"/>
  <c r="D154" i="25"/>
  <c r="C154" i="25"/>
  <c r="B154" i="25"/>
  <c r="A153" i="25"/>
  <c r="D153" i="25"/>
  <c r="C153" i="25"/>
  <c r="B153" i="25"/>
  <c r="A152" i="25"/>
  <c r="D152" i="25"/>
  <c r="C152" i="25"/>
  <c r="B152" i="25"/>
  <c r="A151" i="25"/>
  <c r="D151" i="25"/>
  <c r="C151" i="25"/>
  <c r="B151" i="25"/>
  <c r="A150" i="25"/>
  <c r="D150" i="25"/>
  <c r="C150" i="25"/>
  <c r="B150" i="25"/>
  <c r="A149" i="25"/>
  <c r="D149" i="25"/>
  <c r="C149" i="25"/>
  <c r="B149" i="25"/>
  <c r="A148" i="25"/>
  <c r="D148" i="25"/>
  <c r="C148" i="25"/>
  <c r="B148" i="25"/>
  <c r="A147" i="25"/>
  <c r="D147" i="25"/>
  <c r="C147" i="25"/>
  <c r="B147" i="25"/>
  <c r="A146" i="25"/>
  <c r="D146" i="25"/>
  <c r="C146" i="25"/>
  <c r="B146" i="25"/>
  <c r="A145" i="25"/>
  <c r="D145" i="25"/>
  <c r="C145" i="25"/>
  <c r="B145" i="25"/>
  <c r="A144" i="25"/>
  <c r="D144" i="25"/>
  <c r="C144" i="25"/>
  <c r="B144" i="25"/>
  <c r="A143" i="25"/>
  <c r="D143" i="25"/>
  <c r="C143" i="25"/>
  <c r="B143" i="25"/>
  <c r="A142" i="25"/>
  <c r="D142" i="25"/>
  <c r="C142" i="25"/>
  <c r="B142" i="25"/>
  <c r="A141" i="25"/>
  <c r="D141" i="25"/>
  <c r="C141" i="25"/>
  <c r="B141" i="25"/>
  <c r="A140" i="25"/>
  <c r="D140" i="25"/>
  <c r="C140" i="25"/>
  <c r="B140" i="25"/>
  <c r="A139" i="25"/>
  <c r="D139" i="25"/>
  <c r="C139" i="25"/>
  <c r="B139" i="25"/>
  <c r="A138" i="25"/>
  <c r="D138" i="25"/>
  <c r="C138" i="25"/>
  <c r="B138" i="25"/>
  <c r="A137" i="25"/>
  <c r="D137" i="25"/>
  <c r="C137" i="25"/>
  <c r="B137" i="25"/>
  <c r="A136" i="25"/>
  <c r="D136" i="25"/>
  <c r="C136" i="25"/>
  <c r="B136" i="25"/>
  <c r="A135" i="25"/>
  <c r="D135" i="25"/>
  <c r="C135" i="25"/>
  <c r="B135" i="25"/>
  <c r="A134" i="25"/>
  <c r="D134" i="25"/>
  <c r="C134" i="25"/>
  <c r="B134" i="25"/>
  <c r="A133" i="25"/>
  <c r="D133" i="25"/>
  <c r="C133" i="25"/>
  <c r="B133" i="25"/>
  <c r="A132" i="25"/>
  <c r="D132" i="25"/>
  <c r="C132" i="25"/>
  <c r="B132" i="25"/>
  <c r="A131" i="25"/>
  <c r="D131" i="25"/>
  <c r="C131" i="25"/>
  <c r="B131" i="25"/>
  <c r="A130" i="25"/>
  <c r="D130" i="25"/>
  <c r="C130" i="25"/>
  <c r="B130" i="25"/>
  <c r="A129" i="25"/>
  <c r="D129" i="25"/>
  <c r="C129" i="25"/>
  <c r="B129" i="25"/>
  <c r="A128" i="25"/>
  <c r="D128" i="25"/>
  <c r="C128" i="25"/>
  <c r="B128" i="25"/>
  <c r="A127" i="25"/>
  <c r="D127" i="25"/>
  <c r="C127" i="25"/>
  <c r="B127" i="25"/>
  <c r="A126" i="25"/>
  <c r="D126" i="25"/>
  <c r="C126" i="25"/>
  <c r="B126" i="25"/>
  <c r="A125" i="25"/>
  <c r="D125" i="25"/>
  <c r="C125" i="25"/>
  <c r="B125" i="25"/>
  <c r="A124" i="25"/>
  <c r="D124" i="25"/>
  <c r="C124" i="25"/>
  <c r="B124" i="25"/>
  <c r="A123" i="25"/>
  <c r="D123" i="25"/>
  <c r="C123" i="25"/>
  <c r="B123" i="25"/>
  <c r="A122" i="25"/>
  <c r="D122" i="25"/>
  <c r="C122" i="25"/>
  <c r="B122" i="25"/>
  <c r="A121" i="25"/>
  <c r="D121" i="25"/>
  <c r="C121" i="25"/>
  <c r="B121" i="25"/>
  <c r="A120" i="25"/>
  <c r="D120" i="25"/>
  <c r="C120" i="25"/>
  <c r="B120" i="25"/>
  <c r="A119" i="25"/>
  <c r="D119" i="25"/>
  <c r="C119" i="25"/>
  <c r="B119" i="25"/>
  <c r="A118" i="25"/>
  <c r="D118" i="25"/>
  <c r="C118" i="25"/>
  <c r="B118" i="25"/>
  <c r="A117" i="25"/>
  <c r="D117" i="25"/>
  <c r="C117" i="25"/>
  <c r="B117" i="25"/>
  <c r="A116" i="25"/>
  <c r="D116" i="25"/>
  <c r="C116" i="25"/>
  <c r="B116" i="25"/>
  <c r="A115" i="25"/>
  <c r="D115" i="25"/>
  <c r="C115" i="25"/>
  <c r="B115" i="25"/>
  <c r="A114" i="25"/>
  <c r="D114" i="25"/>
  <c r="C114" i="25"/>
  <c r="B114" i="25"/>
  <c r="A113" i="25"/>
  <c r="D113" i="25"/>
  <c r="C113" i="25"/>
  <c r="B113" i="25"/>
  <c r="A112" i="25"/>
  <c r="D112" i="25"/>
  <c r="C112" i="25"/>
  <c r="B112" i="25"/>
  <c r="A111" i="25"/>
  <c r="D111" i="25"/>
  <c r="C111" i="25"/>
  <c r="B111" i="25"/>
  <c r="A110" i="25"/>
  <c r="D110" i="25"/>
  <c r="C110" i="25"/>
  <c r="B110" i="25"/>
  <c r="A109" i="25"/>
  <c r="D109" i="25"/>
  <c r="C109" i="25"/>
  <c r="B109" i="25"/>
  <c r="A108" i="25"/>
  <c r="D108" i="25"/>
  <c r="C108" i="25"/>
  <c r="B108" i="25"/>
  <c r="A107" i="25"/>
  <c r="D107" i="25"/>
  <c r="C107" i="25"/>
  <c r="B107" i="25"/>
  <c r="A106" i="25"/>
  <c r="D106" i="25"/>
  <c r="C106" i="25"/>
  <c r="B106" i="25"/>
  <c r="A105" i="25"/>
  <c r="D105" i="25"/>
  <c r="C105" i="25"/>
  <c r="B105" i="25"/>
  <c r="A104" i="25"/>
  <c r="D104" i="25"/>
  <c r="C104" i="25"/>
  <c r="B104" i="25"/>
  <c r="A103" i="25"/>
  <c r="D103" i="25"/>
  <c r="C103" i="25"/>
  <c r="B103" i="25"/>
  <c r="A102" i="25"/>
  <c r="D102" i="25"/>
  <c r="C102" i="25"/>
  <c r="B102" i="25"/>
  <c r="A101" i="25"/>
  <c r="D101" i="25"/>
  <c r="C101" i="25"/>
  <c r="B101" i="25"/>
  <c r="A100" i="25"/>
  <c r="D100" i="25"/>
  <c r="C100" i="25"/>
  <c r="B100" i="25"/>
  <c r="A99" i="25"/>
  <c r="D99" i="25"/>
  <c r="C99" i="25"/>
  <c r="B99" i="25"/>
  <c r="A98" i="25"/>
  <c r="D98" i="25"/>
  <c r="C98" i="25"/>
  <c r="B98" i="25"/>
  <c r="A97" i="25"/>
  <c r="D97" i="25"/>
  <c r="C97" i="25"/>
  <c r="B97" i="25"/>
  <c r="A96" i="25"/>
  <c r="D96" i="25"/>
  <c r="C96" i="25"/>
  <c r="B96" i="25"/>
  <c r="A95" i="25"/>
  <c r="D95" i="25"/>
  <c r="C95" i="25"/>
  <c r="B95" i="25"/>
  <c r="A94" i="25"/>
  <c r="D94" i="25"/>
  <c r="C94" i="25"/>
  <c r="B94" i="25"/>
  <c r="A93" i="25"/>
  <c r="D93" i="25"/>
  <c r="C93" i="25"/>
  <c r="B93" i="25"/>
  <c r="A92" i="25"/>
  <c r="D92" i="25"/>
  <c r="C92" i="25"/>
  <c r="B92" i="25"/>
  <c r="A91" i="25"/>
  <c r="D91" i="25"/>
  <c r="C91" i="25"/>
  <c r="B91" i="25"/>
  <c r="A90" i="25"/>
  <c r="D90" i="25"/>
  <c r="C90" i="25"/>
  <c r="B90" i="25"/>
  <c r="A89" i="25"/>
  <c r="D89" i="25"/>
  <c r="C89" i="25"/>
  <c r="B89" i="25"/>
  <c r="A88" i="25"/>
  <c r="D88" i="25"/>
  <c r="C88" i="25"/>
  <c r="B88" i="25"/>
  <c r="A87" i="25"/>
  <c r="D87" i="25"/>
  <c r="C87" i="25"/>
  <c r="B87" i="25"/>
  <c r="A86" i="25"/>
  <c r="D86" i="25"/>
  <c r="C86" i="25"/>
  <c r="B86" i="25"/>
  <c r="A85" i="25"/>
  <c r="D85" i="25"/>
  <c r="C85" i="25"/>
  <c r="B85" i="25"/>
  <c r="A84" i="25"/>
  <c r="D84" i="25"/>
  <c r="C84" i="25"/>
  <c r="B84" i="25"/>
  <c r="A83" i="25"/>
  <c r="D83" i="25"/>
  <c r="C83" i="25"/>
  <c r="B83" i="25"/>
  <c r="A82" i="25"/>
  <c r="D82" i="25"/>
  <c r="C82" i="25"/>
  <c r="B82" i="25"/>
  <c r="A81" i="25"/>
  <c r="D81" i="25"/>
  <c r="C81" i="25"/>
  <c r="B81" i="25"/>
  <c r="A80" i="25"/>
  <c r="D80" i="25"/>
  <c r="C80" i="25"/>
  <c r="B80" i="25"/>
  <c r="A79" i="25"/>
  <c r="D79" i="25"/>
  <c r="C79" i="25"/>
  <c r="B79" i="25"/>
  <c r="A78" i="25"/>
  <c r="D78" i="25"/>
  <c r="C78" i="25"/>
  <c r="B78" i="25"/>
  <c r="A77" i="25"/>
  <c r="D77" i="25"/>
  <c r="C77" i="25"/>
  <c r="B77" i="25"/>
  <c r="A76" i="25"/>
  <c r="D76" i="25"/>
  <c r="C76" i="25"/>
  <c r="B76" i="25"/>
  <c r="A75" i="25"/>
  <c r="D75" i="25"/>
  <c r="C75" i="25"/>
  <c r="B75" i="25"/>
  <c r="A74" i="25"/>
  <c r="D74" i="25"/>
  <c r="C74" i="25"/>
  <c r="B74" i="25"/>
  <c r="A73" i="25"/>
  <c r="D73" i="25"/>
  <c r="C73" i="25"/>
  <c r="B73" i="25"/>
  <c r="A72" i="25"/>
  <c r="D72" i="25"/>
  <c r="C72" i="25"/>
  <c r="B72" i="25"/>
  <c r="A71" i="25"/>
  <c r="D71" i="25"/>
  <c r="C71" i="25"/>
  <c r="B71" i="25"/>
  <c r="A70" i="25"/>
  <c r="D70" i="25"/>
  <c r="C70" i="25"/>
  <c r="B70" i="25"/>
  <c r="A69" i="25"/>
  <c r="D69" i="25"/>
  <c r="C69" i="25"/>
  <c r="B69" i="25"/>
  <c r="A68" i="25"/>
  <c r="D68" i="25"/>
  <c r="C68" i="25"/>
  <c r="B68" i="25"/>
  <c r="A67" i="25"/>
  <c r="D67" i="25"/>
  <c r="C67" i="25"/>
  <c r="B67" i="25"/>
  <c r="A66" i="25"/>
  <c r="D66" i="25"/>
  <c r="C66" i="25"/>
  <c r="B66" i="25"/>
  <c r="A65" i="25"/>
  <c r="D65" i="25"/>
  <c r="C65" i="25"/>
  <c r="B65" i="25"/>
  <c r="A64" i="25"/>
  <c r="D64" i="25"/>
  <c r="C64" i="25"/>
  <c r="B64" i="25"/>
  <c r="A63" i="25"/>
  <c r="D63" i="25"/>
  <c r="C63" i="25"/>
  <c r="B63" i="25"/>
  <c r="A62" i="25"/>
  <c r="D62" i="25"/>
  <c r="C62" i="25"/>
  <c r="B62" i="25"/>
  <c r="A61" i="25"/>
  <c r="D61" i="25"/>
  <c r="C61" i="25"/>
  <c r="B61" i="25"/>
  <c r="A60" i="25"/>
  <c r="D60" i="25"/>
  <c r="C60" i="25"/>
  <c r="B60" i="25"/>
  <c r="A59" i="25"/>
  <c r="D59" i="25"/>
  <c r="C59" i="25"/>
  <c r="B59" i="25"/>
  <c r="A58" i="25"/>
  <c r="D58" i="25"/>
  <c r="C58" i="25"/>
  <c r="B58" i="25"/>
  <c r="A57" i="25"/>
  <c r="D57" i="25"/>
  <c r="C57" i="25"/>
  <c r="B57" i="25"/>
  <c r="A56" i="25"/>
  <c r="D56" i="25"/>
  <c r="C56" i="25"/>
  <c r="B56" i="25"/>
  <c r="A55" i="25"/>
  <c r="D55" i="25"/>
  <c r="C55" i="25"/>
  <c r="B55" i="25"/>
  <c r="A54" i="25"/>
  <c r="D54" i="25"/>
  <c r="C54" i="25"/>
  <c r="B54" i="25"/>
  <c r="A53" i="25"/>
  <c r="D53" i="25"/>
  <c r="C53" i="25"/>
  <c r="B53" i="25"/>
  <c r="A52" i="25"/>
  <c r="D52" i="25"/>
  <c r="C52" i="25"/>
  <c r="B52" i="25"/>
  <c r="A51" i="25"/>
  <c r="D51" i="25"/>
  <c r="C51" i="25"/>
  <c r="B51" i="25"/>
  <c r="A50" i="25"/>
  <c r="D50" i="25"/>
  <c r="C50" i="25"/>
  <c r="B50" i="25"/>
  <c r="A49" i="25"/>
  <c r="D49" i="25"/>
  <c r="C49" i="25"/>
  <c r="B49" i="25"/>
  <c r="A48" i="25"/>
  <c r="D48" i="25"/>
  <c r="C48" i="25"/>
  <c r="B48" i="25"/>
  <c r="A47" i="25"/>
  <c r="D47" i="25"/>
  <c r="C47" i="25"/>
  <c r="B47" i="25"/>
  <c r="A46" i="25"/>
  <c r="D46" i="25"/>
  <c r="C46" i="25"/>
  <c r="B46" i="25"/>
  <c r="A45" i="25"/>
  <c r="D45" i="25"/>
  <c r="C45" i="25"/>
  <c r="B45" i="25"/>
  <c r="A44" i="25"/>
  <c r="D44" i="25"/>
  <c r="C44" i="25"/>
  <c r="B44" i="25"/>
  <c r="A43" i="25"/>
  <c r="D43" i="25"/>
  <c r="C43" i="25"/>
  <c r="B43" i="25"/>
  <c r="A42" i="25"/>
  <c r="D42" i="25"/>
  <c r="C42" i="25"/>
  <c r="B42" i="25"/>
  <c r="A41" i="25"/>
  <c r="D41" i="25"/>
  <c r="C41" i="25"/>
  <c r="B41" i="25"/>
  <c r="A40" i="25"/>
  <c r="D40" i="25"/>
  <c r="C40" i="25"/>
  <c r="B40" i="25"/>
  <c r="A39" i="25"/>
  <c r="D39" i="25"/>
  <c r="C39" i="25"/>
  <c r="B39" i="25"/>
  <c r="A38" i="25"/>
  <c r="D38" i="25"/>
  <c r="C38" i="25"/>
  <c r="B38" i="25"/>
  <c r="A37" i="25"/>
  <c r="D37" i="25"/>
  <c r="C37" i="25"/>
  <c r="B37" i="25"/>
  <c r="A36" i="25"/>
  <c r="D36" i="25"/>
  <c r="C36" i="25"/>
  <c r="B36" i="25"/>
  <c r="A35" i="25"/>
  <c r="D35" i="25"/>
  <c r="C35" i="25"/>
  <c r="B35" i="25"/>
  <c r="A34" i="25"/>
  <c r="D34" i="25"/>
  <c r="C34" i="25"/>
  <c r="B34" i="25"/>
  <c r="A33" i="25"/>
  <c r="D33" i="25"/>
  <c r="C33" i="25"/>
  <c r="B33" i="25"/>
  <c r="A32" i="25"/>
  <c r="D32" i="25"/>
  <c r="C32" i="25"/>
  <c r="B32" i="25"/>
  <c r="A31" i="25"/>
  <c r="D31" i="25"/>
  <c r="C31" i="25"/>
  <c r="B31" i="25"/>
  <c r="A30" i="25"/>
  <c r="D30" i="25"/>
  <c r="C30" i="25"/>
  <c r="B30" i="25"/>
  <c r="A29" i="25"/>
  <c r="D29" i="25"/>
  <c r="C29" i="25"/>
  <c r="B29" i="25"/>
  <c r="A28" i="25"/>
  <c r="D28" i="25"/>
  <c r="C28" i="25"/>
  <c r="B28" i="25"/>
  <c r="A27" i="25"/>
  <c r="D27" i="25"/>
  <c r="C27" i="25"/>
  <c r="B27" i="25"/>
  <c r="A26" i="25"/>
  <c r="D26" i="25"/>
  <c r="C26" i="25"/>
  <c r="B26" i="25"/>
  <c r="A25" i="25"/>
  <c r="D25" i="25"/>
  <c r="C25" i="25"/>
  <c r="B25" i="25"/>
  <c r="A24" i="25"/>
  <c r="D24" i="25"/>
  <c r="C24" i="25"/>
  <c r="B24" i="25"/>
  <c r="A23" i="25"/>
  <c r="D23" i="25"/>
  <c r="C23" i="25"/>
  <c r="B23" i="25"/>
  <c r="A22" i="25"/>
  <c r="D22" i="25"/>
  <c r="C22" i="25"/>
  <c r="B22" i="25"/>
  <c r="A21" i="25"/>
  <c r="D21" i="25"/>
  <c r="C21" i="25"/>
  <c r="B21" i="25"/>
  <c r="A20" i="25"/>
  <c r="D20" i="25"/>
  <c r="C20" i="25"/>
  <c r="B20" i="25"/>
  <c r="A19" i="25"/>
  <c r="D19" i="25"/>
  <c r="C19" i="25"/>
  <c r="B19" i="25"/>
  <c r="A18" i="25"/>
  <c r="D18" i="25"/>
  <c r="C18" i="25"/>
  <c r="B18" i="25"/>
  <c r="A17" i="25"/>
  <c r="D17" i="25"/>
  <c r="C17" i="25"/>
  <c r="B17" i="25"/>
  <c r="A16" i="25"/>
  <c r="D16" i="25"/>
  <c r="C16" i="25"/>
  <c r="B16" i="25"/>
  <c r="A15" i="25"/>
  <c r="D15" i="25"/>
  <c r="C15" i="25"/>
  <c r="B15" i="25"/>
  <c r="A14" i="25"/>
  <c r="D14" i="25"/>
  <c r="C14" i="25"/>
  <c r="B14" i="25"/>
  <c r="A13" i="25"/>
  <c r="D13" i="25"/>
  <c r="C13" i="25"/>
  <c r="B13" i="25"/>
  <c r="A12" i="25"/>
  <c r="D12" i="25"/>
  <c r="C12" i="25"/>
  <c r="B12" i="25"/>
  <c r="A11" i="25"/>
  <c r="D11" i="25"/>
  <c r="C11" i="25"/>
  <c r="B11" i="25"/>
  <c r="A10" i="25"/>
  <c r="D10" i="25"/>
  <c r="C10" i="25"/>
  <c r="B10" i="25"/>
  <c r="A9" i="25"/>
  <c r="D9" i="25"/>
  <c r="C9" i="25"/>
  <c r="B9" i="25"/>
  <c r="A8" i="25"/>
  <c r="D8" i="25"/>
  <c r="C8" i="25"/>
  <c r="B8" i="25"/>
  <c r="A7" i="25"/>
  <c r="D7" i="25"/>
  <c r="C7" i="25"/>
  <c r="B7" i="25"/>
  <c r="A6" i="25"/>
  <c r="D6" i="25"/>
  <c r="C6" i="25"/>
  <c r="B6" i="25"/>
  <c r="A5" i="25"/>
  <c r="D5" i="25"/>
  <c r="C5" i="25"/>
  <c r="B5" i="25"/>
  <c r="A4" i="25"/>
  <c r="D4" i="25"/>
  <c r="C4" i="25"/>
  <c r="B4" i="25"/>
  <c r="A3" i="25"/>
  <c r="D3" i="25"/>
  <c r="C3" i="25"/>
  <c r="B3" i="25"/>
  <c r="A2" i="25"/>
  <c r="D2" i="25"/>
  <c r="C2" i="25"/>
  <c r="B2" i="25"/>
  <c r="A1" i="25"/>
  <c r="D1" i="25"/>
  <c r="C1" i="25"/>
  <c r="B1" i="25"/>
  <c r="AA13" i="23"/>
  <c r="AA12" i="23"/>
  <c r="AA11" i="23"/>
  <c r="AA10" i="23"/>
  <c r="W2" i="23"/>
  <c r="Q2" i="23"/>
  <c r="V2" i="23"/>
  <c r="Z7" i="23"/>
  <c r="Z5" i="23"/>
  <c r="O4" i="23" a="1"/>
  <c r="O4" i="23" s="1"/>
  <c r="P4" i="23" s="1"/>
  <c r="N3" i="23"/>
  <c r="N4" i="23"/>
  <c r="N5" i="23"/>
  <c r="N6" i="23"/>
  <c r="N7" i="23"/>
  <c r="N8" i="23"/>
  <c r="N9" i="23"/>
  <c r="N10" i="23"/>
  <c r="N11" i="23"/>
  <c r="N12" i="23"/>
  <c r="N13" i="23"/>
  <c r="N14" i="23"/>
  <c r="N15" i="23"/>
  <c r="N16" i="23"/>
  <c r="N17" i="23"/>
  <c r="N18" i="23"/>
  <c r="N19" i="23"/>
  <c r="N20" i="23"/>
  <c r="N21" i="23"/>
  <c r="N22" i="23"/>
  <c r="N23" i="23"/>
  <c r="N24" i="23"/>
  <c r="N25" i="23"/>
  <c r="N26" i="23"/>
  <c r="N27" i="23"/>
  <c r="N28" i="23"/>
  <c r="N29" i="23"/>
  <c r="N30" i="23"/>
  <c r="N31" i="23"/>
  <c r="N32" i="23"/>
  <c r="N33" i="23"/>
  <c r="N34" i="23"/>
  <c r="N35" i="23"/>
  <c r="N36" i="23"/>
  <c r="N37" i="23"/>
  <c r="N38" i="23"/>
  <c r="N39" i="23"/>
  <c r="N40" i="23"/>
  <c r="N41" i="23"/>
  <c r="N42" i="23"/>
  <c r="N43" i="23"/>
  <c r="N44" i="23"/>
  <c r="N45" i="23"/>
  <c r="N46" i="23"/>
  <c r="N47" i="23"/>
  <c r="N48" i="23"/>
  <c r="N49" i="23"/>
  <c r="N50" i="23"/>
  <c r="N51" i="23"/>
  <c r="N52" i="23"/>
  <c r="N53" i="23"/>
  <c r="N54" i="23"/>
  <c r="N55" i="23"/>
  <c r="N56" i="23"/>
  <c r="N57" i="23"/>
  <c r="N58" i="23"/>
  <c r="N59" i="23"/>
  <c r="N60" i="23"/>
  <c r="N61" i="23"/>
  <c r="N62" i="23"/>
  <c r="N63" i="23"/>
  <c r="N64" i="23"/>
  <c r="N65" i="23"/>
  <c r="N66" i="23"/>
  <c r="N67" i="23"/>
  <c r="N68" i="23"/>
  <c r="N69" i="23"/>
  <c r="N70" i="23"/>
  <c r="N71" i="23"/>
  <c r="N72" i="23"/>
  <c r="N73" i="23"/>
  <c r="N74" i="23"/>
  <c r="N75" i="23"/>
  <c r="N76" i="23"/>
  <c r="N77" i="23"/>
  <c r="N78" i="23"/>
  <c r="N79" i="23"/>
  <c r="N80" i="23"/>
  <c r="N81" i="23"/>
  <c r="N82" i="23"/>
  <c r="N83" i="23"/>
  <c r="N84" i="23"/>
  <c r="N85" i="23"/>
  <c r="N86" i="23"/>
  <c r="N87" i="23"/>
  <c r="N88" i="23"/>
  <c r="N89" i="23"/>
  <c r="N90" i="23"/>
  <c r="N91" i="23"/>
  <c r="N92" i="23"/>
  <c r="N93" i="23"/>
  <c r="N94" i="23"/>
  <c r="N95" i="23"/>
  <c r="N96" i="23"/>
  <c r="N97" i="23"/>
  <c r="N98" i="23"/>
  <c r="N99" i="23"/>
  <c r="N100" i="23"/>
  <c r="N101" i="23"/>
  <c r="N102" i="23"/>
  <c r="N103" i="23"/>
  <c r="N104" i="23"/>
  <c r="N105" i="23"/>
  <c r="N106" i="23"/>
  <c r="N107" i="23"/>
  <c r="N108" i="23"/>
  <c r="N109" i="23"/>
  <c r="N110" i="23"/>
  <c r="N111" i="23"/>
  <c r="N112" i="23"/>
  <c r="N113" i="23"/>
  <c r="N114" i="23"/>
  <c r="N115" i="23"/>
  <c r="N116" i="23"/>
  <c r="N117" i="23"/>
  <c r="N118" i="23"/>
  <c r="N119" i="23"/>
  <c r="N120" i="23"/>
  <c r="N121" i="23"/>
  <c r="N122" i="23"/>
  <c r="N123" i="23"/>
  <c r="N124" i="23"/>
  <c r="N125" i="23"/>
  <c r="N126" i="23"/>
  <c r="N127" i="23"/>
  <c r="N128" i="23"/>
  <c r="N129" i="23"/>
  <c r="N130" i="23"/>
  <c r="N131" i="23"/>
  <c r="N132" i="23"/>
  <c r="N133" i="23"/>
  <c r="N134" i="23"/>
  <c r="N135" i="23"/>
  <c r="N136" i="23"/>
  <c r="N137" i="23"/>
  <c r="N138" i="23"/>
  <c r="N139" i="23"/>
  <c r="N140" i="23"/>
  <c r="N141" i="23"/>
  <c r="N142" i="23"/>
  <c r="N143" i="23"/>
  <c r="N144" i="23"/>
  <c r="N145" i="23"/>
  <c r="N146" i="23"/>
  <c r="N147" i="23"/>
  <c r="N148" i="23"/>
  <c r="N149" i="23"/>
  <c r="N150" i="23"/>
  <c r="N151" i="23"/>
  <c r="N152" i="23"/>
  <c r="N153" i="23"/>
  <c r="N154" i="23"/>
  <c r="N155" i="23"/>
  <c r="N156" i="23"/>
  <c r="N157" i="23"/>
  <c r="N158" i="23"/>
  <c r="N159" i="23"/>
  <c r="N160" i="23"/>
  <c r="N161" i="23"/>
  <c r="N162" i="23"/>
  <c r="N163" i="23"/>
  <c r="N164" i="23"/>
  <c r="N165" i="23"/>
  <c r="N166" i="23"/>
  <c r="N167" i="23"/>
  <c r="N168" i="23"/>
  <c r="N169" i="23"/>
  <c r="N170" i="23"/>
  <c r="N171" i="23"/>
  <c r="N172" i="23"/>
  <c r="N173" i="23"/>
  <c r="N174" i="23"/>
  <c r="N175" i="23"/>
  <c r="N176" i="23"/>
  <c r="N177" i="23"/>
  <c r="N178" i="23"/>
  <c r="N179" i="23"/>
  <c r="N180" i="23"/>
  <c r="N181" i="23"/>
  <c r="N182" i="23"/>
  <c r="N183" i="23"/>
  <c r="N184" i="23"/>
  <c r="N185" i="23"/>
  <c r="N186" i="23"/>
  <c r="N187" i="23"/>
  <c r="N188" i="23"/>
  <c r="N189" i="23"/>
  <c r="N190" i="23"/>
  <c r="N191" i="23"/>
  <c r="N192" i="23"/>
  <c r="N193" i="23"/>
  <c r="N194" i="23"/>
  <c r="N195" i="23"/>
  <c r="N196" i="23"/>
  <c r="N197" i="23"/>
  <c r="N198" i="23"/>
  <c r="N199" i="23"/>
  <c r="N200" i="23"/>
  <c r="N201" i="23"/>
  <c r="N202" i="23"/>
  <c r="N203" i="23"/>
  <c r="N204" i="23"/>
  <c r="N205" i="23"/>
  <c r="N206" i="23"/>
  <c r="N207" i="23"/>
  <c r="N208" i="23"/>
  <c r="N209" i="23"/>
  <c r="N210" i="23"/>
  <c r="N211" i="23"/>
  <c r="N212" i="23"/>
  <c r="N213" i="23"/>
  <c r="N214" i="23"/>
  <c r="N215" i="23"/>
  <c r="N216" i="23"/>
  <c r="N217" i="23"/>
  <c r="N218" i="23"/>
  <c r="N219" i="23"/>
  <c r="N220" i="23"/>
  <c r="N221" i="23"/>
  <c r="N222" i="23"/>
  <c r="N223" i="23"/>
  <c r="N224" i="23"/>
  <c r="N225" i="23"/>
  <c r="N226" i="23"/>
  <c r="N227" i="23"/>
  <c r="N228" i="23"/>
  <c r="N229" i="23"/>
  <c r="N230" i="23"/>
  <c r="N231" i="23"/>
  <c r="N232" i="23"/>
  <c r="N233" i="23"/>
  <c r="N234" i="23"/>
  <c r="N235" i="23"/>
  <c r="N236" i="23"/>
  <c r="N237" i="23"/>
  <c r="N238" i="23"/>
  <c r="N239" i="23"/>
  <c r="N240" i="23"/>
  <c r="N241" i="23"/>
  <c r="N242" i="23"/>
  <c r="N243" i="23"/>
  <c r="N244" i="23"/>
  <c r="N245" i="23"/>
  <c r="N246" i="23"/>
  <c r="N247" i="23"/>
  <c r="N248" i="23"/>
  <c r="N249" i="23"/>
  <c r="N250" i="23"/>
  <c r="N251" i="23"/>
  <c r="N252" i="23"/>
  <c r="N253" i="23"/>
  <c r="N254" i="23"/>
  <c r="N255" i="23"/>
  <c r="N256" i="23"/>
  <c r="N257" i="23"/>
  <c r="N258" i="23"/>
  <c r="N259" i="23"/>
  <c r="N260" i="23"/>
  <c r="N261" i="23"/>
  <c r="N262" i="23"/>
  <c r="N263" i="23"/>
  <c r="N264" i="23"/>
  <c r="N265" i="23"/>
  <c r="N266" i="23"/>
  <c r="N267" i="23"/>
  <c r="N268" i="23"/>
  <c r="N269" i="23"/>
  <c r="N270" i="23"/>
  <c r="N271" i="23"/>
  <c r="N272" i="23"/>
  <c r="N273" i="23"/>
  <c r="N274" i="23"/>
  <c r="N275" i="23"/>
  <c r="N276" i="23"/>
  <c r="N277" i="23"/>
  <c r="N278" i="23"/>
  <c r="N279" i="23"/>
  <c r="N280" i="23"/>
  <c r="N281" i="23"/>
  <c r="N282" i="23"/>
  <c r="N283" i="23"/>
  <c r="N284" i="23"/>
  <c r="N285" i="23"/>
  <c r="N286" i="23"/>
  <c r="N287" i="23"/>
  <c r="N288" i="23"/>
  <c r="N289" i="23"/>
  <c r="N290" i="23"/>
  <c r="N291" i="23"/>
  <c r="N292" i="23"/>
  <c r="N293" i="23"/>
  <c r="N294" i="23"/>
  <c r="N295" i="23"/>
  <c r="N296" i="23"/>
  <c r="N297" i="23"/>
  <c r="N298" i="23"/>
  <c r="N299" i="23"/>
  <c r="N300" i="23"/>
  <c r="N301" i="23"/>
  <c r="N302" i="23"/>
  <c r="N303" i="23"/>
  <c r="N304" i="23"/>
  <c r="N305" i="23"/>
  <c r="N306" i="23"/>
  <c r="N307" i="23"/>
  <c r="N308" i="23"/>
  <c r="N309" i="23"/>
  <c r="N310" i="23"/>
  <c r="N311" i="23"/>
  <c r="N312" i="23"/>
  <c r="N313" i="23"/>
  <c r="N314" i="23"/>
  <c r="N315" i="23"/>
  <c r="N316" i="23"/>
  <c r="N317" i="23"/>
  <c r="N318" i="23"/>
  <c r="N319" i="23"/>
  <c r="N320" i="23"/>
  <c r="N321" i="23"/>
  <c r="N322" i="23"/>
  <c r="N323" i="23"/>
  <c r="N324" i="23"/>
  <c r="N325" i="23"/>
  <c r="N326" i="23"/>
  <c r="N327" i="23"/>
  <c r="N328" i="23"/>
  <c r="N329" i="23"/>
  <c r="N330" i="23"/>
  <c r="N331" i="23"/>
  <c r="N332" i="23"/>
  <c r="N333" i="23"/>
  <c r="N334" i="23"/>
  <c r="N335" i="23"/>
  <c r="N336" i="23"/>
  <c r="N337" i="23"/>
  <c r="N338" i="23"/>
  <c r="N339" i="23"/>
  <c r="N340" i="23"/>
  <c r="N341" i="23"/>
  <c r="N342" i="23"/>
  <c r="N343" i="23"/>
  <c r="N344" i="23"/>
  <c r="K4" i="23"/>
  <c r="L4" i="23"/>
  <c r="M4" i="23"/>
  <c r="K5" i="23"/>
  <c r="L5" i="23"/>
  <c r="M5" i="23"/>
  <c r="K6" i="23"/>
  <c r="L6" i="23"/>
  <c r="M6" i="23"/>
  <c r="K7" i="23"/>
  <c r="L7" i="23"/>
  <c r="M7" i="23"/>
  <c r="K8" i="23"/>
  <c r="L8" i="23"/>
  <c r="M8" i="23"/>
  <c r="K9" i="23"/>
  <c r="L9" i="23"/>
  <c r="M9" i="23"/>
  <c r="K10" i="23"/>
  <c r="L10" i="23"/>
  <c r="M10" i="23"/>
  <c r="K11" i="23"/>
  <c r="L11" i="23"/>
  <c r="M11" i="23"/>
  <c r="K12" i="23"/>
  <c r="L12" i="23"/>
  <c r="M12" i="23"/>
  <c r="K13" i="23"/>
  <c r="L13" i="23"/>
  <c r="M13" i="23"/>
  <c r="K14" i="23"/>
  <c r="L14" i="23"/>
  <c r="M14" i="23"/>
  <c r="K15" i="23"/>
  <c r="L15" i="23"/>
  <c r="M15" i="23"/>
  <c r="K16" i="23"/>
  <c r="L16" i="23"/>
  <c r="M16" i="23"/>
  <c r="K17" i="23"/>
  <c r="L17" i="23"/>
  <c r="M17" i="23"/>
  <c r="K18" i="23"/>
  <c r="L18" i="23"/>
  <c r="M18" i="23"/>
  <c r="K19" i="23"/>
  <c r="L19" i="23"/>
  <c r="M19" i="23"/>
  <c r="K20" i="23"/>
  <c r="L20" i="23"/>
  <c r="M20" i="23"/>
  <c r="K21" i="23"/>
  <c r="L21" i="23"/>
  <c r="M21" i="23"/>
  <c r="K22" i="23"/>
  <c r="L22" i="23"/>
  <c r="M22" i="23"/>
  <c r="K23" i="23"/>
  <c r="L23" i="23"/>
  <c r="M23" i="23"/>
  <c r="K24" i="23"/>
  <c r="L24" i="23"/>
  <c r="M24" i="23"/>
  <c r="K25" i="23"/>
  <c r="L25" i="23"/>
  <c r="M25" i="23"/>
  <c r="K26" i="23"/>
  <c r="L26" i="23"/>
  <c r="M26" i="23"/>
  <c r="K27" i="23"/>
  <c r="L27" i="23"/>
  <c r="M27" i="23"/>
  <c r="K28" i="23"/>
  <c r="L28" i="23"/>
  <c r="M28" i="23"/>
  <c r="K29" i="23"/>
  <c r="L29" i="23"/>
  <c r="M29" i="23"/>
  <c r="K30" i="23"/>
  <c r="L30" i="23"/>
  <c r="M30" i="23"/>
  <c r="K31" i="23"/>
  <c r="L31" i="23"/>
  <c r="M31" i="23"/>
  <c r="K32" i="23"/>
  <c r="L32" i="23"/>
  <c r="M32" i="23"/>
  <c r="K33" i="23"/>
  <c r="L33" i="23"/>
  <c r="M33" i="23"/>
  <c r="K34" i="23"/>
  <c r="L34" i="23"/>
  <c r="M34" i="23"/>
  <c r="K35" i="23"/>
  <c r="L35" i="23"/>
  <c r="M35" i="23"/>
  <c r="K36" i="23"/>
  <c r="L36" i="23"/>
  <c r="M36" i="23"/>
  <c r="K37" i="23"/>
  <c r="L37" i="23"/>
  <c r="M37" i="23"/>
  <c r="K38" i="23"/>
  <c r="L38" i="23"/>
  <c r="M38" i="23"/>
  <c r="K39" i="23"/>
  <c r="L39" i="23"/>
  <c r="M39" i="23"/>
  <c r="K40" i="23"/>
  <c r="L40" i="23"/>
  <c r="M40" i="23"/>
  <c r="K41" i="23"/>
  <c r="L41" i="23"/>
  <c r="M41" i="23"/>
  <c r="K42" i="23"/>
  <c r="L42" i="23"/>
  <c r="M42" i="23"/>
  <c r="K43" i="23"/>
  <c r="L43" i="23"/>
  <c r="M43" i="23"/>
  <c r="K44" i="23"/>
  <c r="L44" i="23"/>
  <c r="M44" i="23"/>
  <c r="K45" i="23"/>
  <c r="L45" i="23"/>
  <c r="M45" i="23"/>
  <c r="K46" i="23"/>
  <c r="L46" i="23"/>
  <c r="M46" i="23"/>
  <c r="K47" i="23"/>
  <c r="L47" i="23"/>
  <c r="M47" i="23"/>
  <c r="K48" i="23"/>
  <c r="L48" i="23"/>
  <c r="M48" i="23"/>
  <c r="K49" i="23"/>
  <c r="L49" i="23"/>
  <c r="M49" i="23"/>
  <c r="K50" i="23"/>
  <c r="L50" i="23"/>
  <c r="M50" i="23"/>
  <c r="K51" i="23"/>
  <c r="L51" i="23"/>
  <c r="M51" i="23"/>
  <c r="K52" i="23"/>
  <c r="L52" i="23"/>
  <c r="M52" i="23"/>
  <c r="K53" i="23"/>
  <c r="L53" i="23"/>
  <c r="M53" i="23"/>
  <c r="K54" i="23"/>
  <c r="L54" i="23"/>
  <c r="M54" i="23"/>
  <c r="K55" i="23"/>
  <c r="L55" i="23"/>
  <c r="M55" i="23"/>
  <c r="K56" i="23"/>
  <c r="L56" i="23"/>
  <c r="M56" i="23"/>
  <c r="K57" i="23"/>
  <c r="L57" i="23"/>
  <c r="M57" i="23"/>
  <c r="K58" i="23"/>
  <c r="L58" i="23"/>
  <c r="M58" i="23"/>
  <c r="K59" i="23"/>
  <c r="L59" i="23"/>
  <c r="M59" i="23"/>
  <c r="K60" i="23"/>
  <c r="L60" i="23"/>
  <c r="M60" i="23"/>
  <c r="K61" i="23"/>
  <c r="L61" i="23"/>
  <c r="M61" i="23"/>
  <c r="K62" i="23"/>
  <c r="L62" i="23"/>
  <c r="M62" i="23"/>
  <c r="K63" i="23"/>
  <c r="L63" i="23"/>
  <c r="M63" i="23"/>
  <c r="K64" i="23"/>
  <c r="L64" i="23"/>
  <c r="M64" i="23"/>
  <c r="K65" i="23"/>
  <c r="L65" i="23"/>
  <c r="M65" i="23"/>
  <c r="K66" i="23"/>
  <c r="L66" i="23"/>
  <c r="M66" i="23"/>
  <c r="K67" i="23"/>
  <c r="L67" i="23"/>
  <c r="M67" i="23"/>
  <c r="K68" i="23"/>
  <c r="L68" i="23"/>
  <c r="M68" i="23"/>
  <c r="K69" i="23"/>
  <c r="L69" i="23"/>
  <c r="M69" i="23"/>
  <c r="K70" i="23"/>
  <c r="L70" i="23"/>
  <c r="M70" i="23"/>
  <c r="K71" i="23"/>
  <c r="L71" i="23"/>
  <c r="M71" i="23"/>
  <c r="K72" i="23"/>
  <c r="L72" i="23"/>
  <c r="M72" i="23"/>
  <c r="K73" i="23"/>
  <c r="L73" i="23"/>
  <c r="M73" i="23"/>
  <c r="K74" i="23"/>
  <c r="L74" i="23"/>
  <c r="M74" i="23"/>
  <c r="K75" i="23"/>
  <c r="L75" i="23"/>
  <c r="M75" i="23"/>
  <c r="K76" i="23"/>
  <c r="L76" i="23"/>
  <c r="M76" i="23"/>
  <c r="K77" i="23"/>
  <c r="L77" i="23"/>
  <c r="M77" i="23"/>
  <c r="K78" i="23"/>
  <c r="L78" i="23"/>
  <c r="M78" i="23"/>
  <c r="K79" i="23"/>
  <c r="L79" i="23"/>
  <c r="M79" i="23"/>
  <c r="K80" i="23"/>
  <c r="L80" i="23"/>
  <c r="M80" i="23"/>
  <c r="K81" i="23"/>
  <c r="L81" i="23"/>
  <c r="M81" i="23"/>
  <c r="K82" i="23"/>
  <c r="L82" i="23"/>
  <c r="M82" i="23"/>
  <c r="K83" i="23"/>
  <c r="L83" i="23"/>
  <c r="M83" i="23"/>
  <c r="K84" i="23"/>
  <c r="L84" i="23"/>
  <c r="M84" i="23"/>
  <c r="K85" i="23"/>
  <c r="L85" i="23"/>
  <c r="M85" i="23"/>
  <c r="K86" i="23"/>
  <c r="L86" i="23"/>
  <c r="M86" i="23"/>
  <c r="K87" i="23"/>
  <c r="L87" i="23"/>
  <c r="M87" i="23"/>
  <c r="K88" i="23"/>
  <c r="L88" i="23"/>
  <c r="M88" i="23"/>
  <c r="K89" i="23"/>
  <c r="L89" i="23"/>
  <c r="M89" i="23"/>
  <c r="K90" i="23"/>
  <c r="L90" i="23"/>
  <c r="M90" i="23"/>
  <c r="K91" i="23"/>
  <c r="L91" i="23"/>
  <c r="M91" i="23"/>
  <c r="K92" i="23"/>
  <c r="L92" i="23"/>
  <c r="M92" i="23"/>
  <c r="K93" i="23"/>
  <c r="L93" i="23"/>
  <c r="M93" i="23"/>
  <c r="K94" i="23"/>
  <c r="L94" i="23"/>
  <c r="M94" i="23"/>
  <c r="K95" i="23"/>
  <c r="L95" i="23"/>
  <c r="M95" i="23"/>
  <c r="K96" i="23"/>
  <c r="L96" i="23"/>
  <c r="M96" i="23"/>
  <c r="K97" i="23"/>
  <c r="L97" i="23"/>
  <c r="M97" i="23"/>
  <c r="K98" i="23"/>
  <c r="L98" i="23"/>
  <c r="M98" i="23"/>
  <c r="K99" i="23"/>
  <c r="L99" i="23"/>
  <c r="M99" i="23"/>
  <c r="K100" i="23"/>
  <c r="L100" i="23"/>
  <c r="M100" i="23"/>
  <c r="K101" i="23"/>
  <c r="L101" i="23"/>
  <c r="M101" i="23"/>
  <c r="K102" i="23"/>
  <c r="L102" i="23"/>
  <c r="M102" i="23"/>
  <c r="K103" i="23"/>
  <c r="L103" i="23"/>
  <c r="M103" i="23"/>
  <c r="K104" i="23"/>
  <c r="L104" i="23"/>
  <c r="M104" i="23"/>
  <c r="K105" i="23"/>
  <c r="L105" i="23"/>
  <c r="M105" i="23"/>
  <c r="K106" i="23"/>
  <c r="L106" i="23"/>
  <c r="M106" i="23"/>
  <c r="K107" i="23"/>
  <c r="L107" i="23"/>
  <c r="M107" i="23"/>
  <c r="K108" i="23"/>
  <c r="L108" i="23"/>
  <c r="M108" i="23"/>
  <c r="K109" i="23"/>
  <c r="L109" i="23"/>
  <c r="M109" i="23"/>
  <c r="K110" i="23"/>
  <c r="L110" i="23"/>
  <c r="M110" i="23"/>
  <c r="K111" i="23"/>
  <c r="L111" i="23"/>
  <c r="M111" i="23"/>
  <c r="K112" i="23"/>
  <c r="L112" i="23"/>
  <c r="M112" i="23"/>
  <c r="K113" i="23"/>
  <c r="L113" i="23"/>
  <c r="M113" i="23"/>
  <c r="K114" i="23"/>
  <c r="L114" i="23"/>
  <c r="M114" i="23"/>
  <c r="K115" i="23"/>
  <c r="L115" i="23"/>
  <c r="M115" i="23"/>
  <c r="K116" i="23"/>
  <c r="L116" i="23"/>
  <c r="M116" i="23"/>
  <c r="K117" i="23"/>
  <c r="L117" i="23"/>
  <c r="M117" i="23"/>
  <c r="K118" i="23"/>
  <c r="L118" i="23"/>
  <c r="M118" i="23"/>
  <c r="K119" i="23"/>
  <c r="L119" i="23"/>
  <c r="M119" i="23"/>
  <c r="K120" i="23"/>
  <c r="L120" i="23"/>
  <c r="M120" i="23"/>
  <c r="K121" i="23"/>
  <c r="L121" i="23"/>
  <c r="M121" i="23"/>
  <c r="K122" i="23"/>
  <c r="L122" i="23"/>
  <c r="M122" i="23"/>
  <c r="K123" i="23"/>
  <c r="L123" i="23"/>
  <c r="M123" i="23"/>
  <c r="K124" i="23"/>
  <c r="L124" i="23"/>
  <c r="M124" i="23"/>
  <c r="K125" i="23"/>
  <c r="L125" i="23"/>
  <c r="M125" i="23"/>
  <c r="K126" i="23"/>
  <c r="L126" i="23"/>
  <c r="M126" i="23"/>
  <c r="K127" i="23"/>
  <c r="L127" i="23"/>
  <c r="M127" i="23"/>
  <c r="K128" i="23"/>
  <c r="L128" i="23"/>
  <c r="M128" i="23"/>
  <c r="K129" i="23"/>
  <c r="L129" i="23"/>
  <c r="M129" i="23"/>
  <c r="K130" i="23"/>
  <c r="L130" i="23"/>
  <c r="M130" i="23"/>
  <c r="K131" i="23"/>
  <c r="L131" i="23"/>
  <c r="M131" i="23"/>
  <c r="K132" i="23"/>
  <c r="L132" i="23"/>
  <c r="M132" i="23"/>
  <c r="K133" i="23"/>
  <c r="L133" i="23"/>
  <c r="M133" i="23"/>
  <c r="K134" i="23"/>
  <c r="L134" i="23"/>
  <c r="M134" i="23"/>
  <c r="K135" i="23"/>
  <c r="L135" i="23"/>
  <c r="M135" i="23"/>
  <c r="K136" i="23"/>
  <c r="L136" i="23"/>
  <c r="M136" i="23"/>
  <c r="K137" i="23"/>
  <c r="L137" i="23"/>
  <c r="M137" i="23"/>
  <c r="K138" i="23"/>
  <c r="L138" i="23"/>
  <c r="M138" i="23"/>
  <c r="K139" i="23"/>
  <c r="L139" i="23"/>
  <c r="M139" i="23"/>
  <c r="K140" i="23"/>
  <c r="L140" i="23"/>
  <c r="M140" i="23"/>
  <c r="K141" i="23"/>
  <c r="L141" i="23"/>
  <c r="M141" i="23"/>
  <c r="K142" i="23"/>
  <c r="L142" i="23"/>
  <c r="M142" i="23"/>
  <c r="K143" i="23"/>
  <c r="L143" i="23"/>
  <c r="M143" i="23"/>
  <c r="K144" i="23"/>
  <c r="L144" i="23"/>
  <c r="M144" i="23"/>
  <c r="K145" i="23"/>
  <c r="L145" i="23"/>
  <c r="M145" i="23"/>
  <c r="K146" i="23"/>
  <c r="L146" i="23"/>
  <c r="M146" i="23"/>
  <c r="K147" i="23"/>
  <c r="L147" i="23"/>
  <c r="M147" i="23"/>
  <c r="K148" i="23"/>
  <c r="L148" i="23"/>
  <c r="M148" i="23"/>
  <c r="K149" i="23"/>
  <c r="L149" i="23"/>
  <c r="M149" i="23"/>
  <c r="K150" i="23"/>
  <c r="L150" i="23"/>
  <c r="M150" i="23"/>
  <c r="K151" i="23"/>
  <c r="L151" i="23"/>
  <c r="M151" i="23"/>
  <c r="K152" i="23"/>
  <c r="L152" i="23"/>
  <c r="M152" i="23"/>
  <c r="K153" i="23"/>
  <c r="L153" i="23"/>
  <c r="M153" i="23"/>
  <c r="K154" i="23"/>
  <c r="L154" i="23"/>
  <c r="M154" i="23"/>
  <c r="K155" i="23"/>
  <c r="L155" i="23"/>
  <c r="M155" i="23"/>
  <c r="K156" i="23"/>
  <c r="L156" i="23"/>
  <c r="M156" i="23"/>
  <c r="K157" i="23"/>
  <c r="L157" i="23"/>
  <c r="M157" i="23"/>
  <c r="K158" i="23"/>
  <c r="L158" i="23"/>
  <c r="M158" i="23"/>
  <c r="K159" i="23"/>
  <c r="L159" i="23"/>
  <c r="M159" i="23"/>
  <c r="K160" i="23"/>
  <c r="L160" i="23"/>
  <c r="M160" i="23"/>
  <c r="K161" i="23"/>
  <c r="L161" i="23"/>
  <c r="M161" i="23"/>
  <c r="K162" i="23"/>
  <c r="L162" i="23"/>
  <c r="M162" i="23"/>
  <c r="K163" i="23"/>
  <c r="L163" i="23"/>
  <c r="M163" i="23"/>
  <c r="K164" i="23"/>
  <c r="L164" i="23"/>
  <c r="M164" i="23"/>
  <c r="K165" i="23"/>
  <c r="L165" i="23"/>
  <c r="M165" i="23"/>
  <c r="K166" i="23"/>
  <c r="L166" i="23"/>
  <c r="M166" i="23"/>
  <c r="K167" i="23"/>
  <c r="L167" i="23"/>
  <c r="M167" i="23"/>
  <c r="K168" i="23"/>
  <c r="L168" i="23"/>
  <c r="M168" i="23"/>
  <c r="K169" i="23"/>
  <c r="L169" i="23"/>
  <c r="M169" i="23"/>
  <c r="K170" i="23"/>
  <c r="L170" i="23"/>
  <c r="M170" i="23"/>
  <c r="K171" i="23"/>
  <c r="L171" i="23"/>
  <c r="M171" i="23"/>
  <c r="K172" i="23"/>
  <c r="L172" i="23"/>
  <c r="M172" i="23"/>
  <c r="K173" i="23"/>
  <c r="L173" i="23"/>
  <c r="M173" i="23"/>
  <c r="K174" i="23"/>
  <c r="L174" i="23"/>
  <c r="M174" i="23"/>
  <c r="K175" i="23"/>
  <c r="L175" i="23"/>
  <c r="M175" i="23"/>
  <c r="K176" i="23"/>
  <c r="L176" i="23"/>
  <c r="M176" i="23"/>
  <c r="K177" i="23"/>
  <c r="L177" i="23"/>
  <c r="M177" i="23"/>
  <c r="K178" i="23"/>
  <c r="L178" i="23"/>
  <c r="M178" i="23"/>
  <c r="K179" i="23"/>
  <c r="L179" i="23"/>
  <c r="M179" i="23"/>
  <c r="K180" i="23"/>
  <c r="L180" i="23"/>
  <c r="M180" i="23"/>
  <c r="K181" i="23"/>
  <c r="L181" i="23"/>
  <c r="M181" i="23"/>
  <c r="K182" i="23"/>
  <c r="L182" i="23"/>
  <c r="M182" i="23"/>
  <c r="K183" i="23"/>
  <c r="L183" i="23"/>
  <c r="M183" i="23"/>
  <c r="K184" i="23"/>
  <c r="L184" i="23"/>
  <c r="M184" i="23"/>
  <c r="K185" i="23"/>
  <c r="L185" i="23"/>
  <c r="M185" i="23"/>
  <c r="K186" i="23"/>
  <c r="L186" i="23"/>
  <c r="M186" i="23"/>
  <c r="K187" i="23"/>
  <c r="L187" i="23"/>
  <c r="M187" i="23"/>
  <c r="K188" i="23"/>
  <c r="L188" i="23"/>
  <c r="M188" i="23"/>
  <c r="K189" i="23"/>
  <c r="L189" i="23"/>
  <c r="M189" i="23"/>
  <c r="K190" i="23"/>
  <c r="L190" i="23"/>
  <c r="M190" i="23"/>
  <c r="K191" i="23"/>
  <c r="L191" i="23"/>
  <c r="M191" i="23"/>
  <c r="K192" i="23"/>
  <c r="L192" i="23"/>
  <c r="M192" i="23"/>
  <c r="K193" i="23"/>
  <c r="L193" i="23"/>
  <c r="M193" i="23"/>
  <c r="K194" i="23"/>
  <c r="L194" i="23"/>
  <c r="M194" i="23"/>
  <c r="K195" i="23"/>
  <c r="L195" i="23"/>
  <c r="M195" i="23"/>
  <c r="K196" i="23"/>
  <c r="L196" i="23"/>
  <c r="M196" i="23"/>
  <c r="K197" i="23"/>
  <c r="L197" i="23"/>
  <c r="M197" i="23"/>
  <c r="K198" i="23"/>
  <c r="L198" i="23"/>
  <c r="M198" i="23"/>
  <c r="K199" i="23"/>
  <c r="L199" i="23"/>
  <c r="M199" i="23"/>
  <c r="K200" i="23"/>
  <c r="L200" i="23"/>
  <c r="M200" i="23"/>
  <c r="K201" i="23"/>
  <c r="L201" i="23"/>
  <c r="M201" i="23"/>
  <c r="K202" i="23"/>
  <c r="L202" i="23"/>
  <c r="M202" i="23"/>
  <c r="K203" i="23"/>
  <c r="L203" i="23"/>
  <c r="M203" i="23"/>
  <c r="K204" i="23"/>
  <c r="L204" i="23"/>
  <c r="M204" i="23"/>
  <c r="K205" i="23"/>
  <c r="L205" i="23"/>
  <c r="M205" i="23"/>
  <c r="K206" i="23"/>
  <c r="L206" i="23"/>
  <c r="M206" i="23"/>
  <c r="K207" i="23"/>
  <c r="L207" i="23"/>
  <c r="M207" i="23"/>
  <c r="K208" i="23"/>
  <c r="L208" i="23"/>
  <c r="M208" i="23"/>
  <c r="K209" i="23"/>
  <c r="L209" i="23"/>
  <c r="M209" i="23"/>
  <c r="K210" i="23"/>
  <c r="L210" i="23"/>
  <c r="M210" i="23"/>
  <c r="K211" i="23"/>
  <c r="L211" i="23"/>
  <c r="M211" i="23"/>
  <c r="K212" i="23"/>
  <c r="L212" i="23"/>
  <c r="M212" i="23"/>
  <c r="K213" i="23"/>
  <c r="L213" i="23"/>
  <c r="M213" i="23"/>
  <c r="K214" i="23"/>
  <c r="L214" i="23"/>
  <c r="M214" i="23"/>
  <c r="K215" i="23"/>
  <c r="L215" i="23"/>
  <c r="M215" i="23"/>
  <c r="K216" i="23"/>
  <c r="L216" i="23"/>
  <c r="M216" i="23"/>
  <c r="K217" i="23"/>
  <c r="L217" i="23"/>
  <c r="M217" i="23"/>
  <c r="K218" i="23"/>
  <c r="L218" i="23"/>
  <c r="M218" i="23"/>
  <c r="K219" i="23"/>
  <c r="L219" i="23"/>
  <c r="M219" i="23"/>
  <c r="K220" i="23"/>
  <c r="L220" i="23"/>
  <c r="M220" i="23"/>
  <c r="K221" i="23"/>
  <c r="L221" i="23"/>
  <c r="M221" i="23"/>
  <c r="K222" i="23"/>
  <c r="L222" i="23"/>
  <c r="M222" i="23"/>
  <c r="K223" i="23"/>
  <c r="L223" i="23"/>
  <c r="M223" i="23"/>
  <c r="K224" i="23"/>
  <c r="L224" i="23"/>
  <c r="M224" i="23"/>
  <c r="K225" i="23"/>
  <c r="L225" i="23"/>
  <c r="M225" i="23"/>
  <c r="K226" i="23"/>
  <c r="L226" i="23"/>
  <c r="M226" i="23"/>
  <c r="K227" i="23"/>
  <c r="L227" i="23"/>
  <c r="M227" i="23"/>
  <c r="K228" i="23"/>
  <c r="L228" i="23"/>
  <c r="M228" i="23"/>
  <c r="K229" i="23"/>
  <c r="L229" i="23"/>
  <c r="M229" i="23"/>
  <c r="K230" i="23"/>
  <c r="L230" i="23"/>
  <c r="M230" i="23"/>
  <c r="K231" i="23"/>
  <c r="L231" i="23"/>
  <c r="M231" i="23"/>
  <c r="K232" i="23"/>
  <c r="L232" i="23"/>
  <c r="M232" i="23"/>
  <c r="K233" i="23"/>
  <c r="L233" i="23"/>
  <c r="M233" i="23"/>
  <c r="K234" i="23"/>
  <c r="L234" i="23"/>
  <c r="M234" i="23"/>
  <c r="K235" i="23"/>
  <c r="L235" i="23"/>
  <c r="M235" i="23"/>
  <c r="K236" i="23"/>
  <c r="L236" i="23"/>
  <c r="M236" i="23"/>
  <c r="K237" i="23"/>
  <c r="L237" i="23"/>
  <c r="M237" i="23"/>
  <c r="K238" i="23"/>
  <c r="L238" i="23"/>
  <c r="M238" i="23"/>
  <c r="K239" i="23"/>
  <c r="L239" i="23"/>
  <c r="M239" i="23"/>
  <c r="K240" i="23"/>
  <c r="L240" i="23"/>
  <c r="M240" i="23"/>
  <c r="K241" i="23"/>
  <c r="L241" i="23"/>
  <c r="M241" i="23"/>
  <c r="K242" i="23"/>
  <c r="L242" i="23"/>
  <c r="M242" i="23"/>
  <c r="K243" i="23"/>
  <c r="L243" i="23"/>
  <c r="M243" i="23"/>
  <c r="K244" i="23"/>
  <c r="L244" i="23"/>
  <c r="M244" i="23"/>
  <c r="K245" i="23"/>
  <c r="L245" i="23"/>
  <c r="M245" i="23"/>
  <c r="K246" i="23"/>
  <c r="L246" i="23"/>
  <c r="M246" i="23"/>
  <c r="K247" i="23"/>
  <c r="L247" i="23"/>
  <c r="M247" i="23"/>
  <c r="K248" i="23"/>
  <c r="L248" i="23"/>
  <c r="M248" i="23"/>
  <c r="K249" i="23"/>
  <c r="L249" i="23"/>
  <c r="M249" i="23"/>
  <c r="K250" i="23"/>
  <c r="L250" i="23"/>
  <c r="M250" i="23"/>
  <c r="K251" i="23"/>
  <c r="L251" i="23"/>
  <c r="M251" i="23"/>
  <c r="K252" i="23"/>
  <c r="L252" i="23"/>
  <c r="M252" i="23"/>
  <c r="K253" i="23"/>
  <c r="L253" i="23"/>
  <c r="M253" i="23"/>
  <c r="K254" i="23"/>
  <c r="L254" i="23"/>
  <c r="M254" i="23"/>
  <c r="K255" i="23"/>
  <c r="L255" i="23"/>
  <c r="M255" i="23"/>
  <c r="K256" i="23"/>
  <c r="L256" i="23"/>
  <c r="M256" i="23"/>
  <c r="K257" i="23"/>
  <c r="L257" i="23"/>
  <c r="M257" i="23"/>
  <c r="K258" i="23"/>
  <c r="L258" i="23"/>
  <c r="M258" i="23"/>
  <c r="K259" i="23"/>
  <c r="L259" i="23"/>
  <c r="M259" i="23"/>
  <c r="K260" i="23"/>
  <c r="L260" i="23"/>
  <c r="M260" i="23"/>
  <c r="K261" i="23"/>
  <c r="L261" i="23"/>
  <c r="M261" i="23"/>
  <c r="K262" i="23"/>
  <c r="L262" i="23"/>
  <c r="M262" i="23"/>
  <c r="K263" i="23"/>
  <c r="L263" i="23"/>
  <c r="M263" i="23"/>
  <c r="K264" i="23"/>
  <c r="L264" i="23"/>
  <c r="M264" i="23"/>
  <c r="K265" i="23"/>
  <c r="L265" i="23"/>
  <c r="M265" i="23"/>
  <c r="K266" i="23"/>
  <c r="L266" i="23"/>
  <c r="M266" i="23"/>
  <c r="K267" i="23"/>
  <c r="L267" i="23"/>
  <c r="M267" i="23"/>
  <c r="K268" i="23"/>
  <c r="L268" i="23"/>
  <c r="M268" i="23"/>
  <c r="K269" i="23"/>
  <c r="L269" i="23"/>
  <c r="M269" i="23"/>
  <c r="K270" i="23"/>
  <c r="L270" i="23"/>
  <c r="M270" i="23"/>
  <c r="K271" i="23"/>
  <c r="L271" i="23"/>
  <c r="M271" i="23"/>
  <c r="K272" i="23"/>
  <c r="L272" i="23"/>
  <c r="M272" i="23"/>
  <c r="K273" i="23"/>
  <c r="L273" i="23"/>
  <c r="M273" i="23"/>
  <c r="K274" i="23"/>
  <c r="L274" i="23"/>
  <c r="M274" i="23"/>
  <c r="K275" i="23"/>
  <c r="L275" i="23"/>
  <c r="M275" i="23"/>
  <c r="K276" i="23"/>
  <c r="L276" i="23"/>
  <c r="M276" i="23"/>
  <c r="K277" i="23"/>
  <c r="L277" i="23"/>
  <c r="M277" i="23"/>
  <c r="K278" i="23"/>
  <c r="L278" i="23"/>
  <c r="M278" i="23"/>
  <c r="K279" i="23"/>
  <c r="L279" i="23"/>
  <c r="M279" i="23"/>
  <c r="K280" i="23"/>
  <c r="L280" i="23"/>
  <c r="M280" i="23"/>
  <c r="K281" i="23"/>
  <c r="L281" i="23"/>
  <c r="M281" i="23"/>
  <c r="K282" i="23"/>
  <c r="L282" i="23"/>
  <c r="M282" i="23"/>
  <c r="K283" i="23"/>
  <c r="L283" i="23"/>
  <c r="M283" i="23"/>
  <c r="K284" i="23"/>
  <c r="L284" i="23"/>
  <c r="M284" i="23"/>
  <c r="K285" i="23"/>
  <c r="L285" i="23"/>
  <c r="M285" i="23"/>
  <c r="K286" i="23"/>
  <c r="L286" i="23"/>
  <c r="M286" i="23"/>
  <c r="K287" i="23"/>
  <c r="L287" i="23"/>
  <c r="M287" i="23"/>
  <c r="K288" i="23"/>
  <c r="L288" i="23"/>
  <c r="M288" i="23"/>
  <c r="K289" i="23"/>
  <c r="L289" i="23"/>
  <c r="M289" i="23"/>
  <c r="K290" i="23"/>
  <c r="L290" i="23"/>
  <c r="M290" i="23"/>
  <c r="K291" i="23"/>
  <c r="L291" i="23"/>
  <c r="M291" i="23"/>
  <c r="K292" i="23"/>
  <c r="L292" i="23"/>
  <c r="M292" i="23"/>
  <c r="K293" i="23"/>
  <c r="L293" i="23"/>
  <c r="M293" i="23"/>
  <c r="K294" i="23"/>
  <c r="L294" i="23"/>
  <c r="M294" i="23"/>
  <c r="K295" i="23"/>
  <c r="L295" i="23"/>
  <c r="M295" i="23"/>
  <c r="K296" i="23"/>
  <c r="L296" i="23"/>
  <c r="M296" i="23"/>
  <c r="K297" i="23"/>
  <c r="L297" i="23"/>
  <c r="M297" i="23"/>
  <c r="K298" i="23"/>
  <c r="L298" i="23"/>
  <c r="M298" i="23"/>
  <c r="K299" i="23"/>
  <c r="L299" i="23"/>
  <c r="M299" i="23"/>
  <c r="K300" i="23"/>
  <c r="L300" i="23"/>
  <c r="M300" i="23"/>
  <c r="K301" i="23"/>
  <c r="L301" i="23"/>
  <c r="M301" i="23"/>
  <c r="K302" i="23"/>
  <c r="L302" i="23"/>
  <c r="M302" i="23"/>
  <c r="K303" i="23"/>
  <c r="L303" i="23"/>
  <c r="M303" i="23"/>
  <c r="K304" i="23"/>
  <c r="L304" i="23"/>
  <c r="M304" i="23"/>
  <c r="K305" i="23"/>
  <c r="L305" i="23"/>
  <c r="M305" i="23"/>
  <c r="K306" i="23"/>
  <c r="L306" i="23"/>
  <c r="M306" i="23"/>
  <c r="K307" i="23"/>
  <c r="L307" i="23"/>
  <c r="M307" i="23"/>
  <c r="K308" i="23"/>
  <c r="L308" i="23"/>
  <c r="M308" i="23"/>
  <c r="K309" i="23"/>
  <c r="L309" i="23"/>
  <c r="M309" i="23"/>
  <c r="K310" i="23"/>
  <c r="L310" i="23"/>
  <c r="M310" i="23"/>
  <c r="K311" i="23"/>
  <c r="L311" i="23"/>
  <c r="M311" i="23"/>
  <c r="K312" i="23"/>
  <c r="L312" i="23"/>
  <c r="M312" i="23"/>
  <c r="K313" i="23"/>
  <c r="L313" i="23"/>
  <c r="M313" i="23"/>
  <c r="K314" i="23"/>
  <c r="L314" i="23"/>
  <c r="M314" i="23"/>
  <c r="K315" i="23"/>
  <c r="L315" i="23"/>
  <c r="M315" i="23"/>
  <c r="K316" i="23"/>
  <c r="L316" i="23"/>
  <c r="M316" i="23"/>
  <c r="K317" i="23"/>
  <c r="L317" i="23"/>
  <c r="M317" i="23"/>
  <c r="K318" i="23"/>
  <c r="L318" i="23"/>
  <c r="M318" i="23"/>
  <c r="K319" i="23"/>
  <c r="L319" i="23"/>
  <c r="M319" i="23"/>
  <c r="K320" i="23"/>
  <c r="L320" i="23"/>
  <c r="M320" i="23"/>
  <c r="K321" i="23"/>
  <c r="L321" i="23"/>
  <c r="M321" i="23"/>
  <c r="K322" i="23"/>
  <c r="L322" i="23"/>
  <c r="M322" i="23"/>
  <c r="K323" i="23"/>
  <c r="L323" i="23"/>
  <c r="M323" i="23"/>
  <c r="K324" i="23"/>
  <c r="L324" i="23"/>
  <c r="M324" i="23"/>
  <c r="K325" i="23"/>
  <c r="L325" i="23"/>
  <c r="M325" i="23"/>
  <c r="K326" i="23"/>
  <c r="L326" i="23"/>
  <c r="M326" i="23"/>
  <c r="K327" i="23"/>
  <c r="L327" i="23"/>
  <c r="M327" i="23"/>
  <c r="K328" i="23"/>
  <c r="L328" i="23"/>
  <c r="M328" i="23"/>
  <c r="K329" i="23"/>
  <c r="L329" i="23"/>
  <c r="M329" i="23"/>
  <c r="K330" i="23"/>
  <c r="L330" i="23"/>
  <c r="M330" i="23"/>
  <c r="K331" i="23"/>
  <c r="L331" i="23"/>
  <c r="M331" i="23"/>
  <c r="K332" i="23"/>
  <c r="L332" i="23"/>
  <c r="M332" i="23"/>
  <c r="K333" i="23"/>
  <c r="L333" i="23"/>
  <c r="M333" i="23"/>
  <c r="K334" i="23"/>
  <c r="L334" i="23"/>
  <c r="M334" i="23"/>
  <c r="K335" i="23"/>
  <c r="L335" i="23"/>
  <c r="M335" i="23"/>
  <c r="K336" i="23"/>
  <c r="L336" i="23"/>
  <c r="M336" i="23"/>
  <c r="K337" i="23"/>
  <c r="L337" i="23"/>
  <c r="M337" i="23"/>
  <c r="K338" i="23"/>
  <c r="L338" i="23"/>
  <c r="M338" i="23"/>
  <c r="K339" i="23"/>
  <c r="L339" i="23"/>
  <c r="M339" i="23"/>
  <c r="K340" i="23"/>
  <c r="L340" i="23"/>
  <c r="M340" i="23"/>
  <c r="K341" i="23"/>
  <c r="L341" i="23"/>
  <c r="M341" i="23"/>
  <c r="K342" i="23"/>
  <c r="L342" i="23"/>
  <c r="M342" i="23"/>
  <c r="K343" i="23"/>
  <c r="L343" i="23"/>
  <c r="M343" i="23"/>
  <c r="K344" i="23"/>
  <c r="L344" i="23"/>
  <c r="M344" i="23"/>
  <c r="L3" i="23"/>
  <c r="M3" i="23"/>
  <c r="K3" i="23"/>
  <c r="J5" i="23"/>
  <c r="J6" i="23" s="1"/>
  <c r="J7" i="23" s="1"/>
  <c r="J8" i="23" s="1"/>
  <c r="J9" i="23" s="1"/>
  <c r="J10" i="23" s="1"/>
  <c r="J11" i="23" s="1"/>
  <c r="J12" i="23" s="1"/>
  <c r="J13" i="23" s="1"/>
  <c r="J14" i="23" s="1"/>
  <c r="J15" i="23" s="1"/>
  <c r="J16" i="23" s="1"/>
  <c r="J17" i="23" s="1"/>
  <c r="J18" i="23" s="1"/>
  <c r="J19" i="23" s="1"/>
  <c r="J20" i="23" s="1"/>
  <c r="J21" i="23" s="1"/>
  <c r="J22" i="23" s="1"/>
  <c r="J23" i="23" s="1"/>
  <c r="J24" i="23" s="1"/>
  <c r="J25" i="23" s="1"/>
  <c r="J26" i="23" s="1"/>
  <c r="J27" i="23" s="1"/>
  <c r="J28" i="23" s="1"/>
  <c r="J29" i="23" s="1"/>
  <c r="J30" i="23" s="1"/>
  <c r="J31" i="23" s="1"/>
  <c r="J32" i="23" s="1"/>
  <c r="J33" i="23" s="1"/>
  <c r="J34" i="23" s="1"/>
  <c r="J35" i="23" s="1"/>
  <c r="J36" i="23" s="1"/>
  <c r="J37" i="23" s="1"/>
  <c r="J38" i="23" s="1"/>
  <c r="J39" i="23" s="1"/>
  <c r="J40" i="23" s="1"/>
  <c r="J41" i="23" s="1"/>
  <c r="J42" i="23" s="1"/>
  <c r="J43" i="23" s="1"/>
  <c r="J44" i="23" s="1"/>
  <c r="J45" i="23" s="1"/>
  <c r="J46" i="23" s="1"/>
  <c r="J47" i="23" s="1"/>
  <c r="J48" i="23" s="1"/>
  <c r="J49" i="23" s="1"/>
  <c r="J50" i="23" s="1"/>
  <c r="J51" i="23" s="1"/>
  <c r="J52" i="23" s="1"/>
  <c r="J53" i="23" s="1"/>
  <c r="J54" i="23" s="1"/>
  <c r="J55" i="23" s="1"/>
  <c r="J56" i="23" s="1"/>
  <c r="J57" i="23" s="1"/>
  <c r="J58" i="23" s="1"/>
  <c r="J59" i="23" s="1"/>
  <c r="J60" i="23" s="1"/>
  <c r="J61" i="23" s="1"/>
  <c r="J62" i="23" s="1"/>
  <c r="J63" i="23" s="1"/>
  <c r="J64" i="23" s="1"/>
  <c r="J65" i="23" s="1"/>
  <c r="J66" i="23" s="1"/>
  <c r="J67" i="23" s="1"/>
  <c r="J68" i="23" s="1"/>
  <c r="J69" i="23" s="1"/>
  <c r="J70" i="23" s="1"/>
  <c r="J71" i="23" s="1"/>
  <c r="J72" i="23" s="1"/>
  <c r="J73" i="23" s="1"/>
  <c r="J74" i="23" s="1"/>
  <c r="J75" i="23" s="1"/>
  <c r="J76" i="23" s="1"/>
  <c r="J77" i="23" s="1"/>
  <c r="J78" i="23" s="1"/>
  <c r="J79" i="23" s="1"/>
  <c r="J80" i="23" s="1"/>
  <c r="J81" i="23" s="1"/>
  <c r="J82" i="23" s="1"/>
  <c r="J83" i="23" s="1"/>
  <c r="J84" i="23" s="1"/>
  <c r="J85" i="23" s="1"/>
  <c r="J86" i="23" s="1"/>
  <c r="J87" i="23" s="1"/>
  <c r="J88" i="23" s="1"/>
  <c r="J89" i="23" s="1"/>
  <c r="J90" i="23" s="1"/>
  <c r="J91" i="23" s="1"/>
  <c r="J92" i="23" s="1"/>
  <c r="J93" i="23" s="1"/>
  <c r="J94" i="23" s="1"/>
  <c r="J95" i="23" s="1"/>
  <c r="J96" i="23" s="1"/>
  <c r="J97" i="23" s="1"/>
  <c r="J98" i="23" s="1"/>
  <c r="J99" i="23" s="1"/>
  <c r="J100" i="23" s="1"/>
  <c r="J101" i="23" s="1"/>
  <c r="J102" i="23" s="1"/>
  <c r="J103" i="23" s="1"/>
  <c r="J104" i="23" s="1"/>
  <c r="J105" i="23" s="1"/>
  <c r="J106" i="23" s="1"/>
  <c r="J107" i="23" s="1"/>
  <c r="J108" i="23" s="1"/>
  <c r="J109" i="23" s="1"/>
  <c r="J110" i="23" s="1"/>
  <c r="J111" i="23" s="1"/>
  <c r="J112" i="23" s="1"/>
  <c r="J113" i="23" s="1"/>
  <c r="J114" i="23" s="1"/>
  <c r="J115" i="23" s="1"/>
  <c r="J116" i="23" s="1"/>
  <c r="J117" i="23" s="1"/>
  <c r="J118" i="23" s="1"/>
  <c r="J119" i="23" s="1"/>
  <c r="J120" i="23" s="1"/>
  <c r="J121" i="23" s="1"/>
  <c r="J122" i="23" s="1"/>
  <c r="J123" i="23" s="1"/>
  <c r="J124" i="23" s="1"/>
  <c r="J125" i="23" s="1"/>
  <c r="J126" i="23" s="1"/>
  <c r="J127" i="23" s="1"/>
  <c r="J128" i="23" s="1"/>
  <c r="J129" i="23" s="1"/>
  <c r="J130" i="23" s="1"/>
  <c r="J131" i="23" s="1"/>
  <c r="J132" i="23" s="1"/>
  <c r="J133" i="23" s="1"/>
  <c r="J134" i="23" s="1"/>
  <c r="J135" i="23" s="1"/>
  <c r="J136" i="23" s="1"/>
  <c r="J137" i="23" s="1"/>
  <c r="J138" i="23" s="1"/>
  <c r="J139" i="23" s="1"/>
  <c r="J140" i="23" s="1"/>
  <c r="J141" i="23" s="1"/>
  <c r="J142" i="23" s="1"/>
  <c r="J143" i="23" s="1"/>
  <c r="J144" i="23" s="1"/>
  <c r="J145" i="23" s="1"/>
  <c r="J146" i="23" s="1"/>
  <c r="J147" i="23" s="1"/>
  <c r="J148" i="23" s="1"/>
  <c r="J149" i="23" s="1"/>
  <c r="J150" i="23" s="1"/>
  <c r="J151" i="23" s="1"/>
  <c r="J152" i="23" s="1"/>
  <c r="J153" i="23" s="1"/>
  <c r="J154" i="23" s="1"/>
  <c r="J155" i="23" s="1"/>
  <c r="J156" i="23" s="1"/>
  <c r="J157" i="23" s="1"/>
  <c r="J158" i="23" s="1"/>
  <c r="J159" i="23" s="1"/>
  <c r="J160" i="23" s="1"/>
  <c r="J161" i="23" s="1"/>
  <c r="J162" i="23" s="1"/>
  <c r="J163" i="23" s="1"/>
  <c r="J164" i="23" s="1"/>
  <c r="J165" i="23" s="1"/>
  <c r="J166" i="23" s="1"/>
  <c r="J167" i="23" s="1"/>
  <c r="J168" i="23" s="1"/>
  <c r="J169" i="23" s="1"/>
  <c r="J170" i="23" s="1"/>
  <c r="J171" i="23" s="1"/>
  <c r="J172" i="23" s="1"/>
  <c r="J173" i="23" s="1"/>
  <c r="J174" i="23" s="1"/>
  <c r="J175" i="23" s="1"/>
  <c r="J176" i="23" s="1"/>
  <c r="J177" i="23" s="1"/>
  <c r="J178" i="23" s="1"/>
  <c r="J179" i="23" s="1"/>
  <c r="J180" i="23" s="1"/>
  <c r="J181" i="23" s="1"/>
  <c r="J182" i="23" s="1"/>
  <c r="J183" i="23" s="1"/>
  <c r="J184" i="23" s="1"/>
  <c r="J185" i="23" s="1"/>
  <c r="J186" i="23" s="1"/>
  <c r="J187" i="23" s="1"/>
  <c r="J188" i="23" s="1"/>
  <c r="J189" i="23" s="1"/>
  <c r="J190" i="23" s="1"/>
  <c r="J191" i="23" s="1"/>
  <c r="J192" i="23" s="1"/>
  <c r="J193" i="23" s="1"/>
  <c r="J194" i="23" s="1"/>
  <c r="J195" i="23" s="1"/>
  <c r="J196" i="23" s="1"/>
  <c r="J197" i="23" s="1"/>
  <c r="J198" i="23" s="1"/>
  <c r="J199" i="23" s="1"/>
  <c r="J200" i="23" s="1"/>
  <c r="J201" i="23" s="1"/>
  <c r="J202" i="23" s="1"/>
  <c r="J203" i="23" s="1"/>
  <c r="J204" i="23" s="1"/>
  <c r="J205" i="23" s="1"/>
  <c r="J206" i="23" s="1"/>
  <c r="J207" i="23" s="1"/>
  <c r="J208" i="23" s="1"/>
  <c r="J209" i="23" s="1"/>
  <c r="J210" i="23" s="1"/>
  <c r="J211" i="23" s="1"/>
  <c r="J212" i="23" s="1"/>
  <c r="J213" i="23" s="1"/>
  <c r="J214" i="23" s="1"/>
  <c r="J215" i="23" s="1"/>
  <c r="J216" i="23" s="1"/>
  <c r="J217" i="23" s="1"/>
  <c r="J218" i="23" s="1"/>
  <c r="J219" i="23" s="1"/>
  <c r="J220" i="23" s="1"/>
  <c r="J221" i="23" s="1"/>
  <c r="J222" i="23" s="1"/>
  <c r="J223" i="23" s="1"/>
  <c r="J224" i="23" s="1"/>
  <c r="J225" i="23" s="1"/>
  <c r="J226" i="23" s="1"/>
  <c r="J227" i="23" s="1"/>
  <c r="J228" i="23" s="1"/>
  <c r="J229" i="23" s="1"/>
  <c r="J230" i="23" s="1"/>
  <c r="J231" i="23" s="1"/>
  <c r="J232" i="23" s="1"/>
  <c r="J233" i="23" s="1"/>
  <c r="J234" i="23" s="1"/>
  <c r="J235" i="23" s="1"/>
  <c r="J236" i="23" s="1"/>
  <c r="J237" i="23" s="1"/>
  <c r="J238" i="23" s="1"/>
  <c r="J239" i="23" s="1"/>
  <c r="J240" i="23" s="1"/>
  <c r="J241" i="23" s="1"/>
  <c r="J242" i="23" s="1"/>
  <c r="J243" i="23" s="1"/>
  <c r="J244" i="23" s="1"/>
  <c r="J245" i="23" s="1"/>
  <c r="J246" i="23" s="1"/>
  <c r="J247" i="23" s="1"/>
  <c r="J248" i="23" s="1"/>
  <c r="J249" i="23" s="1"/>
  <c r="J250" i="23" s="1"/>
  <c r="J251" i="23" s="1"/>
  <c r="J252" i="23" s="1"/>
  <c r="J253" i="23" s="1"/>
  <c r="J254" i="23" s="1"/>
  <c r="J255" i="23" s="1"/>
  <c r="J256" i="23" s="1"/>
  <c r="J257" i="23" s="1"/>
  <c r="J258" i="23" s="1"/>
  <c r="J259" i="23" s="1"/>
  <c r="J260" i="23" s="1"/>
  <c r="J261" i="23" s="1"/>
  <c r="J262" i="23" s="1"/>
  <c r="J263" i="23" s="1"/>
  <c r="J264" i="23" s="1"/>
  <c r="J265" i="23" s="1"/>
  <c r="J266" i="23" s="1"/>
  <c r="J267" i="23" s="1"/>
  <c r="J268" i="23" s="1"/>
  <c r="J269" i="23" s="1"/>
  <c r="J270" i="23" s="1"/>
  <c r="J271" i="23" s="1"/>
  <c r="J272" i="23" s="1"/>
  <c r="J273" i="23" s="1"/>
  <c r="J274" i="23" s="1"/>
  <c r="J275" i="23" s="1"/>
  <c r="J276" i="23" s="1"/>
  <c r="J277" i="23" s="1"/>
  <c r="J278" i="23" s="1"/>
  <c r="J279" i="23" s="1"/>
  <c r="J280" i="23" s="1"/>
  <c r="J281" i="23" s="1"/>
  <c r="J282" i="23" s="1"/>
  <c r="J283" i="23" s="1"/>
  <c r="J284" i="23" s="1"/>
  <c r="J285" i="23" s="1"/>
  <c r="J286" i="23" s="1"/>
  <c r="J287" i="23" s="1"/>
  <c r="J288" i="23" s="1"/>
  <c r="J289" i="23" s="1"/>
  <c r="J290" i="23" s="1"/>
  <c r="J291" i="23" s="1"/>
  <c r="J292" i="23" s="1"/>
  <c r="J293" i="23" s="1"/>
  <c r="J294" i="23" s="1"/>
  <c r="J295" i="23" s="1"/>
  <c r="J296" i="23" s="1"/>
  <c r="J297" i="23" s="1"/>
  <c r="J298" i="23" s="1"/>
  <c r="J299" i="23" s="1"/>
  <c r="J300" i="23" s="1"/>
  <c r="J301" i="23" s="1"/>
  <c r="J302" i="23" s="1"/>
  <c r="J303" i="23" s="1"/>
  <c r="J304" i="23" s="1"/>
  <c r="J305" i="23" s="1"/>
  <c r="J306" i="23" s="1"/>
  <c r="J307" i="23" s="1"/>
  <c r="J308" i="23" s="1"/>
  <c r="J309" i="23" s="1"/>
  <c r="J310" i="23" s="1"/>
  <c r="J311" i="23" s="1"/>
  <c r="J312" i="23" s="1"/>
  <c r="J313" i="23" s="1"/>
  <c r="J314" i="23" s="1"/>
  <c r="J315" i="23" s="1"/>
  <c r="J316" i="23" s="1"/>
  <c r="J317" i="23" s="1"/>
  <c r="J318" i="23" s="1"/>
  <c r="J319" i="23" s="1"/>
  <c r="J320" i="23" s="1"/>
  <c r="J321" i="23" s="1"/>
  <c r="J322" i="23" s="1"/>
  <c r="J323" i="23" s="1"/>
  <c r="J324" i="23" s="1"/>
  <c r="J325" i="23" s="1"/>
  <c r="J326" i="23" s="1"/>
  <c r="J327" i="23" s="1"/>
  <c r="J328" i="23" s="1"/>
  <c r="J329" i="23" s="1"/>
  <c r="J330" i="23" s="1"/>
  <c r="J331" i="23" s="1"/>
  <c r="J332" i="23" s="1"/>
  <c r="J333" i="23" s="1"/>
  <c r="J334" i="23" s="1"/>
  <c r="J335" i="23" s="1"/>
  <c r="J336" i="23" s="1"/>
  <c r="J337" i="23" s="1"/>
  <c r="J338" i="23" s="1"/>
  <c r="J339" i="23" s="1"/>
  <c r="J340" i="23" s="1"/>
  <c r="J341" i="23" s="1"/>
  <c r="J342" i="23" s="1"/>
  <c r="J343" i="23" s="1"/>
  <c r="J344" i="23" s="1"/>
  <c r="A18" i="23" a="1"/>
  <c r="A18" i="23" s="1"/>
  <c r="C14" i="23"/>
  <c r="B12" i="23"/>
  <c r="B8" i="23"/>
  <c r="B14" i="23" s="1"/>
  <c r="B13" i="23" s="1"/>
  <c r="M21" i="25"/>
  <c r="M20" i="25"/>
  <c r="M19" i="25"/>
  <c r="G18" i="25" a="1"/>
  <c r="Q4" i="23" a="1"/>
  <c r="H20" i="23"/>
  <c r="H19" i="23"/>
  <c r="H18" i="23"/>
  <c r="B17" i="23" a="1"/>
  <c r="G18" i="25" l="1"/>
  <c r="H18" i="25"/>
  <c r="G19" i="25"/>
  <c r="H19" i="25"/>
  <c r="G20" i="25"/>
  <c r="H20" i="25"/>
  <c r="G21" i="25"/>
  <c r="H21" i="25"/>
  <c r="F20" i="25"/>
  <c r="P274" i="23"/>
  <c r="P250" i="23"/>
  <c r="P130" i="23"/>
  <c r="P106" i="23"/>
  <c r="P239" i="23"/>
  <c r="P35" i="23"/>
  <c r="P225" i="23"/>
  <c r="P81" i="23"/>
  <c r="P295" i="23"/>
  <c r="P235" i="23"/>
  <c r="P282" i="23"/>
  <c r="P162" i="23"/>
  <c r="P138" i="23"/>
  <c r="P18" i="23"/>
  <c r="P227" i="23"/>
  <c r="P115" i="23"/>
  <c r="P55" i="23"/>
  <c r="P220" i="23"/>
  <c r="P268" i="23"/>
  <c r="P232" i="23"/>
  <c r="P40" i="23"/>
  <c r="P218" i="23"/>
  <c r="P74" i="23"/>
  <c r="P71" i="23"/>
  <c r="P265" i="23"/>
  <c r="P121" i="23"/>
  <c r="P312" i="23"/>
  <c r="P168" i="23"/>
  <c r="P144" i="23"/>
  <c r="P24" i="23"/>
  <c r="Q15" i="23"/>
  <c r="Q27" i="23"/>
  <c r="Q39" i="23"/>
  <c r="Q51" i="23"/>
  <c r="Q63" i="23"/>
  <c r="Q75" i="23"/>
  <c r="Q87" i="23"/>
  <c r="Q99" i="23"/>
  <c r="Q111" i="23"/>
  <c r="Q123" i="23"/>
  <c r="Q135" i="23"/>
  <c r="Q147" i="23"/>
  <c r="Q159" i="23"/>
  <c r="Q171" i="23"/>
  <c r="Q183" i="23"/>
  <c r="Q195" i="23"/>
  <c r="Q207" i="23"/>
  <c r="Q219" i="23"/>
  <c r="Q231" i="23"/>
  <c r="Q243" i="23"/>
  <c r="Q255" i="23"/>
  <c r="Q267" i="23"/>
  <c r="Q279" i="23"/>
  <c r="Q291" i="23"/>
  <c r="Q303" i="23"/>
  <c r="Q315" i="23"/>
  <c r="Q327" i="23"/>
  <c r="Q339" i="23"/>
  <c r="Q16" i="23"/>
  <c r="Q4" i="23"/>
  <c r="Q28" i="23"/>
  <c r="Q40" i="23"/>
  <c r="Q52" i="23"/>
  <c r="Q64" i="23"/>
  <c r="Q76" i="23"/>
  <c r="Q88" i="23"/>
  <c r="Q100" i="23"/>
  <c r="Q112" i="23"/>
  <c r="Q124" i="23"/>
  <c r="Q136" i="23"/>
  <c r="Q148" i="23"/>
  <c r="Q160" i="23"/>
  <c r="Q172" i="23"/>
  <c r="Q184" i="23"/>
  <c r="Q196" i="23"/>
  <c r="Q208" i="23"/>
  <c r="Q220" i="23"/>
  <c r="Q232" i="23"/>
  <c r="Q244" i="23"/>
  <c r="Q256" i="23"/>
  <c r="Q268" i="23"/>
  <c r="Q280" i="23"/>
  <c r="Q292" i="23"/>
  <c r="Q304" i="23"/>
  <c r="Q316" i="23"/>
  <c r="Q328" i="23"/>
  <c r="Q340" i="23"/>
  <c r="Q5" i="23"/>
  <c r="Q17" i="23"/>
  <c r="Q29" i="23"/>
  <c r="Q41" i="23"/>
  <c r="Q53" i="23"/>
  <c r="Q65" i="23"/>
  <c r="Q77" i="23"/>
  <c r="Q89" i="23"/>
  <c r="Q101" i="23"/>
  <c r="Q113" i="23"/>
  <c r="Q125" i="23"/>
  <c r="Q137" i="23"/>
  <c r="Q149" i="23"/>
  <c r="Q161" i="23"/>
  <c r="Q173" i="23"/>
  <c r="Q185" i="23"/>
  <c r="Q197" i="23"/>
  <c r="Q209" i="23"/>
  <c r="Q221" i="23"/>
  <c r="Q233" i="23"/>
  <c r="Q245" i="23"/>
  <c r="Q257" i="23"/>
  <c r="Q269" i="23"/>
  <c r="Q281" i="23"/>
  <c r="Q293" i="23"/>
  <c r="Q305" i="23"/>
  <c r="Q317" i="23"/>
  <c r="Q329" i="23"/>
  <c r="Q341" i="23"/>
  <c r="Q6" i="23"/>
  <c r="Q18" i="23"/>
  <c r="Q30" i="23"/>
  <c r="Q42" i="23"/>
  <c r="Q54" i="23"/>
  <c r="Q66" i="23"/>
  <c r="Q78" i="23"/>
  <c r="Q90" i="23"/>
  <c r="Q102" i="23"/>
  <c r="Q114" i="23"/>
  <c r="Q126" i="23"/>
  <c r="Q138" i="23"/>
  <c r="Q150" i="23"/>
  <c r="Q162" i="23"/>
  <c r="Q174" i="23"/>
  <c r="Q186" i="23"/>
  <c r="Q198" i="23"/>
  <c r="Q210" i="23"/>
  <c r="Q222" i="23"/>
  <c r="Q234" i="23"/>
  <c r="Q246" i="23"/>
  <c r="Q258" i="23"/>
  <c r="Q270" i="23"/>
  <c r="Q282" i="23"/>
  <c r="Q294" i="23"/>
  <c r="Q306" i="23"/>
  <c r="Q318" i="23"/>
  <c r="Q330" i="23"/>
  <c r="Q342" i="23"/>
  <c r="Q7" i="23"/>
  <c r="Q19" i="23"/>
  <c r="Q31" i="23"/>
  <c r="Q43" i="23"/>
  <c r="Q55" i="23"/>
  <c r="Q67" i="23"/>
  <c r="Q79" i="23"/>
  <c r="Q91" i="23"/>
  <c r="Q103" i="23"/>
  <c r="Q115" i="23"/>
  <c r="Q127" i="23"/>
  <c r="Q139" i="23"/>
  <c r="Q151" i="23"/>
  <c r="Q175" i="23"/>
  <c r="Q187" i="23"/>
  <c r="Q199" i="23"/>
  <c r="Q211" i="23"/>
  <c r="Q223" i="23"/>
  <c r="Q235" i="23"/>
  <c r="Q247" i="23"/>
  <c r="Q259" i="23"/>
  <c r="Q271" i="23"/>
  <c r="Q283" i="23"/>
  <c r="Q307" i="23"/>
  <c r="Q319" i="23"/>
  <c r="Q331" i="23"/>
  <c r="Q163" i="23"/>
  <c r="Q295" i="23"/>
  <c r="Q343" i="23"/>
  <c r="Q8" i="23"/>
  <c r="Q20" i="23"/>
  <c r="Q32" i="23"/>
  <c r="Q44" i="23"/>
  <c r="Q56" i="23"/>
  <c r="Q68" i="23"/>
  <c r="Q80" i="23"/>
  <c r="Q92" i="23"/>
  <c r="Q104" i="23"/>
  <c r="Q116" i="23"/>
  <c r="Q128" i="23"/>
  <c r="Q140" i="23"/>
  <c r="Q152" i="23"/>
  <c r="Q164" i="23"/>
  <c r="Q176" i="23"/>
  <c r="Q188" i="23"/>
  <c r="Q200" i="23"/>
  <c r="Q212" i="23"/>
  <c r="Q224" i="23"/>
  <c r="Q236" i="23"/>
  <c r="Q248" i="23"/>
  <c r="Q260" i="23"/>
  <c r="Q272" i="23"/>
  <c r="Q284" i="23"/>
  <c r="Q296" i="23"/>
  <c r="Q308" i="23"/>
  <c r="Q320" i="23"/>
  <c r="Q332" i="23"/>
  <c r="Q344" i="23"/>
  <c r="Q22" i="23"/>
  <c r="Q130" i="23"/>
  <c r="Q178" i="23"/>
  <c r="Q226" i="23"/>
  <c r="Q250" i="23"/>
  <c r="Q286" i="23"/>
  <c r="Q310" i="23"/>
  <c r="Q334" i="23"/>
  <c r="Q9" i="23"/>
  <c r="Q21" i="23"/>
  <c r="Q33" i="23"/>
  <c r="Q45" i="23"/>
  <c r="Q57" i="23"/>
  <c r="Q69" i="23"/>
  <c r="Q81" i="23"/>
  <c r="Q93" i="23"/>
  <c r="Q105" i="23"/>
  <c r="Q117" i="23"/>
  <c r="Q129" i="23"/>
  <c r="Q141" i="23"/>
  <c r="Q153" i="23"/>
  <c r="Q165" i="23"/>
  <c r="Q177" i="23"/>
  <c r="Q189" i="23"/>
  <c r="Q201" i="23"/>
  <c r="Q213" i="23"/>
  <c r="Q225" i="23"/>
  <c r="Q237" i="23"/>
  <c r="Q249" i="23"/>
  <c r="Q261" i="23"/>
  <c r="Q273" i="23"/>
  <c r="Q285" i="23"/>
  <c r="Q297" i="23"/>
  <c r="Q309" i="23"/>
  <c r="Q321" i="23"/>
  <c r="Q333" i="23"/>
  <c r="Q10" i="23"/>
  <c r="Q34" i="23"/>
  <c r="Q46" i="23"/>
  <c r="Q58" i="23"/>
  <c r="Q70" i="23"/>
  <c r="Q82" i="23"/>
  <c r="Q94" i="23"/>
  <c r="Q106" i="23"/>
  <c r="Q118" i="23"/>
  <c r="Q142" i="23"/>
  <c r="Q154" i="23"/>
  <c r="Q166" i="23"/>
  <c r="Q190" i="23"/>
  <c r="Q202" i="23"/>
  <c r="Q238" i="23"/>
  <c r="Q262" i="23"/>
  <c r="Q274" i="23"/>
  <c r="Q298" i="23"/>
  <c r="Q322" i="23"/>
  <c r="Q214" i="23"/>
  <c r="Q11" i="23"/>
  <c r="Q23" i="23"/>
  <c r="Q35" i="23"/>
  <c r="Q47" i="23"/>
  <c r="Q59" i="23"/>
  <c r="Q71" i="23"/>
  <c r="Q83" i="23"/>
  <c r="Q95" i="23"/>
  <c r="Q107" i="23"/>
  <c r="Q119" i="23"/>
  <c r="Q131" i="23"/>
  <c r="Q143" i="23"/>
  <c r="Q155" i="23"/>
  <c r="Q167" i="23"/>
  <c r="Q179" i="23"/>
  <c r="Q191" i="23"/>
  <c r="Q203" i="23"/>
  <c r="Q215" i="23"/>
  <c r="Q227" i="23"/>
  <c r="Q239" i="23"/>
  <c r="Q251" i="23"/>
  <c r="Q263" i="23"/>
  <c r="Q275" i="23"/>
  <c r="Q287" i="23"/>
  <c r="Q299" i="23"/>
  <c r="Q311" i="23"/>
  <c r="Q323" i="23"/>
  <c r="Q335" i="23"/>
  <c r="Q26" i="23"/>
  <c r="Q50" i="23"/>
  <c r="Q74" i="23"/>
  <c r="Q86" i="23"/>
  <c r="Q110" i="23"/>
  <c r="Q146" i="23"/>
  <c r="Q170" i="23"/>
  <c r="Q194" i="23"/>
  <c r="Q218" i="23"/>
  <c r="Q242" i="23"/>
  <c r="Q266" i="23"/>
  <c r="Q290" i="23"/>
  <c r="Q314" i="23"/>
  <c r="Q338" i="23"/>
  <c r="Q12" i="23"/>
  <c r="Q24" i="23"/>
  <c r="Q36" i="23"/>
  <c r="Q48" i="23"/>
  <c r="Q60" i="23"/>
  <c r="Q72" i="23"/>
  <c r="Q84" i="23"/>
  <c r="Q96" i="23"/>
  <c r="Q108" i="23"/>
  <c r="Q120" i="23"/>
  <c r="Q132" i="23"/>
  <c r="Q144" i="23"/>
  <c r="Q156" i="23"/>
  <c r="Q168" i="23"/>
  <c r="Q180" i="23"/>
  <c r="Q192" i="23"/>
  <c r="Q204" i="23"/>
  <c r="Q216" i="23"/>
  <c r="Q228" i="23"/>
  <c r="Q240" i="23"/>
  <c r="Q252" i="23"/>
  <c r="Q264" i="23"/>
  <c r="Q276" i="23"/>
  <c r="Q288" i="23"/>
  <c r="Q300" i="23"/>
  <c r="Q312" i="23"/>
  <c r="Q324" i="23"/>
  <c r="Q336" i="23"/>
  <c r="Q14" i="23"/>
  <c r="Q62" i="23"/>
  <c r="Q98" i="23"/>
  <c r="Q134" i="23"/>
  <c r="Q158" i="23"/>
  <c r="Q206" i="23"/>
  <c r="Q254" i="23"/>
  <c r="Q278" i="23"/>
  <c r="Q326" i="23"/>
  <c r="Q13" i="23"/>
  <c r="Q25" i="23"/>
  <c r="Q37" i="23"/>
  <c r="Q49" i="23"/>
  <c r="Q61" i="23"/>
  <c r="Q73" i="23"/>
  <c r="Q85" i="23"/>
  <c r="Q97" i="23"/>
  <c r="Q109" i="23"/>
  <c r="Q121" i="23"/>
  <c r="Q133" i="23"/>
  <c r="Q145" i="23"/>
  <c r="Q157" i="23"/>
  <c r="Q169" i="23"/>
  <c r="Q181" i="23"/>
  <c r="Q193" i="23"/>
  <c r="Q205" i="23"/>
  <c r="Q217" i="23"/>
  <c r="Q229" i="23"/>
  <c r="Q241" i="23"/>
  <c r="Q253" i="23"/>
  <c r="Q265" i="23"/>
  <c r="Q277" i="23"/>
  <c r="Q289" i="23"/>
  <c r="Q301" i="23"/>
  <c r="Q313" i="23"/>
  <c r="Q325" i="23"/>
  <c r="Q337" i="23"/>
  <c r="Q38" i="23"/>
  <c r="Q122" i="23"/>
  <c r="Q182" i="23"/>
  <c r="Q230" i="23"/>
  <c r="Q302" i="23"/>
  <c r="O303" i="23"/>
  <c r="P303" i="23" s="1"/>
  <c r="O183" i="23"/>
  <c r="P183" i="23" s="1"/>
  <c r="O39" i="23"/>
  <c r="P39" i="23" s="1"/>
  <c r="O338" i="23"/>
  <c r="P338" i="23" s="1"/>
  <c r="O326" i="23"/>
  <c r="P326" i="23" s="1"/>
  <c r="O314" i="23"/>
  <c r="P314" i="23" s="1"/>
  <c r="O302" i="23"/>
  <c r="P302" i="23" s="1"/>
  <c r="O290" i="23"/>
  <c r="P290" i="23" s="1"/>
  <c r="O278" i="23"/>
  <c r="P278" i="23" s="1"/>
  <c r="O266" i="23"/>
  <c r="P266" i="23" s="1"/>
  <c r="O254" i="23"/>
  <c r="P254" i="23" s="1"/>
  <c r="O242" i="23"/>
  <c r="P242" i="23" s="1"/>
  <c r="O230" i="23"/>
  <c r="P230" i="23" s="1"/>
  <c r="O218" i="23"/>
  <c r="O206" i="23"/>
  <c r="P206" i="23" s="1"/>
  <c r="O194" i="23"/>
  <c r="P194" i="23" s="1"/>
  <c r="O182" i="23"/>
  <c r="P182" i="23" s="1"/>
  <c r="O170" i="23"/>
  <c r="P170" i="23" s="1"/>
  <c r="O158" i="23"/>
  <c r="P158" i="23" s="1"/>
  <c r="O146" i="23"/>
  <c r="P146" i="23" s="1"/>
  <c r="O134" i="23"/>
  <c r="P134" i="23" s="1"/>
  <c r="O122" i="23"/>
  <c r="P122" i="23" s="1"/>
  <c r="O110" i="23"/>
  <c r="P110" i="23" s="1"/>
  <c r="O98" i="23"/>
  <c r="P98" i="23" s="1"/>
  <c r="O86" i="23"/>
  <c r="P86" i="23" s="1"/>
  <c r="O74" i="23"/>
  <c r="O62" i="23"/>
  <c r="P62" i="23" s="1"/>
  <c r="O50" i="23"/>
  <c r="P50" i="23" s="1"/>
  <c r="O38" i="23"/>
  <c r="P38" i="23" s="1"/>
  <c r="O26" i="23"/>
  <c r="P26" i="23" s="1"/>
  <c r="O14" i="23"/>
  <c r="P14" i="23" s="1"/>
  <c r="O337" i="23"/>
  <c r="P337" i="23" s="1"/>
  <c r="O325" i="23"/>
  <c r="P325" i="23" s="1"/>
  <c r="O313" i="23"/>
  <c r="P313" i="23" s="1"/>
  <c r="O301" i="23"/>
  <c r="P301" i="23" s="1"/>
  <c r="O289" i="23"/>
  <c r="P289" i="23" s="1"/>
  <c r="O277" i="23"/>
  <c r="P277" i="23" s="1"/>
  <c r="O265" i="23"/>
  <c r="O253" i="23"/>
  <c r="P253" i="23" s="1"/>
  <c r="O241" i="23"/>
  <c r="P241" i="23" s="1"/>
  <c r="O229" i="23"/>
  <c r="P229" i="23" s="1"/>
  <c r="O217" i="23"/>
  <c r="P217" i="23" s="1"/>
  <c r="O205" i="23"/>
  <c r="P205" i="23" s="1"/>
  <c r="O193" i="23"/>
  <c r="P193" i="23" s="1"/>
  <c r="O181" i="23"/>
  <c r="P181" i="23" s="1"/>
  <c r="O169" i="23"/>
  <c r="P169" i="23" s="1"/>
  <c r="O157" i="23"/>
  <c r="P157" i="23" s="1"/>
  <c r="O145" i="23"/>
  <c r="P145" i="23" s="1"/>
  <c r="O133" i="23"/>
  <c r="P133" i="23" s="1"/>
  <c r="O121" i="23"/>
  <c r="O109" i="23"/>
  <c r="P109" i="23" s="1"/>
  <c r="O97" i="23"/>
  <c r="P97" i="23" s="1"/>
  <c r="O85" i="23"/>
  <c r="P85" i="23" s="1"/>
  <c r="O73" i="23"/>
  <c r="P73" i="23" s="1"/>
  <c r="O61" i="23"/>
  <c r="P61" i="23" s="1"/>
  <c r="O49" i="23"/>
  <c r="P49" i="23" s="1"/>
  <c r="O37" i="23"/>
  <c r="P37" i="23" s="1"/>
  <c r="O25" i="23"/>
  <c r="P25" i="23" s="1"/>
  <c r="O13" i="23"/>
  <c r="P13" i="23" s="1"/>
  <c r="O315" i="23"/>
  <c r="P315" i="23" s="1"/>
  <c r="O219" i="23"/>
  <c r="P219" i="23" s="1"/>
  <c r="O135" i="23"/>
  <c r="P135" i="23" s="1"/>
  <c r="O63" i="23"/>
  <c r="P63" i="23" s="1"/>
  <c r="O324" i="23"/>
  <c r="P324" i="23" s="1"/>
  <c r="O264" i="23"/>
  <c r="P264" i="23" s="1"/>
  <c r="O180" i="23"/>
  <c r="P180" i="23" s="1"/>
  <c r="O132" i="23"/>
  <c r="P132" i="23" s="1"/>
  <c r="O60" i="23"/>
  <c r="P60" i="23" s="1"/>
  <c r="O335" i="23"/>
  <c r="P335" i="23" s="1"/>
  <c r="O323" i="23"/>
  <c r="P323" i="23" s="1"/>
  <c r="O311" i="23"/>
  <c r="P311" i="23" s="1"/>
  <c r="O299" i="23"/>
  <c r="P299" i="23" s="1"/>
  <c r="O287" i="23"/>
  <c r="P287" i="23" s="1"/>
  <c r="O275" i="23"/>
  <c r="P275" i="23" s="1"/>
  <c r="O263" i="23"/>
  <c r="P263" i="23" s="1"/>
  <c r="O251" i="23"/>
  <c r="P251" i="23" s="1"/>
  <c r="O239" i="23"/>
  <c r="O227" i="23"/>
  <c r="O215" i="23"/>
  <c r="P215" i="23" s="1"/>
  <c r="O203" i="23"/>
  <c r="P203" i="23" s="1"/>
  <c r="O191" i="23"/>
  <c r="P191" i="23" s="1"/>
  <c r="O179" i="23"/>
  <c r="P179" i="23" s="1"/>
  <c r="O167" i="23"/>
  <c r="P167" i="23" s="1"/>
  <c r="O155" i="23"/>
  <c r="P155" i="23" s="1"/>
  <c r="O143" i="23"/>
  <c r="P143" i="23" s="1"/>
  <c r="O131" i="23"/>
  <c r="P131" i="23" s="1"/>
  <c r="O119" i="23"/>
  <c r="P119" i="23" s="1"/>
  <c r="O107" i="23"/>
  <c r="P107" i="23" s="1"/>
  <c r="O95" i="23"/>
  <c r="P95" i="23" s="1"/>
  <c r="O83" i="23"/>
  <c r="P83" i="23" s="1"/>
  <c r="O71" i="23"/>
  <c r="O59" i="23"/>
  <c r="P59" i="23" s="1"/>
  <c r="O47" i="23"/>
  <c r="P47" i="23" s="1"/>
  <c r="O35" i="23"/>
  <c r="O23" i="23"/>
  <c r="P23" i="23" s="1"/>
  <c r="O11" i="23"/>
  <c r="P11" i="23" s="1"/>
  <c r="O243" i="23"/>
  <c r="P243" i="23" s="1"/>
  <c r="O111" i="23"/>
  <c r="P111" i="23" s="1"/>
  <c r="O288" i="23"/>
  <c r="P288" i="23" s="1"/>
  <c r="O96" i="23"/>
  <c r="P96" i="23" s="1"/>
  <c r="O334" i="23"/>
  <c r="P334" i="23" s="1"/>
  <c r="O322" i="23"/>
  <c r="P322" i="23" s="1"/>
  <c r="O310" i="23"/>
  <c r="P310" i="23" s="1"/>
  <c r="O298" i="23"/>
  <c r="P298" i="23" s="1"/>
  <c r="O286" i="23"/>
  <c r="P286" i="23" s="1"/>
  <c r="O274" i="23"/>
  <c r="O262" i="23"/>
  <c r="P262" i="23" s="1"/>
  <c r="O250" i="23"/>
  <c r="O238" i="23"/>
  <c r="P238" i="23" s="1"/>
  <c r="O226" i="23"/>
  <c r="P226" i="23" s="1"/>
  <c r="O214" i="23"/>
  <c r="P214" i="23" s="1"/>
  <c r="O202" i="23"/>
  <c r="P202" i="23" s="1"/>
  <c r="O190" i="23"/>
  <c r="P190" i="23" s="1"/>
  <c r="O178" i="23"/>
  <c r="P178" i="23" s="1"/>
  <c r="O166" i="23"/>
  <c r="P166" i="23" s="1"/>
  <c r="O154" i="23"/>
  <c r="P154" i="23" s="1"/>
  <c r="O142" i="23"/>
  <c r="P142" i="23" s="1"/>
  <c r="O130" i="23"/>
  <c r="O118" i="23"/>
  <c r="P118" i="23" s="1"/>
  <c r="O106" i="23"/>
  <c r="O94" i="23"/>
  <c r="P94" i="23" s="1"/>
  <c r="O82" i="23"/>
  <c r="P82" i="23" s="1"/>
  <c r="O70" i="23"/>
  <c r="P70" i="23" s="1"/>
  <c r="O58" i="23"/>
  <c r="P58" i="23" s="1"/>
  <c r="O46" i="23"/>
  <c r="P46" i="23" s="1"/>
  <c r="O34" i="23"/>
  <c r="P34" i="23" s="1"/>
  <c r="O22" i="23"/>
  <c r="P22" i="23" s="1"/>
  <c r="O10" i="23"/>
  <c r="P10" i="23" s="1"/>
  <c r="O327" i="23"/>
  <c r="P327" i="23" s="1"/>
  <c r="O207" i="23"/>
  <c r="P207" i="23" s="1"/>
  <c r="O99" i="23"/>
  <c r="P99" i="23" s="1"/>
  <c r="O240" i="23"/>
  <c r="P240" i="23" s="1"/>
  <c r="O84" i="23"/>
  <c r="P84" i="23" s="1"/>
  <c r="O333" i="23"/>
  <c r="P333" i="23" s="1"/>
  <c r="O321" i="23"/>
  <c r="P321" i="23" s="1"/>
  <c r="O309" i="23"/>
  <c r="P309" i="23" s="1"/>
  <c r="O297" i="23"/>
  <c r="P297" i="23" s="1"/>
  <c r="O285" i="23"/>
  <c r="P285" i="23" s="1"/>
  <c r="O273" i="23"/>
  <c r="P273" i="23" s="1"/>
  <c r="O261" i="23"/>
  <c r="P261" i="23" s="1"/>
  <c r="O249" i="23"/>
  <c r="P249" i="23" s="1"/>
  <c r="O237" i="23"/>
  <c r="P237" i="23" s="1"/>
  <c r="O225" i="23"/>
  <c r="O213" i="23"/>
  <c r="P213" i="23" s="1"/>
  <c r="O201" i="23"/>
  <c r="P201" i="23" s="1"/>
  <c r="O189" i="23"/>
  <c r="P189" i="23" s="1"/>
  <c r="O177" i="23"/>
  <c r="P177" i="23" s="1"/>
  <c r="O165" i="23"/>
  <c r="P165" i="23" s="1"/>
  <c r="O153" i="23"/>
  <c r="P153" i="23" s="1"/>
  <c r="O141" i="23"/>
  <c r="P141" i="23" s="1"/>
  <c r="O129" i="23"/>
  <c r="P129" i="23" s="1"/>
  <c r="O117" i="23"/>
  <c r="P117" i="23" s="1"/>
  <c r="O105" i="23"/>
  <c r="P105" i="23" s="1"/>
  <c r="O93" i="23"/>
  <c r="P93" i="23" s="1"/>
  <c r="O81" i="23"/>
  <c r="O69" i="23"/>
  <c r="P69" i="23" s="1"/>
  <c r="O57" i="23"/>
  <c r="P57" i="23" s="1"/>
  <c r="O45" i="23"/>
  <c r="P45" i="23" s="1"/>
  <c r="O33" i="23"/>
  <c r="P33" i="23" s="1"/>
  <c r="O21" i="23"/>
  <c r="P21" i="23" s="1"/>
  <c r="O9" i="23"/>
  <c r="P9" i="23" s="1"/>
  <c r="O339" i="23"/>
  <c r="P339" i="23" s="1"/>
  <c r="O231" i="23"/>
  <c r="P231" i="23" s="1"/>
  <c r="O87" i="23"/>
  <c r="P87" i="23" s="1"/>
  <c r="O312" i="23"/>
  <c r="O204" i="23"/>
  <c r="P204" i="23" s="1"/>
  <c r="O36" i="23"/>
  <c r="P36" i="23" s="1"/>
  <c r="O344" i="23"/>
  <c r="P344" i="23" s="1"/>
  <c r="O332" i="23"/>
  <c r="P332" i="23" s="1"/>
  <c r="O320" i="23"/>
  <c r="P320" i="23" s="1"/>
  <c r="O308" i="23"/>
  <c r="P308" i="23" s="1"/>
  <c r="O296" i="23"/>
  <c r="P296" i="23" s="1"/>
  <c r="O284" i="23"/>
  <c r="P284" i="23" s="1"/>
  <c r="O272" i="23"/>
  <c r="P272" i="23" s="1"/>
  <c r="O260" i="23"/>
  <c r="P260" i="23" s="1"/>
  <c r="O248" i="23"/>
  <c r="P248" i="23" s="1"/>
  <c r="O236" i="23"/>
  <c r="P236" i="23" s="1"/>
  <c r="O224" i="23"/>
  <c r="P224" i="23" s="1"/>
  <c r="O212" i="23"/>
  <c r="P212" i="23" s="1"/>
  <c r="O200" i="23"/>
  <c r="P200" i="23" s="1"/>
  <c r="O188" i="23"/>
  <c r="P188" i="23" s="1"/>
  <c r="O176" i="23"/>
  <c r="P176" i="23" s="1"/>
  <c r="O164" i="23"/>
  <c r="P164" i="23" s="1"/>
  <c r="O152" i="23"/>
  <c r="P152" i="23" s="1"/>
  <c r="O140" i="23"/>
  <c r="P140" i="23" s="1"/>
  <c r="O128" i="23"/>
  <c r="P128" i="23" s="1"/>
  <c r="O116" i="23"/>
  <c r="P116" i="23" s="1"/>
  <c r="O104" i="23"/>
  <c r="P104" i="23" s="1"/>
  <c r="O92" i="23"/>
  <c r="P92" i="23" s="1"/>
  <c r="O80" i="23"/>
  <c r="P80" i="23" s="1"/>
  <c r="O68" i="23"/>
  <c r="P68" i="23" s="1"/>
  <c r="O56" i="23"/>
  <c r="P56" i="23" s="1"/>
  <c r="O44" i="23"/>
  <c r="P44" i="23" s="1"/>
  <c r="O32" i="23"/>
  <c r="P32" i="23" s="1"/>
  <c r="O20" i="23"/>
  <c r="P20" i="23" s="1"/>
  <c r="O8" i="23"/>
  <c r="P8" i="23" s="1"/>
  <c r="O291" i="23"/>
  <c r="P291" i="23" s="1"/>
  <c r="O159" i="23"/>
  <c r="P159" i="23" s="1"/>
  <c r="O15" i="23"/>
  <c r="P15" i="23" s="1"/>
  <c r="O300" i="23"/>
  <c r="P300" i="23" s="1"/>
  <c r="O216" i="23"/>
  <c r="P216" i="23" s="1"/>
  <c r="O168" i="23"/>
  <c r="O144" i="23"/>
  <c r="O108" i="23"/>
  <c r="P108" i="23" s="1"/>
  <c r="O48" i="23"/>
  <c r="P48" i="23" s="1"/>
  <c r="O343" i="23"/>
  <c r="P343" i="23" s="1"/>
  <c r="O331" i="23"/>
  <c r="P331" i="23" s="1"/>
  <c r="O319" i="23"/>
  <c r="P319" i="23" s="1"/>
  <c r="O307" i="23"/>
  <c r="P307" i="23" s="1"/>
  <c r="O295" i="23"/>
  <c r="O283" i="23"/>
  <c r="P283" i="23" s="1"/>
  <c r="O271" i="23"/>
  <c r="P271" i="23" s="1"/>
  <c r="O259" i="23"/>
  <c r="P259" i="23" s="1"/>
  <c r="O247" i="23"/>
  <c r="P247" i="23" s="1"/>
  <c r="O235" i="23"/>
  <c r="O223" i="23"/>
  <c r="P223" i="23" s="1"/>
  <c r="O211" i="23"/>
  <c r="P211" i="23" s="1"/>
  <c r="O199" i="23"/>
  <c r="P199" i="23" s="1"/>
  <c r="O187" i="23"/>
  <c r="P187" i="23" s="1"/>
  <c r="O175" i="23"/>
  <c r="P175" i="23" s="1"/>
  <c r="O163" i="23"/>
  <c r="P163" i="23" s="1"/>
  <c r="O151" i="23"/>
  <c r="P151" i="23" s="1"/>
  <c r="O139" i="23"/>
  <c r="P139" i="23" s="1"/>
  <c r="O127" i="23"/>
  <c r="P127" i="23" s="1"/>
  <c r="O115" i="23"/>
  <c r="O103" i="23"/>
  <c r="P103" i="23" s="1"/>
  <c r="O91" i="23"/>
  <c r="P91" i="23" s="1"/>
  <c r="O79" i="23"/>
  <c r="P79" i="23" s="1"/>
  <c r="O67" i="23"/>
  <c r="P67" i="23" s="1"/>
  <c r="O55" i="23"/>
  <c r="O43" i="23"/>
  <c r="P43" i="23" s="1"/>
  <c r="O31" i="23"/>
  <c r="P31" i="23" s="1"/>
  <c r="O19" i="23"/>
  <c r="P19" i="23" s="1"/>
  <c r="O7" i="23"/>
  <c r="P7" i="23" s="1"/>
  <c r="O279" i="23"/>
  <c r="P279" i="23" s="1"/>
  <c r="O195" i="23"/>
  <c r="P195" i="23" s="1"/>
  <c r="O123" i="23"/>
  <c r="P123" i="23" s="1"/>
  <c r="O75" i="23"/>
  <c r="P75" i="23" s="1"/>
  <c r="O336" i="23"/>
  <c r="P336" i="23" s="1"/>
  <c r="O228" i="23"/>
  <c r="P228" i="23" s="1"/>
  <c r="O72" i="23"/>
  <c r="P72" i="23" s="1"/>
  <c r="O342" i="23"/>
  <c r="P342" i="23" s="1"/>
  <c r="O330" i="23"/>
  <c r="P330" i="23" s="1"/>
  <c r="O318" i="23"/>
  <c r="P318" i="23" s="1"/>
  <c r="O306" i="23"/>
  <c r="P306" i="23" s="1"/>
  <c r="O294" i="23"/>
  <c r="P294" i="23" s="1"/>
  <c r="O282" i="23"/>
  <c r="O270" i="23"/>
  <c r="P270" i="23" s="1"/>
  <c r="O258" i="23"/>
  <c r="P258" i="23" s="1"/>
  <c r="O246" i="23"/>
  <c r="P246" i="23" s="1"/>
  <c r="O234" i="23"/>
  <c r="P234" i="23" s="1"/>
  <c r="O222" i="23"/>
  <c r="P222" i="23" s="1"/>
  <c r="O210" i="23"/>
  <c r="P210" i="23" s="1"/>
  <c r="O198" i="23"/>
  <c r="P198" i="23" s="1"/>
  <c r="O186" i="23"/>
  <c r="P186" i="23" s="1"/>
  <c r="O174" i="23"/>
  <c r="P174" i="23" s="1"/>
  <c r="O162" i="23"/>
  <c r="O150" i="23"/>
  <c r="P150" i="23" s="1"/>
  <c r="O138" i="23"/>
  <c r="O126" i="23"/>
  <c r="P126" i="23" s="1"/>
  <c r="O114" i="23"/>
  <c r="P114" i="23" s="1"/>
  <c r="O102" i="23"/>
  <c r="P102" i="23" s="1"/>
  <c r="O90" i="23"/>
  <c r="P90" i="23" s="1"/>
  <c r="O78" i="23"/>
  <c r="P78" i="23" s="1"/>
  <c r="O66" i="23"/>
  <c r="P66" i="23" s="1"/>
  <c r="O54" i="23"/>
  <c r="P54" i="23" s="1"/>
  <c r="O42" i="23"/>
  <c r="P42" i="23" s="1"/>
  <c r="O30" i="23"/>
  <c r="P30" i="23" s="1"/>
  <c r="O18" i="23"/>
  <c r="O6" i="23"/>
  <c r="P6" i="23" s="1"/>
  <c r="O267" i="23"/>
  <c r="P267" i="23" s="1"/>
  <c r="O171" i="23"/>
  <c r="P171" i="23" s="1"/>
  <c r="O51" i="23"/>
  <c r="P51" i="23" s="1"/>
  <c r="O252" i="23"/>
  <c r="P252" i="23" s="1"/>
  <c r="O156" i="23"/>
  <c r="P156" i="23" s="1"/>
  <c r="O24" i="23"/>
  <c r="O341" i="23"/>
  <c r="P341" i="23" s="1"/>
  <c r="O329" i="23"/>
  <c r="P329" i="23" s="1"/>
  <c r="O317" i="23"/>
  <c r="P317" i="23" s="1"/>
  <c r="O305" i="23"/>
  <c r="P305" i="23" s="1"/>
  <c r="O293" i="23"/>
  <c r="P293" i="23" s="1"/>
  <c r="O281" i="23"/>
  <c r="P281" i="23" s="1"/>
  <c r="O269" i="23"/>
  <c r="P269" i="23" s="1"/>
  <c r="O257" i="23"/>
  <c r="P257" i="23" s="1"/>
  <c r="O245" i="23"/>
  <c r="P245" i="23" s="1"/>
  <c r="O233" i="23"/>
  <c r="P233" i="23" s="1"/>
  <c r="O221" i="23"/>
  <c r="P221" i="23" s="1"/>
  <c r="O209" i="23"/>
  <c r="P209" i="23" s="1"/>
  <c r="O197" i="23"/>
  <c r="P197" i="23" s="1"/>
  <c r="O185" i="23"/>
  <c r="P185" i="23" s="1"/>
  <c r="O173" i="23"/>
  <c r="P173" i="23" s="1"/>
  <c r="O161" i="23"/>
  <c r="P161" i="23" s="1"/>
  <c r="O149" i="23"/>
  <c r="P149" i="23" s="1"/>
  <c r="O137" i="23"/>
  <c r="P137" i="23" s="1"/>
  <c r="O125" i="23"/>
  <c r="P125" i="23" s="1"/>
  <c r="O113" i="23"/>
  <c r="P113" i="23" s="1"/>
  <c r="O101" i="23"/>
  <c r="P101" i="23" s="1"/>
  <c r="O89" i="23"/>
  <c r="P89" i="23" s="1"/>
  <c r="O77" i="23"/>
  <c r="P77" i="23" s="1"/>
  <c r="O65" i="23"/>
  <c r="P65" i="23" s="1"/>
  <c r="O53" i="23"/>
  <c r="P53" i="23" s="1"/>
  <c r="O41" i="23"/>
  <c r="P41" i="23" s="1"/>
  <c r="O29" i="23"/>
  <c r="P29" i="23" s="1"/>
  <c r="O17" i="23"/>
  <c r="P17" i="23" s="1"/>
  <c r="O5" i="23"/>
  <c r="P5" i="23" s="1"/>
  <c r="O255" i="23"/>
  <c r="P255" i="23" s="1"/>
  <c r="O147" i="23"/>
  <c r="P147" i="23" s="1"/>
  <c r="O27" i="23"/>
  <c r="P27" i="23" s="1"/>
  <c r="O276" i="23"/>
  <c r="P276" i="23" s="1"/>
  <c r="O192" i="23"/>
  <c r="P192" i="23" s="1"/>
  <c r="O120" i="23"/>
  <c r="P120" i="23" s="1"/>
  <c r="O12" i="23"/>
  <c r="P12" i="23" s="1"/>
  <c r="O340" i="23"/>
  <c r="P340" i="23" s="1"/>
  <c r="O328" i="23"/>
  <c r="P328" i="23" s="1"/>
  <c r="O316" i="23"/>
  <c r="P316" i="23" s="1"/>
  <c r="O304" i="23"/>
  <c r="P304" i="23" s="1"/>
  <c r="O292" i="23"/>
  <c r="P292" i="23" s="1"/>
  <c r="O280" i="23"/>
  <c r="P280" i="23" s="1"/>
  <c r="O268" i="23"/>
  <c r="O256" i="23"/>
  <c r="P256" i="23" s="1"/>
  <c r="O244" i="23"/>
  <c r="P244" i="23" s="1"/>
  <c r="O232" i="23"/>
  <c r="O220" i="23"/>
  <c r="O208" i="23"/>
  <c r="P208" i="23" s="1"/>
  <c r="O196" i="23"/>
  <c r="P196" i="23" s="1"/>
  <c r="O184" i="23"/>
  <c r="P184" i="23" s="1"/>
  <c r="O172" i="23"/>
  <c r="P172" i="23" s="1"/>
  <c r="O160" i="23"/>
  <c r="P160" i="23" s="1"/>
  <c r="O148" i="23"/>
  <c r="P148" i="23" s="1"/>
  <c r="O136" i="23"/>
  <c r="P136" i="23" s="1"/>
  <c r="O124" i="23"/>
  <c r="P124" i="23" s="1"/>
  <c r="O112" i="23"/>
  <c r="P112" i="23" s="1"/>
  <c r="O100" i="23"/>
  <c r="P100" i="23" s="1"/>
  <c r="O88" i="23"/>
  <c r="P88" i="23" s="1"/>
  <c r="O76" i="23"/>
  <c r="P76" i="23" s="1"/>
  <c r="O64" i="23"/>
  <c r="P64" i="23" s="1"/>
  <c r="O52" i="23"/>
  <c r="P52" i="23" s="1"/>
  <c r="O40" i="23"/>
  <c r="O28" i="23"/>
  <c r="P28" i="23" s="1"/>
  <c r="O16" i="23"/>
  <c r="P16" i="23" s="1"/>
  <c r="C17" i="23"/>
  <c r="B18" i="23"/>
  <c r="C18" i="23"/>
  <c r="B19" i="23"/>
  <c r="C19" i="23"/>
  <c r="B20" i="23"/>
  <c r="C20" i="23"/>
  <c r="B17" i="23"/>
  <c r="A19" i="23"/>
  <c r="A20" i="23"/>
  <c r="V143" i="23" l="1"/>
  <c r="R240" i="23"/>
  <c r="R11" i="23"/>
  <c r="V289" i="23"/>
  <c r="Z4" i="23"/>
  <c r="Z6" i="23" s="1"/>
  <c r="V260" i="23" s="1"/>
  <c r="V172" i="23"/>
  <c r="V43" i="23"/>
  <c r="R252" i="23"/>
  <c r="V102" i="23"/>
  <c r="R247" i="23"/>
  <c r="R57" i="23"/>
  <c r="R156" i="23"/>
  <c r="V105" i="23"/>
  <c r="V249" i="23"/>
  <c r="R142" i="23"/>
  <c r="R104" i="23"/>
  <c r="R248" i="23"/>
  <c r="R60" i="23"/>
  <c r="V49" i="23"/>
  <c r="R193" i="23"/>
  <c r="F17" i="23"/>
  <c r="G17" i="23"/>
  <c r="D17" i="23"/>
  <c r="E17" i="23" s="1"/>
  <c r="V65" i="23"/>
  <c r="R65" i="23"/>
  <c r="R315" i="23"/>
  <c r="F20" i="23"/>
  <c r="G20" i="23"/>
  <c r="D20" i="23"/>
  <c r="E20" i="23" s="1"/>
  <c r="V233" i="23"/>
  <c r="V24" i="23"/>
  <c r="R74" i="23"/>
  <c r="R115" i="23"/>
  <c r="R101" i="23"/>
  <c r="D19" i="23"/>
  <c r="E19" i="23" s="1"/>
  <c r="F19" i="23"/>
  <c r="G19" i="23"/>
  <c r="R87" i="23"/>
  <c r="V87" i="23"/>
  <c r="V168" i="23"/>
  <c r="R218" i="23"/>
  <c r="V162" i="23"/>
  <c r="R269" i="23"/>
  <c r="V269" i="23"/>
  <c r="R267" i="23"/>
  <c r="V279" i="23"/>
  <c r="D18" i="23"/>
  <c r="E18" i="23" s="1"/>
  <c r="F18" i="23"/>
  <c r="G18" i="23"/>
  <c r="R255" i="23"/>
  <c r="V255" i="23"/>
  <c r="V281" i="23"/>
  <c r="V53" i="23"/>
  <c r="R303" i="23"/>
  <c r="V303" i="23"/>
  <c r="V265" i="23"/>
  <c r="R293" i="23"/>
  <c r="V293" i="23"/>
  <c r="V291" i="23"/>
  <c r="R291" i="23"/>
  <c r="V271" i="23" l="1"/>
  <c r="R340" i="23"/>
  <c r="R324" i="23"/>
  <c r="V67" i="23"/>
  <c r="V135" i="23"/>
  <c r="R90" i="23"/>
  <c r="R316" i="23"/>
  <c r="R301" i="23"/>
  <c r="R62" i="23"/>
  <c r="V111" i="23"/>
  <c r="R210" i="23"/>
  <c r="R175" i="23"/>
  <c r="V13" i="23"/>
  <c r="R182" i="23"/>
  <c r="R27" i="23"/>
  <c r="V221" i="23"/>
  <c r="V185" i="23"/>
  <c r="V210" i="23"/>
  <c r="V175" i="23"/>
  <c r="V311" i="23"/>
  <c r="V314" i="23"/>
  <c r="R239" i="23"/>
  <c r="R282" i="23"/>
  <c r="R6" i="23"/>
  <c r="V132" i="23"/>
  <c r="V66" i="23"/>
  <c r="R302" i="23"/>
  <c r="V220" i="23"/>
  <c r="R227" i="23"/>
  <c r="R278" i="23"/>
  <c r="V266" i="23"/>
  <c r="R96" i="23"/>
  <c r="R119" i="23"/>
  <c r="R268" i="23"/>
  <c r="V267" i="23"/>
  <c r="R220" i="23"/>
  <c r="V227" i="23"/>
  <c r="R134" i="23"/>
  <c r="V122" i="23"/>
  <c r="R309" i="23"/>
  <c r="R318" i="23"/>
  <c r="R178" i="23"/>
  <c r="V268" i="23"/>
  <c r="V137" i="23"/>
  <c r="R279" i="23"/>
  <c r="V218" i="23"/>
  <c r="V27" i="23"/>
  <c r="V115" i="23"/>
  <c r="V89" i="23"/>
  <c r="V239" i="23"/>
  <c r="V209" i="23"/>
  <c r="R135" i="23"/>
  <c r="R138" i="23"/>
  <c r="R49" i="23"/>
  <c r="V104" i="23"/>
  <c r="V332" i="23"/>
  <c r="V278" i="23"/>
  <c r="R249" i="23"/>
  <c r="V156" i="23"/>
  <c r="R21" i="23"/>
  <c r="R132" i="23"/>
  <c r="R103" i="23"/>
  <c r="R43" i="23"/>
  <c r="V157" i="23"/>
  <c r="V97" i="23"/>
  <c r="V145" i="23"/>
  <c r="R94" i="23"/>
  <c r="R95" i="23"/>
  <c r="V165" i="23"/>
  <c r="R185" i="23"/>
  <c r="R232" i="23"/>
  <c r="R203" i="23"/>
  <c r="V270" i="23"/>
  <c r="V196" i="23"/>
  <c r="V325" i="23"/>
  <c r="R105" i="23"/>
  <c r="V39" i="23"/>
  <c r="V334" i="23"/>
  <c r="V313" i="23"/>
  <c r="V192" i="23"/>
  <c r="R30" i="23"/>
  <c r="V262" i="23"/>
  <c r="V174" i="23"/>
  <c r="R344" i="23"/>
  <c r="V62" i="23"/>
  <c r="R215" i="23"/>
  <c r="R166" i="23"/>
  <c r="V41" i="23"/>
  <c r="V71" i="23"/>
  <c r="R298" i="23"/>
  <c r="R270" i="23"/>
  <c r="R196" i="23"/>
  <c r="R181" i="23"/>
  <c r="R236" i="23"/>
  <c r="R39" i="23"/>
  <c r="V284" i="23"/>
  <c r="R313" i="23"/>
  <c r="R88" i="23"/>
  <c r="V30" i="23"/>
  <c r="R262" i="23"/>
  <c r="V304" i="23"/>
  <c r="V56" i="23"/>
  <c r="V33" i="23"/>
  <c r="R226" i="23"/>
  <c r="R251" i="23"/>
  <c r="R41" i="23"/>
  <c r="R71" i="23"/>
  <c r="V154" i="23"/>
  <c r="V126" i="23"/>
  <c r="V186" i="23"/>
  <c r="R37" i="23"/>
  <c r="R216" i="23"/>
  <c r="V109" i="23"/>
  <c r="R163" i="23"/>
  <c r="V169" i="23"/>
  <c r="V84" i="23"/>
  <c r="V190" i="23"/>
  <c r="V36" i="23"/>
  <c r="R85" i="23"/>
  <c r="R79" i="23"/>
  <c r="V20" i="23"/>
  <c r="R82" i="23"/>
  <c r="V152" i="23"/>
  <c r="R125" i="23"/>
  <c r="V195" i="23"/>
  <c r="R327" i="23"/>
  <c r="V243" i="23"/>
  <c r="V40" i="23"/>
  <c r="R121" i="23"/>
  <c r="V149" i="23"/>
  <c r="V339" i="23"/>
  <c r="V81" i="23"/>
  <c r="V147" i="23"/>
  <c r="R195" i="23"/>
  <c r="V123" i="23"/>
  <c r="V341" i="23"/>
  <c r="R40" i="23"/>
  <c r="R219" i="23"/>
  <c r="R274" i="23"/>
  <c r="V250" i="23"/>
  <c r="V144" i="23"/>
  <c r="R154" i="23"/>
  <c r="R126" i="23"/>
  <c r="R194" i="23"/>
  <c r="R335" i="23"/>
  <c r="V216" i="23"/>
  <c r="R321" i="23"/>
  <c r="V163" i="23"/>
  <c r="R179" i="23"/>
  <c r="R84" i="23"/>
  <c r="R190" i="23"/>
  <c r="R68" i="23"/>
  <c r="R297" i="23"/>
  <c r="R228" i="23"/>
  <c r="R20" i="23"/>
  <c r="V320" i="23"/>
  <c r="R326" i="23"/>
  <c r="V208" i="23"/>
  <c r="R28" i="23"/>
  <c r="R320" i="23"/>
  <c r="R46" i="23"/>
  <c r="R24" i="23"/>
  <c r="V5" i="23"/>
  <c r="R147" i="23"/>
  <c r="R341" i="23"/>
  <c r="V274" i="23"/>
  <c r="V10" i="23"/>
  <c r="V259" i="23"/>
  <c r="R285" i="23"/>
  <c r="R5" i="23"/>
  <c r="R159" i="23"/>
  <c r="R231" i="23"/>
  <c r="V130" i="23"/>
  <c r="R171" i="23"/>
  <c r="V245" i="23"/>
  <c r="R207" i="23"/>
  <c r="R312" i="23"/>
  <c r="V197" i="23"/>
  <c r="V18" i="23"/>
  <c r="V106" i="23"/>
  <c r="R290" i="23"/>
  <c r="R10" i="23"/>
  <c r="V244" i="23"/>
  <c r="V31" i="23"/>
  <c r="V191" i="23"/>
  <c r="V258" i="23"/>
  <c r="R331" i="23"/>
  <c r="V141" i="23"/>
  <c r="V93" i="23"/>
  <c r="R52" i="23"/>
  <c r="R7" i="23"/>
  <c r="R234" i="23"/>
  <c r="V61" i="23"/>
  <c r="R208" i="23"/>
  <c r="R338" i="23"/>
  <c r="R342" i="23"/>
  <c r="R280" i="23"/>
  <c r="V225" i="23"/>
  <c r="R149" i="23"/>
  <c r="R81" i="23"/>
  <c r="R51" i="23"/>
  <c r="V219" i="23"/>
  <c r="V290" i="23"/>
  <c r="R31" i="23"/>
  <c r="V331" i="23"/>
  <c r="R237" i="23"/>
  <c r="R91" i="23"/>
  <c r="V295" i="23"/>
  <c r="V159" i="23"/>
  <c r="V231" i="23"/>
  <c r="R130" i="23"/>
  <c r="V257" i="23"/>
  <c r="R245" i="23"/>
  <c r="V75" i="23"/>
  <c r="R99" i="23"/>
  <c r="R197" i="23"/>
  <c r="R18" i="23"/>
  <c r="R235" i="23"/>
  <c r="R337" i="23"/>
  <c r="R261" i="23"/>
  <c r="R244" i="23"/>
  <c r="V264" i="23"/>
  <c r="R191" i="23"/>
  <c r="R258" i="23"/>
  <c r="V317" i="23"/>
  <c r="V158" i="23"/>
  <c r="V80" i="23"/>
  <c r="V253" i="23"/>
  <c r="R254" i="23"/>
  <c r="R76" i="23"/>
  <c r="R22" i="23"/>
  <c r="R230" i="23"/>
  <c r="V202" i="23"/>
  <c r="V198" i="23"/>
  <c r="V14" i="23"/>
  <c r="V327" i="23"/>
  <c r="V121" i="23"/>
  <c r="R53" i="23"/>
  <c r="R339" i="23"/>
  <c r="V171" i="23"/>
  <c r="V312" i="23"/>
  <c r="R106" i="23"/>
  <c r="R114" i="23"/>
  <c r="V335" i="23"/>
  <c r="V170" i="23"/>
  <c r="R72" i="23"/>
  <c r="R295" i="23"/>
  <c r="R281" i="23"/>
  <c r="R15" i="23"/>
  <c r="R162" i="23"/>
  <c r="R257" i="23"/>
  <c r="V101" i="23"/>
  <c r="R233" i="23"/>
  <c r="R221" i="23"/>
  <c r="V315" i="23"/>
  <c r="R183" i="23"/>
  <c r="V282" i="23"/>
  <c r="V193" i="23"/>
  <c r="V248" i="23"/>
  <c r="V90" i="23"/>
  <c r="R140" i="23"/>
  <c r="R47" i="23"/>
  <c r="V100" i="23"/>
  <c r="V316" i="23"/>
  <c r="R158" i="23"/>
  <c r="R80" i="23"/>
  <c r="R177" i="23"/>
  <c r="V301" i="23"/>
  <c r="R201" i="23"/>
  <c r="V98" i="23"/>
  <c r="V277" i="23"/>
  <c r="V182" i="23"/>
  <c r="R184" i="23"/>
  <c r="V310" i="23"/>
  <c r="R23" i="23"/>
  <c r="R212" i="23"/>
  <c r="V96" i="23"/>
  <c r="R136" i="23"/>
  <c r="R98" i="23"/>
  <c r="V11" i="23"/>
  <c r="V200" i="23"/>
  <c r="V228" i="23"/>
  <c r="V86" i="23"/>
  <c r="V238" i="23"/>
  <c r="R67" i="23"/>
  <c r="R33" i="23"/>
  <c r="R314" i="23"/>
  <c r="V215" i="23"/>
  <c r="V226" i="23"/>
  <c r="V342" i="23"/>
  <c r="V184" i="23"/>
  <c r="R165" i="23"/>
  <c r="V9" i="23"/>
  <c r="R205" i="23"/>
  <c r="V58" i="23"/>
  <c r="V46" i="23"/>
  <c r="R14" i="23"/>
  <c r="R109" i="23"/>
  <c r="R317" i="23"/>
  <c r="V17" i="23"/>
  <c r="R169" i="23"/>
  <c r="V237" i="23"/>
  <c r="V247" i="23"/>
  <c r="R192" i="23"/>
  <c r="V72" i="23"/>
  <c r="R172" i="23"/>
  <c r="V7" i="23"/>
  <c r="R157" i="23"/>
  <c r="V68" i="23"/>
  <c r="V201" i="23"/>
  <c r="V309" i="23"/>
  <c r="V85" i="23"/>
  <c r="R61" i="23"/>
  <c r="R289" i="23"/>
  <c r="V240" i="23"/>
  <c r="R200" i="23"/>
  <c r="V222" i="23"/>
  <c r="V44" i="23"/>
  <c r="R86" i="23"/>
  <c r="R238" i="23"/>
  <c r="V338" i="23"/>
  <c r="V95" i="23"/>
  <c r="V322" i="23"/>
  <c r="V129" i="23"/>
  <c r="V82" i="23"/>
  <c r="V176" i="23"/>
  <c r="R198" i="23"/>
  <c r="V119" i="23"/>
  <c r="V318" i="23"/>
  <c r="V178" i="23"/>
  <c r="V166" i="23"/>
  <c r="R58" i="23"/>
  <c r="V148" i="23"/>
  <c r="R243" i="23"/>
  <c r="R89" i="23"/>
  <c r="V99" i="23"/>
  <c r="R209" i="23"/>
  <c r="V183" i="23"/>
  <c r="R250" i="23"/>
  <c r="V138" i="23"/>
  <c r="R144" i="23"/>
  <c r="V60" i="23"/>
  <c r="V300" i="23"/>
  <c r="V256" i="23"/>
  <c r="V64" i="23"/>
  <c r="V206" i="23"/>
  <c r="R264" i="23"/>
  <c r="V134" i="23"/>
  <c r="V47" i="23"/>
  <c r="R259" i="23"/>
  <c r="V57" i="23"/>
  <c r="V214" i="23"/>
  <c r="R17" i="23"/>
  <c r="R170" i="23"/>
  <c r="V273" i="23"/>
  <c r="R93" i="23"/>
  <c r="V103" i="23"/>
  <c r="V306" i="23"/>
  <c r="V283" i="23"/>
  <c r="V8" i="23"/>
  <c r="V297" i="23"/>
  <c r="V22" i="23"/>
  <c r="R213" i="23"/>
  <c r="R56" i="23"/>
  <c r="R222" i="23"/>
  <c r="R44" i="23"/>
  <c r="V63" i="23"/>
  <c r="V330" i="23"/>
  <c r="R153" i="23"/>
  <c r="R322" i="23"/>
  <c r="R129" i="23"/>
  <c r="V333" i="23"/>
  <c r="R176" i="23"/>
  <c r="V308" i="23"/>
  <c r="V160" i="23"/>
  <c r="V272" i="23"/>
  <c r="R116" i="23"/>
  <c r="R152" i="23"/>
  <c r="R148" i="23"/>
  <c r="R38" i="23"/>
  <c r="V83" i="23"/>
  <c r="R25" i="23"/>
  <c r="R204" i="23"/>
  <c r="V246" i="23"/>
  <c r="V88" i="23"/>
  <c r="V52" i="23"/>
  <c r="V324" i="23"/>
  <c r="R13" i="23"/>
  <c r="V118" i="23"/>
  <c r="V91" i="23"/>
  <c r="R66" i="23"/>
  <c r="V307" i="23"/>
  <c r="V139" i="23"/>
  <c r="R145" i="23"/>
  <c r="V213" i="23"/>
  <c r="V108" i="23"/>
  <c r="R78" i="23"/>
  <c r="V263" i="23"/>
  <c r="R277" i="23"/>
  <c r="V94" i="23"/>
  <c r="R63" i="23"/>
  <c r="R202" i="23"/>
  <c r="V153" i="23"/>
  <c r="R128" i="23"/>
  <c r="V275" i="23"/>
  <c r="R333" i="23"/>
  <c r="V32" i="23"/>
  <c r="V54" i="23"/>
  <c r="V116" i="23"/>
  <c r="V305" i="23"/>
  <c r="V217" i="23"/>
  <c r="R310" i="23"/>
  <c r="V203" i="23"/>
  <c r="R300" i="23"/>
  <c r="R256" i="23"/>
  <c r="R64" i="23"/>
  <c r="R206" i="23"/>
  <c r="V140" i="23"/>
  <c r="R325" i="23"/>
  <c r="V286" i="23"/>
  <c r="V236" i="23"/>
  <c r="V211" i="23"/>
  <c r="R214" i="23"/>
  <c r="V107" i="23"/>
  <c r="V38" i="23"/>
  <c r="R83" i="23"/>
  <c r="R273" i="23"/>
  <c r="V25" i="23"/>
  <c r="V204" i="23"/>
  <c r="R246" i="23"/>
  <c r="V336" i="23"/>
  <c r="R253" i="23"/>
  <c r="R306" i="23"/>
  <c r="R283" i="23"/>
  <c r="R311" i="23"/>
  <c r="R118" i="23"/>
  <c r="V173" i="23"/>
  <c r="R8" i="23"/>
  <c r="R307" i="23"/>
  <c r="V299" i="23"/>
  <c r="V78" i="23"/>
  <c r="R263" i="23"/>
  <c r="V133" i="23"/>
  <c r="V188" i="23"/>
  <c r="V288" i="23"/>
  <c r="R330" i="23"/>
  <c r="V319" i="23"/>
  <c r="R19" i="23"/>
  <c r="V128" i="23"/>
  <c r="R275" i="23"/>
  <c r="R32" i="23"/>
  <c r="R308" i="23"/>
  <c r="R160" i="23"/>
  <c r="R272" i="23"/>
  <c r="R305" i="23"/>
  <c r="R217" i="23"/>
  <c r="S31" i="23"/>
  <c r="T31" i="23" s="1"/>
  <c r="S69" i="23"/>
  <c r="T69" i="23" s="1"/>
  <c r="S113" i="23"/>
  <c r="T113" i="23" s="1"/>
  <c r="S116" i="23"/>
  <c r="T116" i="23" s="1"/>
  <c r="S122" i="23"/>
  <c r="T122" i="23" s="1"/>
  <c r="S128" i="23"/>
  <c r="T128" i="23" s="1"/>
  <c r="S131" i="23"/>
  <c r="T131" i="23" s="1"/>
  <c r="S134" i="23"/>
  <c r="T134" i="23" s="1"/>
  <c r="S163" i="23"/>
  <c r="T163" i="23" s="1"/>
  <c r="S181" i="23"/>
  <c r="T181" i="23" s="1"/>
  <c r="S207" i="23"/>
  <c r="T207" i="23" s="1"/>
  <c r="S213" i="23"/>
  <c r="T213" i="23" s="1"/>
  <c r="S216" i="23"/>
  <c r="T216" i="23" s="1"/>
  <c r="S5" i="23"/>
  <c r="T5" i="23" s="1"/>
  <c r="S17" i="23"/>
  <c r="T17" i="23" s="1"/>
  <c r="S35" i="23"/>
  <c r="T35" i="23" s="1"/>
  <c r="S46" i="23"/>
  <c r="T46" i="23" s="1"/>
  <c r="S56" i="23"/>
  <c r="T56" i="23" s="1"/>
  <c r="S66" i="23"/>
  <c r="T66" i="23" s="1"/>
  <c r="S79" i="23"/>
  <c r="T79" i="23" s="1"/>
  <c r="S101" i="23"/>
  <c r="T101" i="23" s="1"/>
  <c r="S150" i="23"/>
  <c r="T150" i="23" s="1"/>
  <c r="S160" i="23"/>
  <c r="T160" i="23" s="1"/>
  <c r="S190" i="23"/>
  <c r="T190" i="23" s="1"/>
  <c r="S193" i="23"/>
  <c r="T193" i="23" s="1"/>
  <c r="S196" i="23"/>
  <c r="T196" i="23" s="1"/>
  <c r="S231" i="23"/>
  <c r="T231" i="23" s="1"/>
  <c r="S247" i="23"/>
  <c r="T247" i="23" s="1"/>
  <c r="S250" i="23"/>
  <c r="T250" i="23" s="1"/>
  <c r="S12" i="23"/>
  <c r="T12" i="23" s="1"/>
  <c r="S20" i="23"/>
  <c r="T20" i="23" s="1"/>
  <c r="S23" i="23"/>
  <c r="T23" i="23" s="1"/>
  <c r="S28" i="23"/>
  <c r="T28" i="23" s="1"/>
  <c r="S39" i="23"/>
  <c r="T39" i="23" s="1"/>
  <c r="S50" i="23"/>
  <c r="T50" i="23" s="1"/>
  <c r="S53" i="23"/>
  <c r="T53" i="23" s="1"/>
  <c r="S63" i="23"/>
  <c r="T63" i="23" s="1"/>
  <c r="S73" i="23"/>
  <c r="T73" i="23" s="1"/>
  <c r="S76" i="23"/>
  <c r="T76" i="23" s="1"/>
  <c r="S86" i="23"/>
  <c r="T86" i="23" s="1"/>
  <c r="S89" i="23"/>
  <c r="T89" i="23" s="1"/>
  <c r="S92" i="23"/>
  <c r="T92" i="23" s="1"/>
  <c r="S98" i="23"/>
  <c r="T98" i="23" s="1"/>
  <c r="S104" i="23"/>
  <c r="T104" i="23" s="1"/>
  <c r="S107" i="23"/>
  <c r="T107" i="23" s="1"/>
  <c r="S110" i="23"/>
  <c r="T110" i="23" s="1"/>
  <c r="S119" i="23"/>
  <c r="T119" i="23" s="1"/>
  <c r="S144" i="23"/>
  <c r="T144" i="23" s="1"/>
  <c r="S147" i="23"/>
  <c r="T147" i="23" s="1"/>
  <c r="S154" i="23"/>
  <c r="T154" i="23" s="1"/>
  <c r="S157" i="23"/>
  <c r="T157" i="23" s="1"/>
  <c r="S176" i="23"/>
  <c r="T176" i="23" s="1"/>
  <c r="S225" i="23"/>
  <c r="T225" i="23" s="1"/>
  <c r="S241" i="23"/>
  <c r="T241" i="23" s="1"/>
  <c r="S244" i="23"/>
  <c r="T244" i="23" s="1"/>
  <c r="S10" i="23"/>
  <c r="T10" i="23" s="1"/>
  <c r="S32" i="23"/>
  <c r="T32" i="23" s="1"/>
  <c r="S43" i="23"/>
  <c r="T43" i="23" s="1"/>
  <c r="S60" i="23"/>
  <c r="T60" i="23" s="1"/>
  <c r="S70" i="23"/>
  <c r="T70" i="23" s="1"/>
  <c r="S83" i="23"/>
  <c r="T83" i="23" s="1"/>
  <c r="S129" i="23"/>
  <c r="T129" i="23" s="1"/>
  <c r="S135" i="23"/>
  <c r="T135" i="23" s="1"/>
  <c r="S138" i="23"/>
  <c r="T138" i="23" s="1"/>
  <c r="S141" i="23"/>
  <c r="T141" i="23" s="1"/>
  <c r="S167" i="23"/>
  <c r="T167" i="23" s="1"/>
  <c r="S170" i="23"/>
  <c r="T170" i="23" s="1"/>
  <c r="S173" i="23"/>
  <c r="T173" i="23" s="1"/>
  <c r="S185" i="23"/>
  <c r="T185" i="23" s="1"/>
  <c r="S188" i="23"/>
  <c r="T188" i="23" s="1"/>
  <c r="S199" i="23"/>
  <c r="T199" i="23" s="1"/>
  <c r="S202" i="23"/>
  <c r="T202" i="23" s="1"/>
  <c r="S208" i="23"/>
  <c r="T208" i="23" s="1"/>
  <c r="S211" i="23"/>
  <c r="T211" i="23" s="1"/>
  <c r="S222" i="23"/>
  <c r="T222" i="23" s="1"/>
  <c r="S228" i="23"/>
  <c r="T228" i="23" s="1"/>
  <c r="S8" i="23"/>
  <c r="T8" i="23" s="1"/>
  <c r="S26" i="23"/>
  <c r="T26" i="23" s="1"/>
  <c r="S36" i="23"/>
  <c r="T36" i="23" s="1"/>
  <c r="S47" i="23"/>
  <c r="T47" i="23" s="1"/>
  <c r="S57" i="23"/>
  <c r="T57" i="23" s="1"/>
  <c r="S95" i="23"/>
  <c r="T95" i="23" s="1"/>
  <c r="S114" i="23"/>
  <c r="T114" i="23" s="1"/>
  <c r="S117" i="23"/>
  <c r="T117" i="23" s="1"/>
  <c r="S123" i="23"/>
  <c r="T123" i="23" s="1"/>
  <c r="S126" i="23"/>
  <c r="T126" i="23" s="1"/>
  <c r="S132" i="23"/>
  <c r="T132" i="23" s="1"/>
  <c r="S164" i="23"/>
  <c r="T164" i="23" s="1"/>
  <c r="S179" i="23"/>
  <c r="T179" i="23" s="1"/>
  <c r="S182" i="23"/>
  <c r="T182" i="23" s="1"/>
  <c r="S194" i="23"/>
  <c r="T194" i="23" s="1"/>
  <c r="S205" i="23"/>
  <c r="T205" i="23" s="1"/>
  <c r="S232" i="23"/>
  <c r="T232" i="23" s="1"/>
  <c r="S235" i="23"/>
  <c r="T235" i="23" s="1"/>
  <c r="S238" i="23"/>
  <c r="T238" i="23" s="1"/>
  <c r="S248" i="23"/>
  <c r="T248" i="23" s="1"/>
  <c r="S254" i="23"/>
  <c r="T254" i="23" s="1"/>
  <c r="S15" i="23"/>
  <c r="T15" i="23" s="1"/>
  <c r="S40" i="23"/>
  <c r="T40" i="23" s="1"/>
  <c r="S54" i="23"/>
  <c r="T54" i="23" s="1"/>
  <c r="S67" i="23"/>
  <c r="T67" i="23" s="1"/>
  <c r="S80" i="23"/>
  <c r="T80" i="23" s="1"/>
  <c r="S105" i="23"/>
  <c r="T105" i="23" s="1"/>
  <c r="S111" i="23"/>
  <c r="T111" i="23" s="1"/>
  <c r="S120" i="23"/>
  <c r="T120" i="23" s="1"/>
  <c r="S148" i="23"/>
  <c r="T148" i="23" s="1"/>
  <c r="S151" i="23"/>
  <c r="T151" i="23" s="1"/>
  <c r="S155" i="23"/>
  <c r="T155" i="23" s="1"/>
  <c r="S161" i="23"/>
  <c r="T161" i="23" s="1"/>
  <c r="S191" i="23"/>
  <c r="T191" i="23" s="1"/>
  <c r="S214" i="23"/>
  <c r="T214" i="23" s="1"/>
  <c r="S217" i="23"/>
  <c r="T217" i="23" s="1"/>
  <c r="S220" i="23"/>
  <c r="T220" i="23" s="1"/>
  <c r="S242" i="23"/>
  <c r="T242" i="23" s="1"/>
  <c r="S245" i="23"/>
  <c r="T245" i="23" s="1"/>
  <c r="S258" i="23"/>
  <c r="T258" i="23" s="1"/>
  <c r="S261" i="23"/>
  <c r="T261" i="23" s="1"/>
  <c r="S264" i="23"/>
  <c r="T264" i="23" s="1"/>
  <c r="S6" i="23"/>
  <c r="T6" i="23" s="1"/>
  <c r="S13" i="23"/>
  <c r="T13" i="23" s="1"/>
  <c r="S18" i="23"/>
  <c r="T18" i="23" s="1"/>
  <c r="S21" i="23"/>
  <c r="T21" i="23" s="1"/>
  <c r="S29" i="23"/>
  <c r="T29" i="23" s="1"/>
  <c r="S33" i="23"/>
  <c r="T33" i="23" s="1"/>
  <c r="S44" i="23"/>
  <c r="T44" i="23" s="1"/>
  <c r="S51" i="23"/>
  <c r="T51" i="23" s="1"/>
  <c r="S61" i="23"/>
  <c r="T61" i="23" s="1"/>
  <c r="S64" i="23"/>
  <c r="T64" i="23" s="1"/>
  <c r="S74" i="23"/>
  <c r="T74" i="23" s="1"/>
  <c r="S77" i="23"/>
  <c r="T77" i="23" s="1"/>
  <c r="S87" i="23"/>
  <c r="T87" i="23" s="1"/>
  <c r="S90" i="23"/>
  <c r="T90" i="23" s="1"/>
  <c r="S93" i="23"/>
  <c r="T93" i="23" s="1"/>
  <c r="S99" i="23"/>
  <c r="T99" i="23" s="1"/>
  <c r="S102" i="23"/>
  <c r="T102" i="23" s="1"/>
  <c r="S108" i="23"/>
  <c r="T108" i="23" s="1"/>
  <c r="S145" i="23"/>
  <c r="T145" i="23" s="1"/>
  <c r="S158" i="23"/>
  <c r="T158" i="23" s="1"/>
  <c r="S177" i="23"/>
  <c r="T177" i="23" s="1"/>
  <c r="S186" i="23"/>
  <c r="T186" i="23" s="1"/>
  <c r="S197" i="23"/>
  <c r="T197" i="23" s="1"/>
  <c r="S200" i="23"/>
  <c r="T200" i="23" s="1"/>
  <c r="S24" i="23"/>
  <c r="T24" i="23" s="1"/>
  <c r="S48" i="23"/>
  <c r="T48" i="23" s="1"/>
  <c r="S58" i="23"/>
  <c r="T58" i="23" s="1"/>
  <c r="S71" i="23"/>
  <c r="T71" i="23" s="1"/>
  <c r="S84" i="23"/>
  <c r="T84" i="23" s="1"/>
  <c r="S96" i="23"/>
  <c r="T96" i="23" s="1"/>
  <c r="S124" i="23"/>
  <c r="T124" i="23" s="1"/>
  <c r="S136" i="23"/>
  <c r="T136" i="23" s="1"/>
  <c r="S9" i="23"/>
  <c r="T9" i="23" s="1"/>
  <c r="S16" i="23"/>
  <c r="T16" i="23" s="1"/>
  <c r="S45" i="23"/>
  <c r="T45" i="23" s="1"/>
  <c r="S49" i="23"/>
  <c r="T49" i="23" s="1"/>
  <c r="S52" i="23"/>
  <c r="T52" i="23" s="1"/>
  <c r="S62" i="23"/>
  <c r="T62" i="23" s="1"/>
  <c r="S65" i="23"/>
  <c r="T65" i="23" s="1"/>
  <c r="S75" i="23"/>
  <c r="T75" i="23" s="1"/>
  <c r="S85" i="23"/>
  <c r="T85" i="23" s="1"/>
  <c r="S88" i="23"/>
  <c r="T88" i="23" s="1"/>
  <c r="S91" i="23"/>
  <c r="T91" i="23" s="1"/>
  <c r="S94" i="23"/>
  <c r="T94" i="23" s="1"/>
  <c r="S97" i="23"/>
  <c r="T97" i="23" s="1"/>
  <c r="S106" i="23"/>
  <c r="T106" i="23" s="1"/>
  <c r="S109" i="23"/>
  <c r="T109" i="23" s="1"/>
  <c r="S146" i="23"/>
  <c r="T146" i="23" s="1"/>
  <c r="S156" i="23"/>
  <c r="T156" i="23" s="1"/>
  <c r="S159" i="23"/>
  <c r="T159" i="23" s="1"/>
  <c r="S7" i="23"/>
  <c r="T7" i="23" s="1"/>
  <c r="S14" i="23"/>
  <c r="T14" i="23" s="1"/>
  <c r="S22" i="23"/>
  <c r="T22" i="23" s="1"/>
  <c r="S25" i="23"/>
  <c r="T25" i="23" s="1"/>
  <c r="S38" i="23"/>
  <c r="T38" i="23" s="1"/>
  <c r="S42" i="23"/>
  <c r="T42" i="23" s="1"/>
  <c r="S59" i="23"/>
  <c r="T59" i="23" s="1"/>
  <c r="S72" i="23"/>
  <c r="T72" i="23" s="1"/>
  <c r="S82" i="23"/>
  <c r="T82" i="23" s="1"/>
  <c r="S103" i="23"/>
  <c r="T103" i="23" s="1"/>
  <c r="S125" i="23"/>
  <c r="T125" i="23" s="1"/>
  <c r="S137" i="23"/>
  <c r="T137" i="23" s="1"/>
  <c r="S140" i="23"/>
  <c r="T140" i="23" s="1"/>
  <c r="S143" i="23"/>
  <c r="T143" i="23" s="1"/>
  <c r="S153" i="23"/>
  <c r="T153" i="23" s="1"/>
  <c r="S166" i="23"/>
  <c r="T166" i="23" s="1"/>
  <c r="S169" i="23"/>
  <c r="T169" i="23" s="1"/>
  <c r="S172" i="23"/>
  <c r="T172" i="23" s="1"/>
  <c r="S41" i="23"/>
  <c r="T41" i="23" s="1"/>
  <c r="S81" i="23"/>
  <c r="T81" i="23" s="1"/>
  <c r="S118" i="23"/>
  <c r="T118" i="23" s="1"/>
  <c r="S183" i="23"/>
  <c r="T183" i="23" s="1"/>
  <c r="S212" i="23"/>
  <c r="T212" i="23" s="1"/>
  <c r="S233" i="23"/>
  <c r="T233" i="23" s="1"/>
  <c r="S253" i="23"/>
  <c r="T253" i="23" s="1"/>
  <c r="S291" i="23"/>
  <c r="T291" i="23" s="1"/>
  <c r="S311" i="23"/>
  <c r="T311" i="23" s="1"/>
  <c r="S318" i="23"/>
  <c r="T318" i="23" s="1"/>
  <c r="S335" i="23"/>
  <c r="T335" i="23" s="1"/>
  <c r="S342" i="23"/>
  <c r="T342" i="23" s="1"/>
  <c r="S100" i="23"/>
  <c r="T100" i="23" s="1"/>
  <c r="S149" i="23"/>
  <c r="T149" i="23" s="1"/>
  <c r="S162" i="23"/>
  <c r="T162" i="23" s="1"/>
  <c r="S204" i="23"/>
  <c r="T204" i="23" s="1"/>
  <c r="S218" i="23"/>
  <c r="T218" i="23" s="1"/>
  <c r="S272" i="23"/>
  <c r="T272" i="23" s="1"/>
  <c r="S278" i="23"/>
  <c r="T278" i="23" s="1"/>
  <c r="S294" i="23"/>
  <c r="T294" i="23" s="1"/>
  <c r="S301" i="23"/>
  <c r="T301" i="23" s="1"/>
  <c r="S308" i="23"/>
  <c r="T308" i="23" s="1"/>
  <c r="S325" i="23"/>
  <c r="T325" i="23" s="1"/>
  <c r="S332" i="23"/>
  <c r="T332" i="23" s="1"/>
  <c r="S121" i="23"/>
  <c r="T121" i="23" s="1"/>
  <c r="S139" i="23"/>
  <c r="T139" i="23" s="1"/>
  <c r="S165" i="23"/>
  <c r="T165" i="23" s="1"/>
  <c r="S175" i="23"/>
  <c r="T175" i="23" s="1"/>
  <c r="S184" i="23"/>
  <c r="T184" i="23" s="1"/>
  <c r="S192" i="23"/>
  <c r="T192" i="23" s="1"/>
  <c r="S223" i="23"/>
  <c r="T223" i="23" s="1"/>
  <c r="S227" i="23"/>
  <c r="T227" i="23" s="1"/>
  <c r="S239" i="23"/>
  <c r="T239" i="23" s="1"/>
  <c r="S266" i="23"/>
  <c r="T266" i="23" s="1"/>
  <c r="S269" i="23"/>
  <c r="T269" i="23" s="1"/>
  <c r="S282" i="23"/>
  <c r="T282" i="23" s="1"/>
  <c r="S285" i="23"/>
  <c r="T285" i="23" s="1"/>
  <c r="S288" i="23"/>
  <c r="T288" i="23" s="1"/>
  <c r="S298" i="23"/>
  <c r="T298" i="23" s="1"/>
  <c r="S315" i="23"/>
  <c r="T315" i="23" s="1"/>
  <c r="S322" i="23"/>
  <c r="T322" i="23" s="1"/>
  <c r="S339" i="23"/>
  <c r="T339" i="23" s="1"/>
  <c r="S4" i="23"/>
  <c r="T4" i="23" s="1"/>
  <c r="S152" i="23"/>
  <c r="T152" i="23" s="1"/>
  <c r="S198" i="23"/>
  <c r="T198" i="23" s="1"/>
  <c r="S206" i="23"/>
  <c r="T206" i="23" s="1"/>
  <c r="S229" i="23"/>
  <c r="T229" i="23" s="1"/>
  <c r="S234" i="23"/>
  <c r="T234" i="23" s="1"/>
  <c r="S262" i="23"/>
  <c r="T262" i="23" s="1"/>
  <c r="S275" i="23"/>
  <c r="T275" i="23" s="1"/>
  <c r="S305" i="23"/>
  <c r="T305" i="23" s="1"/>
  <c r="S312" i="23"/>
  <c r="T312" i="23" s="1"/>
  <c r="S329" i="23"/>
  <c r="T329" i="23" s="1"/>
  <c r="S336" i="23"/>
  <c r="T336" i="23" s="1"/>
  <c r="S255" i="23"/>
  <c r="T255" i="23" s="1"/>
  <c r="S279" i="23"/>
  <c r="T279" i="23" s="1"/>
  <c r="S295" i="23"/>
  <c r="T295" i="23" s="1"/>
  <c r="S302" i="23"/>
  <c r="T302" i="23" s="1"/>
  <c r="S319" i="23"/>
  <c r="T319" i="23" s="1"/>
  <c r="S326" i="23"/>
  <c r="T326" i="23" s="1"/>
  <c r="S343" i="23"/>
  <c r="T343" i="23" s="1"/>
  <c r="S11" i="23"/>
  <c r="T11" i="23" s="1"/>
  <c r="S27" i="23"/>
  <c r="T27" i="23" s="1"/>
  <c r="S68" i="23"/>
  <c r="T68" i="23" s="1"/>
  <c r="S142" i="23"/>
  <c r="T142" i="23" s="1"/>
  <c r="S168" i="23"/>
  <c r="T168" i="23" s="1"/>
  <c r="S219" i="23"/>
  <c r="T219" i="23" s="1"/>
  <c r="S224" i="23"/>
  <c r="T224" i="23" s="1"/>
  <c r="S240" i="23"/>
  <c r="T240" i="23" s="1"/>
  <c r="S259" i="23"/>
  <c r="T259" i="23" s="1"/>
  <c r="S273" i="23"/>
  <c r="T273" i="23" s="1"/>
  <c r="S289" i="23"/>
  <c r="T289" i="23" s="1"/>
  <c r="S292" i="23"/>
  <c r="T292" i="23" s="1"/>
  <c r="S309" i="23"/>
  <c r="T309" i="23" s="1"/>
  <c r="S316" i="23"/>
  <c r="T316" i="23" s="1"/>
  <c r="S333" i="23"/>
  <c r="T333" i="23" s="1"/>
  <c r="S340" i="23"/>
  <c r="T340" i="23" s="1"/>
  <c r="S178" i="23"/>
  <c r="T178" i="23" s="1"/>
  <c r="S246" i="23"/>
  <c r="T246" i="23" s="1"/>
  <c r="S251" i="23"/>
  <c r="T251" i="23" s="1"/>
  <c r="S263" i="23"/>
  <c r="T263" i="23" s="1"/>
  <c r="S267" i="23"/>
  <c r="T267" i="23" s="1"/>
  <c r="S276" i="23"/>
  <c r="T276" i="23" s="1"/>
  <c r="S299" i="23"/>
  <c r="T299" i="23" s="1"/>
  <c r="S306" i="23"/>
  <c r="T306" i="23" s="1"/>
  <c r="S323" i="23"/>
  <c r="T323" i="23" s="1"/>
  <c r="S330" i="23"/>
  <c r="T330" i="23" s="1"/>
  <c r="S30" i="23"/>
  <c r="T30" i="23" s="1"/>
  <c r="S127" i="23"/>
  <c r="T127" i="23" s="1"/>
  <c r="S180" i="23"/>
  <c r="T180" i="23" s="1"/>
  <c r="S187" i="23"/>
  <c r="T187" i="23" s="1"/>
  <c r="S195" i="23"/>
  <c r="T195" i="23" s="1"/>
  <c r="S201" i="23"/>
  <c r="T201" i="23" s="1"/>
  <c r="S209" i="23"/>
  <c r="T209" i="23" s="1"/>
  <c r="S230" i="23"/>
  <c r="T230" i="23" s="1"/>
  <c r="S236" i="23"/>
  <c r="T236" i="23" s="1"/>
  <c r="S256" i="23"/>
  <c r="T256" i="23" s="1"/>
  <c r="S270" i="23"/>
  <c r="T270" i="23" s="1"/>
  <c r="S280" i="23"/>
  <c r="T280" i="23" s="1"/>
  <c r="S283" i="23"/>
  <c r="T283" i="23" s="1"/>
  <c r="S286" i="23"/>
  <c r="T286" i="23" s="1"/>
  <c r="S296" i="23"/>
  <c r="T296" i="23" s="1"/>
  <c r="S313" i="23"/>
  <c r="T313" i="23" s="1"/>
  <c r="S320" i="23"/>
  <c r="T320" i="23" s="1"/>
  <c r="S337" i="23"/>
  <c r="T337" i="23" s="1"/>
  <c r="S344" i="23"/>
  <c r="T344" i="23" s="1"/>
  <c r="S112" i="23"/>
  <c r="T112" i="23" s="1"/>
  <c r="S130" i="23"/>
  <c r="T130" i="23" s="1"/>
  <c r="S171" i="23"/>
  <c r="T171" i="23" s="1"/>
  <c r="S215" i="23"/>
  <c r="T215" i="23" s="1"/>
  <c r="S260" i="23"/>
  <c r="T260" i="23" s="1"/>
  <c r="S290" i="23"/>
  <c r="T290" i="23" s="1"/>
  <c r="S293" i="23"/>
  <c r="T293" i="23" s="1"/>
  <c r="S303" i="23"/>
  <c r="T303" i="23" s="1"/>
  <c r="S310" i="23"/>
  <c r="T310" i="23" s="1"/>
  <c r="S327" i="23"/>
  <c r="T327" i="23" s="1"/>
  <c r="S334" i="23"/>
  <c r="T334" i="23" s="1"/>
  <c r="S34" i="23"/>
  <c r="T34" i="23" s="1"/>
  <c r="S55" i="23"/>
  <c r="T55" i="23" s="1"/>
  <c r="S189" i="23"/>
  <c r="T189" i="23" s="1"/>
  <c r="S226" i="23"/>
  <c r="T226" i="23" s="1"/>
  <c r="S252" i="23"/>
  <c r="T252" i="23" s="1"/>
  <c r="S277" i="23"/>
  <c r="T277" i="23" s="1"/>
  <c r="S300" i="23"/>
  <c r="T300" i="23" s="1"/>
  <c r="S317" i="23"/>
  <c r="T317" i="23" s="1"/>
  <c r="S324" i="23"/>
  <c r="T324" i="23" s="1"/>
  <c r="S341" i="23"/>
  <c r="T341" i="23" s="1"/>
  <c r="S37" i="23"/>
  <c r="T37" i="23" s="1"/>
  <c r="S115" i="23"/>
  <c r="T115" i="23" s="1"/>
  <c r="S133" i="23"/>
  <c r="T133" i="23" s="1"/>
  <c r="S203" i="23"/>
  <c r="T203" i="23" s="1"/>
  <c r="S210" i="23"/>
  <c r="T210" i="23" s="1"/>
  <c r="S221" i="23"/>
  <c r="T221" i="23" s="1"/>
  <c r="S237" i="23"/>
  <c r="T237" i="23" s="1"/>
  <c r="S243" i="23"/>
  <c r="T243" i="23" s="1"/>
  <c r="S257" i="23"/>
  <c r="T257" i="23" s="1"/>
  <c r="S271" i="23"/>
  <c r="T271" i="23" s="1"/>
  <c r="S274" i="23"/>
  <c r="T274" i="23" s="1"/>
  <c r="S307" i="23"/>
  <c r="T307" i="23" s="1"/>
  <c r="S314" i="23"/>
  <c r="T314" i="23" s="1"/>
  <c r="S331" i="23"/>
  <c r="T331" i="23" s="1"/>
  <c r="S338" i="23"/>
  <c r="T338" i="23" s="1"/>
  <c r="S19" i="23"/>
  <c r="T19" i="23" s="1"/>
  <c r="S78" i="23"/>
  <c r="T78" i="23" s="1"/>
  <c r="S174" i="23"/>
  <c r="T174" i="23" s="1"/>
  <c r="S249" i="23"/>
  <c r="T249" i="23" s="1"/>
  <c r="S265" i="23"/>
  <c r="T265" i="23" s="1"/>
  <c r="S268" i="23"/>
  <c r="T268" i="23" s="1"/>
  <c r="S281" i="23"/>
  <c r="T281" i="23" s="1"/>
  <c r="S284" i="23"/>
  <c r="T284" i="23" s="1"/>
  <c r="S287" i="23"/>
  <c r="T287" i="23" s="1"/>
  <c r="S297" i="23"/>
  <c r="T297" i="23" s="1"/>
  <c r="S304" i="23"/>
  <c r="T304" i="23" s="1"/>
  <c r="S321" i="23"/>
  <c r="T321" i="23" s="1"/>
  <c r="S328" i="23"/>
  <c r="T328" i="23" s="1"/>
  <c r="R4" i="23"/>
  <c r="V4" i="23"/>
  <c r="R139" i="23"/>
  <c r="R299" i="23"/>
  <c r="R69" i="23"/>
  <c r="R108" i="23"/>
  <c r="R187" i="23"/>
  <c r="R133" i="23"/>
  <c r="R288" i="23"/>
  <c r="V29" i="23"/>
  <c r="R319" i="23"/>
  <c r="V19" i="23"/>
  <c r="V294" i="23"/>
  <c r="R131" i="23"/>
  <c r="R189" i="23"/>
  <c r="V343" i="23"/>
  <c r="R54" i="23"/>
  <c r="R42" i="23"/>
  <c r="V229" i="23"/>
  <c r="V150" i="23"/>
  <c r="V50" i="23"/>
  <c r="R16" i="23"/>
  <c r="R34" i="23"/>
  <c r="R260" i="23"/>
  <c r="R111" i="23"/>
  <c r="V35" i="23"/>
  <c r="R55" i="23"/>
  <c r="R146" i="23"/>
  <c r="R59" i="23"/>
  <c r="V261" i="23"/>
  <c r="R271" i="23"/>
  <c r="V112" i="23"/>
  <c r="V73" i="23"/>
  <c r="V181" i="23"/>
  <c r="R286" i="23"/>
  <c r="V92" i="23"/>
  <c r="V276" i="23"/>
  <c r="R211" i="23"/>
  <c r="V321" i="23"/>
  <c r="R107" i="23"/>
  <c r="R141" i="23"/>
  <c r="V323" i="23"/>
  <c r="V224" i="23"/>
  <c r="R336" i="23"/>
  <c r="V296" i="23"/>
  <c r="V180" i="23"/>
  <c r="V254" i="23"/>
  <c r="V167" i="23"/>
  <c r="V234" i="23"/>
  <c r="R173" i="23"/>
  <c r="V26" i="23"/>
  <c r="V242" i="23"/>
  <c r="V155" i="23"/>
  <c r="V69" i="23"/>
  <c r="V223" i="23"/>
  <c r="V12" i="23"/>
  <c r="V187" i="23"/>
  <c r="R287" i="23"/>
  <c r="R188" i="23"/>
  <c r="V70" i="23"/>
  <c r="R29" i="23"/>
  <c r="V161" i="23"/>
  <c r="R294" i="23"/>
  <c r="V131" i="23"/>
  <c r="V189" i="23"/>
  <c r="R343" i="23"/>
  <c r="R328" i="23"/>
  <c r="V42" i="23"/>
  <c r="V16" i="23"/>
  <c r="V34" i="23"/>
  <c r="V124" i="23"/>
  <c r="R113" i="23"/>
  <c r="R123" i="23"/>
  <c r="V74" i="23"/>
  <c r="V207" i="23"/>
  <c r="V77" i="23"/>
  <c r="V329" i="23"/>
  <c r="R35" i="23"/>
  <c r="V55" i="23"/>
  <c r="V146" i="23"/>
  <c r="V117" i="23"/>
  <c r="R127" i="23"/>
  <c r="R112" i="23"/>
  <c r="R332" i="23"/>
  <c r="R186" i="23"/>
  <c r="R73" i="23"/>
  <c r="V142" i="23"/>
  <c r="R276" i="23"/>
  <c r="V340" i="23"/>
  <c r="V164" i="23"/>
  <c r="V21" i="23"/>
  <c r="R334" i="23"/>
  <c r="V151" i="23"/>
  <c r="R266" i="23"/>
  <c r="R323" i="23"/>
  <c r="R102" i="23"/>
  <c r="V120" i="23"/>
  <c r="V177" i="23"/>
  <c r="R180" i="23"/>
  <c r="V110" i="23"/>
  <c r="R167" i="23"/>
  <c r="R36" i="23"/>
  <c r="V76" i="23"/>
  <c r="R97" i="23"/>
  <c r="R174" i="23"/>
  <c r="R26" i="23"/>
  <c r="V344" i="23"/>
  <c r="R223" i="23"/>
  <c r="V287" i="23"/>
  <c r="V48" i="23"/>
  <c r="V28" i="23"/>
  <c r="V292" i="23"/>
  <c r="V302" i="23"/>
  <c r="R45" i="23"/>
  <c r="V199" i="23"/>
  <c r="V328" i="23"/>
  <c r="V241" i="23"/>
  <c r="R229" i="23"/>
  <c r="R150" i="23"/>
  <c r="R50" i="23"/>
  <c r="V326" i="23"/>
  <c r="V280" i="23"/>
  <c r="V59" i="23"/>
  <c r="R265" i="23"/>
  <c r="R137" i="23"/>
  <c r="V15" i="23"/>
  <c r="V125" i="23"/>
  <c r="R168" i="23"/>
  <c r="V113" i="23"/>
  <c r="V51" i="23"/>
  <c r="R75" i="23"/>
  <c r="R225" i="23"/>
  <c r="R77" i="23"/>
  <c r="R329" i="23"/>
  <c r="V235" i="23"/>
  <c r="V232" i="23"/>
  <c r="V337" i="23"/>
  <c r="V298" i="23"/>
  <c r="R117" i="23"/>
  <c r="V127" i="23"/>
  <c r="V114" i="23"/>
  <c r="V194" i="23"/>
  <c r="V6" i="23"/>
  <c r="V37" i="23"/>
  <c r="R92" i="23"/>
  <c r="R100" i="23"/>
  <c r="R164" i="23"/>
  <c r="R284" i="23"/>
  <c r="R151" i="23"/>
  <c r="R122" i="23"/>
  <c r="V179" i="23"/>
  <c r="R224" i="23"/>
  <c r="V252" i="23"/>
  <c r="R120" i="23"/>
  <c r="R296" i="23"/>
  <c r="V285" i="23"/>
  <c r="R110" i="23"/>
  <c r="V23" i="23"/>
  <c r="V212" i="23"/>
  <c r="R304" i="23"/>
  <c r="V136" i="23"/>
  <c r="R242" i="23"/>
  <c r="R155" i="23"/>
  <c r="V79" i="23"/>
  <c r="R12" i="23"/>
  <c r="V230" i="23"/>
  <c r="R143" i="23"/>
  <c r="R48" i="23"/>
  <c r="R70" i="23"/>
  <c r="R161" i="23"/>
  <c r="R292" i="23"/>
  <c r="V45" i="23"/>
  <c r="R199" i="23"/>
  <c r="R241" i="23"/>
  <c r="R9" i="23"/>
  <c r="V205" i="23"/>
  <c r="V251" i="23"/>
  <c r="R124" i="23"/>
  <c r="U68" i="23" l="1"/>
  <c r="W68" i="23"/>
  <c r="W200" i="23"/>
  <c r="U200" i="23"/>
  <c r="U77" i="23"/>
  <c r="W77" i="23"/>
  <c r="W264" i="23"/>
  <c r="U264" i="23"/>
  <c r="U148" i="23"/>
  <c r="W148" i="23"/>
  <c r="U235" i="23"/>
  <c r="W235" i="23"/>
  <c r="U95" i="23"/>
  <c r="W95" i="23"/>
  <c r="W188" i="23"/>
  <c r="U188" i="23"/>
  <c r="U43" i="23"/>
  <c r="W43" i="23"/>
  <c r="W110" i="23"/>
  <c r="U110" i="23"/>
  <c r="U39" i="23"/>
  <c r="W39" i="23"/>
  <c r="W150" i="23"/>
  <c r="U150" i="23"/>
  <c r="U181" i="23"/>
  <c r="W181" i="23"/>
  <c r="U257" i="23"/>
  <c r="W257" i="23"/>
  <c r="U30" i="23"/>
  <c r="W30" i="23"/>
  <c r="W265" i="23"/>
  <c r="U265" i="23"/>
  <c r="W280" i="23"/>
  <c r="U280" i="23"/>
  <c r="U27" i="23"/>
  <c r="W27" i="23"/>
  <c r="U165" i="23"/>
  <c r="W165" i="23"/>
  <c r="U82" i="23"/>
  <c r="W82" i="23"/>
  <c r="U74" i="23"/>
  <c r="W74" i="23"/>
  <c r="U120" i="23"/>
  <c r="W120" i="23"/>
  <c r="U185" i="23"/>
  <c r="W185" i="23"/>
  <c r="U32" i="23"/>
  <c r="W32" i="23"/>
  <c r="U107" i="23"/>
  <c r="W107" i="23"/>
  <c r="U163" i="23"/>
  <c r="W163" i="23"/>
  <c r="W290" i="23"/>
  <c r="U290" i="23"/>
  <c r="U333" i="23"/>
  <c r="W333" i="23"/>
  <c r="U243" i="23"/>
  <c r="W243" i="23"/>
  <c r="W260" i="23"/>
  <c r="U260" i="23"/>
  <c r="U316" i="23"/>
  <c r="W316" i="23"/>
  <c r="U298" i="23"/>
  <c r="W298" i="23"/>
  <c r="W162" i="23"/>
  <c r="U162" i="23"/>
  <c r="U109" i="23"/>
  <c r="W109" i="23"/>
  <c r="W197" i="23"/>
  <c r="U197" i="23"/>
  <c r="W232" i="23"/>
  <c r="U232" i="23"/>
  <c r="U101" i="23"/>
  <c r="W101" i="23"/>
  <c r="U249" i="23"/>
  <c r="W249" i="23"/>
  <c r="W237" i="23"/>
  <c r="U237" i="23"/>
  <c r="W252" i="23"/>
  <c r="U252" i="23"/>
  <c r="W215" i="23"/>
  <c r="U215" i="23"/>
  <c r="W270" i="23"/>
  <c r="U270" i="23"/>
  <c r="U323" i="23"/>
  <c r="W323" i="23"/>
  <c r="U309" i="23"/>
  <c r="W309" i="23"/>
  <c r="U11" i="23"/>
  <c r="W11" i="23"/>
  <c r="U275" i="23"/>
  <c r="W275" i="23"/>
  <c r="W288" i="23"/>
  <c r="U288" i="23"/>
  <c r="U139" i="23"/>
  <c r="W139" i="23"/>
  <c r="U149" i="23"/>
  <c r="W149" i="23"/>
  <c r="U81" i="23"/>
  <c r="W81" i="23"/>
  <c r="U72" i="23"/>
  <c r="W72" i="23"/>
  <c r="U106" i="23"/>
  <c r="W106" i="23"/>
  <c r="U16" i="23"/>
  <c r="W16" i="23"/>
  <c r="W186" i="23"/>
  <c r="U186" i="23"/>
  <c r="W64" i="23"/>
  <c r="U64" i="23"/>
  <c r="W258" i="23"/>
  <c r="U258" i="23"/>
  <c r="U111" i="23"/>
  <c r="W111" i="23"/>
  <c r="U205" i="23"/>
  <c r="W205" i="23"/>
  <c r="U47" i="23"/>
  <c r="W47" i="23"/>
  <c r="U173" i="23"/>
  <c r="W173" i="23"/>
  <c r="U10" i="23"/>
  <c r="W10" i="23"/>
  <c r="U104" i="23"/>
  <c r="W104" i="23"/>
  <c r="U23" i="23"/>
  <c r="W23" i="23"/>
  <c r="U79" i="23"/>
  <c r="W79" i="23"/>
  <c r="W134" i="23"/>
  <c r="U134" i="23"/>
  <c r="W268" i="23"/>
  <c r="U268" i="23"/>
  <c r="W175" i="23"/>
  <c r="U175" i="23"/>
  <c r="U277" i="23"/>
  <c r="W277" i="23"/>
  <c r="U330" i="23"/>
  <c r="W330" i="23"/>
  <c r="U305" i="23"/>
  <c r="W305" i="23"/>
  <c r="W118" i="23"/>
  <c r="U118" i="23"/>
  <c r="U45" i="23"/>
  <c r="W45" i="23"/>
  <c r="W261" i="23"/>
  <c r="U261" i="23"/>
  <c r="U57" i="23"/>
  <c r="W57" i="23"/>
  <c r="U28" i="23"/>
  <c r="W28" i="23"/>
  <c r="W174" i="23"/>
  <c r="U174" i="23"/>
  <c r="W221" i="23"/>
  <c r="U221" i="23"/>
  <c r="W226" i="23"/>
  <c r="U226" i="23"/>
  <c r="W171" i="23"/>
  <c r="U171" i="23"/>
  <c r="W256" i="23"/>
  <c r="U256" i="23"/>
  <c r="U306" i="23"/>
  <c r="W306" i="23"/>
  <c r="W292" i="23"/>
  <c r="U292" i="23"/>
  <c r="U343" i="23"/>
  <c r="W343" i="23"/>
  <c r="W262" i="23"/>
  <c r="U262" i="23"/>
  <c r="W285" i="23"/>
  <c r="U285" i="23"/>
  <c r="U121" i="23"/>
  <c r="W121" i="23"/>
  <c r="U100" i="23"/>
  <c r="W100" i="23"/>
  <c r="U41" i="23"/>
  <c r="W41" i="23"/>
  <c r="U59" i="23"/>
  <c r="W59" i="23"/>
  <c r="W97" i="23"/>
  <c r="U97" i="23"/>
  <c r="U9" i="23"/>
  <c r="W9" i="23"/>
  <c r="U177" i="23"/>
  <c r="W177" i="23"/>
  <c r="U61" i="23"/>
  <c r="W61" i="23"/>
  <c r="W245" i="23"/>
  <c r="U245" i="23"/>
  <c r="U105" i="23"/>
  <c r="W105" i="23"/>
  <c r="W194" i="23"/>
  <c r="U194" i="23"/>
  <c r="U36" i="23"/>
  <c r="W36" i="23"/>
  <c r="U170" i="23"/>
  <c r="W170" i="23"/>
  <c r="W244" i="23"/>
  <c r="U244" i="23"/>
  <c r="U98" i="23"/>
  <c r="W98" i="23"/>
  <c r="U20" i="23"/>
  <c r="W20" i="23"/>
  <c r="W66" i="23"/>
  <c r="U66" i="23"/>
  <c r="U131" i="23"/>
  <c r="W131" i="23"/>
  <c r="U283" i="23"/>
  <c r="W283" i="23"/>
  <c r="U312" i="23"/>
  <c r="W312" i="23"/>
  <c r="W189" i="23"/>
  <c r="U189" i="23"/>
  <c r="W234" i="23"/>
  <c r="U234" i="23"/>
  <c r="U136" i="23"/>
  <c r="W136" i="23"/>
  <c r="U26" i="23"/>
  <c r="W26" i="23"/>
  <c r="W56" i="23"/>
  <c r="U56" i="23"/>
  <c r="U328" i="23"/>
  <c r="W328" i="23"/>
  <c r="U19" i="23"/>
  <c r="W19" i="23"/>
  <c r="U203" i="23"/>
  <c r="W203" i="23"/>
  <c r="U55" i="23"/>
  <c r="W55" i="23"/>
  <c r="W112" i="23"/>
  <c r="U112" i="23"/>
  <c r="W230" i="23"/>
  <c r="U230" i="23"/>
  <c r="W276" i="23"/>
  <c r="U276" i="23"/>
  <c r="U273" i="23"/>
  <c r="W273" i="23"/>
  <c r="W319" i="23"/>
  <c r="U319" i="23"/>
  <c r="U229" i="23"/>
  <c r="W229" i="23"/>
  <c r="W269" i="23"/>
  <c r="U269" i="23"/>
  <c r="U325" i="23"/>
  <c r="W325" i="23"/>
  <c r="U335" i="23"/>
  <c r="W335" i="23"/>
  <c r="U169" i="23"/>
  <c r="W169" i="23"/>
  <c r="U38" i="23"/>
  <c r="W38" i="23"/>
  <c r="U91" i="23"/>
  <c r="W91" i="23"/>
  <c r="U124" i="23"/>
  <c r="W124" i="23"/>
  <c r="U145" i="23"/>
  <c r="W145" i="23"/>
  <c r="U44" i="23"/>
  <c r="W44" i="23"/>
  <c r="W220" i="23"/>
  <c r="U220" i="23"/>
  <c r="U67" i="23"/>
  <c r="W67" i="23"/>
  <c r="U179" i="23"/>
  <c r="W179" i="23"/>
  <c r="U8" i="23"/>
  <c r="W8" i="23"/>
  <c r="U141" i="23"/>
  <c r="W141" i="23"/>
  <c r="U225" i="23"/>
  <c r="W225" i="23"/>
  <c r="U89" i="23"/>
  <c r="W89" i="23"/>
  <c r="W250" i="23"/>
  <c r="U250" i="23"/>
  <c r="U46" i="23"/>
  <c r="W46" i="23"/>
  <c r="U122" i="23"/>
  <c r="W122" i="23"/>
  <c r="U146" i="23"/>
  <c r="W146" i="23"/>
  <c r="W78" i="23"/>
  <c r="U78" i="23"/>
  <c r="U326" i="23"/>
  <c r="W326" i="23"/>
  <c r="U94" i="23"/>
  <c r="W94" i="23"/>
  <c r="W241" i="23"/>
  <c r="U241" i="23"/>
  <c r="U338" i="23"/>
  <c r="W338" i="23"/>
  <c r="U133" i="23"/>
  <c r="W133" i="23"/>
  <c r="W34" i="23"/>
  <c r="U34" i="23"/>
  <c r="U344" i="23"/>
  <c r="W344" i="23"/>
  <c r="U209" i="23"/>
  <c r="W209" i="23"/>
  <c r="U267" i="23"/>
  <c r="W267" i="23"/>
  <c r="U259" i="23"/>
  <c r="W259" i="23"/>
  <c r="U302" i="23"/>
  <c r="W302" i="23"/>
  <c r="W206" i="23"/>
  <c r="U206" i="23"/>
  <c r="W266" i="23"/>
  <c r="U266" i="23"/>
  <c r="U308" i="23"/>
  <c r="W308" i="23"/>
  <c r="U318" i="23"/>
  <c r="W318" i="23"/>
  <c r="U166" i="23"/>
  <c r="W166" i="23"/>
  <c r="U25" i="23"/>
  <c r="W25" i="23"/>
  <c r="W88" i="23"/>
  <c r="U88" i="23"/>
  <c r="U96" i="23"/>
  <c r="W96" i="23"/>
  <c r="U108" i="23"/>
  <c r="W108" i="23"/>
  <c r="U33" i="23"/>
  <c r="W33" i="23"/>
  <c r="W217" i="23"/>
  <c r="U217" i="23"/>
  <c r="U54" i="23"/>
  <c r="W54" i="23"/>
  <c r="U164" i="23"/>
  <c r="W164" i="23"/>
  <c r="W228" i="23"/>
  <c r="U228" i="23"/>
  <c r="U138" i="23"/>
  <c r="W138" i="23"/>
  <c r="W176" i="23"/>
  <c r="U176" i="23"/>
  <c r="U86" i="23"/>
  <c r="W86" i="23"/>
  <c r="U247" i="23"/>
  <c r="W247" i="23"/>
  <c r="U35" i="23"/>
  <c r="W35" i="23"/>
  <c r="U116" i="23"/>
  <c r="W116" i="23"/>
  <c r="U183" i="23"/>
  <c r="W183" i="23"/>
  <c r="U289" i="23"/>
  <c r="W289" i="23"/>
  <c r="W42" i="23"/>
  <c r="U42" i="23"/>
  <c r="U167" i="23"/>
  <c r="W167" i="23"/>
  <c r="U304" i="23"/>
  <c r="W304" i="23"/>
  <c r="U334" i="23"/>
  <c r="W334" i="23"/>
  <c r="U337" i="23"/>
  <c r="W337" i="23"/>
  <c r="U201" i="23"/>
  <c r="W201" i="23"/>
  <c r="W263" i="23"/>
  <c r="U263" i="23"/>
  <c r="W240" i="23"/>
  <c r="U240" i="23"/>
  <c r="U295" i="23"/>
  <c r="W295" i="23"/>
  <c r="W198" i="23"/>
  <c r="U198" i="23"/>
  <c r="W239" i="23"/>
  <c r="U239" i="23"/>
  <c r="U301" i="23"/>
  <c r="W301" i="23"/>
  <c r="U311" i="23"/>
  <c r="W311" i="23"/>
  <c r="U153" i="23"/>
  <c r="W153" i="23"/>
  <c r="W22" i="23"/>
  <c r="U22" i="23"/>
  <c r="U85" i="23"/>
  <c r="W85" i="23"/>
  <c r="U84" i="23"/>
  <c r="W84" i="23"/>
  <c r="W102" i="23"/>
  <c r="U102" i="23"/>
  <c r="U29" i="23"/>
  <c r="W29" i="23"/>
  <c r="W214" i="23"/>
  <c r="U214" i="23"/>
  <c r="W40" i="23"/>
  <c r="U40" i="23"/>
  <c r="U132" i="23"/>
  <c r="W132" i="23"/>
  <c r="W222" i="23"/>
  <c r="U222" i="23"/>
  <c r="U135" i="23"/>
  <c r="W135" i="23"/>
  <c r="U157" i="23"/>
  <c r="W157" i="23"/>
  <c r="W76" i="23"/>
  <c r="U76" i="23"/>
  <c r="U231" i="23"/>
  <c r="W231" i="23"/>
  <c r="U17" i="23"/>
  <c r="W17" i="23"/>
  <c r="U113" i="23"/>
  <c r="W113" i="23"/>
  <c r="U315" i="23"/>
  <c r="W315" i="23"/>
  <c r="U299" i="23"/>
  <c r="W299" i="23"/>
  <c r="U172" i="23"/>
  <c r="W172" i="23"/>
  <c r="W242" i="23"/>
  <c r="U242" i="23"/>
  <c r="W92" i="23"/>
  <c r="U92" i="23"/>
  <c r="U321" i="23"/>
  <c r="W321" i="23"/>
  <c r="U297" i="23"/>
  <c r="W297" i="23"/>
  <c r="U314" i="23"/>
  <c r="W314" i="23"/>
  <c r="W37" i="23"/>
  <c r="U37" i="23"/>
  <c r="W327" i="23"/>
  <c r="U327" i="23"/>
  <c r="U320" i="23"/>
  <c r="W320" i="23"/>
  <c r="U195" i="23"/>
  <c r="W195" i="23"/>
  <c r="W251" i="23"/>
  <c r="U251" i="23"/>
  <c r="W224" i="23"/>
  <c r="U224" i="23"/>
  <c r="W279" i="23"/>
  <c r="U279" i="23"/>
  <c r="W152" i="23"/>
  <c r="U152" i="23"/>
  <c r="U227" i="23"/>
  <c r="W227" i="23"/>
  <c r="W294" i="23"/>
  <c r="U294" i="23"/>
  <c r="U291" i="23"/>
  <c r="W291" i="23"/>
  <c r="U143" i="23"/>
  <c r="W143" i="23"/>
  <c r="U14" i="23"/>
  <c r="W14" i="23"/>
  <c r="U75" i="23"/>
  <c r="W75" i="23"/>
  <c r="U71" i="23"/>
  <c r="W71" i="23"/>
  <c r="U99" i="23"/>
  <c r="W99" i="23"/>
  <c r="U21" i="23"/>
  <c r="W21" i="23"/>
  <c r="W191" i="23"/>
  <c r="U191" i="23"/>
  <c r="U15" i="23"/>
  <c r="W15" i="23"/>
  <c r="W126" i="23"/>
  <c r="U126" i="23"/>
  <c r="U211" i="23"/>
  <c r="W211" i="23"/>
  <c r="U129" i="23"/>
  <c r="W129" i="23"/>
  <c r="U154" i="23"/>
  <c r="W154" i="23"/>
  <c r="U73" i="23"/>
  <c r="W73" i="23"/>
  <c r="W196" i="23"/>
  <c r="U196" i="23"/>
  <c r="U5" i="23"/>
  <c r="W5" i="23"/>
  <c r="U69" i="23"/>
  <c r="W69" i="23"/>
  <c r="U300" i="23"/>
  <c r="W300" i="23"/>
  <c r="W204" i="23"/>
  <c r="U204" i="23"/>
  <c r="W236" i="23"/>
  <c r="U236" i="23"/>
  <c r="U342" i="23"/>
  <c r="W342" i="23"/>
  <c r="U51" i="23"/>
  <c r="W51" i="23"/>
  <c r="U12" i="23"/>
  <c r="W12" i="23"/>
  <c r="W287" i="23"/>
  <c r="U287" i="23"/>
  <c r="U307" i="23"/>
  <c r="W307" i="23"/>
  <c r="U341" i="23"/>
  <c r="W341" i="23"/>
  <c r="U310" i="23"/>
  <c r="W310" i="23"/>
  <c r="U313" i="23"/>
  <c r="W313" i="23"/>
  <c r="U187" i="23"/>
  <c r="W187" i="23"/>
  <c r="W246" i="23"/>
  <c r="U246" i="23"/>
  <c r="U219" i="23"/>
  <c r="W219" i="23"/>
  <c r="W255" i="23"/>
  <c r="U255" i="23"/>
  <c r="U4" i="23"/>
  <c r="W4" i="23"/>
  <c r="U223" i="23"/>
  <c r="W223" i="23"/>
  <c r="W278" i="23"/>
  <c r="U278" i="23"/>
  <c r="U253" i="23"/>
  <c r="W253" i="23"/>
  <c r="U140" i="23"/>
  <c r="W140" i="23"/>
  <c r="U7" i="23"/>
  <c r="W7" i="23"/>
  <c r="U65" i="23"/>
  <c r="W65" i="23"/>
  <c r="W58" i="23"/>
  <c r="U58" i="23"/>
  <c r="U93" i="23"/>
  <c r="W93" i="23"/>
  <c r="U18" i="23"/>
  <c r="W18" i="23"/>
  <c r="U161" i="23"/>
  <c r="W161" i="23"/>
  <c r="U254" i="23"/>
  <c r="W254" i="23"/>
  <c r="U123" i="23"/>
  <c r="W123" i="23"/>
  <c r="W208" i="23"/>
  <c r="U208" i="23"/>
  <c r="U83" i="23"/>
  <c r="W83" i="23"/>
  <c r="U147" i="23"/>
  <c r="W147" i="23"/>
  <c r="U63" i="23"/>
  <c r="W63" i="23"/>
  <c r="W193" i="23"/>
  <c r="U193" i="23"/>
  <c r="W216" i="23"/>
  <c r="U216" i="23"/>
  <c r="W31" i="23"/>
  <c r="U31" i="23"/>
  <c r="U49" i="23"/>
  <c r="W49" i="23"/>
  <c r="W210" i="23"/>
  <c r="U210" i="23"/>
  <c r="W282" i="23"/>
  <c r="U282" i="23"/>
  <c r="U80" i="23"/>
  <c r="W80" i="23"/>
  <c r="U331" i="23"/>
  <c r="W331" i="23"/>
  <c r="U284" i="23"/>
  <c r="W284" i="23"/>
  <c r="W274" i="23"/>
  <c r="U274" i="23"/>
  <c r="U324" i="23"/>
  <c r="W324" i="23"/>
  <c r="U303" i="23"/>
  <c r="W303" i="23"/>
  <c r="U296" i="23"/>
  <c r="W296" i="23"/>
  <c r="W180" i="23"/>
  <c r="U180" i="23"/>
  <c r="W178" i="23"/>
  <c r="U178" i="23"/>
  <c r="U168" i="23"/>
  <c r="W168" i="23"/>
  <c r="U336" i="23"/>
  <c r="W336" i="23"/>
  <c r="U339" i="23"/>
  <c r="W339" i="23"/>
  <c r="W192" i="23"/>
  <c r="U192" i="23"/>
  <c r="W272" i="23"/>
  <c r="U272" i="23"/>
  <c r="U233" i="23"/>
  <c r="W233" i="23"/>
  <c r="U137" i="23"/>
  <c r="W137" i="23"/>
  <c r="U159" i="23"/>
  <c r="W159" i="23"/>
  <c r="U62" i="23"/>
  <c r="W62" i="23"/>
  <c r="U48" i="23"/>
  <c r="W48" i="23"/>
  <c r="U90" i="23"/>
  <c r="W90" i="23"/>
  <c r="U13" i="23"/>
  <c r="W13" i="23"/>
  <c r="U155" i="23"/>
  <c r="W155" i="23"/>
  <c r="W248" i="23"/>
  <c r="U248" i="23"/>
  <c r="U117" i="23"/>
  <c r="W117" i="23"/>
  <c r="W202" i="23"/>
  <c r="U202" i="23"/>
  <c r="U70" i="23"/>
  <c r="W70" i="23"/>
  <c r="W144" i="23"/>
  <c r="U144" i="23"/>
  <c r="U53" i="23"/>
  <c r="W53" i="23"/>
  <c r="W190" i="23"/>
  <c r="U190" i="23"/>
  <c r="W213" i="23"/>
  <c r="U213" i="23"/>
  <c r="U103" i="23"/>
  <c r="W103" i="23"/>
  <c r="U130" i="23"/>
  <c r="W130" i="23"/>
  <c r="U332" i="23"/>
  <c r="W332" i="23"/>
  <c r="W158" i="23"/>
  <c r="U158" i="23"/>
  <c r="W182" i="23"/>
  <c r="U182" i="23"/>
  <c r="U128" i="23"/>
  <c r="W128" i="23"/>
  <c r="U115" i="23"/>
  <c r="W115" i="23"/>
  <c r="U281" i="23"/>
  <c r="W281" i="23"/>
  <c r="U271" i="23"/>
  <c r="W271" i="23"/>
  <c r="U317" i="23"/>
  <c r="W317" i="23"/>
  <c r="W293" i="23"/>
  <c r="U293" i="23"/>
  <c r="W286" i="23"/>
  <c r="U286" i="23"/>
  <c r="U127" i="23"/>
  <c r="W127" i="23"/>
  <c r="U340" i="23"/>
  <c r="W340" i="23"/>
  <c r="U142" i="23"/>
  <c r="W142" i="23"/>
  <c r="U329" i="23"/>
  <c r="W329" i="23"/>
  <c r="U322" i="23"/>
  <c r="W322" i="23"/>
  <c r="W184" i="23"/>
  <c r="U184" i="23"/>
  <c r="W218" i="23"/>
  <c r="U218" i="23"/>
  <c r="W212" i="23"/>
  <c r="U212" i="23"/>
  <c r="U125" i="23"/>
  <c r="W125" i="23"/>
  <c r="U156" i="23"/>
  <c r="W156" i="23"/>
  <c r="W52" i="23"/>
  <c r="U52" i="23"/>
  <c r="W24" i="23"/>
  <c r="U24" i="23"/>
  <c r="U87" i="23"/>
  <c r="W87" i="23"/>
  <c r="U6" i="23"/>
  <c r="W6" i="23"/>
  <c r="U151" i="23"/>
  <c r="W151" i="23"/>
  <c r="W238" i="23"/>
  <c r="U238" i="23"/>
  <c r="U114" i="23"/>
  <c r="W114" i="23"/>
  <c r="U199" i="23"/>
  <c r="W199" i="23"/>
  <c r="U60" i="23"/>
  <c r="W60" i="23"/>
  <c r="U119" i="23"/>
  <c r="W119" i="23"/>
  <c r="U50" i="23"/>
  <c r="W50" i="23"/>
  <c r="W160" i="23"/>
  <c r="U160" i="23"/>
  <c r="U207" i="23"/>
  <c r="W207" i="23"/>
  <c r="O31" i="20" l="1"/>
  <c r="O30" i="20"/>
  <c r="N31" i="20"/>
  <c r="N30" i="20"/>
  <c r="M31" i="20"/>
  <c r="M30" i="20"/>
  <c r="L31" i="20"/>
  <c r="L30" i="20"/>
  <c r="Y4" i="10" l="1"/>
  <c r="Y5" i="10"/>
  <c r="Y6" i="10"/>
  <c r="Y7" i="10"/>
  <c r="Y8" i="10"/>
  <c r="Y9" i="10"/>
  <c r="Y10" i="10"/>
  <c r="Y11" i="10"/>
  <c r="Y12" i="10"/>
  <c r="Y13" i="10"/>
  <c r="Y14" i="10"/>
  <c r="Y15" i="10"/>
  <c r="Y16" i="10"/>
  <c r="Y17" i="10"/>
  <c r="Y18" i="10"/>
  <c r="Y19" i="10"/>
  <c r="Y20" i="10"/>
  <c r="Y21" i="10"/>
  <c r="Y22" i="10"/>
  <c r="Y23" i="10"/>
  <c r="Y24" i="10"/>
  <c r="Y25" i="10"/>
  <c r="Y26" i="10"/>
  <c r="Y27" i="10"/>
  <c r="Y28" i="10"/>
  <c r="Y29" i="10"/>
  <c r="Y30" i="10"/>
  <c r="Y31" i="10"/>
  <c r="Y32" i="10"/>
  <c r="Y33" i="10"/>
  <c r="Y34" i="10"/>
  <c r="Y35" i="10"/>
  <c r="Y36" i="10"/>
  <c r="Y37" i="10"/>
  <c r="Y38" i="10"/>
  <c r="Y39" i="10"/>
  <c r="Y40" i="10"/>
  <c r="Y41" i="10"/>
  <c r="Y42" i="10"/>
  <c r="Y43" i="10"/>
  <c r="Y44" i="10"/>
  <c r="Y45" i="10"/>
  <c r="Y46" i="10"/>
  <c r="Y47" i="10"/>
  <c r="Y48" i="10"/>
  <c r="Y49" i="10"/>
  <c r="Y50" i="10"/>
  <c r="Y51" i="10"/>
  <c r="Y52" i="10"/>
  <c r="Y53" i="10"/>
  <c r="Y54" i="10"/>
  <c r="Y55" i="10"/>
  <c r="Y56" i="10"/>
  <c r="Y57" i="10"/>
  <c r="Y58" i="10"/>
  <c r="Y59" i="10"/>
  <c r="Y60" i="10"/>
  <c r="Y61" i="10"/>
  <c r="Y62" i="10"/>
  <c r="Y63" i="10"/>
  <c r="Y64" i="10"/>
  <c r="Y65" i="10"/>
  <c r="Y66" i="10"/>
  <c r="Y67" i="10"/>
  <c r="Y68" i="10"/>
  <c r="Y69" i="10"/>
  <c r="Y70" i="10"/>
  <c r="Y71" i="10"/>
  <c r="Y72" i="10"/>
  <c r="Y73" i="10"/>
  <c r="G19" i="11" a="1"/>
  <c r="G19" i="11" s="1"/>
  <c r="I15" i="11"/>
  <c r="H15" i="11"/>
  <c r="H14" i="11"/>
  <c r="H13" i="11"/>
  <c r="H9" i="11"/>
  <c r="N19" i="11"/>
  <c r="H18" i="11" a="1"/>
  <c r="N20" i="11"/>
  <c r="I19" i="11" l="1"/>
  <c r="H20" i="11"/>
  <c r="I20" i="11"/>
  <c r="H18" i="11"/>
  <c r="I18" i="11"/>
  <c r="H19" i="11"/>
  <c r="G20" i="11"/>
  <c r="J19" i="11" l="1"/>
  <c r="K19" i="11" s="1"/>
  <c r="M19" i="11"/>
  <c r="L19" i="11"/>
  <c r="L18" i="11"/>
  <c r="J18" i="11"/>
  <c r="K18" i="11" s="1"/>
  <c r="M18" i="11"/>
  <c r="L20" i="11"/>
  <c r="M20" i="11"/>
  <c r="J20" i="11"/>
  <c r="K20" i="11" s="1"/>
  <c r="AJ8" i="11"/>
  <c r="AJ6" i="11" s="1"/>
  <c r="Y5" i="11" a="1"/>
  <c r="Y5" i="11" s="1"/>
  <c r="W4" i="11"/>
  <c r="W5" i="11"/>
  <c r="W6" i="11"/>
  <c r="W7" i="11"/>
  <c r="W8" i="11"/>
  <c r="W9" i="11"/>
  <c r="W10" i="11"/>
  <c r="W11" i="11"/>
  <c r="W12" i="11"/>
  <c r="W13" i="11"/>
  <c r="W14" i="11"/>
  <c r="W15" i="11"/>
  <c r="W16" i="11"/>
  <c r="W17" i="11"/>
  <c r="W18" i="11"/>
  <c r="W19" i="11"/>
  <c r="W20" i="11"/>
  <c r="W21" i="11"/>
  <c r="W22" i="11"/>
  <c r="W23" i="11"/>
  <c r="W24" i="11"/>
  <c r="W25" i="11"/>
  <c r="W26" i="11"/>
  <c r="W27" i="11"/>
  <c r="W28" i="11"/>
  <c r="W29" i="11"/>
  <c r="W30" i="11"/>
  <c r="W31" i="11"/>
  <c r="W32" i="11"/>
  <c r="W33" i="11"/>
  <c r="W34" i="11"/>
  <c r="W35" i="11"/>
  <c r="W36" i="11"/>
  <c r="W37" i="11"/>
  <c r="W38" i="11"/>
  <c r="W39" i="11"/>
  <c r="W40" i="11"/>
  <c r="W41" i="11"/>
  <c r="W42" i="11"/>
  <c r="W43" i="11"/>
  <c r="W44" i="11"/>
  <c r="W45" i="11"/>
  <c r="W46" i="11"/>
  <c r="W47" i="11"/>
  <c r="W48" i="11"/>
  <c r="W49" i="11"/>
  <c r="W50" i="11"/>
  <c r="W51" i="11"/>
  <c r="W52" i="11"/>
  <c r="W53" i="11"/>
  <c r="W54" i="11"/>
  <c r="W55" i="11"/>
  <c r="W56" i="11"/>
  <c r="W57" i="11"/>
  <c r="W58" i="11"/>
  <c r="W59" i="11"/>
  <c r="W60" i="11"/>
  <c r="W61" i="11"/>
  <c r="W62" i="11"/>
  <c r="W63" i="11"/>
  <c r="W64" i="11"/>
  <c r="W65" i="11"/>
  <c r="W66" i="11"/>
  <c r="W67" i="11"/>
  <c r="W68" i="11"/>
  <c r="W69" i="11"/>
  <c r="W70" i="11"/>
  <c r="W71" i="11"/>
  <c r="W72" i="11"/>
  <c r="W73" i="11"/>
  <c r="W74" i="11"/>
  <c r="W75" i="11"/>
  <c r="X5" i="11"/>
  <c r="V5" i="11"/>
  <c r="X6" i="11"/>
  <c r="V6" i="11"/>
  <c r="X7" i="11"/>
  <c r="V7" i="11"/>
  <c r="X8" i="11"/>
  <c r="V8" i="11"/>
  <c r="X9" i="11"/>
  <c r="V9" i="11"/>
  <c r="X10" i="11"/>
  <c r="V10" i="11"/>
  <c r="X11" i="11"/>
  <c r="V11" i="11"/>
  <c r="X12" i="11"/>
  <c r="V12" i="11"/>
  <c r="X13" i="11"/>
  <c r="V13" i="11"/>
  <c r="X14" i="11"/>
  <c r="V14" i="11"/>
  <c r="X15" i="11"/>
  <c r="V15" i="11"/>
  <c r="X16" i="11"/>
  <c r="V16" i="11"/>
  <c r="X17" i="11"/>
  <c r="V17" i="11"/>
  <c r="X18" i="11"/>
  <c r="V18" i="11"/>
  <c r="X19" i="11"/>
  <c r="V19" i="11"/>
  <c r="X20" i="11"/>
  <c r="V20" i="11"/>
  <c r="X21" i="11"/>
  <c r="V21" i="11"/>
  <c r="X22" i="11"/>
  <c r="V22" i="11"/>
  <c r="X23" i="11"/>
  <c r="V23" i="11"/>
  <c r="X24" i="11"/>
  <c r="V24" i="11"/>
  <c r="X25" i="11"/>
  <c r="V25" i="11"/>
  <c r="X26" i="11"/>
  <c r="V26" i="11"/>
  <c r="X27" i="11"/>
  <c r="V27" i="11"/>
  <c r="X28" i="11"/>
  <c r="V28" i="11"/>
  <c r="X29" i="11"/>
  <c r="V29" i="11"/>
  <c r="X30" i="11"/>
  <c r="V30" i="11"/>
  <c r="X31" i="11"/>
  <c r="V31" i="11"/>
  <c r="X32" i="11"/>
  <c r="V32" i="11"/>
  <c r="X33" i="11"/>
  <c r="V33" i="11"/>
  <c r="X34" i="11"/>
  <c r="V34" i="11"/>
  <c r="X35" i="11"/>
  <c r="V35" i="11"/>
  <c r="X36" i="11"/>
  <c r="V36" i="11"/>
  <c r="X37" i="11"/>
  <c r="V37" i="11"/>
  <c r="X38" i="11"/>
  <c r="V38" i="11"/>
  <c r="X39" i="11"/>
  <c r="V39" i="11"/>
  <c r="X40" i="11"/>
  <c r="V40" i="11"/>
  <c r="X41" i="11"/>
  <c r="V41" i="11"/>
  <c r="X42" i="11"/>
  <c r="V42" i="11"/>
  <c r="X43" i="11"/>
  <c r="V43" i="11"/>
  <c r="X44" i="11"/>
  <c r="V44" i="11"/>
  <c r="X45" i="11"/>
  <c r="V45" i="11"/>
  <c r="X46" i="11"/>
  <c r="V46" i="11"/>
  <c r="X47" i="11"/>
  <c r="V47" i="11"/>
  <c r="X48" i="11"/>
  <c r="V48" i="11"/>
  <c r="X49" i="11"/>
  <c r="V49" i="11"/>
  <c r="X50" i="11"/>
  <c r="V50" i="11"/>
  <c r="X51" i="11"/>
  <c r="V51" i="11"/>
  <c r="X52" i="11"/>
  <c r="V52" i="11"/>
  <c r="X53" i="11"/>
  <c r="V53" i="11"/>
  <c r="X54" i="11"/>
  <c r="V54" i="11"/>
  <c r="X55" i="11"/>
  <c r="V55" i="11"/>
  <c r="X56" i="11"/>
  <c r="V56" i="11"/>
  <c r="X57" i="11"/>
  <c r="V57" i="11"/>
  <c r="X58" i="11"/>
  <c r="V58" i="11"/>
  <c r="X59" i="11"/>
  <c r="V59" i="11"/>
  <c r="X60" i="11"/>
  <c r="V60" i="11"/>
  <c r="X61" i="11"/>
  <c r="V61" i="11"/>
  <c r="X62" i="11"/>
  <c r="V62" i="11"/>
  <c r="X63" i="11"/>
  <c r="V63" i="11"/>
  <c r="X64" i="11"/>
  <c r="V64" i="11"/>
  <c r="X65" i="11"/>
  <c r="V65" i="11"/>
  <c r="X66" i="11"/>
  <c r="V66" i="11"/>
  <c r="X67" i="11"/>
  <c r="V67" i="11"/>
  <c r="X68" i="11"/>
  <c r="V68" i="11"/>
  <c r="X69" i="11"/>
  <c r="V69" i="11"/>
  <c r="X70" i="11"/>
  <c r="V70" i="11"/>
  <c r="X71" i="11"/>
  <c r="V71" i="11"/>
  <c r="X72" i="11"/>
  <c r="V72" i="11"/>
  <c r="X73" i="11"/>
  <c r="V73" i="11"/>
  <c r="X74" i="11"/>
  <c r="V74" i="11"/>
  <c r="X75" i="11"/>
  <c r="V75" i="11"/>
  <c r="V4" i="11"/>
  <c r="X4" i="11"/>
  <c r="U6" i="11"/>
  <c r="U7" i="11" s="1"/>
  <c r="U8" i="11" s="1"/>
  <c r="U9" i="11" s="1"/>
  <c r="U10" i="11" s="1"/>
  <c r="U11" i="11" s="1"/>
  <c r="U12" i="11" s="1"/>
  <c r="U13" i="11" s="1"/>
  <c r="U14" i="11" s="1"/>
  <c r="U15" i="11" s="1"/>
  <c r="U16" i="11" s="1"/>
  <c r="U17" i="11" s="1"/>
  <c r="U18" i="11" s="1"/>
  <c r="U19" i="11" s="1"/>
  <c r="U20" i="11" s="1"/>
  <c r="U21" i="11" s="1"/>
  <c r="U22" i="11" s="1"/>
  <c r="U23" i="11" s="1"/>
  <c r="U24" i="11" s="1"/>
  <c r="U25" i="11" s="1"/>
  <c r="U26" i="11" s="1"/>
  <c r="U27" i="11" s="1"/>
  <c r="U28" i="11" s="1"/>
  <c r="U29" i="11" s="1"/>
  <c r="U30" i="11" s="1"/>
  <c r="U31" i="11" s="1"/>
  <c r="U32" i="11" s="1"/>
  <c r="U33" i="11" s="1"/>
  <c r="U34" i="11" s="1"/>
  <c r="U35" i="11" s="1"/>
  <c r="U36" i="11" s="1"/>
  <c r="U37" i="11" s="1"/>
  <c r="U38" i="11" s="1"/>
  <c r="U39" i="11" s="1"/>
  <c r="U40" i="11" s="1"/>
  <c r="U41" i="11" s="1"/>
  <c r="U42" i="11" s="1"/>
  <c r="U43" i="11" s="1"/>
  <c r="U44" i="11" s="1"/>
  <c r="U45" i="11" s="1"/>
  <c r="U46" i="11" s="1"/>
  <c r="U47" i="11" s="1"/>
  <c r="U48" i="11" s="1"/>
  <c r="U49" i="11" s="1"/>
  <c r="U50" i="11" s="1"/>
  <c r="U51" i="11" s="1"/>
  <c r="U52" i="11" s="1"/>
  <c r="U53" i="11" s="1"/>
  <c r="U54" i="11" s="1"/>
  <c r="U55" i="11" s="1"/>
  <c r="U56" i="11" s="1"/>
  <c r="U57" i="11" s="1"/>
  <c r="U58" i="11" s="1"/>
  <c r="U59" i="11" s="1"/>
  <c r="U60" i="11" s="1"/>
  <c r="U61" i="11" s="1"/>
  <c r="U62" i="11" s="1"/>
  <c r="U63" i="11" s="1"/>
  <c r="U64" i="11" s="1"/>
  <c r="U65" i="11" s="1"/>
  <c r="U66" i="11" s="1"/>
  <c r="U67" i="11" s="1"/>
  <c r="U68" i="11" s="1"/>
  <c r="U69" i="11" s="1"/>
  <c r="U70" i="11" s="1"/>
  <c r="U71" i="11" s="1"/>
  <c r="U72" i="11" s="1"/>
  <c r="U73" i="11" s="1"/>
  <c r="U74" i="11" s="1"/>
  <c r="U75" i="11" s="1"/>
  <c r="AK8" i="10"/>
  <c r="AK6" i="10" s="1"/>
  <c r="Z5" i="10" a="1"/>
  <c r="Z5" i="10" s="1"/>
  <c r="X4" i="10"/>
  <c r="H19" i="10" s="1" a="1"/>
  <c r="X5" i="10"/>
  <c r="X6" i="10"/>
  <c r="X7" i="10"/>
  <c r="X8" i="10"/>
  <c r="X9" i="10"/>
  <c r="X10" i="10"/>
  <c r="X11" i="10"/>
  <c r="X12" i="10"/>
  <c r="X13" i="10"/>
  <c r="X14" i="10"/>
  <c r="X15" i="10"/>
  <c r="X16" i="10"/>
  <c r="X17" i="10"/>
  <c r="X18" i="10"/>
  <c r="X19" i="10"/>
  <c r="X20" i="10"/>
  <c r="X21" i="10"/>
  <c r="X22" i="10"/>
  <c r="X23" i="10"/>
  <c r="X24" i="10"/>
  <c r="X25" i="10"/>
  <c r="X26" i="10"/>
  <c r="X27" i="10"/>
  <c r="X28" i="10"/>
  <c r="X29" i="10"/>
  <c r="X30" i="10"/>
  <c r="X31" i="10"/>
  <c r="X32" i="10"/>
  <c r="X33" i="10"/>
  <c r="X34" i="10"/>
  <c r="X35" i="10"/>
  <c r="X36" i="10"/>
  <c r="X37" i="10"/>
  <c r="X38" i="10"/>
  <c r="X39" i="10"/>
  <c r="X40" i="10"/>
  <c r="X41" i="10"/>
  <c r="X42" i="10"/>
  <c r="X43" i="10"/>
  <c r="X44" i="10"/>
  <c r="X45" i="10"/>
  <c r="X46" i="10"/>
  <c r="X47" i="10"/>
  <c r="X48" i="10"/>
  <c r="X49" i="10"/>
  <c r="X50" i="10"/>
  <c r="X51" i="10"/>
  <c r="X52" i="10"/>
  <c r="X53" i="10"/>
  <c r="X54" i="10"/>
  <c r="X55" i="10"/>
  <c r="X56" i="10"/>
  <c r="X57" i="10"/>
  <c r="X58" i="10"/>
  <c r="X59" i="10"/>
  <c r="X60" i="10"/>
  <c r="X61" i="10"/>
  <c r="X62" i="10"/>
  <c r="X63" i="10"/>
  <c r="X64" i="10"/>
  <c r="X65" i="10"/>
  <c r="X66" i="10"/>
  <c r="X67" i="10"/>
  <c r="X68" i="10"/>
  <c r="X69" i="10"/>
  <c r="X70" i="10"/>
  <c r="X71" i="10"/>
  <c r="X72" i="10"/>
  <c r="X73" i="10"/>
  <c r="W5" i="10"/>
  <c r="W6" i="10"/>
  <c r="W7" i="10"/>
  <c r="W8" i="10"/>
  <c r="W9" i="10"/>
  <c r="W10" i="10"/>
  <c r="W11" i="10"/>
  <c r="W12" i="10"/>
  <c r="W13" i="10"/>
  <c r="W14" i="10"/>
  <c r="W15" i="10"/>
  <c r="W16" i="10"/>
  <c r="W17" i="10"/>
  <c r="W18" i="10"/>
  <c r="W19" i="10"/>
  <c r="W20" i="10"/>
  <c r="W21" i="10"/>
  <c r="W22" i="10"/>
  <c r="W23" i="10"/>
  <c r="W24" i="10"/>
  <c r="W25" i="10"/>
  <c r="W26" i="10"/>
  <c r="W27" i="10"/>
  <c r="W28" i="10"/>
  <c r="W29" i="10"/>
  <c r="W30" i="10"/>
  <c r="W31" i="10"/>
  <c r="W32" i="10"/>
  <c r="W33" i="10"/>
  <c r="W34" i="10"/>
  <c r="W35" i="10"/>
  <c r="W36" i="10"/>
  <c r="W37" i="10"/>
  <c r="W38" i="10"/>
  <c r="W39" i="10"/>
  <c r="W40" i="10"/>
  <c r="W41" i="10"/>
  <c r="W42" i="10"/>
  <c r="W43" i="10"/>
  <c r="W44" i="10"/>
  <c r="W45" i="10"/>
  <c r="W46" i="10"/>
  <c r="W47" i="10"/>
  <c r="W48" i="10"/>
  <c r="W49" i="10"/>
  <c r="W50" i="10"/>
  <c r="W51" i="10"/>
  <c r="W52" i="10"/>
  <c r="W53" i="10"/>
  <c r="W54" i="10"/>
  <c r="W55" i="10"/>
  <c r="W56" i="10"/>
  <c r="W57" i="10"/>
  <c r="W58" i="10"/>
  <c r="W59" i="10"/>
  <c r="W60" i="10"/>
  <c r="W61" i="10"/>
  <c r="W62" i="10"/>
  <c r="W63" i="10"/>
  <c r="W64" i="10"/>
  <c r="W65" i="10"/>
  <c r="W66" i="10"/>
  <c r="W67" i="10"/>
  <c r="W68" i="10"/>
  <c r="W69" i="10"/>
  <c r="W70" i="10"/>
  <c r="W71" i="10"/>
  <c r="W72" i="10"/>
  <c r="W73" i="10"/>
  <c r="W4" i="10"/>
  <c r="V6" i="10"/>
  <c r="V7" i="10" s="1"/>
  <c r="V8" i="10" s="1"/>
  <c r="V9" i="10" s="1"/>
  <c r="V10" i="10" s="1"/>
  <c r="V11" i="10" s="1"/>
  <c r="V12" i="10" s="1"/>
  <c r="V13" i="10" s="1"/>
  <c r="V14" i="10" s="1"/>
  <c r="V15" i="10" s="1"/>
  <c r="V16" i="10" s="1"/>
  <c r="V17" i="10" s="1"/>
  <c r="V18" i="10" s="1"/>
  <c r="V19" i="10" s="1"/>
  <c r="V20" i="10" s="1"/>
  <c r="V21" i="10" s="1"/>
  <c r="V22" i="10" s="1"/>
  <c r="V23" i="10" s="1"/>
  <c r="V24" i="10" s="1"/>
  <c r="V25" i="10" s="1"/>
  <c r="V26" i="10" s="1"/>
  <c r="V27" i="10" s="1"/>
  <c r="V28" i="10" s="1"/>
  <c r="V29" i="10" s="1"/>
  <c r="V30" i="10" s="1"/>
  <c r="V31" i="10" s="1"/>
  <c r="V32" i="10" s="1"/>
  <c r="V33" i="10" s="1"/>
  <c r="V34" i="10" s="1"/>
  <c r="V35" i="10" s="1"/>
  <c r="V36" i="10" s="1"/>
  <c r="V37" i="10" s="1"/>
  <c r="V38" i="10" s="1"/>
  <c r="V39" i="10" s="1"/>
  <c r="V40" i="10" s="1"/>
  <c r="V41" i="10" s="1"/>
  <c r="V42" i="10" s="1"/>
  <c r="V43" i="10" s="1"/>
  <c r="V44" i="10" s="1"/>
  <c r="V45" i="10" s="1"/>
  <c r="V46" i="10" s="1"/>
  <c r="V47" i="10" s="1"/>
  <c r="V48" i="10" s="1"/>
  <c r="V49" i="10" s="1"/>
  <c r="V50" i="10" s="1"/>
  <c r="V51" i="10" s="1"/>
  <c r="V52" i="10" s="1"/>
  <c r="V53" i="10" s="1"/>
  <c r="V54" i="10" s="1"/>
  <c r="V55" i="10" s="1"/>
  <c r="V56" i="10" s="1"/>
  <c r="V57" i="10" s="1"/>
  <c r="V58" i="10" s="1"/>
  <c r="V59" i="10" s="1"/>
  <c r="V60" i="10" s="1"/>
  <c r="V61" i="10" s="1"/>
  <c r="V62" i="10" s="1"/>
  <c r="V63" i="10" s="1"/>
  <c r="V64" i="10" s="1"/>
  <c r="V65" i="10" s="1"/>
  <c r="V66" i="10" s="1"/>
  <c r="V67" i="10" s="1"/>
  <c r="V68" i="10" s="1"/>
  <c r="V69" i="10" s="1"/>
  <c r="V70" i="10" s="1"/>
  <c r="V71" i="10" s="1"/>
  <c r="V72" i="10" s="1"/>
  <c r="V73" i="10" s="1"/>
  <c r="B22" i="9"/>
  <c r="M3" i="9"/>
  <c r="L3" i="9"/>
  <c r="K3" i="9"/>
  <c r="J5" i="9"/>
  <c r="J6" i="9" s="1"/>
  <c r="J7" i="9" s="1"/>
  <c r="J8" i="9" s="1"/>
  <c r="J9" i="9" s="1"/>
  <c r="J10" i="9" s="1"/>
  <c r="J11" i="9" s="1"/>
  <c r="J12" i="9" s="1"/>
  <c r="J13" i="9" s="1"/>
  <c r="J14" i="9" s="1"/>
  <c r="J15" i="9" s="1"/>
  <c r="J16" i="9" s="1"/>
  <c r="J17" i="9" s="1"/>
  <c r="J18" i="9" s="1"/>
  <c r="J19" i="9" s="1"/>
  <c r="J20" i="9" s="1"/>
  <c r="J21" i="9" s="1"/>
  <c r="J22" i="9" s="1"/>
  <c r="J23" i="9" s="1"/>
  <c r="J24" i="9" s="1"/>
  <c r="J25" i="9" s="1"/>
  <c r="J26" i="9" s="1"/>
  <c r="J27" i="9" s="1"/>
  <c r="J28" i="9" s="1"/>
  <c r="J29" i="9" s="1"/>
  <c r="J30" i="9" s="1"/>
  <c r="J31" i="9" s="1"/>
  <c r="J32" i="9" s="1"/>
  <c r="J33" i="9" s="1"/>
  <c r="J34" i="9" s="1"/>
  <c r="J35" i="9" s="1"/>
  <c r="J36" i="9" s="1"/>
  <c r="J37" i="9" s="1"/>
  <c r="J38" i="9" s="1"/>
  <c r="J39" i="9" s="1"/>
  <c r="J40" i="9" s="1"/>
  <c r="J41" i="9" s="1"/>
  <c r="J42" i="9" s="1"/>
  <c r="J43" i="9" s="1"/>
  <c r="J44" i="9" s="1"/>
  <c r="J45" i="9" s="1"/>
  <c r="J46" i="9" s="1"/>
  <c r="J47" i="9" s="1"/>
  <c r="J48" i="9" s="1"/>
  <c r="J49" i="9" s="1"/>
  <c r="J50" i="9" s="1"/>
  <c r="J51" i="9" s="1"/>
  <c r="J52" i="9" s="1"/>
  <c r="J53" i="9" s="1"/>
  <c r="J54" i="9" s="1"/>
  <c r="J55" i="9" s="1"/>
  <c r="J56" i="9" s="1"/>
  <c r="J57" i="9" s="1"/>
  <c r="J58" i="9" s="1"/>
  <c r="J59" i="9" s="1"/>
  <c r="J60" i="9" s="1"/>
  <c r="J61" i="9" s="1"/>
  <c r="J62" i="9" s="1"/>
  <c r="J63" i="9" s="1"/>
  <c r="J64" i="9" s="1"/>
  <c r="J65" i="9" s="1"/>
  <c r="J66" i="9" s="1"/>
  <c r="J67" i="9" s="1"/>
  <c r="J68" i="9" s="1"/>
  <c r="J69" i="9" s="1"/>
  <c r="J70" i="9" s="1"/>
  <c r="J71" i="9" s="1"/>
  <c r="J72" i="9" s="1"/>
  <c r="J73" i="9" s="1"/>
  <c r="J74" i="9" s="1"/>
  <c r="J75" i="9" s="1"/>
  <c r="J76" i="9" s="1"/>
  <c r="J77" i="9" s="1"/>
  <c r="J78" i="9" s="1"/>
  <c r="A18" i="9" a="1"/>
  <c r="A18" i="9" s="1"/>
  <c r="I18" i="10" a="1"/>
  <c r="O19" i="10"/>
  <c r="O20" i="10"/>
  <c r="AA5" i="11" a="1"/>
  <c r="B23" i="9"/>
  <c r="B24" i="9"/>
  <c r="AB5" i="10" a="1"/>
  <c r="B30" i="9"/>
  <c r="B31" i="9"/>
  <c r="I19" i="10" l="1"/>
  <c r="I20" i="10"/>
  <c r="J20" i="10"/>
  <c r="I18" i="10"/>
  <c r="J18" i="10"/>
  <c r="J19" i="10"/>
  <c r="J15" i="10"/>
  <c r="I9" i="10"/>
  <c r="I15" i="10" s="1"/>
  <c r="H19" i="10"/>
  <c r="H20" i="10"/>
  <c r="I13" i="10"/>
  <c r="Z5" i="11"/>
  <c r="AA5" i="10"/>
  <c r="Z67" i="11"/>
  <c r="Z73" i="11"/>
  <c r="AA16" i="11"/>
  <c r="AA28" i="11"/>
  <c r="AA40" i="11"/>
  <c r="AA52" i="11"/>
  <c r="AA64" i="11"/>
  <c r="AA27" i="11"/>
  <c r="AA5" i="11"/>
  <c r="AA17" i="11"/>
  <c r="AA29" i="11"/>
  <c r="AA41" i="11"/>
  <c r="AA53" i="11"/>
  <c r="AA65" i="11"/>
  <c r="AA44" i="11"/>
  <c r="AA47" i="11"/>
  <c r="AA6" i="11"/>
  <c r="AA18" i="11"/>
  <c r="AA30" i="11"/>
  <c r="AA42" i="11"/>
  <c r="AA54" i="11"/>
  <c r="AA66" i="11"/>
  <c r="AA23" i="11"/>
  <c r="AA63" i="11"/>
  <c r="AA7" i="11"/>
  <c r="AA19" i="11"/>
  <c r="AA31" i="11"/>
  <c r="AA43" i="11"/>
  <c r="AA55" i="11"/>
  <c r="AA67" i="11"/>
  <c r="AA56" i="11"/>
  <c r="AA71" i="11"/>
  <c r="AA39" i="11"/>
  <c r="AA8" i="11"/>
  <c r="AA20" i="11"/>
  <c r="AA32" i="11"/>
  <c r="AA68" i="11"/>
  <c r="AA75" i="11"/>
  <c r="AA9" i="11"/>
  <c r="AA21" i="11"/>
  <c r="AA33" i="11"/>
  <c r="AA45" i="11"/>
  <c r="AA57" i="11"/>
  <c r="AA69" i="11"/>
  <c r="AA59" i="11"/>
  <c r="AA51" i="11"/>
  <c r="AA10" i="11"/>
  <c r="AA22" i="11"/>
  <c r="AA34" i="11"/>
  <c r="AA46" i="11"/>
  <c r="AA58" i="11"/>
  <c r="AA70" i="11"/>
  <c r="AA11" i="11"/>
  <c r="AA35" i="11"/>
  <c r="AA12" i="11"/>
  <c r="AA24" i="11"/>
  <c r="AA36" i="11"/>
  <c r="AA48" i="11"/>
  <c r="AA60" i="11"/>
  <c r="AA72" i="11"/>
  <c r="AA13" i="11"/>
  <c r="AA25" i="11"/>
  <c r="AA37" i="11"/>
  <c r="AA49" i="11"/>
  <c r="AA61" i="11"/>
  <c r="AA73" i="11"/>
  <c r="AA14" i="11"/>
  <c r="AA26" i="11"/>
  <c r="AA38" i="11"/>
  <c r="AA50" i="11"/>
  <c r="AA62" i="11"/>
  <c r="AA74" i="11"/>
  <c r="AA15" i="11"/>
  <c r="Y15" i="11"/>
  <c r="Z15" i="11" s="1"/>
  <c r="Y74" i="11"/>
  <c r="Z74" i="11" s="1"/>
  <c r="Y62" i="11"/>
  <c r="Z62" i="11" s="1"/>
  <c r="Y50" i="11"/>
  <c r="Z50" i="11" s="1"/>
  <c r="Y38" i="11"/>
  <c r="Z38" i="11" s="1"/>
  <c r="Y26" i="11"/>
  <c r="Z26" i="11" s="1"/>
  <c r="Y14" i="11"/>
  <c r="Z14" i="11" s="1"/>
  <c r="Y64" i="11"/>
  <c r="Z64" i="11" s="1"/>
  <c r="Y73" i="11"/>
  <c r="Y61" i="11"/>
  <c r="Z61" i="11" s="1"/>
  <c r="Y49" i="11"/>
  <c r="Z49" i="11" s="1"/>
  <c r="Y37" i="11"/>
  <c r="Z37" i="11" s="1"/>
  <c r="Y25" i="11"/>
  <c r="Z25" i="11" s="1"/>
  <c r="Y13" i="11"/>
  <c r="Z13" i="11" s="1"/>
  <c r="Y72" i="11"/>
  <c r="Z72" i="11" s="1"/>
  <c r="Y60" i="11"/>
  <c r="Z60" i="11" s="1"/>
  <c r="Y12" i="11"/>
  <c r="Z12" i="11" s="1"/>
  <c r="Y28" i="11"/>
  <c r="Z28" i="11" s="1"/>
  <c r="Y27" i="11"/>
  <c r="Z27" i="11" s="1"/>
  <c r="Y48" i="11"/>
  <c r="Z48" i="11" s="1"/>
  <c r="Y71" i="11"/>
  <c r="Z71" i="11" s="1"/>
  <c r="Y59" i="11"/>
  <c r="Z59" i="11" s="1"/>
  <c r="Y47" i="11"/>
  <c r="Z47" i="11" s="1"/>
  <c r="Y35" i="11"/>
  <c r="Z35" i="11" s="1"/>
  <c r="Y23" i="11"/>
  <c r="Z23" i="11" s="1"/>
  <c r="Y11" i="11"/>
  <c r="Z11" i="11" s="1"/>
  <c r="Y16" i="11"/>
  <c r="Z16" i="11" s="1"/>
  <c r="Y39" i="11"/>
  <c r="Z39" i="11" s="1"/>
  <c r="Y24" i="11"/>
  <c r="Z24" i="11" s="1"/>
  <c r="Y70" i="11"/>
  <c r="Z70" i="11" s="1"/>
  <c r="Y10" i="11"/>
  <c r="Z10" i="11" s="1"/>
  <c r="Y69" i="11"/>
  <c r="Z69" i="11" s="1"/>
  <c r="Y57" i="11"/>
  <c r="Z57" i="11" s="1"/>
  <c r="Y45" i="11"/>
  <c r="Z45" i="11" s="1"/>
  <c r="Y33" i="11"/>
  <c r="Z33" i="11" s="1"/>
  <c r="Y21" i="11"/>
  <c r="Z21" i="11" s="1"/>
  <c r="Y9" i="11"/>
  <c r="Z9" i="11" s="1"/>
  <c r="Y75" i="11"/>
  <c r="Z75" i="11" s="1"/>
  <c r="Y68" i="11"/>
  <c r="Z68" i="11" s="1"/>
  <c r="Y56" i="11"/>
  <c r="Z56" i="11" s="1"/>
  <c r="Y44" i="11"/>
  <c r="Z44" i="11" s="1"/>
  <c r="Y8" i="11"/>
  <c r="Z8" i="11" s="1"/>
  <c r="Y63" i="11"/>
  <c r="Z63" i="11" s="1"/>
  <c r="Y36" i="11"/>
  <c r="Z36" i="11" s="1"/>
  <c r="Y46" i="11"/>
  <c r="Z46" i="11" s="1"/>
  <c r="Y22" i="11"/>
  <c r="Z22" i="11" s="1"/>
  <c r="Y67" i="11"/>
  <c r="Y55" i="11"/>
  <c r="Z55" i="11" s="1"/>
  <c r="Y43" i="11"/>
  <c r="Z43" i="11" s="1"/>
  <c r="Y31" i="11"/>
  <c r="Z31" i="11" s="1"/>
  <c r="Y19" i="11"/>
  <c r="Z19" i="11" s="1"/>
  <c r="Y7" i="11"/>
  <c r="Z7" i="11" s="1"/>
  <c r="Y52" i="11"/>
  <c r="Z52" i="11" s="1"/>
  <c r="Y51" i="11"/>
  <c r="Z51" i="11" s="1"/>
  <c r="Y34" i="11"/>
  <c r="Z34" i="11" s="1"/>
  <c r="Y32" i="11"/>
  <c r="Z32" i="11" s="1"/>
  <c r="Y66" i="11"/>
  <c r="Z66" i="11" s="1"/>
  <c r="Y54" i="11"/>
  <c r="Z54" i="11" s="1"/>
  <c r="Y42" i="11"/>
  <c r="Z42" i="11" s="1"/>
  <c r="Y30" i="11"/>
  <c r="Z30" i="11" s="1"/>
  <c r="Y18" i="11"/>
  <c r="Z18" i="11" s="1"/>
  <c r="Y6" i="11"/>
  <c r="Z6" i="11" s="1"/>
  <c r="Y40" i="11"/>
  <c r="Z40" i="11" s="1"/>
  <c r="Y58" i="11"/>
  <c r="Z58" i="11" s="1"/>
  <c r="Y20" i="11"/>
  <c r="Z20" i="11" s="1"/>
  <c r="Y65" i="11"/>
  <c r="Z65" i="11" s="1"/>
  <c r="Y53" i="11"/>
  <c r="Z53" i="11" s="1"/>
  <c r="Y41" i="11"/>
  <c r="Z41" i="11" s="1"/>
  <c r="Y29" i="11"/>
  <c r="Z29" i="11" s="1"/>
  <c r="Y17" i="11"/>
  <c r="Z17" i="11" s="1"/>
  <c r="AB5" i="10"/>
  <c r="AB17" i="10"/>
  <c r="AB29" i="10"/>
  <c r="AB41" i="10"/>
  <c r="AB53" i="10"/>
  <c r="AB65" i="10"/>
  <c r="AB20" i="10"/>
  <c r="AB45" i="10"/>
  <c r="AB34" i="10"/>
  <c r="AB70" i="10"/>
  <c r="AB23" i="10"/>
  <c r="AB71" i="10"/>
  <c r="AB24" i="10"/>
  <c r="AB60" i="10"/>
  <c r="AB61" i="10"/>
  <c r="AB26" i="10"/>
  <c r="AB27" i="10"/>
  <c r="AB28" i="10"/>
  <c r="AB6" i="10"/>
  <c r="AB18" i="10"/>
  <c r="AB30" i="10"/>
  <c r="AB42" i="10"/>
  <c r="AB54" i="10"/>
  <c r="AB66" i="10"/>
  <c r="AB8" i="10"/>
  <c r="AB44" i="10"/>
  <c r="AB56" i="10"/>
  <c r="AB68" i="10"/>
  <c r="AB9" i="10"/>
  <c r="AB33" i="10"/>
  <c r="AB57" i="10"/>
  <c r="AB10" i="10"/>
  <c r="AB58" i="10"/>
  <c r="AB35" i="10"/>
  <c r="AB48" i="10"/>
  <c r="AB37" i="10"/>
  <c r="AB63" i="10"/>
  <c r="AB64" i="10"/>
  <c r="AB7" i="10"/>
  <c r="AB19" i="10"/>
  <c r="AB31" i="10"/>
  <c r="AB43" i="10"/>
  <c r="AB55" i="10"/>
  <c r="AB67" i="10"/>
  <c r="AB32" i="10"/>
  <c r="AB21" i="10"/>
  <c r="AB22" i="10"/>
  <c r="AB12" i="10"/>
  <c r="AB25" i="10"/>
  <c r="AB38" i="10"/>
  <c r="AB15" i="10"/>
  <c r="AB40" i="10"/>
  <c r="AB47" i="10"/>
  <c r="AB73" i="10"/>
  <c r="AB62" i="10"/>
  <c r="AB69" i="10"/>
  <c r="AB46" i="10"/>
  <c r="AB11" i="10"/>
  <c r="AB59" i="10"/>
  <c r="AB36" i="10"/>
  <c r="AB72" i="10"/>
  <c r="AB49" i="10"/>
  <c r="AB14" i="10"/>
  <c r="AB39" i="10"/>
  <c r="AB52" i="10"/>
  <c r="AB13" i="10"/>
  <c r="AB50" i="10"/>
  <c r="AB51" i="10"/>
  <c r="AB16" i="10"/>
  <c r="Z52" i="10"/>
  <c r="AA52" i="10" s="1"/>
  <c r="Z63" i="10"/>
  <c r="AA63" i="10" s="1"/>
  <c r="Z38" i="10"/>
  <c r="AA38" i="10" s="1"/>
  <c r="Z40" i="10"/>
  <c r="AA40" i="10" s="1"/>
  <c r="Z27" i="10"/>
  <c r="AA27" i="10" s="1"/>
  <c r="Z62" i="10"/>
  <c r="AA62" i="10" s="1"/>
  <c r="Z49" i="10"/>
  <c r="AA49" i="10" s="1"/>
  <c r="Z60" i="10"/>
  <c r="AA60" i="10" s="1"/>
  <c r="Z16" i="10"/>
  <c r="AA16" i="10" s="1"/>
  <c r="Z39" i="10"/>
  <c r="AA39" i="10" s="1"/>
  <c r="Z50" i="10"/>
  <c r="AA50" i="10" s="1"/>
  <c r="Z73" i="10"/>
  <c r="AA73" i="10" s="1"/>
  <c r="Z37" i="10"/>
  <c r="AA37" i="10" s="1"/>
  <c r="Z48" i="10"/>
  <c r="AA48" i="10" s="1"/>
  <c r="Z71" i="10"/>
  <c r="AA71" i="10" s="1"/>
  <c r="Z47" i="10"/>
  <c r="AA47" i="10" s="1"/>
  <c r="Z23" i="10"/>
  <c r="AA23" i="10" s="1"/>
  <c r="Z34" i="10"/>
  <c r="AA34" i="10" s="1"/>
  <c r="Z33" i="10"/>
  <c r="AA33" i="10" s="1"/>
  <c r="Z32" i="10"/>
  <c r="AA32" i="10" s="1"/>
  <c r="Z15" i="10"/>
  <c r="AA15" i="10" s="1"/>
  <c r="Z61" i="10"/>
  <c r="AA61" i="10" s="1"/>
  <c r="Z12" i="10"/>
  <c r="AA12" i="10" s="1"/>
  <c r="Z46" i="10"/>
  <c r="AA46" i="10" s="1"/>
  <c r="Z64" i="10"/>
  <c r="AA64" i="10" s="1"/>
  <c r="Z26" i="10"/>
  <c r="AA26" i="10" s="1"/>
  <c r="Z13" i="10"/>
  <c r="AA13" i="10" s="1"/>
  <c r="Z36" i="10"/>
  <c r="AA36" i="10" s="1"/>
  <c r="Z11" i="10"/>
  <c r="AA11" i="10" s="1"/>
  <c r="Z58" i="10"/>
  <c r="AA58" i="10" s="1"/>
  <c r="Z10" i="10"/>
  <c r="AA10" i="10" s="1"/>
  <c r="Z69" i="10"/>
  <c r="AA69" i="10" s="1"/>
  <c r="Z45" i="10"/>
  <c r="AA45" i="10" s="1"/>
  <c r="Z9" i="10"/>
  <c r="AA9" i="10" s="1"/>
  <c r="Z68" i="10"/>
  <c r="AA68" i="10" s="1"/>
  <c r="Z56" i="10"/>
  <c r="AA56" i="10" s="1"/>
  <c r="Z44" i="10"/>
  <c r="AA44" i="10" s="1"/>
  <c r="Z8" i="10"/>
  <c r="AA8" i="10" s="1"/>
  <c r="Z67" i="10"/>
  <c r="AA67" i="10" s="1"/>
  <c r="Z55" i="10"/>
  <c r="AA55" i="10" s="1"/>
  <c r="Z43" i="10"/>
  <c r="AA43" i="10" s="1"/>
  <c r="Z31" i="10"/>
  <c r="AA31" i="10" s="1"/>
  <c r="Z19" i="10"/>
  <c r="AA19" i="10" s="1"/>
  <c r="Z66" i="10"/>
  <c r="AA66" i="10" s="1"/>
  <c r="Z54" i="10"/>
  <c r="AA54" i="10" s="1"/>
  <c r="Z42" i="10"/>
  <c r="AA42" i="10" s="1"/>
  <c r="Z30" i="10"/>
  <c r="AA30" i="10" s="1"/>
  <c r="Z18" i="10"/>
  <c r="AA18" i="10" s="1"/>
  <c r="Z6" i="10"/>
  <c r="AA6" i="10" s="1"/>
  <c r="Z28" i="10"/>
  <c r="AA28" i="10" s="1"/>
  <c r="Z51" i="10"/>
  <c r="AA51" i="10" s="1"/>
  <c r="Z14" i="10"/>
  <c r="AA14" i="10" s="1"/>
  <c r="Z25" i="10"/>
  <c r="AA25" i="10" s="1"/>
  <c r="Z72" i="10"/>
  <c r="AA72" i="10" s="1"/>
  <c r="Z24" i="10"/>
  <c r="AA24" i="10" s="1"/>
  <c r="Z59" i="10"/>
  <c r="AA59" i="10" s="1"/>
  <c r="Z35" i="10"/>
  <c r="AA35" i="10" s="1"/>
  <c r="Z70" i="10"/>
  <c r="AA70" i="10" s="1"/>
  <c r="Z22" i="10"/>
  <c r="AA22" i="10" s="1"/>
  <c r="Z57" i="10"/>
  <c r="AA57" i="10" s="1"/>
  <c r="Z21" i="10"/>
  <c r="AA21" i="10" s="1"/>
  <c r="Z20" i="10"/>
  <c r="AA20" i="10" s="1"/>
  <c r="Z7" i="10"/>
  <c r="AA7" i="10" s="1"/>
  <c r="Z65" i="10"/>
  <c r="AA65" i="10" s="1"/>
  <c r="Z53" i="10"/>
  <c r="AA53" i="10" s="1"/>
  <c r="Z41" i="10"/>
  <c r="AA41" i="10" s="1"/>
  <c r="Z29" i="10"/>
  <c r="AA29" i="10" s="1"/>
  <c r="Z17" i="10"/>
  <c r="AA17" i="10" s="1"/>
  <c r="B26" i="9"/>
  <c r="B33" i="9"/>
  <c r="A19" i="9"/>
  <c r="Z2" i="4"/>
  <c r="Y2" i="4"/>
  <c r="W2" i="4"/>
  <c r="X2" i="4"/>
  <c r="I14" i="10" l="1"/>
  <c r="K18" i="10"/>
  <c r="L18" i="10" s="1"/>
  <c r="N18" i="10"/>
  <c r="M18" i="10"/>
  <c r="K19" i="10"/>
  <c r="L19" i="10" s="1"/>
  <c r="M19" i="10"/>
  <c r="N19" i="10"/>
  <c r="M20" i="10"/>
  <c r="K20" i="10"/>
  <c r="L20" i="10" s="1"/>
  <c r="N20" i="10"/>
  <c r="AJ5" i="11"/>
  <c r="AJ7" i="11" s="1"/>
  <c r="AB52" i="11" s="1"/>
  <c r="AK5" i="10"/>
  <c r="AK7" i="10" s="1"/>
  <c r="AG7" i="10" s="1"/>
  <c r="B22" i="4"/>
  <c r="AA7" i="4"/>
  <c r="AA5" i="4" s="1"/>
  <c r="P4" i="4" a="1"/>
  <c r="P4" i="4" s="1"/>
  <c r="Q4" i="4" s="1"/>
  <c r="O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M4" i="4"/>
  <c r="N4" i="4"/>
  <c r="M5" i="4"/>
  <c r="N5" i="4"/>
  <c r="M6" i="4"/>
  <c r="N6" i="4"/>
  <c r="M7" i="4"/>
  <c r="N7" i="4"/>
  <c r="M8" i="4"/>
  <c r="N8" i="4"/>
  <c r="M9" i="4"/>
  <c r="N9" i="4"/>
  <c r="M10" i="4"/>
  <c r="N10" i="4"/>
  <c r="M11" i="4"/>
  <c r="N11" i="4"/>
  <c r="M12" i="4"/>
  <c r="N12" i="4"/>
  <c r="M13" i="4"/>
  <c r="N13" i="4"/>
  <c r="M14" i="4"/>
  <c r="N14" i="4"/>
  <c r="M15" i="4"/>
  <c r="N15" i="4"/>
  <c r="M16" i="4"/>
  <c r="N16" i="4"/>
  <c r="M17" i="4"/>
  <c r="N17" i="4"/>
  <c r="M18" i="4"/>
  <c r="N18" i="4"/>
  <c r="M19" i="4"/>
  <c r="N19" i="4"/>
  <c r="M20" i="4"/>
  <c r="N20" i="4"/>
  <c r="M21" i="4"/>
  <c r="N21" i="4"/>
  <c r="M22" i="4"/>
  <c r="N22" i="4"/>
  <c r="M23" i="4"/>
  <c r="N23" i="4"/>
  <c r="M24" i="4"/>
  <c r="N24" i="4"/>
  <c r="M25" i="4"/>
  <c r="N25" i="4"/>
  <c r="M26" i="4"/>
  <c r="N26" i="4"/>
  <c r="M27" i="4"/>
  <c r="N27" i="4"/>
  <c r="M28" i="4"/>
  <c r="N28" i="4"/>
  <c r="M29" i="4"/>
  <c r="N29" i="4"/>
  <c r="M30" i="4"/>
  <c r="N30" i="4"/>
  <c r="M31" i="4"/>
  <c r="N31" i="4"/>
  <c r="M32" i="4"/>
  <c r="N32" i="4"/>
  <c r="M33" i="4"/>
  <c r="N33" i="4"/>
  <c r="M34" i="4"/>
  <c r="N34" i="4"/>
  <c r="M35" i="4"/>
  <c r="N35" i="4"/>
  <c r="M36" i="4"/>
  <c r="N36" i="4"/>
  <c r="M37" i="4"/>
  <c r="N37" i="4"/>
  <c r="M38" i="4"/>
  <c r="N38" i="4"/>
  <c r="M39" i="4"/>
  <c r="N39" i="4"/>
  <c r="M40" i="4"/>
  <c r="N40" i="4"/>
  <c r="M41" i="4"/>
  <c r="N41" i="4"/>
  <c r="M42" i="4"/>
  <c r="N42" i="4"/>
  <c r="M43" i="4"/>
  <c r="N43" i="4"/>
  <c r="M44" i="4"/>
  <c r="N44" i="4"/>
  <c r="M45" i="4"/>
  <c r="N45" i="4"/>
  <c r="M46" i="4"/>
  <c r="N46" i="4"/>
  <c r="M47" i="4"/>
  <c r="N47" i="4"/>
  <c r="M48" i="4"/>
  <c r="N48" i="4"/>
  <c r="M49" i="4"/>
  <c r="N49" i="4"/>
  <c r="M50" i="4"/>
  <c r="N50" i="4"/>
  <c r="M51" i="4"/>
  <c r="N51" i="4"/>
  <c r="M52" i="4"/>
  <c r="N52" i="4"/>
  <c r="M53" i="4"/>
  <c r="N53" i="4"/>
  <c r="M54" i="4"/>
  <c r="N54" i="4"/>
  <c r="M55" i="4"/>
  <c r="N55" i="4"/>
  <c r="M56" i="4"/>
  <c r="N56" i="4"/>
  <c r="M57" i="4"/>
  <c r="N57" i="4"/>
  <c r="M58" i="4"/>
  <c r="N58" i="4"/>
  <c r="M59" i="4"/>
  <c r="N59" i="4"/>
  <c r="M60" i="4"/>
  <c r="N60" i="4"/>
  <c r="M61" i="4"/>
  <c r="N61" i="4"/>
  <c r="M62" i="4"/>
  <c r="N62" i="4"/>
  <c r="M63" i="4"/>
  <c r="N63" i="4"/>
  <c r="M64" i="4"/>
  <c r="N64" i="4"/>
  <c r="M65" i="4"/>
  <c r="N65" i="4"/>
  <c r="M66" i="4"/>
  <c r="N66" i="4"/>
  <c r="M67" i="4"/>
  <c r="N67" i="4"/>
  <c r="M68" i="4"/>
  <c r="N68" i="4"/>
  <c r="M69" i="4"/>
  <c r="N69" i="4"/>
  <c r="M70" i="4"/>
  <c r="N70" i="4"/>
  <c r="M71" i="4"/>
  <c r="N71" i="4"/>
  <c r="M72" i="4"/>
  <c r="N72" i="4"/>
  <c r="M73" i="4"/>
  <c r="N73" i="4"/>
  <c r="M74" i="4"/>
  <c r="N74" i="4"/>
  <c r="M75" i="4"/>
  <c r="N75" i="4"/>
  <c r="M76" i="4"/>
  <c r="N76" i="4"/>
  <c r="M77" i="4"/>
  <c r="N77" i="4"/>
  <c r="M78" i="4"/>
  <c r="N78" i="4"/>
  <c r="N3" i="4"/>
  <c r="M3" i="4"/>
  <c r="L5" i="4"/>
  <c r="L6" i="4" s="1"/>
  <c r="L7" i="4" s="1"/>
  <c r="L8" i="4" s="1"/>
  <c r="L9" i="4" s="1"/>
  <c r="L10" i="4" s="1"/>
  <c r="L11" i="4" s="1"/>
  <c r="L12" i="4" s="1"/>
  <c r="L13" i="4" s="1"/>
  <c r="L14" i="4" s="1"/>
  <c r="L15" i="4" s="1"/>
  <c r="L16" i="4" s="1"/>
  <c r="L17" i="4" s="1"/>
  <c r="L18" i="4" s="1"/>
  <c r="L19" i="4" s="1"/>
  <c r="L20" i="4" s="1"/>
  <c r="L21" i="4" s="1"/>
  <c r="L22" i="4" s="1"/>
  <c r="L23" i="4" s="1"/>
  <c r="L24" i="4" s="1"/>
  <c r="L25" i="4" s="1"/>
  <c r="L26" i="4" s="1"/>
  <c r="L27" i="4" s="1"/>
  <c r="L28" i="4" s="1"/>
  <c r="L29" i="4" s="1"/>
  <c r="L30" i="4" s="1"/>
  <c r="L31" i="4" s="1"/>
  <c r="L32" i="4" s="1"/>
  <c r="L33" i="4" s="1"/>
  <c r="L34" i="4" s="1"/>
  <c r="L35" i="4" s="1"/>
  <c r="L36" i="4" s="1"/>
  <c r="L37" i="4" s="1"/>
  <c r="L38" i="4" s="1"/>
  <c r="L39" i="4" s="1"/>
  <c r="L40" i="4" s="1"/>
  <c r="L41" i="4" s="1"/>
  <c r="L42" i="4" s="1"/>
  <c r="L43" i="4" s="1"/>
  <c r="L44" i="4" s="1"/>
  <c r="L45" i="4" s="1"/>
  <c r="L46" i="4" s="1"/>
  <c r="L47" i="4" s="1"/>
  <c r="L48" i="4" s="1"/>
  <c r="L49" i="4" s="1"/>
  <c r="L50" i="4" s="1"/>
  <c r="L51" i="4" s="1"/>
  <c r="L52" i="4" s="1"/>
  <c r="L53" i="4" s="1"/>
  <c r="L54" i="4" s="1"/>
  <c r="L55" i="4" s="1"/>
  <c r="L56" i="4" s="1"/>
  <c r="L57" i="4" s="1"/>
  <c r="L58" i="4" s="1"/>
  <c r="L59" i="4" s="1"/>
  <c r="L60" i="4" s="1"/>
  <c r="L61" i="4" s="1"/>
  <c r="L62" i="4" s="1"/>
  <c r="L63" i="4" s="1"/>
  <c r="L64" i="4" s="1"/>
  <c r="L65" i="4" s="1"/>
  <c r="L66" i="4" s="1"/>
  <c r="L67" i="4" s="1"/>
  <c r="L68" i="4" s="1"/>
  <c r="L69" i="4" s="1"/>
  <c r="L70" i="4" s="1"/>
  <c r="L71" i="4" s="1"/>
  <c r="L72" i="4" s="1"/>
  <c r="L73" i="4" s="1"/>
  <c r="L74" i="4" s="1"/>
  <c r="L75" i="4" s="1"/>
  <c r="L76" i="4" s="1"/>
  <c r="L77" i="4" s="1"/>
  <c r="L78" i="4" s="1"/>
  <c r="B18" i="4" a="1"/>
  <c r="B18" i="4" s="1"/>
  <c r="D14" i="4"/>
  <c r="C12" i="4"/>
  <c r="C8" i="4"/>
  <c r="C14" i="4" s="1"/>
  <c r="R4" i="4" a="1"/>
  <c r="C17" i="4" a="1"/>
  <c r="I18" i="4"/>
  <c r="I19" i="4"/>
  <c r="AC37" i="10" l="1"/>
  <c r="AG10" i="10"/>
  <c r="AG57" i="10"/>
  <c r="AC50" i="10"/>
  <c r="AG27" i="10"/>
  <c r="AG19" i="10"/>
  <c r="AC47" i="10"/>
  <c r="AC43" i="10"/>
  <c r="AG28" i="10"/>
  <c r="AG72" i="10"/>
  <c r="AG54" i="10"/>
  <c r="AC28" i="10"/>
  <c r="AC69" i="10"/>
  <c r="AC54" i="10"/>
  <c r="AG53" i="10"/>
  <c r="AC27" i="10"/>
  <c r="AG52" i="10"/>
  <c r="AG56" i="10"/>
  <c r="AG17" i="10"/>
  <c r="AG22" i="10"/>
  <c r="AC53" i="10"/>
  <c r="AC52" i="10"/>
  <c r="AG5" i="10"/>
  <c r="AC41" i="10"/>
  <c r="AC30" i="10"/>
  <c r="AG67" i="10"/>
  <c r="AC44" i="10"/>
  <c r="AG36" i="10"/>
  <c r="AG32" i="10"/>
  <c r="AC48" i="10"/>
  <c r="AC18" i="10"/>
  <c r="AG16" i="10"/>
  <c r="AC51" i="10"/>
  <c r="AC65" i="10"/>
  <c r="AF69" i="11"/>
  <c r="AB49" i="11"/>
  <c r="AB36" i="11"/>
  <c r="AB23" i="11"/>
  <c r="AB18" i="11"/>
  <c r="AF48" i="11"/>
  <c r="AF73" i="11"/>
  <c r="AB25" i="11"/>
  <c r="AF29" i="11"/>
  <c r="AB43" i="11"/>
  <c r="AF20" i="11"/>
  <c r="AF63" i="11"/>
  <c r="AC21" i="10"/>
  <c r="AF59" i="11"/>
  <c r="AC33" i="10"/>
  <c r="AF60" i="11"/>
  <c r="AG62" i="10"/>
  <c r="AB48" i="11"/>
  <c r="AG37" i="10"/>
  <c r="AG43" i="10"/>
  <c r="AB13" i="11"/>
  <c r="AC8" i="10"/>
  <c r="AF64" i="11"/>
  <c r="AC58" i="10"/>
  <c r="AB15" i="11"/>
  <c r="AG48" i="10"/>
  <c r="AB57" i="11"/>
  <c r="AG50" i="10"/>
  <c r="AG71" i="10"/>
  <c r="AF45" i="11"/>
  <c r="AF18" i="11"/>
  <c r="AG45" i="10"/>
  <c r="AC39" i="10"/>
  <c r="AG64" i="10"/>
  <c r="AG11" i="10"/>
  <c r="AF65" i="11"/>
  <c r="AC6" i="11"/>
  <c r="AD6" i="11" s="1"/>
  <c r="AC11" i="11"/>
  <c r="AD11" i="11" s="1"/>
  <c r="AC14" i="11"/>
  <c r="AD14" i="11" s="1"/>
  <c r="AC19" i="11"/>
  <c r="AD19" i="11" s="1"/>
  <c r="AC22" i="11"/>
  <c r="AD22" i="11" s="1"/>
  <c r="AC27" i="11"/>
  <c r="AD27" i="11" s="1"/>
  <c r="AC30" i="11"/>
  <c r="AD30" i="11" s="1"/>
  <c r="AC35" i="11"/>
  <c r="AD35" i="11" s="1"/>
  <c r="AC38" i="11"/>
  <c r="AD38" i="11" s="1"/>
  <c r="AC43" i="11"/>
  <c r="AD43" i="11" s="1"/>
  <c r="AC46" i="11"/>
  <c r="AD46" i="11" s="1"/>
  <c r="AC51" i="11"/>
  <c r="AD51" i="11" s="1"/>
  <c r="AC54" i="11"/>
  <c r="AD54" i="11" s="1"/>
  <c r="AC59" i="11"/>
  <c r="AD59" i="11" s="1"/>
  <c r="AC62" i="11"/>
  <c r="AD62" i="11" s="1"/>
  <c r="AC66" i="11"/>
  <c r="AD66" i="11" s="1"/>
  <c r="AC70" i="11"/>
  <c r="AD70" i="11" s="1"/>
  <c r="AC74" i="11"/>
  <c r="AD74" i="11" s="1"/>
  <c r="AC9" i="11"/>
  <c r="AD9" i="11" s="1"/>
  <c r="AC12" i="11"/>
  <c r="AD12" i="11" s="1"/>
  <c r="AC17" i="11"/>
  <c r="AD17" i="11" s="1"/>
  <c r="AC20" i="11"/>
  <c r="AD20" i="11" s="1"/>
  <c r="AC25" i="11"/>
  <c r="AD25" i="11" s="1"/>
  <c r="AC28" i="11"/>
  <c r="AD28" i="11" s="1"/>
  <c r="AC33" i="11"/>
  <c r="AD33" i="11" s="1"/>
  <c r="AC36" i="11"/>
  <c r="AD36" i="11" s="1"/>
  <c r="AC41" i="11"/>
  <c r="AD41" i="11" s="1"/>
  <c r="AC44" i="11"/>
  <c r="AD44" i="11" s="1"/>
  <c r="AC49" i="11"/>
  <c r="AD49" i="11" s="1"/>
  <c r="AC52" i="11"/>
  <c r="AD52" i="11" s="1"/>
  <c r="AC57" i="11"/>
  <c r="AD57" i="11" s="1"/>
  <c r="AC60" i="11"/>
  <c r="AD60" i="11" s="1"/>
  <c r="AC63" i="11"/>
  <c r="AD63" i="11" s="1"/>
  <c r="AC67" i="11"/>
  <c r="AD67" i="11" s="1"/>
  <c r="AC71" i="11"/>
  <c r="AD71" i="11" s="1"/>
  <c r="AC75" i="11"/>
  <c r="AD75" i="11" s="1"/>
  <c r="AC7" i="11"/>
  <c r="AD7" i="11" s="1"/>
  <c r="AC10" i="11"/>
  <c r="AD10" i="11" s="1"/>
  <c r="AC15" i="11"/>
  <c r="AD15" i="11" s="1"/>
  <c r="AC18" i="11"/>
  <c r="AD18" i="11" s="1"/>
  <c r="AC23" i="11"/>
  <c r="AD23" i="11" s="1"/>
  <c r="AC26" i="11"/>
  <c r="AD26" i="11" s="1"/>
  <c r="AC31" i="11"/>
  <c r="AD31" i="11" s="1"/>
  <c r="AC34" i="11"/>
  <c r="AD34" i="11" s="1"/>
  <c r="AC8" i="11"/>
  <c r="AD8" i="11" s="1"/>
  <c r="AC13" i="11"/>
  <c r="AD13" i="11" s="1"/>
  <c r="AC16" i="11"/>
  <c r="AD16" i="11" s="1"/>
  <c r="AC21" i="11"/>
  <c r="AD21" i="11" s="1"/>
  <c r="AC24" i="11"/>
  <c r="AD24" i="11" s="1"/>
  <c r="AC29" i="11"/>
  <c r="AD29" i="11" s="1"/>
  <c r="AC32" i="11"/>
  <c r="AD32" i="11" s="1"/>
  <c r="AC37" i="11"/>
  <c r="AD37" i="11" s="1"/>
  <c r="AC40" i="11"/>
  <c r="AD40" i="11" s="1"/>
  <c r="AC45" i="11"/>
  <c r="AD45" i="11" s="1"/>
  <c r="AC48" i="11"/>
  <c r="AD48" i="11" s="1"/>
  <c r="AC53" i="11"/>
  <c r="AD53" i="11" s="1"/>
  <c r="AC56" i="11"/>
  <c r="AD56" i="11" s="1"/>
  <c r="AC61" i="11"/>
  <c r="AD61" i="11" s="1"/>
  <c r="AC65" i="11"/>
  <c r="AD65" i="11" s="1"/>
  <c r="AC69" i="11"/>
  <c r="AD69" i="11" s="1"/>
  <c r="AC73" i="11"/>
  <c r="AD73" i="11" s="1"/>
  <c r="AC5" i="11"/>
  <c r="AD5" i="11" s="1"/>
  <c r="AC39" i="11"/>
  <c r="AD39" i="11" s="1"/>
  <c r="AB5" i="11"/>
  <c r="AC42" i="11"/>
  <c r="AD42" i="11" s="1"/>
  <c r="AC58" i="11"/>
  <c r="AD58" i="11" s="1"/>
  <c r="AC72" i="11"/>
  <c r="AD72" i="11" s="1"/>
  <c r="AC47" i="11"/>
  <c r="AD47" i="11" s="1"/>
  <c r="AC64" i="11"/>
  <c r="AD64" i="11" s="1"/>
  <c r="AC55" i="11"/>
  <c r="AD55" i="11" s="1"/>
  <c r="AC68" i="11"/>
  <c r="AD68" i="11" s="1"/>
  <c r="AC50" i="11"/>
  <c r="AD50" i="11" s="1"/>
  <c r="AF5" i="11"/>
  <c r="AF34" i="11"/>
  <c r="AB58" i="11"/>
  <c r="AD14" i="10"/>
  <c r="AE14" i="10" s="1"/>
  <c r="AD27" i="10"/>
  <c r="AE27" i="10" s="1"/>
  <c r="AD38" i="10"/>
  <c r="AE38" i="10" s="1"/>
  <c r="AD58" i="10"/>
  <c r="AE58" i="10" s="1"/>
  <c r="AD71" i="10"/>
  <c r="AE71" i="10" s="1"/>
  <c r="AD12" i="10"/>
  <c r="AE12" i="10" s="1"/>
  <c r="AD25" i="10"/>
  <c r="AE25" i="10" s="1"/>
  <c r="AD36" i="10"/>
  <c r="AE36" i="10" s="1"/>
  <c r="AD56" i="10"/>
  <c r="AE56" i="10" s="1"/>
  <c r="AD69" i="10"/>
  <c r="AE69" i="10" s="1"/>
  <c r="AD8" i="10"/>
  <c r="AE8" i="10" s="1"/>
  <c r="AD21" i="10"/>
  <c r="AE21" i="10" s="1"/>
  <c r="AD32" i="10"/>
  <c r="AE32" i="10" s="1"/>
  <c r="AD45" i="10"/>
  <c r="AE45" i="10" s="1"/>
  <c r="AD52" i="10"/>
  <c r="AE52" i="10" s="1"/>
  <c r="AD65" i="10"/>
  <c r="AE65" i="10" s="1"/>
  <c r="AD6" i="10"/>
  <c r="AE6" i="10" s="1"/>
  <c r="AD19" i="10"/>
  <c r="AE19" i="10" s="1"/>
  <c r="AD30" i="10"/>
  <c r="AE30" i="10" s="1"/>
  <c r="AD43" i="10"/>
  <c r="AE43" i="10" s="1"/>
  <c r="AD50" i="10"/>
  <c r="AE50" i="10" s="1"/>
  <c r="AD63" i="10"/>
  <c r="AE63" i="10" s="1"/>
  <c r="AD17" i="10"/>
  <c r="AE17" i="10" s="1"/>
  <c r="AD28" i="10"/>
  <c r="AE28" i="10" s="1"/>
  <c r="AD41" i="10"/>
  <c r="AE41" i="10" s="1"/>
  <c r="AD48" i="10"/>
  <c r="AE48" i="10" s="1"/>
  <c r="AD61" i="10"/>
  <c r="AE61" i="10" s="1"/>
  <c r="AD72" i="10"/>
  <c r="AE72" i="10" s="1"/>
  <c r="AD15" i="10"/>
  <c r="AE15" i="10" s="1"/>
  <c r="AD26" i="10"/>
  <c r="AE26" i="10" s="1"/>
  <c r="AD39" i="10"/>
  <c r="AE39" i="10" s="1"/>
  <c r="AD59" i="10"/>
  <c r="AE59" i="10" s="1"/>
  <c r="AD70" i="10"/>
  <c r="AE70" i="10" s="1"/>
  <c r="AD11" i="10"/>
  <c r="AE11" i="10" s="1"/>
  <c r="AD22" i="10"/>
  <c r="AE22" i="10" s="1"/>
  <c r="AD35" i="10"/>
  <c r="AE35" i="10" s="1"/>
  <c r="AD46" i="10"/>
  <c r="AE46" i="10" s="1"/>
  <c r="AD55" i="10"/>
  <c r="AE55" i="10" s="1"/>
  <c r="AD66" i="10"/>
  <c r="AE66" i="10" s="1"/>
  <c r="AD7" i="10"/>
  <c r="AE7" i="10" s="1"/>
  <c r="AD18" i="10"/>
  <c r="AE18" i="10" s="1"/>
  <c r="AD31" i="10"/>
  <c r="AE31" i="10" s="1"/>
  <c r="AD42" i="10"/>
  <c r="AE42" i="10" s="1"/>
  <c r="AD51" i="10"/>
  <c r="AE51" i="10" s="1"/>
  <c r="AD62" i="10"/>
  <c r="AE62" i="10" s="1"/>
  <c r="AD44" i="10"/>
  <c r="AE44" i="10" s="1"/>
  <c r="AD68" i="10"/>
  <c r="AE68" i="10" s="1"/>
  <c r="AD13" i="10"/>
  <c r="AE13" i="10" s="1"/>
  <c r="AD20" i="10"/>
  <c r="AE20" i="10" s="1"/>
  <c r="AD33" i="10"/>
  <c r="AE33" i="10" s="1"/>
  <c r="AD53" i="10"/>
  <c r="AE53" i="10" s="1"/>
  <c r="AD34" i="10"/>
  <c r="AE34" i="10" s="1"/>
  <c r="AD47" i="10"/>
  <c r="AE47" i="10" s="1"/>
  <c r="AD54" i="10"/>
  <c r="AE54" i="10" s="1"/>
  <c r="AD67" i="10"/>
  <c r="AE67" i="10" s="1"/>
  <c r="AD29" i="10"/>
  <c r="AE29" i="10" s="1"/>
  <c r="AD40" i="10"/>
  <c r="AE40" i="10" s="1"/>
  <c r="AD60" i="10"/>
  <c r="AE60" i="10" s="1"/>
  <c r="AD73" i="10"/>
  <c r="AE73" i="10" s="1"/>
  <c r="AD10" i="10"/>
  <c r="AE10" i="10" s="1"/>
  <c r="AD23" i="10"/>
  <c r="AE23" i="10" s="1"/>
  <c r="AD16" i="10"/>
  <c r="AE16" i="10" s="1"/>
  <c r="AD49" i="10"/>
  <c r="AE49" i="10" s="1"/>
  <c r="AD24" i="10"/>
  <c r="AE24" i="10" s="1"/>
  <c r="AD37" i="10"/>
  <c r="AE37" i="10" s="1"/>
  <c r="AD57" i="10"/>
  <c r="AE57" i="10" s="1"/>
  <c r="AD64" i="10"/>
  <c r="AE64" i="10" s="1"/>
  <c r="AD5" i="10"/>
  <c r="AE5" i="10" s="1"/>
  <c r="AD9" i="10"/>
  <c r="AE9" i="10" s="1"/>
  <c r="AF47" i="11"/>
  <c r="AG12" i="10"/>
  <c r="AC5" i="10"/>
  <c r="AG21" i="10"/>
  <c r="AB59" i="11"/>
  <c r="AB47" i="11"/>
  <c r="AF36" i="11"/>
  <c r="AC12" i="10"/>
  <c r="AG41" i="10"/>
  <c r="AC32" i="10"/>
  <c r="AF23" i="11"/>
  <c r="AB60" i="11"/>
  <c r="AF49" i="11"/>
  <c r="AF13" i="11"/>
  <c r="AG8" i="10"/>
  <c r="AB64" i="11"/>
  <c r="AG58" i="10"/>
  <c r="AG69" i="10"/>
  <c r="AG30" i="10"/>
  <c r="AB29" i="11"/>
  <c r="AC71" i="10"/>
  <c r="AF22" i="11"/>
  <c r="AG47" i="10"/>
  <c r="AF25" i="11"/>
  <c r="AF58" i="11"/>
  <c r="AF43" i="11"/>
  <c r="AB65" i="11"/>
  <c r="AB8" i="11"/>
  <c r="AF10" i="11"/>
  <c r="AF8" i="11"/>
  <c r="AB17" i="11"/>
  <c r="AG6" i="10"/>
  <c r="AB62" i="11"/>
  <c r="AF67" i="11"/>
  <c r="AB50" i="11"/>
  <c r="AB38" i="11"/>
  <c r="AG44" i="10"/>
  <c r="AB30" i="11"/>
  <c r="AF66" i="11"/>
  <c r="AC19" i="10"/>
  <c r="AC72" i="10"/>
  <c r="AC17" i="10"/>
  <c r="AB31" i="11"/>
  <c r="AG51" i="10"/>
  <c r="AC10" i="10"/>
  <c r="AC36" i="10"/>
  <c r="AC57" i="10"/>
  <c r="AB34" i="11"/>
  <c r="AC22" i="10"/>
  <c r="AG18" i="10"/>
  <c r="AG65" i="10"/>
  <c r="AB73" i="11"/>
  <c r="AF50" i="11"/>
  <c r="AF38" i="11"/>
  <c r="AF30" i="11"/>
  <c r="AB69" i="11"/>
  <c r="AB22" i="11"/>
  <c r="AF17" i="11"/>
  <c r="AF31" i="11"/>
  <c r="AF12" i="11"/>
  <c r="AB66" i="11"/>
  <c r="AG24" i="10"/>
  <c r="AF32" i="11"/>
  <c r="AC49" i="10"/>
  <c r="AF55" i="11"/>
  <c r="AG46" i="10"/>
  <c r="AC14" i="10"/>
  <c r="AG66" i="10"/>
  <c r="AB6" i="11"/>
  <c r="AF27" i="11"/>
  <c r="AB54" i="11"/>
  <c r="AF19" i="11"/>
  <c r="AF33" i="11"/>
  <c r="AC35" i="10"/>
  <c r="AF75" i="11"/>
  <c r="AC67" i="10"/>
  <c r="AF16" i="11"/>
  <c r="AB28" i="11"/>
  <c r="AF62" i="11"/>
  <c r="AF71" i="11"/>
  <c r="AB71" i="11"/>
  <c r="AC56" i="10"/>
  <c r="AF9" i="11"/>
  <c r="AC6" i="10"/>
  <c r="AC16" i="10"/>
  <c r="AB72" i="11"/>
  <c r="AG60" i="10"/>
  <c r="AG59" i="10"/>
  <c r="AF61" i="11"/>
  <c r="AF41" i="11"/>
  <c r="AG49" i="10"/>
  <c r="AB55" i="11"/>
  <c r="AG14" i="10"/>
  <c r="AF7" i="11"/>
  <c r="AB27" i="11"/>
  <c r="AB37" i="11"/>
  <c r="AB19" i="11"/>
  <c r="AB33" i="11"/>
  <c r="AG35" i="10"/>
  <c r="AB75" i="11"/>
  <c r="AG40" i="10"/>
  <c r="AB56" i="11"/>
  <c r="AG26" i="10"/>
  <c r="AG23" i="10"/>
  <c r="AF70" i="11"/>
  <c r="AB67" i="11"/>
  <c r="AC31" i="10"/>
  <c r="AF46" i="11"/>
  <c r="AB9" i="11"/>
  <c r="AB42" i="11"/>
  <c r="AF51" i="11"/>
  <c r="AG68" i="10"/>
  <c r="AC60" i="10"/>
  <c r="AB12" i="11"/>
  <c r="AC59" i="10"/>
  <c r="AB61" i="11"/>
  <c r="AC24" i="10"/>
  <c r="AB41" i="11"/>
  <c r="AG9" i="10"/>
  <c r="AC46" i="10"/>
  <c r="AC66" i="10"/>
  <c r="AB7" i="11"/>
  <c r="AF37" i="11"/>
  <c r="AF39" i="11"/>
  <c r="AB21" i="11"/>
  <c r="AF68" i="11"/>
  <c r="AC40" i="10"/>
  <c r="AF56" i="11"/>
  <c r="AB70" i="11"/>
  <c r="AF35" i="11"/>
  <c r="AB63" i="11"/>
  <c r="AF42" i="11"/>
  <c r="AF72" i="11"/>
  <c r="AG70" i="10"/>
  <c r="AF11" i="11"/>
  <c r="AG33" i="10"/>
  <c r="AB51" i="11"/>
  <c r="AF74" i="11"/>
  <c r="AC73" i="10"/>
  <c r="AB24" i="11"/>
  <c r="AF44" i="11"/>
  <c r="AF26" i="11"/>
  <c r="AF14" i="11"/>
  <c r="AG34" i="10"/>
  <c r="AC29" i="10"/>
  <c r="AB40" i="11"/>
  <c r="AB53" i="11"/>
  <c r="AG61" i="10"/>
  <c r="AG63" i="10"/>
  <c r="AG25" i="10"/>
  <c r="AB39" i="11"/>
  <c r="AG15" i="10"/>
  <c r="AF21" i="11"/>
  <c r="AB68" i="11"/>
  <c r="AG13" i="10"/>
  <c r="AC26" i="10"/>
  <c r="AC23" i="10"/>
  <c r="AB35" i="11"/>
  <c r="AB20" i="11"/>
  <c r="AB32" i="11"/>
  <c r="AF28" i="11"/>
  <c r="AG31" i="10"/>
  <c r="AB46" i="11"/>
  <c r="AC70" i="10"/>
  <c r="AB11" i="11"/>
  <c r="AB74" i="11"/>
  <c r="AC68" i="10"/>
  <c r="AG73" i="10"/>
  <c r="AC20" i="10"/>
  <c r="AG29" i="10"/>
  <c r="AC9" i="10"/>
  <c r="AF53" i="11"/>
  <c r="AC25" i="10"/>
  <c r="AC42" i="10"/>
  <c r="AC38" i="10"/>
  <c r="AC15" i="10"/>
  <c r="AC11" i="10"/>
  <c r="AF52" i="11"/>
  <c r="AC55" i="10"/>
  <c r="AB10" i="11"/>
  <c r="AF6" i="11"/>
  <c r="AF54" i="11"/>
  <c r="AB16" i="11"/>
  <c r="AC62" i="10"/>
  <c r="AF24" i="11"/>
  <c r="AG20" i="10"/>
  <c r="AB44" i="11"/>
  <c r="AB26" i="11"/>
  <c r="AB14" i="11"/>
  <c r="AC34" i="10"/>
  <c r="AF15" i="11"/>
  <c r="AF40" i="11"/>
  <c r="AF57" i="11"/>
  <c r="AC61" i="10"/>
  <c r="AC63" i="10"/>
  <c r="AB45" i="11"/>
  <c r="AG42" i="10"/>
  <c r="AG38" i="10"/>
  <c r="AC45" i="10"/>
  <c r="AG39" i="10"/>
  <c r="AC64" i="10"/>
  <c r="AC13" i="10"/>
  <c r="AC7" i="10"/>
  <c r="AG55" i="10"/>
  <c r="R2" i="4"/>
  <c r="C13" i="4"/>
  <c r="R15" i="4"/>
  <c r="R27" i="4"/>
  <c r="R39" i="4"/>
  <c r="R51" i="4"/>
  <c r="R63" i="4"/>
  <c r="R75" i="4"/>
  <c r="R18" i="4"/>
  <c r="R78" i="4"/>
  <c r="R31" i="4"/>
  <c r="R44" i="4"/>
  <c r="R33" i="4"/>
  <c r="R35" i="4"/>
  <c r="R36" i="4"/>
  <c r="R25" i="4"/>
  <c r="R14" i="4"/>
  <c r="R4" i="4"/>
  <c r="R16" i="4"/>
  <c r="R28" i="4"/>
  <c r="R40" i="4"/>
  <c r="R52" i="4"/>
  <c r="R64" i="4"/>
  <c r="R76" i="4"/>
  <c r="R17" i="4"/>
  <c r="R77" i="4"/>
  <c r="R6" i="4"/>
  <c r="R42" i="4"/>
  <c r="R54" i="4"/>
  <c r="R66" i="4"/>
  <c r="R7" i="4"/>
  <c r="R43" i="4"/>
  <c r="R55" i="4"/>
  <c r="R8" i="4"/>
  <c r="R56" i="4"/>
  <c r="R21" i="4"/>
  <c r="R45" i="4"/>
  <c r="R69" i="4"/>
  <c r="R22" i="4"/>
  <c r="R58" i="4"/>
  <c r="R11" i="4"/>
  <c r="R60" i="4"/>
  <c r="R37" i="4"/>
  <c r="R5" i="4"/>
  <c r="R29" i="4"/>
  <c r="R41" i="4"/>
  <c r="R53" i="4"/>
  <c r="R65" i="4"/>
  <c r="R30" i="4"/>
  <c r="R19" i="4"/>
  <c r="R67" i="4"/>
  <c r="R20" i="4"/>
  <c r="R68" i="4"/>
  <c r="R9" i="4"/>
  <c r="R57" i="4"/>
  <c r="R10" i="4"/>
  <c r="R46" i="4"/>
  <c r="R70" i="4"/>
  <c r="R23" i="4"/>
  <c r="R71" i="4"/>
  <c r="R24" i="4"/>
  <c r="R73" i="4"/>
  <c r="R50" i="4"/>
  <c r="R32" i="4"/>
  <c r="R34" i="4"/>
  <c r="R59" i="4"/>
  <c r="R12" i="4"/>
  <c r="R49" i="4"/>
  <c r="R38" i="4"/>
  <c r="R62" i="4"/>
  <c r="R47" i="4"/>
  <c r="R48" i="4"/>
  <c r="R13" i="4"/>
  <c r="R72" i="4"/>
  <c r="R61" i="4"/>
  <c r="R26" i="4"/>
  <c r="R74" i="4"/>
  <c r="P51" i="4"/>
  <c r="Q51" i="4" s="1"/>
  <c r="P50" i="4"/>
  <c r="Q50" i="4" s="1"/>
  <c r="P13" i="4"/>
  <c r="Q13" i="4" s="1"/>
  <c r="P15" i="4"/>
  <c r="Q15" i="4" s="1"/>
  <c r="P26" i="4"/>
  <c r="Q26" i="4" s="1"/>
  <c r="P49" i="4"/>
  <c r="Q49" i="4" s="1"/>
  <c r="P36" i="4"/>
  <c r="Q36" i="4" s="1"/>
  <c r="P47" i="4"/>
  <c r="Q47" i="4" s="1"/>
  <c r="P34" i="4"/>
  <c r="Q34" i="4" s="1"/>
  <c r="P63" i="4"/>
  <c r="Q63" i="4" s="1"/>
  <c r="P74" i="4"/>
  <c r="Q74" i="4" s="1"/>
  <c r="P60" i="4"/>
  <c r="Q60" i="4" s="1"/>
  <c r="P27" i="4"/>
  <c r="Q27" i="4" s="1"/>
  <c r="P62" i="4"/>
  <c r="Q62" i="4" s="1"/>
  <c r="P37" i="4"/>
  <c r="Q37" i="4" s="1"/>
  <c r="P72" i="4"/>
  <c r="Q72" i="4" s="1"/>
  <c r="P12" i="4"/>
  <c r="Q12" i="4" s="1"/>
  <c r="P59" i="4"/>
  <c r="Q59" i="4" s="1"/>
  <c r="P11" i="4"/>
  <c r="Q11" i="4" s="1"/>
  <c r="P58" i="4"/>
  <c r="Q58" i="4" s="1"/>
  <c r="P22" i="4"/>
  <c r="Q22" i="4" s="1"/>
  <c r="P69" i="4"/>
  <c r="Q69" i="4" s="1"/>
  <c r="P45" i="4"/>
  <c r="Q45" i="4" s="1"/>
  <c r="P9" i="4"/>
  <c r="Q9" i="4" s="1"/>
  <c r="P56" i="4"/>
  <c r="Q56" i="4" s="1"/>
  <c r="P32" i="4"/>
  <c r="Q32" i="4" s="1"/>
  <c r="P8" i="4"/>
  <c r="Q8" i="4" s="1"/>
  <c r="P31" i="4"/>
  <c r="Q31" i="4" s="1"/>
  <c r="P66" i="4"/>
  <c r="Q66" i="4" s="1"/>
  <c r="P42" i="4"/>
  <c r="Q42" i="4" s="1"/>
  <c r="P6" i="4"/>
  <c r="Q6" i="4" s="1"/>
  <c r="P14" i="4"/>
  <c r="Q14" i="4" s="1"/>
  <c r="P73" i="4"/>
  <c r="Q73" i="4" s="1"/>
  <c r="P25" i="4"/>
  <c r="Q25" i="4" s="1"/>
  <c r="P48" i="4"/>
  <c r="Q48" i="4" s="1"/>
  <c r="P23" i="4"/>
  <c r="Q23" i="4" s="1"/>
  <c r="P70" i="4"/>
  <c r="Q70" i="4" s="1"/>
  <c r="P10" i="4"/>
  <c r="Q10" i="4" s="1"/>
  <c r="P57" i="4"/>
  <c r="Q57" i="4" s="1"/>
  <c r="P21" i="4"/>
  <c r="Q21" i="4" s="1"/>
  <c r="P68" i="4"/>
  <c r="Q68" i="4" s="1"/>
  <c r="P44" i="4"/>
  <c r="Q44" i="4" s="1"/>
  <c r="P20" i="4"/>
  <c r="Q20" i="4" s="1"/>
  <c r="P55" i="4"/>
  <c r="Q55" i="4" s="1"/>
  <c r="P19" i="4"/>
  <c r="Q19" i="4" s="1"/>
  <c r="P78" i="4"/>
  <c r="Q78" i="4" s="1"/>
  <c r="P30" i="4"/>
  <c r="Q30" i="4" s="1"/>
  <c r="P77" i="4"/>
  <c r="Q77" i="4" s="1"/>
  <c r="P65" i="4"/>
  <c r="Q65" i="4" s="1"/>
  <c r="P53" i="4"/>
  <c r="Q53" i="4" s="1"/>
  <c r="P41" i="4"/>
  <c r="Q41" i="4" s="1"/>
  <c r="P29" i="4"/>
  <c r="Q29" i="4" s="1"/>
  <c r="P17" i="4"/>
  <c r="Q17" i="4" s="1"/>
  <c r="P5" i="4"/>
  <c r="Q5" i="4" s="1"/>
  <c r="P75" i="4"/>
  <c r="Q75" i="4" s="1"/>
  <c r="P39" i="4"/>
  <c r="Q39" i="4" s="1"/>
  <c r="P38" i="4"/>
  <c r="Q38" i="4" s="1"/>
  <c r="P61" i="4"/>
  <c r="Q61" i="4" s="1"/>
  <c r="P24" i="4"/>
  <c r="Q24" i="4" s="1"/>
  <c r="P71" i="4"/>
  <c r="Q71" i="4" s="1"/>
  <c r="P35" i="4"/>
  <c r="Q35" i="4" s="1"/>
  <c r="P46" i="4"/>
  <c r="Q46" i="4" s="1"/>
  <c r="P33" i="4"/>
  <c r="Q33" i="4" s="1"/>
  <c r="P67" i="4"/>
  <c r="Q67" i="4" s="1"/>
  <c r="P43" i="4"/>
  <c r="Q43" i="4" s="1"/>
  <c r="P7" i="4"/>
  <c r="Q7" i="4" s="1"/>
  <c r="P54" i="4"/>
  <c r="Q54" i="4" s="1"/>
  <c r="P18" i="4"/>
  <c r="Q18" i="4" s="1"/>
  <c r="P76" i="4"/>
  <c r="Q76" i="4" s="1"/>
  <c r="P64" i="4"/>
  <c r="Q64" i="4" s="1"/>
  <c r="P52" i="4"/>
  <c r="Q52" i="4" s="1"/>
  <c r="P40" i="4"/>
  <c r="Q40" i="4" s="1"/>
  <c r="P28" i="4"/>
  <c r="Q28" i="4" s="1"/>
  <c r="P16" i="4"/>
  <c r="Q16" i="4" s="1"/>
  <c r="C17" i="4"/>
  <c r="D17" i="4"/>
  <c r="C18" i="4"/>
  <c r="D18" i="4"/>
  <c r="D19" i="4"/>
  <c r="C19" i="4"/>
  <c r="B19" i="4"/>
  <c r="B30" i="4"/>
  <c r="B31" i="4"/>
  <c r="B23" i="4"/>
  <c r="B24" i="4"/>
  <c r="AF42" i="10" l="1"/>
  <c r="AH42" i="10"/>
  <c r="AE43" i="11"/>
  <c r="AG43" i="11"/>
  <c r="AE64" i="11"/>
  <c r="AG64" i="11"/>
  <c r="AF15" i="10"/>
  <c r="AH15" i="10"/>
  <c r="AH22" i="10"/>
  <c r="AF22" i="10"/>
  <c r="AF9" i="10"/>
  <c r="AH9" i="10"/>
  <c r="AF40" i="10"/>
  <c r="AH40" i="10"/>
  <c r="AF62" i="10"/>
  <c r="AH62" i="10"/>
  <c r="AF70" i="10"/>
  <c r="AH70" i="10"/>
  <c r="AF50" i="10"/>
  <c r="AH50" i="10"/>
  <c r="AF56" i="10"/>
  <c r="AH56" i="10"/>
  <c r="AG50" i="11"/>
  <c r="AE50" i="11"/>
  <c r="AG69" i="11"/>
  <c r="AE69" i="11"/>
  <c r="AE21" i="11"/>
  <c r="AG21" i="11"/>
  <c r="AG75" i="11"/>
  <c r="AE75" i="11"/>
  <c r="AE28" i="11"/>
  <c r="AG28" i="11"/>
  <c r="AG51" i="11"/>
  <c r="AE51" i="11"/>
  <c r="AF67" i="10"/>
  <c r="AH67" i="10"/>
  <c r="AE20" i="11"/>
  <c r="AG20" i="11"/>
  <c r="AF57" i="10"/>
  <c r="AH57" i="10"/>
  <c r="AF12" i="10"/>
  <c r="AH12" i="10"/>
  <c r="AF37" i="10"/>
  <c r="AH37" i="10"/>
  <c r="AF71" i="10"/>
  <c r="AH71" i="10"/>
  <c r="AF68" i="10"/>
  <c r="AH68" i="10"/>
  <c r="AH5" i="10"/>
  <c r="AF5" i="10"/>
  <c r="AF29" i="10"/>
  <c r="AH29" i="10"/>
  <c r="AF51" i="10"/>
  <c r="AH51" i="10"/>
  <c r="AF59" i="10"/>
  <c r="AH59" i="10"/>
  <c r="AF43" i="10"/>
  <c r="AH43" i="10"/>
  <c r="AF36" i="10"/>
  <c r="AH36" i="10"/>
  <c r="AE68" i="11"/>
  <c r="AG68" i="11"/>
  <c r="AG65" i="11"/>
  <c r="AE65" i="11"/>
  <c r="AE16" i="11"/>
  <c r="AG16" i="11"/>
  <c r="AE71" i="11"/>
  <c r="AG71" i="11"/>
  <c r="AE25" i="11"/>
  <c r="AG25" i="11"/>
  <c r="AE46" i="11"/>
  <c r="AG46" i="11"/>
  <c r="AE61" i="11"/>
  <c r="AG61" i="11"/>
  <c r="AG63" i="11"/>
  <c r="AE63" i="11"/>
  <c r="AG34" i="11"/>
  <c r="AE34" i="11"/>
  <c r="AH24" i="10"/>
  <c r="AF24" i="10"/>
  <c r="AF34" i="10"/>
  <c r="AH34" i="10"/>
  <c r="AF7" i="10"/>
  <c r="AH7" i="10"/>
  <c r="AF72" i="10"/>
  <c r="AH72" i="10"/>
  <c r="AF65" i="10"/>
  <c r="AH65" i="10"/>
  <c r="AH58" i="10"/>
  <c r="AF58" i="10"/>
  <c r="AE72" i="11"/>
  <c r="AG72" i="11"/>
  <c r="AE48" i="11"/>
  <c r="AG48" i="11"/>
  <c r="AE31" i="11"/>
  <c r="AG31" i="11"/>
  <c r="AE57" i="11"/>
  <c r="AG57" i="11"/>
  <c r="AE9" i="11"/>
  <c r="AG9" i="11"/>
  <c r="AE30" i="11"/>
  <c r="AG30" i="11"/>
  <c r="AF30" i="10"/>
  <c r="AH30" i="10"/>
  <c r="AF31" i="10"/>
  <c r="AH31" i="10"/>
  <c r="AE56" i="11"/>
  <c r="AG56" i="11"/>
  <c r="AF47" i="10"/>
  <c r="AH47" i="10"/>
  <c r="AE35" i="11"/>
  <c r="AG35" i="11"/>
  <c r="AF49" i="10"/>
  <c r="AH49" i="10"/>
  <c r="AF53" i="10"/>
  <c r="AH53" i="10"/>
  <c r="AH66" i="10"/>
  <c r="AF66" i="10"/>
  <c r="AF61" i="10"/>
  <c r="AH61" i="10"/>
  <c r="AF52" i="10"/>
  <c r="AH52" i="10"/>
  <c r="AH38" i="10"/>
  <c r="AF38" i="10"/>
  <c r="AE58" i="11"/>
  <c r="AG58" i="11"/>
  <c r="AG45" i="11"/>
  <c r="AE45" i="11"/>
  <c r="AG26" i="11"/>
  <c r="AE26" i="11"/>
  <c r="AE52" i="11"/>
  <c r="AG52" i="11"/>
  <c r="AE74" i="11"/>
  <c r="AG74" i="11"/>
  <c r="AG27" i="11"/>
  <c r="AE27" i="11"/>
  <c r="AG67" i="11"/>
  <c r="AE67" i="11"/>
  <c r="AF26" i="10"/>
  <c r="AH26" i="10"/>
  <c r="AE60" i="11"/>
  <c r="AG60" i="11"/>
  <c r="AF33" i="10"/>
  <c r="AH33" i="10"/>
  <c r="AH48" i="10"/>
  <c r="AF48" i="10"/>
  <c r="AF27" i="10"/>
  <c r="AH27" i="10"/>
  <c r="AG42" i="11"/>
  <c r="AE42" i="11"/>
  <c r="AG23" i="11"/>
  <c r="AE23" i="11"/>
  <c r="AE49" i="11"/>
  <c r="AG49" i="11"/>
  <c r="AE70" i="11"/>
  <c r="AG70" i="11"/>
  <c r="AE22" i="11"/>
  <c r="AG22" i="11"/>
  <c r="AF25" i="10"/>
  <c r="AH25" i="10"/>
  <c r="AE38" i="11"/>
  <c r="AG38" i="11"/>
  <c r="AE47" i="11"/>
  <c r="AG47" i="11"/>
  <c r="AF16" i="10"/>
  <c r="AH16" i="10"/>
  <c r="AF55" i="10"/>
  <c r="AH55" i="10"/>
  <c r="AF45" i="10"/>
  <c r="AH45" i="10"/>
  <c r="AE40" i="11"/>
  <c r="AG40" i="11"/>
  <c r="AF23" i="10"/>
  <c r="AH23" i="10"/>
  <c r="AH20" i="10"/>
  <c r="AF20" i="10"/>
  <c r="AH46" i="10"/>
  <c r="AF46" i="10"/>
  <c r="AF41" i="10"/>
  <c r="AH41" i="10"/>
  <c r="AF32" i="10"/>
  <c r="AH32" i="10"/>
  <c r="AH14" i="10"/>
  <c r="AF14" i="10"/>
  <c r="AG37" i="11"/>
  <c r="AE37" i="11"/>
  <c r="AG18" i="11"/>
  <c r="AE18" i="11"/>
  <c r="AE44" i="11"/>
  <c r="AG44" i="11"/>
  <c r="AE66" i="11"/>
  <c r="AG66" i="11"/>
  <c r="AE19" i="11"/>
  <c r="AG19" i="11"/>
  <c r="AE13" i="11"/>
  <c r="AG13" i="11"/>
  <c r="AE8" i="11"/>
  <c r="AG8" i="11"/>
  <c r="AE53" i="11"/>
  <c r="AG53" i="11"/>
  <c r="AF10" i="10"/>
  <c r="AH10" i="10"/>
  <c r="AF13" i="10"/>
  <c r="AH13" i="10"/>
  <c r="AF35" i="10"/>
  <c r="AH35" i="10"/>
  <c r="AH28" i="10"/>
  <c r="AF28" i="10"/>
  <c r="AF21" i="10"/>
  <c r="AH21" i="10"/>
  <c r="AG39" i="11"/>
  <c r="AE39" i="11"/>
  <c r="AE32" i="11"/>
  <c r="AG32" i="11"/>
  <c r="AE15" i="11"/>
  <c r="AG15" i="11"/>
  <c r="AG41" i="11"/>
  <c r="AE41" i="11"/>
  <c r="AE62" i="11"/>
  <c r="AG62" i="11"/>
  <c r="AE14" i="11"/>
  <c r="AG14" i="11"/>
  <c r="AH64" i="10"/>
  <c r="AF64" i="10"/>
  <c r="AE55" i="11"/>
  <c r="AG55" i="11"/>
  <c r="AF54" i="10"/>
  <c r="AH54" i="10"/>
  <c r="AE17" i="11"/>
  <c r="AG17" i="11"/>
  <c r="AF6" i="10"/>
  <c r="AH6" i="10"/>
  <c r="AF73" i="10"/>
  <c r="AH73" i="10"/>
  <c r="AF17" i="10"/>
  <c r="AH17" i="10"/>
  <c r="AF8" i="10"/>
  <c r="AH8" i="10"/>
  <c r="AG5" i="11"/>
  <c r="AE5" i="11"/>
  <c r="AG29" i="11"/>
  <c r="AE29" i="11"/>
  <c r="AG10" i="11"/>
  <c r="AE10" i="11"/>
  <c r="AE36" i="11"/>
  <c r="AG36" i="11"/>
  <c r="AG59" i="11"/>
  <c r="AE59" i="11"/>
  <c r="AG11" i="11"/>
  <c r="AE11" i="11"/>
  <c r="AF39" i="10"/>
  <c r="AH39" i="10"/>
  <c r="AF19" i="10"/>
  <c r="AH19" i="10"/>
  <c r="AF18" i="10"/>
  <c r="AH18" i="10"/>
  <c r="AE12" i="11"/>
  <c r="AG12" i="11"/>
  <c r="AF60" i="10"/>
  <c r="AH60" i="10"/>
  <c r="AH44" i="10"/>
  <c r="AF44" i="10"/>
  <c r="AF11" i="10"/>
  <c r="AH11" i="10"/>
  <c r="AF63" i="10"/>
  <c r="AH63" i="10"/>
  <c r="AF69" i="10"/>
  <c r="AH69" i="10"/>
  <c r="AG73" i="11"/>
  <c r="AE73" i="11"/>
  <c r="AE24" i="11"/>
  <c r="AG24" i="11"/>
  <c r="AG7" i="11"/>
  <c r="AE7" i="11"/>
  <c r="AE33" i="11"/>
  <c r="AG33" i="11"/>
  <c r="AE54" i="11"/>
  <c r="AG54" i="11"/>
  <c r="AE6" i="11"/>
  <c r="AG6" i="11"/>
  <c r="AA4" i="4"/>
  <c r="AA6" i="4" s="1"/>
  <c r="W38" i="4" s="1"/>
  <c r="B26" i="4"/>
  <c r="B33" i="4"/>
  <c r="H19" i="4"/>
  <c r="E19" i="4"/>
  <c r="F19" i="4" s="1"/>
  <c r="G19" i="4"/>
  <c r="E18" i="4"/>
  <c r="F18" i="4" s="1"/>
  <c r="H18" i="4"/>
  <c r="G18" i="4"/>
  <c r="H17" i="4"/>
  <c r="G17" i="4"/>
  <c r="E17" i="4"/>
  <c r="F17" i="4" s="1"/>
  <c r="T72" i="4" l="1"/>
  <c r="U72" i="4" s="1"/>
  <c r="V72" i="4" s="1"/>
  <c r="S30" i="4"/>
  <c r="S32" i="4"/>
  <c r="W40" i="4"/>
  <c r="T8" i="4"/>
  <c r="U8" i="4" s="1"/>
  <c r="V8" i="4" s="1"/>
  <c r="T68" i="4"/>
  <c r="U68" i="4" s="1"/>
  <c r="V68" i="4" s="1"/>
  <c r="S46" i="4"/>
  <c r="T62" i="4"/>
  <c r="U62" i="4" s="1"/>
  <c r="V62" i="4" s="1"/>
  <c r="T57" i="4"/>
  <c r="U57" i="4" s="1"/>
  <c r="X57" i="4" s="1"/>
  <c r="W44" i="4"/>
  <c r="S77" i="4"/>
  <c r="T55" i="4"/>
  <c r="U55" i="4" s="1"/>
  <c r="X55" i="4" s="1"/>
  <c r="S44" i="4"/>
  <c r="T75" i="4"/>
  <c r="U75" i="4" s="1"/>
  <c r="X75" i="4" s="1"/>
  <c r="T42" i="4"/>
  <c r="U42" i="4" s="1"/>
  <c r="V42" i="4" s="1"/>
  <c r="T76" i="4"/>
  <c r="U76" i="4" s="1"/>
  <c r="V76" i="4" s="1"/>
  <c r="W18" i="4"/>
  <c r="T51" i="4"/>
  <c r="U51" i="4" s="1"/>
  <c r="X51" i="4" s="1"/>
  <c r="T73" i="4"/>
  <c r="U73" i="4" s="1"/>
  <c r="V73" i="4" s="1"/>
  <c r="S49" i="4"/>
  <c r="T6" i="4"/>
  <c r="U6" i="4" s="1"/>
  <c r="V6" i="4" s="1"/>
  <c r="S19" i="4"/>
  <c r="S28" i="4"/>
  <c r="T4" i="4"/>
  <c r="U4" i="4" s="1"/>
  <c r="X4" i="4" s="1"/>
  <c r="T41" i="4"/>
  <c r="U41" i="4" s="1"/>
  <c r="X41" i="4" s="1"/>
  <c r="S61" i="4"/>
  <c r="S16" i="4"/>
  <c r="S13" i="4"/>
  <c r="T53" i="4"/>
  <c r="U53" i="4" s="1"/>
  <c r="X53" i="4" s="1"/>
  <c r="W60" i="4"/>
  <c r="T71" i="4"/>
  <c r="U71" i="4" s="1"/>
  <c r="X71" i="4" s="1"/>
  <c r="W53" i="4"/>
  <c r="S69" i="4"/>
  <c r="T74" i="4"/>
  <c r="U74" i="4" s="1"/>
  <c r="V74" i="4" s="1"/>
  <c r="S36" i="4"/>
  <c r="S9" i="4"/>
  <c r="W77" i="4"/>
  <c r="T66" i="4"/>
  <c r="U66" i="4" s="1"/>
  <c r="V66" i="4" s="1"/>
  <c r="W22" i="4"/>
  <c r="W34" i="4"/>
  <c r="S78" i="4"/>
  <c r="S27" i="4"/>
  <c r="T35" i="4"/>
  <c r="U35" i="4" s="1"/>
  <c r="V35" i="4" s="1"/>
  <c r="T37" i="4"/>
  <c r="U37" i="4" s="1"/>
  <c r="X37" i="4" s="1"/>
  <c r="T15" i="4"/>
  <c r="U15" i="4" s="1"/>
  <c r="V15" i="4" s="1"/>
  <c r="T25" i="4"/>
  <c r="U25" i="4" s="1"/>
  <c r="X25" i="4" s="1"/>
  <c r="W15" i="4"/>
  <c r="S70" i="4"/>
  <c r="S8" i="4"/>
  <c r="S34" i="4"/>
  <c r="W73" i="4"/>
  <c r="W27" i="4"/>
  <c r="T27" i="4"/>
  <c r="U27" i="4" s="1"/>
  <c r="V27" i="4" s="1"/>
  <c r="T32" i="4"/>
  <c r="U32" i="4" s="1"/>
  <c r="V32" i="4" s="1"/>
  <c r="T13" i="4"/>
  <c r="U13" i="4" s="1"/>
  <c r="V13" i="4" s="1"/>
  <c r="T23" i="4"/>
  <c r="U23" i="4" s="1"/>
  <c r="V23" i="4" s="1"/>
  <c r="S21" i="4"/>
  <c r="W70" i="4"/>
  <c r="W31" i="4"/>
  <c r="S65" i="4"/>
  <c r="S52" i="4"/>
  <c r="S40" i="4"/>
  <c r="S60" i="4"/>
  <c r="T43" i="4"/>
  <c r="U43" i="4" s="1"/>
  <c r="X43" i="4" s="1"/>
  <c r="T40" i="4"/>
  <c r="U40" i="4" s="1"/>
  <c r="V40" i="4" s="1"/>
  <c r="T31" i="4"/>
  <c r="U31" i="4" s="1"/>
  <c r="V31" i="4" s="1"/>
  <c r="T28" i="4"/>
  <c r="U28" i="4" s="1"/>
  <c r="X28" i="4" s="1"/>
  <c r="W71" i="4"/>
  <c r="W56" i="4"/>
  <c r="W37" i="4"/>
  <c r="W63" i="4"/>
  <c r="S73" i="4"/>
  <c r="S54" i="4"/>
  <c r="T16" i="4"/>
  <c r="U16" i="4" s="1"/>
  <c r="V16" i="4" s="1"/>
  <c r="T29" i="4"/>
  <c r="U29" i="4" s="1"/>
  <c r="V29" i="4" s="1"/>
  <c r="T11" i="4"/>
  <c r="U11" i="4" s="1"/>
  <c r="V11" i="4" s="1"/>
  <c r="T19" i="4"/>
  <c r="U19" i="4" s="1"/>
  <c r="X19" i="4" s="1"/>
  <c r="S63" i="4"/>
  <c r="W49" i="4"/>
  <c r="W39" i="4"/>
  <c r="T10" i="4"/>
  <c r="U10" i="4" s="1"/>
  <c r="V10" i="4" s="1"/>
  <c r="T22" i="4"/>
  <c r="U22" i="4" s="1"/>
  <c r="V22" i="4" s="1"/>
  <c r="T5" i="4"/>
  <c r="U5" i="4" s="1"/>
  <c r="V5" i="4" s="1"/>
  <c r="S51" i="4"/>
  <c r="S33" i="4"/>
  <c r="W26" i="4"/>
  <c r="S14" i="4"/>
  <c r="S20" i="4"/>
  <c r="S62" i="4"/>
  <c r="W61" i="4"/>
  <c r="W25" i="4"/>
  <c r="T59" i="4"/>
  <c r="U59" i="4" s="1"/>
  <c r="X59" i="4" s="1"/>
  <c r="T61" i="4"/>
  <c r="U61" i="4" s="1"/>
  <c r="V61" i="4" s="1"/>
  <c r="T50" i="4"/>
  <c r="U50" i="4" s="1"/>
  <c r="V50" i="4" s="1"/>
  <c r="T49" i="4"/>
  <c r="U49" i="4" s="1"/>
  <c r="V49" i="4" s="1"/>
  <c r="S53" i="4"/>
  <c r="W46" i="4"/>
  <c r="W17" i="4"/>
  <c r="W74" i="4"/>
  <c r="S18" i="4"/>
  <c r="W4" i="4"/>
  <c r="T54" i="4"/>
  <c r="U54" i="4" s="1"/>
  <c r="V54" i="4" s="1"/>
  <c r="T56" i="4"/>
  <c r="U56" i="4" s="1"/>
  <c r="V56" i="4" s="1"/>
  <c r="T47" i="4"/>
  <c r="U47" i="4" s="1"/>
  <c r="V47" i="4" s="1"/>
  <c r="T44" i="4"/>
  <c r="U44" i="4" s="1"/>
  <c r="V44" i="4" s="1"/>
  <c r="W10" i="4"/>
  <c r="W6" i="4"/>
  <c r="W24" i="4"/>
  <c r="W43" i="4"/>
  <c r="S45" i="4"/>
  <c r="S25" i="4"/>
  <c r="W30" i="4"/>
  <c r="W28" i="4"/>
  <c r="W54" i="4"/>
  <c r="T46" i="4"/>
  <c r="U46" i="4" s="1"/>
  <c r="V46" i="4" s="1"/>
  <c r="T77" i="4"/>
  <c r="U77" i="4" s="1"/>
  <c r="V77" i="4" s="1"/>
  <c r="T24" i="4"/>
  <c r="U24" i="4" s="1"/>
  <c r="X24" i="4" s="1"/>
  <c r="T39" i="4"/>
  <c r="U39" i="4" s="1"/>
  <c r="X39" i="4" s="1"/>
  <c r="T60" i="4"/>
  <c r="U60" i="4" s="1"/>
  <c r="V60" i="4" s="1"/>
  <c r="T17" i="4"/>
  <c r="U17" i="4" s="1"/>
  <c r="V17" i="4" s="1"/>
  <c r="S22" i="4"/>
  <c r="S66" i="4"/>
  <c r="S6" i="4"/>
  <c r="W65" i="4"/>
  <c r="S50" i="4"/>
  <c r="S37" i="4"/>
  <c r="W45" i="4"/>
  <c r="W36" i="4"/>
  <c r="S4" i="4"/>
  <c r="S39" i="4"/>
  <c r="T38" i="4"/>
  <c r="U38" i="4" s="1"/>
  <c r="X38" i="4" s="1"/>
  <c r="T69" i="4"/>
  <c r="U69" i="4" s="1"/>
  <c r="X69" i="4" s="1"/>
  <c r="T18" i="4"/>
  <c r="U18" i="4" s="1"/>
  <c r="V18" i="4" s="1"/>
  <c r="T26" i="4"/>
  <c r="U26" i="4" s="1"/>
  <c r="X26" i="4" s="1"/>
  <c r="T52" i="4"/>
  <c r="U52" i="4" s="1"/>
  <c r="X52" i="4" s="1"/>
  <c r="W51" i="4"/>
  <c r="W23" i="4"/>
  <c r="W62" i="4"/>
  <c r="W64" i="4"/>
  <c r="W35" i="4"/>
  <c r="W16" i="4"/>
  <c r="W41" i="4"/>
  <c r="S59" i="4"/>
  <c r="W58" i="4"/>
  <c r="S23" i="4"/>
  <c r="W32" i="4"/>
  <c r="S64" i="4"/>
  <c r="W33" i="4"/>
  <c r="W29" i="4"/>
  <c r="S41" i="4"/>
  <c r="W59" i="4"/>
  <c r="S58" i="4"/>
  <c r="S15" i="4"/>
  <c r="S12" i="4"/>
  <c r="W76" i="4"/>
  <c r="W68" i="4"/>
  <c r="S17" i="4"/>
  <c r="S31" i="4"/>
  <c r="W48" i="4"/>
  <c r="T70" i="4"/>
  <c r="U70" i="4" s="1"/>
  <c r="X70" i="4" s="1"/>
  <c r="T14" i="4"/>
  <c r="U14" i="4" s="1"/>
  <c r="X14" i="4" s="1"/>
  <c r="T48" i="4"/>
  <c r="U48" i="4" s="1"/>
  <c r="X48" i="4" s="1"/>
  <c r="T63" i="4"/>
  <c r="U63" i="4" s="1"/>
  <c r="V63" i="4" s="1"/>
  <c r="T9" i="4"/>
  <c r="U9" i="4" s="1"/>
  <c r="V9" i="4" s="1"/>
  <c r="T36" i="4"/>
  <c r="U36" i="4" s="1"/>
  <c r="V36" i="4" s="1"/>
  <c r="W57" i="4"/>
  <c r="W72" i="4"/>
  <c r="S75" i="4"/>
  <c r="S76" i="4"/>
  <c r="W11" i="4"/>
  <c r="W47" i="4"/>
  <c r="S67" i="4"/>
  <c r="S5" i="4"/>
  <c r="S48" i="4"/>
  <c r="W9" i="4"/>
  <c r="W78" i="4"/>
  <c r="T67" i="4"/>
  <c r="U67" i="4" s="1"/>
  <c r="X67" i="4" s="1"/>
  <c r="T12" i="4"/>
  <c r="U12" i="4" s="1"/>
  <c r="X12" i="4" s="1"/>
  <c r="T45" i="4"/>
  <c r="U45" i="4" s="1"/>
  <c r="X45" i="4" s="1"/>
  <c r="T58" i="4"/>
  <c r="U58" i="4" s="1"/>
  <c r="V58" i="4" s="1"/>
  <c r="T7" i="4"/>
  <c r="U7" i="4" s="1"/>
  <c r="X7" i="4" s="1"/>
  <c r="T33" i="4"/>
  <c r="U33" i="4" s="1"/>
  <c r="V33" i="4" s="1"/>
  <c r="S57" i="4"/>
  <c r="S72" i="4"/>
  <c r="W75" i="4"/>
  <c r="W7" i="4"/>
  <c r="S11" i="4"/>
  <c r="S47" i="4"/>
  <c r="W67" i="4"/>
  <c r="W20" i="4"/>
  <c r="S38" i="4"/>
  <c r="W42" i="4"/>
  <c r="S56" i="4"/>
  <c r="W14" i="4"/>
  <c r="S24" i="4"/>
  <c r="W52" i="4"/>
  <c r="W55" i="4"/>
  <c r="S74" i="4"/>
  <c r="T78" i="4"/>
  <c r="U78" i="4" s="1"/>
  <c r="V78" i="4" s="1"/>
  <c r="T30" i="4"/>
  <c r="U30" i="4" s="1"/>
  <c r="V30" i="4" s="1"/>
  <c r="T64" i="4"/>
  <c r="U64" i="4" s="1"/>
  <c r="X64" i="4" s="1"/>
  <c r="T20" i="4"/>
  <c r="U20" i="4" s="1"/>
  <c r="X20" i="4" s="1"/>
  <c r="T34" i="4"/>
  <c r="U34" i="4" s="1"/>
  <c r="X34" i="4" s="1"/>
  <c r="T65" i="4"/>
  <c r="U65" i="4" s="1"/>
  <c r="X65" i="4" s="1"/>
  <c r="T21" i="4"/>
  <c r="U21" i="4" s="1"/>
  <c r="X21" i="4" s="1"/>
  <c r="S10" i="4"/>
  <c r="W21" i="4"/>
  <c r="W12" i="4"/>
  <c r="W19" i="4"/>
  <c r="S35" i="4"/>
  <c r="W50" i="4"/>
  <c r="W13" i="4"/>
  <c r="S43" i="4"/>
  <c r="W5" i="4"/>
  <c r="W69" i="4"/>
  <c r="S71" i="4"/>
  <c r="W66" i="4"/>
  <c r="S42" i="4"/>
  <c r="S7" i="4"/>
  <c r="S68" i="4"/>
  <c r="S29" i="4"/>
  <c r="W8" i="4"/>
  <c r="S26" i="4"/>
  <c r="S55" i="4"/>
  <c r="X72" i="4"/>
  <c r="X22" i="4"/>
  <c r="X40" i="4" l="1"/>
  <c r="V75" i="4"/>
  <c r="X66" i="4"/>
  <c r="X62" i="4"/>
  <c r="V59" i="4"/>
  <c r="X16" i="4"/>
  <c r="X31" i="4"/>
  <c r="X76" i="4"/>
  <c r="V26" i="4"/>
  <c r="X23" i="4"/>
  <c r="V4" i="4"/>
  <c r="X68" i="4"/>
  <c r="V51" i="4"/>
  <c r="V57" i="4"/>
  <c r="X6" i="4"/>
  <c r="X33" i="4"/>
  <c r="V55" i="4"/>
  <c r="X5" i="4"/>
  <c r="X8" i="4"/>
  <c r="V41" i="4"/>
  <c r="X49" i="4"/>
  <c r="V25" i="4"/>
  <c r="X74" i="4"/>
  <c r="X47" i="4"/>
  <c r="V43" i="4"/>
  <c r="V71" i="4"/>
  <c r="X15" i="4"/>
  <c r="X42" i="4"/>
  <c r="V70" i="4"/>
  <c r="V53" i="4"/>
  <c r="X44" i="4"/>
  <c r="V19" i="4"/>
  <c r="V67" i="4"/>
  <c r="X10" i="4"/>
  <c r="X29" i="4"/>
  <c r="X61" i="4"/>
  <c r="X36" i="4"/>
  <c r="V24" i="4"/>
  <c r="V34" i="4"/>
  <c r="V39" i="4"/>
  <c r="X27" i="4"/>
  <c r="X50" i="4"/>
  <c r="V64" i="4"/>
  <c r="X73" i="4"/>
  <c r="X11" i="4"/>
  <c r="X32" i="4"/>
  <c r="V28" i="4"/>
  <c r="X13" i="4"/>
  <c r="X9" i="4"/>
  <c r="X35" i="4"/>
  <c r="X54" i="4"/>
  <c r="X46" i="4"/>
  <c r="X56" i="4"/>
  <c r="X78" i="4"/>
  <c r="V14" i="4"/>
  <c r="V37" i="4"/>
  <c r="X30" i="4"/>
  <c r="V52" i="4"/>
  <c r="X77" i="4"/>
  <c r="X63" i="4"/>
  <c r="V45" i="4"/>
  <c r="V12" i="4"/>
  <c r="X60" i="4"/>
  <c r="V69" i="4"/>
  <c r="V38" i="4"/>
  <c r="V7" i="4"/>
  <c r="V48" i="4"/>
  <c r="X18" i="4"/>
  <c r="X17" i="4"/>
  <c r="V65" i="4"/>
  <c r="X58" i="4"/>
  <c r="V21" i="4"/>
  <c r="V20" i="4"/>
  <c r="E3" i="1" l="1"/>
  <c r="K5" i="9" s="1"/>
  <c r="F3" i="1"/>
  <c r="L5" i="9" s="1"/>
  <c r="E4" i="1"/>
  <c r="K6" i="9" s="1"/>
  <c r="F4" i="1"/>
  <c r="L6" i="9" s="1"/>
  <c r="E5" i="1"/>
  <c r="K7" i="9" s="1"/>
  <c r="F5" i="1"/>
  <c r="L7" i="9" s="1"/>
  <c r="E6" i="1"/>
  <c r="K8" i="9" s="1"/>
  <c r="F6" i="1"/>
  <c r="L8" i="9" s="1"/>
  <c r="E7" i="1"/>
  <c r="K9" i="9" s="1"/>
  <c r="F7" i="1"/>
  <c r="L9" i="9" s="1"/>
  <c r="E8" i="1"/>
  <c r="K10" i="9" s="1"/>
  <c r="F8" i="1"/>
  <c r="L10" i="9" s="1"/>
  <c r="E9" i="1"/>
  <c r="K11" i="9" s="1"/>
  <c r="F9" i="1"/>
  <c r="L11" i="9" s="1"/>
  <c r="E10" i="1"/>
  <c r="K12" i="9" s="1"/>
  <c r="F10" i="1"/>
  <c r="L12" i="9" s="1"/>
  <c r="E11" i="1"/>
  <c r="K13" i="9" s="1"/>
  <c r="F11" i="1"/>
  <c r="L13" i="9" s="1"/>
  <c r="E12" i="1"/>
  <c r="K14" i="9" s="1"/>
  <c r="F12" i="1"/>
  <c r="L14" i="9" s="1"/>
  <c r="E13" i="1"/>
  <c r="K15" i="9" s="1"/>
  <c r="F13" i="1"/>
  <c r="L15" i="9" s="1"/>
  <c r="E14" i="1"/>
  <c r="K16" i="9" s="1"/>
  <c r="F14" i="1"/>
  <c r="L16" i="9" s="1"/>
  <c r="E15" i="1"/>
  <c r="K17" i="9" s="1"/>
  <c r="F15" i="1"/>
  <c r="L17" i="9" s="1"/>
  <c r="E16" i="1"/>
  <c r="K18" i="9" s="1"/>
  <c r="F16" i="1"/>
  <c r="L18" i="9" s="1"/>
  <c r="E17" i="1"/>
  <c r="K19" i="9" s="1"/>
  <c r="F17" i="1"/>
  <c r="L19" i="9" s="1"/>
  <c r="E18" i="1"/>
  <c r="K20" i="9" s="1"/>
  <c r="F18" i="1"/>
  <c r="L20" i="9" s="1"/>
  <c r="E19" i="1"/>
  <c r="K21" i="9" s="1"/>
  <c r="F19" i="1"/>
  <c r="L21" i="9" s="1"/>
  <c r="E20" i="1"/>
  <c r="K22" i="9" s="1"/>
  <c r="F20" i="1"/>
  <c r="L22" i="9" s="1"/>
  <c r="E21" i="1"/>
  <c r="K23" i="9" s="1"/>
  <c r="F21" i="1"/>
  <c r="L23" i="9" s="1"/>
  <c r="E22" i="1"/>
  <c r="K24" i="9" s="1"/>
  <c r="F22" i="1"/>
  <c r="L24" i="9" s="1"/>
  <c r="E23" i="1"/>
  <c r="K25" i="9" s="1"/>
  <c r="F23" i="1"/>
  <c r="L25" i="9" s="1"/>
  <c r="E24" i="1"/>
  <c r="K26" i="9" s="1"/>
  <c r="F24" i="1"/>
  <c r="L26" i="9" s="1"/>
  <c r="E25" i="1"/>
  <c r="K27" i="9" s="1"/>
  <c r="F25" i="1"/>
  <c r="L27" i="9" s="1"/>
  <c r="E26" i="1"/>
  <c r="K28" i="9" s="1"/>
  <c r="F26" i="1"/>
  <c r="L28" i="9" s="1"/>
  <c r="E27" i="1"/>
  <c r="K29" i="9" s="1"/>
  <c r="F27" i="1"/>
  <c r="L29" i="9" s="1"/>
  <c r="E28" i="1"/>
  <c r="K30" i="9" s="1"/>
  <c r="F28" i="1"/>
  <c r="L30" i="9" s="1"/>
  <c r="E29" i="1"/>
  <c r="K31" i="9" s="1"/>
  <c r="F29" i="1"/>
  <c r="L31" i="9" s="1"/>
  <c r="E30" i="1"/>
  <c r="K32" i="9" s="1"/>
  <c r="F30" i="1"/>
  <c r="L32" i="9" s="1"/>
  <c r="E31" i="1"/>
  <c r="K33" i="9" s="1"/>
  <c r="F31" i="1"/>
  <c r="L33" i="9" s="1"/>
  <c r="E32" i="1"/>
  <c r="K34" i="9" s="1"/>
  <c r="F32" i="1"/>
  <c r="L34" i="9" s="1"/>
  <c r="E33" i="1"/>
  <c r="K35" i="9" s="1"/>
  <c r="F33" i="1"/>
  <c r="L35" i="9" s="1"/>
  <c r="E34" i="1"/>
  <c r="K36" i="9" s="1"/>
  <c r="F34" i="1"/>
  <c r="L36" i="9" s="1"/>
  <c r="E35" i="1"/>
  <c r="K37" i="9" s="1"/>
  <c r="F35" i="1"/>
  <c r="L37" i="9" s="1"/>
  <c r="E36" i="1"/>
  <c r="K38" i="9" s="1"/>
  <c r="F36" i="1"/>
  <c r="L38" i="9" s="1"/>
  <c r="E37" i="1"/>
  <c r="K39" i="9" s="1"/>
  <c r="F37" i="1"/>
  <c r="L39" i="9" s="1"/>
  <c r="E38" i="1"/>
  <c r="K40" i="9" s="1"/>
  <c r="F38" i="1"/>
  <c r="L40" i="9" s="1"/>
  <c r="E39" i="1"/>
  <c r="K41" i="9" s="1"/>
  <c r="F39" i="1"/>
  <c r="L41" i="9" s="1"/>
  <c r="E40" i="1"/>
  <c r="K42" i="9" s="1"/>
  <c r="F40" i="1"/>
  <c r="L42" i="9" s="1"/>
  <c r="E41" i="1"/>
  <c r="K43" i="9" s="1"/>
  <c r="F41" i="1"/>
  <c r="L43" i="9" s="1"/>
  <c r="E42" i="1"/>
  <c r="K44" i="9" s="1"/>
  <c r="F42" i="1"/>
  <c r="L44" i="9" s="1"/>
  <c r="E43" i="1"/>
  <c r="K45" i="9" s="1"/>
  <c r="F43" i="1"/>
  <c r="L45" i="9" s="1"/>
  <c r="E44" i="1"/>
  <c r="K46" i="9" s="1"/>
  <c r="F44" i="1"/>
  <c r="L46" i="9" s="1"/>
  <c r="E45" i="1"/>
  <c r="K47" i="9" s="1"/>
  <c r="F45" i="1"/>
  <c r="L47" i="9" s="1"/>
  <c r="E46" i="1"/>
  <c r="K48" i="9" s="1"/>
  <c r="F46" i="1"/>
  <c r="L48" i="9" s="1"/>
  <c r="E47" i="1"/>
  <c r="K49" i="9" s="1"/>
  <c r="F47" i="1"/>
  <c r="L49" i="9" s="1"/>
  <c r="E48" i="1"/>
  <c r="K50" i="9" s="1"/>
  <c r="F48" i="1"/>
  <c r="L50" i="9" s="1"/>
  <c r="E49" i="1"/>
  <c r="K51" i="9" s="1"/>
  <c r="F49" i="1"/>
  <c r="L51" i="9" s="1"/>
  <c r="E50" i="1"/>
  <c r="K52" i="9" s="1"/>
  <c r="F50" i="1"/>
  <c r="L52" i="9" s="1"/>
  <c r="E51" i="1"/>
  <c r="K53" i="9" s="1"/>
  <c r="F51" i="1"/>
  <c r="L53" i="9" s="1"/>
  <c r="E52" i="1"/>
  <c r="K54" i="9" s="1"/>
  <c r="F52" i="1"/>
  <c r="L54" i="9" s="1"/>
  <c r="E53" i="1"/>
  <c r="K55" i="9" s="1"/>
  <c r="F53" i="1"/>
  <c r="L55" i="9" s="1"/>
  <c r="E54" i="1"/>
  <c r="K56" i="9" s="1"/>
  <c r="F54" i="1"/>
  <c r="L56" i="9" s="1"/>
  <c r="E55" i="1"/>
  <c r="K57" i="9" s="1"/>
  <c r="F55" i="1"/>
  <c r="L57" i="9" s="1"/>
  <c r="E56" i="1"/>
  <c r="K58" i="9" s="1"/>
  <c r="F56" i="1"/>
  <c r="L58" i="9" s="1"/>
  <c r="E57" i="1"/>
  <c r="K59" i="9" s="1"/>
  <c r="F57" i="1"/>
  <c r="L59" i="9" s="1"/>
  <c r="E58" i="1"/>
  <c r="K60" i="9" s="1"/>
  <c r="F58" i="1"/>
  <c r="L60" i="9" s="1"/>
  <c r="E59" i="1"/>
  <c r="K61" i="9" s="1"/>
  <c r="F59" i="1"/>
  <c r="L61" i="9" s="1"/>
  <c r="E60" i="1"/>
  <c r="K62" i="9" s="1"/>
  <c r="F60" i="1"/>
  <c r="L62" i="9" s="1"/>
  <c r="E61" i="1"/>
  <c r="K63" i="9" s="1"/>
  <c r="F61" i="1"/>
  <c r="L63" i="9" s="1"/>
  <c r="E62" i="1"/>
  <c r="K64" i="9" s="1"/>
  <c r="F62" i="1"/>
  <c r="L64" i="9" s="1"/>
  <c r="E63" i="1"/>
  <c r="K65" i="9" s="1"/>
  <c r="F63" i="1"/>
  <c r="L65" i="9" s="1"/>
  <c r="E64" i="1"/>
  <c r="K66" i="9" s="1"/>
  <c r="F64" i="1"/>
  <c r="L66" i="9" s="1"/>
  <c r="E65" i="1"/>
  <c r="K67" i="9" s="1"/>
  <c r="F65" i="1"/>
  <c r="L67" i="9" s="1"/>
  <c r="E66" i="1"/>
  <c r="K68" i="9" s="1"/>
  <c r="F66" i="1"/>
  <c r="L68" i="9" s="1"/>
  <c r="E67" i="1"/>
  <c r="K69" i="9" s="1"/>
  <c r="F67" i="1"/>
  <c r="L69" i="9" s="1"/>
  <c r="E68" i="1"/>
  <c r="K70" i="9" s="1"/>
  <c r="F68" i="1"/>
  <c r="L70" i="9" s="1"/>
  <c r="E69" i="1"/>
  <c r="K71" i="9" s="1"/>
  <c r="F69" i="1"/>
  <c r="L71" i="9" s="1"/>
  <c r="E70" i="1"/>
  <c r="K72" i="9" s="1"/>
  <c r="F70" i="1"/>
  <c r="L72" i="9" s="1"/>
  <c r="E71" i="1"/>
  <c r="K73" i="9" s="1"/>
  <c r="F71" i="1"/>
  <c r="L73" i="9" s="1"/>
  <c r="E72" i="1"/>
  <c r="K74" i="9" s="1"/>
  <c r="F72" i="1"/>
  <c r="L74" i="9" s="1"/>
  <c r="E73" i="1"/>
  <c r="K75" i="9" s="1"/>
  <c r="F73" i="1"/>
  <c r="L75" i="9" s="1"/>
  <c r="E74" i="1"/>
  <c r="K76" i="9" s="1"/>
  <c r="F74" i="1"/>
  <c r="L76" i="9" s="1"/>
  <c r="E75" i="1"/>
  <c r="K77" i="9" s="1"/>
  <c r="F75" i="1"/>
  <c r="L77" i="9" s="1"/>
  <c r="E76" i="1"/>
  <c r="K78" i="9" s="1"/>
  <c r="F76" i="1"/>
  <c r="F2" i="1"/>
  <c r="L4" i="9" s="1"/>
  <c r="E2" i="1"/>
  <c r="D3" i="1"/>
  <c r="M5" i="9" s="1"/>
  <c r="D4" i="1"/>
  <c r="M6" i="9" s="1"/>
  <c r="D5" i="1"/>
  <c r="M7" i="9" s="1"/>
  <c r="D6" i="1"/>
  <c r="M8" i="9" s="1"/>
  <c r="D7" i="1"/>
  <c r="M9" i="9" s="1"/>
  <c r="D8" i="1"/>
  <c r="M10" i="9" s="1"/>
  <c r="D9" i="1"/>
  <c r="M11" i="9" s="1"/>
  <c r="D10" i="1"/>
  <c r="M12" i="9" s="1"/>
  <c r="D11" i="1"/>
  <c r="M13" i="9" s="1"/>
  <c r="D12" i="1"/>
  <c r="M14" i="9" s="1"/>
  <c r="D13" i="1"/>
  <c r="M15" i="9" s="1"/>
  <c r="D14" i="1"/>
  <c r="M16" i="9" s="1"/>
  <c r="D15" i="1"/>
  <c r="M17" i="9" s="1"/>
  <c r="D16" i="1"/>
  <c r="M18" i="9" s="1"/>
  <c r="D17" i="1"/>
  <c r="M19" i="9" s="1"/>
  <c r="D18" i="1"/>
  <c r="M20" i="9" s="1"/>
  <c r="D19" i="1"/>
  <c r="M21" i="9" s="1"/>
  <c r="D20" i="1"/>
  <c r="M22" i="9" s="1"/>
  <c r="D21" i="1"/>
  <c r="M23" i="9" s="1"/>
  <c r="D22" i="1"/>
  <c r="M24" i="9" s="1"/>
  <c r="D23" i="1"/>
  <c r="M25" i="9" s="1"/>
  <c r="D24" i="1"/>
  <c r="M26" i="9" s="1"/>
  <c r="D25" i="1"/>
  <c r="M27" i="9" s="1"/>
  <c r="D26" i="1"/>
  <c r="M28" i="9" s="1"/>
  <c r="D27" i="1"/>
  <c r="M29" i="9" s="1"/>
  <c r="D28" i="1"/>
  <c r="M30" i="9" s="1"/>
  <c r="D29" i="1"/>
  <c r="M31" i="9" s="1"/>
  <c r="D30" i="1"/>
  <c r="M32" i="9" s="1"/>
  <c r="D31" i="1"/>
  <c r="M33" i="9" s="1"/>
  <c r="D32" i="1"/>
  <c r="M34" i="9" s="1"/>
  <c r="D33" i="1"/>
  <c r="M35" i="9" s="1"/>
  <c r="D34" i="1"/>
  <c r="M36" i="9" s="1"/>
  <c r="D35" i="1"/>
  <c r="M37" i="9" s="1"/>
  <c r="D36" i="1"/>
  <c r="M38" i="9" s="1"/>
  <c r="D37" i="1"/>
  <c r="M39" i="9" s="1"/>
  <c r="D38" i="1"/>
  <c r="M40" i="9" s="1"/>
  <c r="D39" i="1"/>
  <c r="M41" i="9" s="1"/>
  <c r="D40" i="1"/>
  <c r="M42" i="9" s="1"/>
  <c r="D41" i="1"/>
  <c r="M43" i="9" s="1"/>
  <c r="D42" i="1"/>
  <c r="M44" i="9" s="1"/>
  <c r="D43" i="1"/>
  <c r="M45" i="9" s="1"/>
  <c r="D44" i="1"/>
  <c r="M46" i="9" s="1"/>
  <c r="D45" i="1"/>
  <c r="M47" i="9" s="1"/>
  <c r="D46" i="1"/>
  <c r="M48" i="9" s="1"/>
  <c r="D47" i="1"/>
  <c r="M49" i="9" s="1"/>
  <c r="D48" i="1"/>
  <c r="M50" i="9" s="1"/>
  <c r="D49" i="1"/>
  <c r="M51" i="9" s="1"/>
  <c r="D50" i="1"/>
  <c r="M52" i="9" s="1"/>
  <c r="D51" i="1"/>
  <c r="M53" i="9" s="1"/>
  <c r="D52" i="1"/>
  <c r="M54" i="9" s="1"/>
  <c r="D53" i="1"/>
  <c r="M55" i="9" s="1"/>
  <c r="D54" i="1"/>
  <c r="M56" i="9" s="1"/>
  <c r="D55" i="1"/>
  <c r="M57" i="9" s="1"/>
  <c r="D56" i="1"/>
  <c r="M58" i="9" s="1"/>
  <c r="D57" i="1"/>
  <c r="M59" i="9" s="1"/>
  <c r="D58" i="1"/>
  <c r="M60" i="9" s="1"/>
  <c r="D59" i="1"/>
  <c r="M61" i="9" s="1"/>
  <c r="D60" i="1"/>
  <c r="M62" i="9" s="1"/>
  <c r="D61" i="1"/>
  <c r="M63" i="9" s="1"/>
  <c r="D62" i="1"/>
  <c r="M64" i="9" s="1"/>
  <c r="D63" i="1"/>
  <c r="M65" i="9" s="1"/>
  <c r="D64" i="1"/>
  <c r="M66" i="9" s="1"/>
  <c r="D65" i="1"/>
  <c r="M67" i="9" s="1"/>
  <c r="D66" i="1"/>
  <c r="M68" i="9" s="1"/>
  <c r="D67" i="1"/>
  <c r="M69" i="9" s="1"/>
  <c r="D68" i="1"/>
  <c r="M70" i="9" s="1"/>
  <c r="D69" i="1"/>
  <c r="M71" i="9" s="1"/>
  <c r="D70" i="1"/>
  <c r="M72" i="9" s="1"/>
  <c r="D71" i="1"/>
  <c r="M73" i="9" s="1"/>
  <c r="D72" i="1"/>
  <c r="M74" i="9" s="1"/>
  <c r="D73" i="1"/>
  <c r="M75" i="9" s="1"/>
  <c r="D74" i="1"/>
  <c r="M76" i="9" s="1"/>
  <c r="D75" i="1"/>
  <c r="M77" i="9" s="1"/>
  <c r="D76" i="1"/>
  <c r="M78" i="9" s="1"/>
  <c r="D2" i="1"/>
  <c r="B17" i="9" a="1"/>
  <c r="P4" i="9" a="1"/>
  <c r="H19" i="9"/>
  <c r="H18" i="9"/>
  <c r="C18" i="9" l="1"/>
  <c r="B19" i="9"/>
  <c r="C19" i="9"/>
  <c r="C17" i="9"/>
  <c r="B17" i="9"/>
  <c r="B18" i="9"/>
  <c r="P67" i="9"/>
  <c r="P16" i="9"/>
  <c r="P69" i="9"/>
  <c r="P31" i="9"/>
  <c r="P54" i="9"/>
  <c r="P58" i="9"/>
  <c r="P20" i="9"/>
  <c r="P28" i="9"/>
  <c r="P22" i="9"/>
  <c r="P21" i="9"/>
  <c r="P66" i="9"/>
  <c r="P35" i="9"/>
  <c r="P52" i="9"/>
  <c r="P48" i="9"/>
  <c r="P32" i="9"/>
  <c r="P25" i="9"/>
  <c r="P15" i="9"/>
  <c r="P10" i="9"/>
  <c r="P62" i="9"/>
  <c r="P12" i="9"/>
  <c r="P68" i="9"/>
  <c r="P74" i="9"/>
  <c r="P77" i="9"/>
  <c r="P57" i="9"/>
  <c r="P60" i="9"/>
  <c r="P27" i="9"/>
  <c r="P72" i="9"/>
  <c r="P71" i="9"/>
  <c r="P24" i="9"/>
  <c r="P38" i="9"/>
  <c r="P75" i="9"/>
  <c r="P56" i="9"/>
  <c r="P40" i="9"/>
  <c r="P23" i="9"/>
  <c r="P34" i="9"/>
  <c r="P43" i="9"/>
  <c r="P36" i="9"/>
  <c r="P37" i="9"/>
  <c r="P33" i="9"/>
  <c r="P76" i="9"/>
  <c r="P39" i="9"/>
  <c r="P17" i="9"/>
  <c r="P13" i="9"/>
  <c r="P55" i="9"/>
  <c r="P61" i="9"/>
  <c r="P63" i="9"/>
  <c r="P41" i="9"/>
  <c r="P73" i="9"/>
  <c r="P65" i="9"/>
  <c r="P9" i="9"/>
  <c r="P45" i="9"/>
  <c r="P47" i="9"/>
  <c r="P64" i="9"/>
  <c r="P50" i="9"/>
  <c r="P70" i="9"/>
  <c r="P5" i="9"/>
  <c r="P46" i="9"/>
  <c r="P11" i="9"/>
  <c r="P19" i="9"/>
  <c r="P49" i="9"/>
  <c r="P51" i="9"/>
  <c r="P14" i="9"/>
  <c r="P18" i="9"/>
  <c r="P42" i="9"/>
  <c r="P29" i="9"/>
  <c r="P8" i="9"/>
  <c r="P53" i="9"/>
  <c r="P26" i="9"/>
  <c r="P7" i="9"/>
  <c r="P6" i="9"/>
  <c r="P44" i="9"/>
  <c r="P59" i="9"/>
  <c r="P78" i="9"/>
  <c r="P30" i="9"/>
  <c r="P4" i="9"/>
  <c r="B12" i="9"/>
  <c r="K4" i="9"/>
  <c r="N4" i="9" a="1"/>
  <c r="Y7" i="9"/>
  <c r="Y5" i="9" s="1"/>
  <c r="C14" i="9"/>
  <c r="M4" i="9"/>
  <c r="B8" i="9"/>
  <c r="B14" i="9" s="1"/>
  <c r="L78" i="9"/>
  <c r="B13" i="9" l="1"/>
  <c r="F18" i="9" s="1"/>
  <c r="D18" i="9"/>
  <c r="D17" i="9"/>
  <c r="N4" i="9"/>
  <c r="O4" i="9" s="1"/>
  <c r="N49" i="9"/>
  <c r="O49" i="9" s="1"/>
  <c r="N62" i="9"/>
  <c r="O62" i="9" s="1"/>
  <c r="N45" i="9"/>
  <c r="O45" i="9" s="1"/>
  <c r="N53" i="9"/>
  <c r="O53" i="9" s="1"/>
  <c r="N23" i="9"/>
  <c r="O23" i="9" s="1"/>
  <c r="N54" i="9"/>
  <c r="O54" i="9" s="1"/>
  <c r="N75" i="9"/>
  <c r="O75" i="9" s="1"/>
  <c r="N26" i="9"/>
  <c r="O26" i="9" s="1"/>
  <c r="N9" i="9"/>
  <c r="O9" i="9" s="1"/>
  <c r="N41" i="9"/>
  <c r="O41" i="9" s="1"/>
  <c r="N58" i="9"/>
  <c r="O58" i="9" s="1"/>
  <c r="N30" i="9"/>
  <c r="O30" i="9" s="1"/>
  <c r="N13" i="9"/>
  <c r="O13" i="9" s="1"/>
  <c r="N29" i="9"/>
  <c r="O29" i="9" s="1"/>
  <c r="N10" i="9"/>
  <c r="O10" i="9" s="1"/>
  <c r="N6" i="9"/>
  <c r="O6" i="9" s="1"/>
  <c r="N73" i="9"/>
  <c r="O73" i="9" s="1"/>
  <c r="N44" i="9"/>
  <c r="O44" i="9" s="1"/>
  <c r="N17" i="9"/>
  <c r="O17" i="9" s="1"/>
  <c r="N57" i="9"/>
  <c r="O57" i="9" s="1"/>
  <c r="N76" i="9"/>
  <c r="O76" i="9" s="1"/>
  <c r="N56" i="9"/>
  <c r="O56" i="9" s="1"/>
  <c r="N43" i="9"/>
  <c r="O43" i="9" s="1"/>
  <c r="N7" i="9"/>
  <c r="O7" i="9" s="1"/>
  <c r="N16" i="9"/>
  <c r="O16" i="9" s="1"/>
  <c r="N18" i="9"/>
  <c r="O18" i="9" s="1"/>
  <c r="N22" i="9"/>
  <c r="O22" i="9" s="1"/>
  <c r="N69" i="9"/>
  <c r="O69" i="9" s="1"/>
  <c r="N71" i="9"/>
  <c r="O71" i="9" s="1"/>
  <c r="N12" i="9"/>
  <c r="O12" i="9" s="1"/>
  <c r="N32" i="9"/>
  <c r="O32" i="9" s="1"/>
  <c r="N61" i="9"/>
  <c r="O61" i="9" s="1"/>
  <c r="N70" i="9"/>
  <c r="O70" i="9" s="1"/>
  <c r="N77" i="9"/>
  <c r="O77" i="9" s="1"/>
  <c r="N38" i="9"/>
  <c r="O38" i="9" s="1"/>
  <c r="N68" i="9"/>
  <c r="O68" i="9" s="1"/>
  <c r="N37" i="9"/>
  <c r="O37" i="9" s="1"/>
  <c r="N20" i="9"/>
  <c r="O20" i="9" s="1"/>
  <c r="N21" i="9"/>
  <c r="O21" i="9" s="1"/>
  <c r="N24" i="9"/>
  <c r="O24" i="9" s="1"/>
  <c r="N74" i="9"/>
  <c r="O74" i="9" s="1"/>
  <c r="N59" i="9"/>
  <c r="O59" i="9" s="1"/>
  <c r="N40" i="9"/>
  <c r="O40" i="9" s="1"/>
  <c r="N34" i="9"/>
  <c r="O34" i="9" s="1"/>
  <c r="N28" i="9"/>
  <c r="O28" i="9" s="1"/>
  <c r="N33" i="9"/>
  <c r="O33" i="9" s="1"/>
  <c r="N51" i="9"/>
  <c r="O51" i="9" s="1"/>
  <c r="N31" i="9"/>
  <c r="O31" i="9" s="1"/>
  <c r="N36" i="9"/>
  <c r="O36" i="9" s="1"/>
  <c r="N60" i="9"/>
  <c r="O60" i="9" s="1"/>
  <c r="N48" i="9"/>
  <c r="O48" i="9" s="1"/>
  <c r="N5" i="9"/>
  <c r="O5" i="9" s="1"/>
  <c r="N64" i="9"/>
  <c r="O64" i="9" s="1"/>
  <c r="N67" i="9"/>
  <c r="O67" i="9" s="1"/>
  <c r="N52" i="9"/>
  <c r="O52" i="9" s="1"/>
  <c r="N35" i="9"/>
  <c r="O35" i="9" s="1"/>
  <c r="N14" i="9"/>
  <c r="O14" i="9" s="1"/>
  <c r="N27" i="9"/>
  <c r="O27" i="9" s="1"/>
  <c r="N11" i="9"/>
  <c r="O11" i="9" s="1"/>
  <c r="N8" i="9"/>
  <c r="O8" i="9" s="1"/>
  <c r="N50" i="9"/>
  <c r="O50" i="9" s="1"/>
  <c r="N25" i="9"/>
  <c r="O25" i="9" s="1"/>
  <c r="N46" i="9"/>
  <c r="O46" i="9" s="1"/>
  <c r="N39" i="9"/>
  <c r="O39" i="9" s="1"/>
  <c r="N66" i="9"/>
  <c r="O66" i="9" s="1"/>
  <c r="N78" i="9"/>
  <c r="O78" i="9" s="1"/>
  <c r="N42" i="9"/>
  <c r="O42" i="9" s="1"/>
  <c r="N15" i="9"/>
  <c r="O15" i="9" s="1"/>
  <c r="N55" i="9"/>
  <c r="O55" i="9" s="1"/>
  <c r="N72" i="9"/>
  <c r="O72" i="9" s="1"/>
  <c r="N63" i="9"/>
  <c r="O63" i="9" s="1"/>
  <c r="N19" i="9"/>
  <c r="O19" i="9" s="1"/>
  <c r="N47" i="9"/>
  <c r="O47" i="9" s="1"/>
  <c r="N65" i="9"/>
  <c r="O65" i="9" s="1"/>
  <c r="D19" i="9"/>
  <c r="G19" i="9" l="1"/>
  <c r="G18" i="9"/>
  <c r="F19" i="9"/>
  <c r="E19" i="9"/>
  <c r="E17" i="9"/>
  <c r="G17" i="9"/>
  <c r="F17" i="9"/>
  <c r="E18" i="9"/>
  <c r="Y4" i="9"/>
  <c r="Y6" i="9" s="1"/>
  <c r="Q28" i="9" s="1"/>
  <c r="U42" i="9" l="1"/>
  <c r="Q76" i="9"/>
  <c r="U41" i="9"/>
  <c r="U48" i="9"/>
  <c r="Q41" i="9"/>
  <c r="U15" i="9"/>
  <c r="Q48" i="9"/>
  <c r="U78" i="9"/>
  <c r="U69" i="9"/>
  <c r="Q35" i="9"/>
  <c r="Q24" i="9"/>
  <c r="U39" i="9"/>
  <c r="U46" i="9"/>
  <c r="U24" i="9"/>
  <c r="Q15" i="9"/>
  <c r="U63" i="9"/>
  <c r="U72" i="9"/>
  <c r="Q63" i="9"/>
  <c r="Q72" i="9"/>
  <c r="Q55" i="9"/>
  <c r="U44" i="9"/>
  <c r="U68" i="9"/>
  <c r="U49" i="9"/>
  <c r="Q20" i="9"/>
  <c r="U55" i="9"/>
  <c r="U67" i="9"/>
  <c r="Q68" i="9"/>
  <c r="Q49" i="9"/>
  <c r="U20" i="9"/>
  <c r="U56" i="9"/>
  <c r="Q67" i="9"/>
  <c r="U31" i="9"/>
  <c r="Q13" i="9"/>
  <c r="U60" i="9"/>
  <c r="Q56" i="9"/>
  <c r="Q32" i="9"/>
  <c r="Q31" i="9"/>
  <c r="U50" i="9"/>
  <c r="Q60" i="9"/>
  <c r="Q27" i="9"/>
  <c r="U32" i="9"/>
  <c r="U8" i="9"/>
  <c r="Q50" i="9"/>
  <c r="U75" i="9"/>
  <c r="U45" i="9"/>
  <c r="U43" i="9"/>
  <c r="U57" i="9"/>
  <c r="U40" i="9"/>
  <c r="U47" i="9"/>
  <c r="Q75" i="9"/>
  <c r="Q21" i="9"/>
  <c r="U6" i="9"/>
  <c r="Q34" i="9"/>
  <c r="Q40" i="9"/>
  <c r="Q47" i="9"/>
  <c r="U52" i="9"/>
  <c r="U21" i="9"/>
  <c r="Q69" i="9"/>
  <c r="U35" i="9"/>
  <c r="Q42" i="9"/>
  <c r="U73" i="9"/>
  <c r="Q52" i="9"/>
  <c r="Q51" i="9"/>
  <c r="Q25" i="9"/>
  <c r="Q9" i="9"/>
  <c r="Q46" i="9"/>
  <c r="U27" i="9"/>
  <c r="U5" i="9"/>
  <c r="Q26" i="9"/>
  <c r="Q4" i="9"/>
  <c r="Q8" i="9"/>
  <c r="U76" i="9"/>
  <c r="U13" i="9"/>
  <c r="Q73" i="9"/>
  <c r="U51" i="9"/>
  <c r="U25" i="9"/>
  <c r="U9" i="9"/>
  <c r="Q45" i="9"/>
  <c r="Q78" i="9"/>
  <c r="Q43" i="9"/>
  <c r="Q5" i="9"/>
  <c r="U26" i="9"/>
  <c r="U4" i="9"/>
  <c r="Q19" i="9"/>
  <c r="Q14" i="9"/>
  <c r="U16" i="9"/>
  <c r="U64" i="9"/>
  <c r="U62" i="9"/>
  <c r="Q65" i="9"/>
  <c r="U11" i="9"/>
  <c r="R17" i="9"/>
  <c r="S17" i="9" s="1"/>
  <c r="R66" i="9"/>
  <c r="S66" i="9" s="1"/>
  <c r="R37" i="9"/>
  <c r="S37" i="9" s="1"/>
  <c r="R8" i="9"/>
  <c r="S8" i="9" s="1"/>
  <c r="R54" i="9"/>
  <c r="S54" i="9" s="1"/>
  <c r="R28" i="9"/>
  <c r="S28" i="9" s="1"/>
  <c r="R76" i="9"/>
  <c r="S76" i="9" s="1"/>
  <c r="R10" i="9"/>
  <c r="S10" i="9" s="1"/>
  <c r="R30" i="9"/>
  <c r="S30" i="9" s="1"/>
  <c r="R5" i="9"/>
  <c r="S5" i="9" s="1"/>
  <c r="R68" i="9"/>
  <c r="S68" i="9" s="1"/>
  <c r="R4" i="9"/>
  <c r="S4" i="9" s="1"/>
  <c r="R23" i="9"/>
  <c r="S23" i="9" s="1"/>
  <c r="R71" i="9"/>
  <c r="S71" i="9" s="1"/>
  <c r="R40" i="9"/>
  <c r="S40" i="9" s="1"/>
  <c r="R13" i="9"/>
  <c r="S13" i="9" s="1"/>
  <c r="R59" i="9"/>
  <c r="S59" i="9" s="1"/>
  <c r="R33" i="9"/>
  <c r="S33" i="9" s="1"/>
  <c r="R56" i="9"/>
  <c r="S56" i="9" s="1"/>
  <c r="R15" i="9"/>
  <c r="S15" i="9" s="1"/>
  <c r="R35" i="9"/>
  <c r="S35" i="9" s="1"/>
  <c r="R72" i="9"/>
  <c r="S72" i="9" s="1"/>
  <c r="R9" i="9"/>
  <c r="S9" i="9" s="1"/>
  <c r="R12" i="9"/>
  <c r="S12" i="9" s="1"/>
  <c r="R26" i="9"/>
  <c r="S26" i="9" s="1"/>
  <c r="R74" i="9"/>
  <c r="S74" i="9" s="1"/>
  <c r="R45" i="9"/>
  <c r="S45" i="9" s="1"/>
  <c r="R16" i="9"/>
  <c r="S16" i="9" s="1"/>
  <c r="R62" i="9"/>
  <c r="S62" i="9" s="1"/>
  <c r="R36" i="9"/>
  <c r="S36" i="9" s="1"/>
  <c r="R75" i="9"/>
  <c r="S75" i="9" s="1"/>
  <c r="R78" i="9"/>
  <c r="S78" i="9" s="1"/>
  <c r="R57" i="9"/>
  <c r="S57" i="9" s="1"/>
  <c r="R29" i="9"/>
  <c r="S29" i="9" s="1"/>
  <c r="R31" i="9"/>
  <c r="S31" i="9" s="1"/>
  <c r="R6" i="9"/>
  <c r="S6" i="9" s="1"/>
  <c r="R48" i="9"/>
  <c r="S48" i="9" s="1"/>
  <c r="R19" i="9"/>
  <c r="S19" i="9" s="1"/>
  <c r="R67" i="9"/>
  <c r="S67" i="9" s="1"/>
  <c r="R41" i="9"/>
  <c r="S41" i="9" s="1"/>
  <c r="R61" i="9"/>
  <c r="S61" i="9" s="1"/>
  <c r="R18" i="9"/>
  <c r="S18" i="9" s="1"/>
  <c r="R65" i="9"/>
  <c r="S65" i="9" s="1"/>
  <c r="R77" i="9"/>
  <c r="S77" i="9" s="1"/>
  <c r="R51" i="9"/>
  <c r="S51" i="9" s="1"/>
  <c r="R34" i="9"/>
  <c r="S34" i="9" s="1"/>
  <c r="R7" i="9"/>
  <c r="S7" i="9" s="1"/>
  <c r="R53" i="9"/>
  <c r="S53" i="9" s="1"/>
  <c r="R22" i="9"/>
  <c r="S22" i="9" s="1"/>
  <c r="R70" i="9"/>
  <c r="S70" i="9" s="1"/>
  <c r="R44" i="9"/>
  <c r="S44" i="9" s="1"/>
  <c r="R39" i="9"/>
  <c r="S39" i="9" s="1"/>
  <c r="R49" i="9"/>
  <c r="S49" i="9" s="1"/>
  <c r="R42" i="9"/>
  <c r="S42" i="9" s="1"/>
  <c r="R52" i="9"/>
  <c r="S52" i="9" s="1"/>
  <c r="R64" i="9"/>
  <c r="S64" i="9" s="1"/>
  <c r="R43" i="9"/>
  <c r="S43" i="9" s="1"/>
  <c r="R58" i="9"/>
  <c r="S58" i="9" s="1"/>
  <c r="R63" i="9"/>
  <c r="S63" i="9" s="1"/>
  <c r="R27" i="9"/>
  <c r="S27" i="9" s="1"/>
  <c r="R47" i="9"/>
  <c r="S47" i="9" s="1"/>
  <c r="R24" i="9"/>
  <c r="S24" i="9" s="1"/>
  <c r="R20" i="9"/>
  <c r="S20" i="9" s="1"/>
  <c r="R25" i="9"/>
  <c r="S25" i="9" s="1"/>
  <c r="R50" i="9"/>
  <c r="S50" i="9" s="1"/>
  <c r="R21" i="9"/>
  <c r="S21" i="9" s="1"/>
  <c r="R69" i="9"/>
  <c r="S69" i="9" s="1"/>
  <c r="R38" i="9"/>
  <c r="S38" i="9" s="1"/>
  <c r="R11" i="9"/>
  <c r="S11" i="9" s="1"/>
  <c r="R60" i="9"/>
  <c r="S60" i="9" s="1"/>
  <c r="R46" i="9"/>
  <c r="S46" i="9" s="1"/>
  <c r="R32" i="9"/>
  <c r="S32" i="9" s="1"/>
  <c r="R55" i="9"/>
  <c r="S55" i="9" s="1"/>
  <c r="R14" i="9"/>
  <c r="S14" i="9" s="1"/>
  <c r="R73" i="9"/>
  <c r="S73" i="9" s="1"/>
  <c r="U19" i="9"/>
  <c r="U14" i="9"/>
  <c r="Q16" i="9"/>
  <c r="Q64" i="9"/>
  <c r="Q62" i="9"/>
  <c r="U65" i="9"/>
  <c r="U28" i="9"/>
  <c r="U10" i="9"/>
  <c r="Q17" i="9"/>
  <c r="Q11" i="9"/>
  <c r="Q39" i="9"/>
  <c r="Q57" i="9"/>
  <c r="U30" i="9"/>
  <c r="U23" i="9"/>
  <c r="Q77" i="9"/>
  <c r="U37" i="9"/>
  <c r="Q54" i="9"/>
  <c r="Q29" i="9"/>
  <c r="U66" i="9"/>
  <c r="U33" i="9"/>
  <c r="Q10" i="9"/>
  <c r="U17" i="9"/>
  <c r="Q53" i="9"/>
  <c r="Q71" i="9"/>
  <c r="Q61" i="9"/>
  <c r="Q30" i="9"/>
  <c r="Q23" i="9"/>
  <c r="U77" i="9"/>
  <c r="Q37" i="9"/>
  <c r="U54" i="9"/>
  <c r="U29" i="9"/>
  <c r="Q66" i="9"/>
  <c r="Q33" i="9"/>
  <c r="Q22" i="9"/>
  <c r="U70" i="9"/>
  <c r="U53" i="9"/>
  <c r="U71" i="9"/>
  <c r="U61" i="9"/>
  <c r="Q7" i="9"/>
  <c r="U74" i="9"/>
  <c r="U38" i="9"/>
  <c r="U36" i="9"/>
  <c r="Q59" i="9"/>
  <c r="U18" i="9"/>
  <c r="Q12" i="9"/>
  <c r="U58" i="9"/>
  <c r="U22" i="9"/>
  <c r="Q70" i="9"/>
  <c r="Q6" i="9"/>
  <c r="Q44" i="9"/>
  <c r="U34" i="9"/>
  <c r="U7" i="9"/>
  <c r="Q74" i="9"/>
  <c r="Q38" i="9"/>
  <c r="Q36" i="9"/>
  <c r="U59" i="9"/>
  <c r="Q18" i="9"/>
  <c r="U12" i="9"/>
  <c r="Q58" i="9"/>
  <c r="T69" i="9" l="1"/>
  <c r="V69" i="9"/>
  <c r="T52" i="9"/>
  <c r="V52" i="9"/>
  <c r="T65" i="9"/>
  <c r="V65" i="9"/>
  <c r="T75" i="9"/>
  <c r="V75" i="9"/>
  <c r="T56" i="9"/>
  <c r="V56" i="9"/>
  <c r="T76" i="9"/>
  <c r="V76" i="9"/>
  <c r="V21" i="9"/>
  <c r="T21" i="9"/>
  <c r="T42" i="9"/>
  <c r="V42" i="9"/>
  <c r="V18" i="9"/>
  <c r="T18" i="9"/>
  <c r="T36" i="9"/>
  <c r="V36" i="9"/>
  <c r="T33" i="9"/>
  <c r="V33" i="9"/>
  <c r="T28" i="9"/>
  <c r="V28" i="9"/>
  <c r="T77" i="9"/>
  <c r="V77" i="9"/>
  <c r="V25" i="9"/>
  <c r="T25" i="9"/>
  <c r="V39" i="9"/>
  <c r="T39" i="9"/>
  <c r="T41" i="9"/>
  <c r="V41" i="9"/>
  <c r="T16" i="9"/>
  <c r="V16" i="9"/>
  <c r="V13" i="9"/>
  <c r="T13" i="9"/>
  <c r="V8" i="9"/>
  <c r="T8" i="9"/>
  <c r="V73" i="9"/>
  <c r="T73" i="9"/>
  <c r="T20" i="9"/>
  <c r="V20" i="9"/>
  <c r="T44" i="9"/>
  <c r="V44" i="9"/>
  <c r="T67" i="9"/>
  <c r="V67" i="9"/>
  <c r="T45" i="9"/>
  <c r="V45" i="9"/>
  <c r="T40" i="9"/>
  <c r="V40" i="9"/>
  <c r="T37" i="9"/>
  <c r="V37" i="9"/>
  <c r="V62" i="9"/>
  <c r="T62" i="9"/>
  <c r="V54" i="9"/>
  <c r="T54" i="9"/>
  <c r="T14" i="9"/>
  <c r="V14" i="9"/>
  <c r="T24" i="9"/>
  <c r="V24" i="9"/>
  <c r="V70" i="9"/>
  <c r="T70" i="9"/>
  <c r="V19" i="9"/>
  <c r="T19" i="9"/>
  <c r="T74" i="9"/>
  <c r="V74" i="9"/>
  <c r="T71" i="9"/>
  <c r="V71" i="9"/>
  <c r="T66" i="9"/>
  <c r="V66" i="9"/>
  <c r="V38" i="9"/>
  <c r="T38" i="9"/>
  <c r="T64" i="9"/>
  <c r="V64" i="9"/>
  <c r="V78" i="9"/>
  <c r="T78" i="9"/>
  <c r="T15" i="9"/>
  <c r="V15" i="9"/>
  <c r="T10" i="9"/>
  <c r="V10" i="9"/>
  <c r="V55" i="9"/>
  <c r="T55" i="9"/>
  <c r="V47" i="9"/>
  <c r="T47" i="9"/>
  <c r="V22" i="9"/>
  <c r="T22" i="9"/>
  <c r="T48" i="9"/>
  <c r="V48" i="9"/>
  <c r="T26" i="9"/>
  <c r="V26" i="9"/>
  <c r="T23" i="9"/>
  <c r="V23" i="9"/>
  <c r="T17" i="9"/>
  <c r="V17" i="9"/>
  <c r="V49" i="9"/>
  <c r="T49" i="9"/>
  <c r="T32" i="9"/>
  <c r="V32" i="9"/>
  <c r="V27" i="9"/>
  <c r="T27" i="9"/>
  <c r="V53" i="9"/>
  <c r="T53" i="9"/>
  <c r="T6" i="9"/>
  <c r="V6" i="9"/>
  <c r="T12" i="9"/>
  <c r="V12" i="9"/>
  <c r="V4" i="9"/>
  <c r="T4" i="9"/>
  <c r="T50" i="9"/>
  <c r="V50" i="9"/>
  <c r="V59" i="9"/>
  <c r="T59" i="9"/>
  <c r="V46" i="9"/>
  <c r="T46" i="9"/>
  <c r="T63" i="9"/>
  <c r="V63" i="9"/>
  <c r="T7" i="9"/>
  <c r="V7" i="9"/>
  <c r="T31" i="9"/>
  <c r="V31" i="9"/>
  <c r="V9" i="9"/>
  <c r="T9" i="9"/>
  <c r="T68" i="9"/>
  <c r="V68" i="9"/>
  <c r="T60" i="9"/>
  <c r="V60" i="9"/>
  <c r="T58" i="9"/>
  <c r="V58" i="9"/>
  <c r="T34" i="9"/>
  <c r="V34" i="9"/>
  <c r="T29" i="9"/>
  <c r="V29" i="9"/>
  <c r="T72" i="9"/>
  <c r="V72" i="9"/>
  <c r="T5" i="9"/>
  <c r="V5" i="9"/>
  <c r="V61" i="9"/>
  <c r="T61" i="9"/>
  <c r="T11" i="9"/>
  <c r="V11" i="9"/>
  <c r="T43" i="9"/>
  <c r="V43" i="9"/>
  <c r="V51" i="9"/>
  <c r="T51" i="9"/>
  <c r="V57" i="9"/>
  <c r="T57" i="9"/>
  <c r="T35" i="9"/>
  <c r="V35" i="9"/>
  <c r="V30" i="9"/>
  <c r="T30" i="9"/>
  <c r="D12" i="4" l="1"/>
  <c r="C12" i="9"/>
  <c r="I13" i="11"/>
  <c r="J13" i="10"/>
  <c r="K13" i="10" l="1"/>
  <c r="I6" i="10"/>
  <c r="I5" i="10" s="1"/>
  <c r="J14" i="10"/>
  <c r="J13" i="11"/>
  <c r="I14" i="11"/>
  <c r="H6" i="11"/>
  <c r="B5" i="9"/>
  <c r="D12" i="9"/>
  <c r="C13" i="9"/>
  <c r="D13" i="4"/>
  <c r="C5" i="4"/>
  <c r="E12" i="4"/>
  <c r="C4" i="4" l="1"/>
  <c r="C6" i="4"/>
  <c r="F6" i="4"/>
  <c r="F4" i="4"/>
  <c r="F5" i="4" s="1"/>
  <c r="E13" i="4"/>
  <c r="C7" i="4" s="1"/>
  <c r="D13" i="9"/>
  <c r="B7" i="9" s="1"/>
  <c r="E6" i="9"/>
  <c r="E4" i="9"/>
  <c r="E5" i="9" s="1"/>
  <c r="E12" i="9"/>
  <c r="F12" i="9" s="1"/>
  <c r="G12" i="9" s="1"/>
  <c r="B4" i="9"/>
  <c r="B6" i="9"/>
  <c r="H7" i="11"/>
  <c r="H5" i="11"/>
  <c r="J14" i="11"/>
  <c r="H8" i="11" s="1"/>
  <c r="K7" i="11"/>
  <c r="K5" i="11"/>
  <c r="K6" i="11" s="1"/>
  <c r="K13" i="11"/>
  <c r="L13" i="11" s="1"/>
  <c r="M13" i="11" s="1"/>
  <c r="L5" i="10"/>
  <c r="L6" i="10" s="1"/>
  <c r="K14" i="10"/>
  <c r="L7" i="10"/>
  <c r="I7" i="10"/>
  <c r="I8" i="10" l="1"/>
  <c r="L13" i="10"/>
  <c r="M13" i="10" s="1"/>
  <c r="N13" i="10" s="1"/>
  <c r="F12" i="4"/>
  <c r="G12" i="4" s="1"/>
  <c r="H12" i="4" s="1"/>
  <c r="C12" i="23"/>
  <c r="D12" i="23"/>
  <c r="C13" i="23"/>
  <c r="E4" i="23" s="1"/>
  <c r="E5" i="23" s="1"/>
  <c r="B5" i="23"/>
  <c r="B4" i="23" s="1"/>
  <c r="B6" i="23"/>
  <c r="E6" i="23" l="1"/>
  <c r="D13" i="23"/>
  <c r="B7" i="23" s="1"/>
  <c r="E12" i="23" l="1"/>
  <c r="F12" i="23" s="1"/>
  <c r="G12" i="23" s="1"/>
  <c r="H13" i="25"/>
  <c r="I13" i="25"/>
  <c r="H14" i="25"/>
  <c r="I14" i="25"/>
  <c r="J13" i="25"/>
  <c r="G6" i="25"/>
  <c r="G5" i="25"/>
  <c r="K13" i="25"/>
  <c r="L13" i="25"/>
  <c r="J5" i="25"/>
  <c r="J6" i="25"/>
  <c r="G8" i="25"/>
  <c r="J7" i="25"/>
  <c r="G7" i="25"/>
</calcChain>
</file>

<file path=xl/sharedStrings.xml><?xml version="1.0" encoding="utf-8"?>
<sst xmlns="http://schemas.openxmlformats.org/spreadsheetml/2006/main" count="813" uniqueCount="157">
  <si>
    <t>sales</t>
  </si>
  <si>
    <t>price</t>
  </si>
  <si>
    <t>advert</t>
  </si>
  <si>
    <t>Donde</t>
  </si>
  <si>
    <t>Sales</t>
  </si>
  <si>
    <t>Ventas en Miles de dólares</t>
  </si>
  <si>
    <t>Price</t>
  </si>
  <si>
    <t>Precio promedio de hamburguesas en dólares</t>
  </si>
  <si>
    <t>Gastos en publicidad en miles de dólares</t>
  </si>
  <si>
    <t>Regression Analysis</t>
  </si>
  <si>
    <t>OVERALL FIT</t>
  </si>
  <si>
    <t>Multiple R</t>
  </si>
  <si>
    <t>R Square</t>
  </si>
  <si>
    <t>Adjusted R Square</t>
  </si>
  <si>
    <t>Standard Error</t>
  </si>
  <si>
    <t>Observations</t>
  </si>
  <si>
    <t>AIC</t>
  </si>
  <si>
    <t>AICc</t>
  </si>
  <si>
    <t>SBC</t>
  </si>
  <si>
    <t>ANOVA</t>
  </si>
  <si>
    <t>Alpha</t>
  </si>
  <si>
    <t>df</t>
  </si>
  <si>
    <t>SS</t>
  </si>
  <si>
    <t>MS</t>
  </si>
  <si>
    <t>F</t>
  </si>
  <si>
    <t>p-value</t>
  </si>
  <si>
    <t>sig</t>
  </si>
  <si>
    <t>Regression</t>
  </si>
  <si>
    <t>Residual</t>
  </si>
  <si>
    <t>Total</t>
  </si>
  <si>
    <t>coeff</t>
  </si>
  <si>
    <t>std err</t>
  </si>
  <si>
    <t>t stat</t>
  </si>
  <si>
    <t>lower</t>
  </si>
  <si>
    <t>upper</t>
  </si>
  <si>
    <t>vif</t>
  </si>
  <si>
    <t>Intercept</t>
  </si>
  <si>
    <t>ln sales</t>
  </si>
  <si>
    <t>ln price</t>
  </si>
  <si>
    <t>ln advert</t>
  </si>
  <si>
    <t>Cook's D</t>
  </si>
  <si>
    <t>Obs</t>
  </si>
  <si>
    <t>Pred Y</t>
  </si>
  <si>
    <t>Leverage</t>
  </si>
  <si>
    <t>SResidual</t>
  </si>
  <si>
    <t>Mod MSE</t>
  </si>
  <si>
    <t>RStudent</t>
  </si>
  <si>
    <t>T-Test</t>
  </si>
  <si>
    <t>DFFITS</t>
  </si>
  <si>
    <t>SSE</t>
  </si>
  <si>
    <t>dfE</t>
  </si>
  <si>
    <t>MSE</t>
  </si>
  <si>
    <t>k</t>
  </si>
  <si>
    <t>Shapiro-Wilk Test</t>
  </si>
  <si>
    <t>W-stat</t>
  </si>
  <si>
    <t>alpha</t>
  </si>
  <si>
    <t>normal</t>
  </si>
  <si>
    <t>d'Agostino-Pearson</t>
  </si>
  <si>
    <t>DA-stat</t>
  </si>
  <si>
    <t>Resumen</t>
  </si>
  <si>
    <t>Estadísticas de la regresión</t>
  </si>
  <si>
    <t>Coeficiente de correlación múltiple</t>
  </si>
  <si>
    <t>Coeficiente de determinación R^2</t>
  </si>
  <si>
    <t>R^2  ajustado</t>
  </si>
  <si>
    <t>Error típico</t>
  </si>
  <si>
    <t>Observaciones</t>
  </si>
  <si>
    <t>ANÁLISIS DE VARIANZA</t>
  </si>
  <si>
    <t>Regresión</t>
  </si>
  <si>
    <t>Residuos</t>
  </si>
  <si>
    <t>Intercepción</t>
  </si>
  <si>
    <t>Grados de libertad</t>
  </si>
  <si>
    <t>Suma de cuadrados</t>
  </si>
  <si>
    <t>Promedio de los cuadrados</t>
  </si>
  <si>
    <t>Valor crítico de F</t>
  </si>
  <si>
    <t>Coeficientes</t>
  </si>
  <si>
    <t>Estadístico t</t>
  </si>
  <si>
    <t>Probabilidad</t>
  </si>
  <si>
    <t>Inferior 95%</t>
  </si>
  <si>
    <t>Superior 95%</t>
  </si>
  <si>
    <t>Inferior 95,0%</t>
  </si>
  <si>
    <t>Superior 95,0%</t>
  </si>
  <si>
    <t>Análisis de los residuales</t>
  </si>
  <si>
    <t>Observación</t>
  </si>
  <si>
    <t>Cov</t>
  </si>
  <si>
    <t>Valor corte</t>
  </si>
  <si>
    <t>Pronóstico ln sales</t>
  </si>
  <si>
    <t>Covratio</t>
  </si>
  <si>
    <t>Modelo Nivel - Nivel</t>
  </si>
  <si>
    <t>Modelo Log - Log</t>
  </si>
  <si>
    <r>
      <t xml:space="preserve">H0: </t>
    </r>
    <r>
      <rPr>
        <sz val="10.5"/>
        <color theme="1"/>
        <rFont val="Symbol"/>
        <family val="1"/>
        <charset val="2"/>
      </rPr>
      <t>b1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Symbol"/>
        <family val="1"/>
        <charset val="2"/>
      </rPr>
      <t>=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Symbol"/>
        <family val="1"/>
        <charset val="2"/>
      </rPr>
      <t>0</t>
    </r>
  </si>
  <si>
    <r>
      <t xml:space="preserve">H0: </t>
    </r>
    <r>
      <rPr>
        <sz val="10.5"/>
        <color theme="1"/>
        <rFont val="Symbol"/>
        <family val="1"/>
        <charset val="2"/>
      </rPr>
      <t>b2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Symbol"/>
        <family val="1"/>
        <charset val="2"/>
      </rPr>
      <t>=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Symbol"/>
        <family val="1"/>
        <charset val="2"/>
      </rPr>
      <t>0</t>
    </r>
  </si>
  <si>
    <t>Ha: β1 ≠ 0</t>
  </si>
  <si>
    <t>Ha: β2 ≠ 0</t>
  </si>
  <si>
    <t xml:space="preserve">&gt; 3 </t>
  </si>
  <si>
    <t>&gt; 0,053</t>
  </si>
  <si>
    <t>&gt; 0,080</t>
  </si>
  <si>
    <t>&gt;  0,400</t>
  </si>
  <si>
    <t>&lt; 0,880 ; &gt; 1,120</t>
  </si>
  <si>
    <t>&lt; 0,050</t>
  </si>
  <si>
    <t>yes</t>
  </si>
  <si>
    <t>R^2</t>
  </si>
  <si>
    <t>Valor F</t>
  </si>
  <si>
    <t>β1</t>
  </si>
  <si>
    <t>β2</t>
  </si>
  <si>
    <t>Modelo Original</t>
  </si>
  <si>
    <t>Modelo Sin Observaciones</t>
  </si>
  <si>
    <t>ID</t>
  </si>
  <si>
    <t>TM_2009</t>
  </si>
  <si>
    <t>x</t>
  </si>
  <si>
    <t>y</t>
  </si>
  <si>
    <t>TM_2008</t>
  </si>
  <si>
    <t>PH</t>
  </si>
  <si>
    <t>MO</t>
  </si>
  <si>
    <t>Ntotal</t>
  </si>
  <si>
    <t>C_N</t>
  </si>
  <si>
    <t>P__DISP</t>
  </si>
  <si>
    <t>CA__DISP</t>
  </si>
  <si>
    <t>MG_DISP</t>
  </si>
  <si>
    <t>K_DISP</t>
  </si>
  <si>
    <t>NA_DISP</t>
  </si>
  <si>
    <t>CIC</t>
  </si>
  <si>
    <t>Backward</t>
  </si>
  <si>
    <t>Forward</t>
  </si>
  <si>
    <t>Stepwise</t>
  </si>
  <si>
    <t>año</t>
  </si>
  <si>
    <t>sindicalizado</t>
  </si>
  <si>
    <t>año89</t>
  </si>
  <si>
    <t>año88</t>
  </si>
  <si>
    <t>total_emp_entr</t>
  </si>
  <si>
    <t>Subsidio</t>
  </si>
  <si>
    <t>horas_entren</t>
  </si>
  <si>
    <t>n°empleados</t>
  </si>
  <si>
    <t>ventas_anuales</t>
  </si>
  <si>
    <t>salario_prom</t>
  </si>
  <si>
    <t>Rstudent</t>
  </si>
  <si>
    <t>&gt; 3</t>
  </si>
  <si>
    <t>n°empleados de la empresa</t>
  </si>
  <si>
    <t>ventas anuales de la empresa, USD</t>
  </si>
  <si>
    <t>salario promedio empleados de la empresa</t>
  </si>
  <si>
    <t>horas de entrenamiento</t>
  </si>
  <si>
    <t>binaria, 1=sindicalizado</t>
  </si>
  <si>
    <t>binaria, 1=con subsidio para entrenamiento</t>
  </si>
  <si>
    <t>binaria 1=año 89</t>
  </si>
  <si>
    <t>binaria 1=año 88</t>
  </si>
  <si>
    <t>total de empleados entrenados</t>
  </si>
  <si>
    <t>.</t>
  </si>
  <si>
    <t>Ventas anuales = n° empleados + salario prom + subsidio + total emplea entren</t>
  </si>
  <si>
    <t>Pronóstico ventas_anuales</t>
  </si>
  <si>
    <t>Sub modelos</t>
  </si>
  <si>
    <t>Bo</t>
  </si>
  <si>
    <t>Bsalario prom</t>
  </si>
  <si>
    <t>Btotal empl entren</t>
  </si>
  <si>
    <t>Bn°empleados</t>
  </si>
  <si>
    <t>Sin subsidio</t>
  </si>
  <si>
    <t>Con subsidio</t>
  </si>
  <si>
    <t>Criterio</t>
  </si>
  <si>
    <t>Mayor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</si>
</sst>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 * #,##0_ ;_ * \-#,##0_ ;_ * &quot;-&quot;_ ;_ @_ "/>
    <numFmt numFmtId="164" formatCode="_ * #,##0.00_ ;_ * \-#,##0.00_ ;_ * &quot;-&quot;_ ;_ @_ "/>
    <numFmt numFmtId="165" formatCode="_ * #,##0.000_ ;_ * \-#,##0.000_ ;_ * &quot;-&quot;_ ;_ @_ "/>
    <numFmt numFmtId="166" formatCode="0.000"/>
    <numFmt numFmtId="167" formatCode="0.0000000"/>
    <numFmt numFmtId="168" formatCode="0.00000"/>
    <numFmt numFmtId="169" formatCode="0.0000"/>
    <numFmt numFmtId="170" formatCode="_ * #,##0.0000_ ;_ * \-#,##0.0000_ ;_ * &quot;-&quot;_ ;_ @_ "/>
    <numFmt numFmtId="171" formatCode="_ * #,##0.00000_ ;_ * \-#,##0.00000_ ;_ * &quot;-&quot;_ ;_ @_ "/>
    <numFmt numFmtId="172" formatCode="0.000000000"/>
    <numFmt numFmtId="174" formatCode="_(* #,##0_);_(* \(#,##0\);_(* &quot;-&quot;_);_(@_)"/>
  </numFmts>
  <fonts count="1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0.5"/>
      <color theme="1"/>
      <name val="Arial"/>
      <family val="2"/>
    </font>
    <font>
      <sz val="10.5"/>
      <color theme="1"/>
      <name val="Symbol"/>
      <family val="1"/>
      <charset val="2"/>
    </font>
    <font>
      <sz val="10.5"/>
      <color theme="1"/>
      <name val="Times New Roman"/>
      <family val="1"/>
    </font>
    <font>
      <sz val="11"/>
      <color theme="1"/>
      <name val="Calibri"/>
      <family val="2"/>
    </font>
    <font>
      <sz val="10"/>
      <name val="Arial"/>
      <family val="2"/>
    </font>
    <font>
      <sz val="10"/>
      <name val="Arial"/>
    </font>
    <font>
      <sz val="9"/>
      <name val="Arial"/>
      <family val="2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1" fontId="2" fillId="0" borderId="0" applyFont="0" applyFill="0" applyBorder="0" applyAlignment="0" applyProtection="0"/>
    <xf numFmtId="0" fontId="11" fillId="0" borderId="0"/>
    <xf numFmtId="174" fontId="11" fillId="0" borderId="0" applyFont="0" applyFill="0" applyBorder="0" applyAlignment="0" applyProtection="0"/>
    <xf numFmtId="0" fontId="12" fillId="0" borderId="0"/>
    <xf numFmtId="9" fontId="11" fillId="0" borderId="0" applyFont="0" applyFill="0" applyBorder="0" applyAlignment="0" applyProtection="0"/>
  </cellStyleXfs>
  <cellXfs count="144">
    <xf numFmtId="0" fontId="0" fillId="0" borderId="0" xfId="0"/>
    <xf numFmtId="0" fontId="1" fillId="2" borderId="0" xfId="0" applyFont="1" applyFill="1" applyAlignment="1">
      <alignment horizontal="right"/>
    </xf>
    <xf numFmtId="0" fontId="1" fillId="3" borderId="0" xfId="0" applyFont="1" applyFill="1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4" fillId="0" borderId="2" xfId="0" applyFont="1" applyBorder="1" applyAlignment="1">
      <alignment horizontal="center"/>
    </xf>
    <xf numFmtId="0" fontId="0" fillId="0" borderId="7" xfId="0" applyBorder="1"/>
    <xf numFmtId="0" fontId="0" fillId="0" borderId="0" xfId="0" applyFill="1" applyBorder="1" applyAlignment="1"/>
    <xf numFmtId="0" fontId="0" fillId="0" borderId="8" xfId="0" applyFill="1" applyBorder="1" applyAlignment="1"/>
    <xf numFmtId="0" fontId="4" fillId="0" borderId="9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Continuous"/>
    </xf>
    <xf numFmtId="164" fontId="0" fillId="0" borderId="0" xfId="1" applyNumberFormat="1" applyFont="1"/>
    <xf numFmtId="165" fontId="0" fillId="0" borderId="0" xfId="1" applyNumberFormat="1" applyFont="1"/>
    <xf numFmtId="165" fontId="4" fillId="4" borderId="3" xfId="1" applyNumberFormat="1" applyFont="1" applyFill="1" applyBorder="1" applyAlignment="1">
      <alignment horizontal="center"/>
    </xf>
    <xf numFmtId="165" fontId="0" fillId="0" borderId="2" xfId="1" applyNumberFormat="1" applyFont="1" applyBorder="1"/>
    <xf numFmtId="165" fontId="3" fillId="5" borderId="0" xfId="1" applyNumberFormat="1" applyFont="1" applyFill="1"/>
    <xf numFmtId="164" fontId="0" fillId="0" borderId="0" xfId="0" applyNumberFormat="1"/>
    <xf numFmtId="164" fontId="4" fillId="4" borderId="3" xfId="0" applyNumberFormat="1" applyFont="1" applyFill="1" applyBorder="1" applyAlignment="1">
      <alignment horizontal="center"/>
    </xf>
    <xf numFmtId="164" fontId="0" fillId="0" borderId="2" xfId="0" applyNumberFormat="1" applyBorder="1"/>
    <xf numFmtId="166" fontId="0" fillId="0" borderId="0" xfId="0" applyNumberFormat="1"/>
    <xf numFmtId="165" fontId="0" fillId="0" borderId="0" xfId="0" applyNumberFormat="1"/>
    <xf numFmtId="165" fontId="4" fillId="4" borderId="3" xfId="0" applyNumberFormat="1" applyFont="1" applyFill="1" applyBorder="1" applyAlignment="1">
      <alignment horizontal="center"/>
    </xf>
    <xf numFmtId="165" fontId="0" fillId="5" borderId="0" xfId="0" applyNumberFormat="1" applyFill="1"/>
    <xf numFmtId="0" fontId="3" fillId="0" borderId="0" xfId="0" applyFont="1"/>
    <xf numFmtId="165" fontId="3" fillId="5" borderId="0" xfId="0" applyNumberFormat="1" applyFont="1" applyFill="1"/>
    <xf numFmtId="164" fontId="3" fillId="5" borderId="0" xfId="0" applyNumberFormat="1" applyFont="1" applyFill="1"/>
    <xf numFmtId="0" fontId="3" fillId="5" borderId="0" xfId="0" applyFont="1" applyFill="1"/>
    <xf numFmtId="0" fontId="0" fillId="0" borderId="0" xfId="0" applyFill="1"/>
    <xf numFmtId="0" fontId="5" fillId="0" borderId="0" xfId="0" applyFont="1"/>
    <xf numFmtId="0" fontId="5" fillId="0" borderId="1" xfId="0" applyFont="1" applyBorder="1"/>
    <xf numFmtId="0" fontId="5" fillId="0" borderId="0" xfId="0" applyFont="1" applyFill="1"/>
    <xf numFmtId="0" fontId="5" fillId="0" borderId="2" xfId="0" applyFont="1" applyBorder="1"/>
    <xf numFmtId="0" fontId="5" fillId="0" borderId="0" xfId="0" applyFont="1" applyAlignment="1">
      <alignment horizontal="center"/>
    </xf>
    <xf numFmtId="0" fontId="6" fillId="0" borderId="3" xfId="0" applyFont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2" xfId="0" applyFont="1" applyFill="1" applyBorder="1"/>
    <xf numFmtId="0" fontId="6" fillId="0" borderId="3" xfId="0" applyFont="1" applyFill="1" applyBorder="1" applyAlignment="1">
      <alignment horizontal="center"/>
    </xf>
    <xf numFmtId="167" fontId="5" fillId="0" borderId="0" xfId="0" applyNumberFormat="1" applyFont="1" applyFill="1"/>
    <xf numFmtId="168" fontId="5" fillId="0" borderId="0" xfId="0" applyNumberFormat="1" applyFont="1" applyFill="1"/>
    <xf numFmtId="168" fontId="5" fillId="0" borderId="2" xfId="0" applyNumberFormat="1" applyFont="1" applyFill="1" applyBorder="1"/>
    <xf numFmtId="169" fontId="5" fillId="0" borderId="0" xfId="0" applyNumberFormat="1" applyFont="1" applyFill="1"/>
    <xf numFmtId="169" fontId="5" fillId="0" borderId="2" xfId="0" applyNumberFormat="1" applyFont="1" applyFill="1" applyBorder="1"/>
    <xf numFmtId="169" fontId="5" fillId="0" borderId="0" xfId="0" applyNumberFormat="1" applyFont="1"/>
    <xf numFmtId="167" fontId="5" fillId="0" borderId="2" xfId="0" applyNumberFormat="1" applyFont="1" applyFill="1" applyBorder="1"/>
    <xf numFmtId="169" fontId="5" fillId="0" borderId="2" xfId="0" applyNumberFormat="1" applyFont="1" applyBorder="1"/>
    <xf numFmtId="0" fontId="5" fillId="0" borderId="1" xfId="0" applyFont="1" applyFill="1" applyBorder="1"/>
    <xf numFmtId="0" fontId="5" fillId="6" borderId="0" xfId="0" applyFont="1" applyFill="1"/>
    <xf numFmtId="169" fontId="5" fillId="6" borderId="0" xfId="0" applyNumberFormat="1" applyFont="1" applyFill="1"/>
    <xf numFmtId="168" fontId="5" fillId="6" borderId="2" xfId="0" applyNumberFormat="1" applyFont="1" applyFill="1" applyBorder="1"/>
    <xf numFmtId="169" fontId="5" fillId="6" borderId="2" xfId="0" applyNumberFormat="1" applyFont="1" applyFill="1" applyBorder="1"/>
    <xf numFmtId="0" fontId="7" fillId="0" borderId="0" xfId="0" applyFont="1" applyAlignment="1">
      <alignment horizontal="justify" vertical="center"/>
    </xf>
    <xf numFmtId="0" fontId="0" fillId="6" borderId="2" xfId="0" applyFill="1" applyBorder="1" applyAlignment="1">
      <alignment horizontal="right"/>
    </xf>
    <xf numFmtId="165" fontId="4" fillId="4" borderId="10" xfId="1" applyNumberFormat="1" applyFont="1" applyFill="1" applyBorder="1" applyAlignment="1">
      <alignment horizontal="center"/>
    </xf>
    <xf numFmtId="164" fontId="4" fillId="4" borderId="10" xfId="0" applyNumberFormat="1" applyFont="1" applyFill="1" applyBorder="1" applyAlignment="1">
      <alignment horizontal="center"/>
    </xf>
    <xf numFmtId="0" fontId="0" fillId="0" borderId="10" xfId="0" applyBorder="1"/>
    <xf numFmtId="165" fontId="4" fillId="4" borderId="10" xfId="0" applyNumberFormat="1" applyFont="1" applyFill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170" fontId="0" fillId="0" borderId="0" xfId="1" applyNumberFormat="1" applyFont="1"/>
    <xf numFmtId="170" fontId="0" fillId="0" borderId="0" xfId="0" applyNumberFormat="1"/>
    <xf numFmtId="168" fontId="0" fillId="0" borderId="0" xfId="0" applyNumberFormat="1"/>
    <xf numFmtId="166" fontId="0" fillId="0" borderId="10" xfId="0" applyNumberFormat="1" applyBorder="1" applyAlignment="1">
      <alignment horizontal="center"/>
    </xf>
    <xf numFmtId="166" fontId="3" fillId="0" borderId="10" xfId="0" applyNumberFormat="1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166" fontId="0" fillId="0" borderId="10" xfId="0" applyNumberFormat="1" applyFont="1" applyBorder="1" applyAlignment="1">
      <alignment horizontal="center"/>
    </xf>
    <xf numFmtId="170" fontId="0" fillId="5" borderId="0" xfId="0" applyNumberFormat="1" applyFill="1"/>
    <xf numFmtId="170" fontId="4" fillId="5" borderId="3" xfId="0" applyNumberFormat="1" applyFont="1" applyFill="1" applyBorder="1" applyAlignment="1">
      <alignment horizontal="center"/>
    </xf>
    <xf numFmtId="170" fontId="0" fillId="0" borderId="2" xfId="0" applyNumberFormat="1" applyBorder="1"/>
    <xf numFmtId="170" fontId="0" fillId="0" borderId="0" xfId="0" applyNumberFormat="1" applyFill="1"/>
    <xf numFmtId="168" fontId="0" fillId="5" borderId="0" xfId="0" applyNumberFormat="1" applyFill="1"/>
    <xf numFmtId="169" fontId="0" fillId="5" borderId="0" xfId="0" applyNumberFormat="1" applyFill="1"/>
    <xf numFmtId="168" fontId="0" fillId="0" borderId="2" xfId="0" applyNumberFormat="1" applyBorder="1"/>
    <xf numFmtId="168" fontId="4" fillId="0" borderId="3" xfId="0" applyNumberFormat="1" applyFont="1" applyBorder="1" applyAlignment="1">
      <alignment horizontal="center"/>
    </xf>
    <xf numFmtId="171" fontId="0" fillId="0" borderId="0" xfId="1" applyNumberFormat="1" applyFont="1"/>
    <xf numFmtId="171" fontId="0" fillId="0" borderId="1" xfId="1" applyNumberFormat="1" applyFont="1" applyBorder="1"/>
    <xf numFmtId="171" fontId="0" fillId="0" borderId="2" xfId="1" applyNumberFormat="1" applyFont="1" applyBorder="1"/>
    <xf numFmtId="171" fontId="4" fillId="0" borderId="3" xfId="1" applyNumberFormat="1" applyFont="1" applyBorder="1" applyAlignment="1">
      <alignment horizontal="center"/>
    </xf>
    <xf numFmtId="0" fontId="0" fillId="5" borderId="10" xfId="0" applyFill="1" applyBorder="1"/>
    <xf numFmtId="0" fontId="10" fillId="5" borderId="10" xfId="0" applyFont="1" applyFill="1" applyBorder="1"/>
    <xf numFmtId="0" fontId="0" fillId="0" borderId="11" xfId="0" applyBorder="1"/>
    <xf numFmtId="168" fontId="0" fillId="5" borderId="11" xfId="0" applyNumberFormat="1" applyFill="1" applyBorder="1"/>
    <xf numFmtId="168" fontId="0" fillId="0" borderId="11" xfId="0" applyNumberFormat="1" applyBorder="1"/>
    <xf numFmtId="171" fontId="0" fillId="0" borderId="11" xfId="1" applyNumberFormat="1" applyFont="1" applyBorder="1"/>
    <xf numFmtId="0" fontId="4" fillId="0" borderId="0" xfId="0" applyFont="1" applyBorder="1" applyAlignment="1">
      <alignment horizontal="center"/>
    </xf>
    <xf numFmtId="168" fontId="0" fillId="0" borderId="0" xfId="0" applyNumberFormat="1" applyBorder="1"/>
    <xf numFmtId="0" fontId="6" fillId="0" borderId="0" xfId="0" applyFont="1" applyFill="1" applyBorder="1" applyAlignment="1">
      <alignment horizontal="center"/>
    </xf>
    <xf numFmtId="167" fontId="5" fillId="0" borderId="0" xfId="0" applyNumberFormat="1" applyFont="1" applyFill="1" applyBorder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0" fontId="11" fillId="0" borderId="0" xfId="2"/>
    <xf numFmtId="0" fontId="11" fillId="0" borderId="0" xfId="2" applyAlignment="1">
      <alignment horizontal="center"/>
    </xf>
    <xf numFmtId="0" fontId="12" fillId="0" borderId="0" xfId="4"/>
    <xf numFmtId="0" fontId="11" fillId="0" borderId="0" xfId="4" applyFont="1"/>
    <xf numFmtId="1" fontId="12" fillId="0" borderId="0" xfId="4" applyNumberFormat="1"/>
    <xf numFmtId="0" fontId="13" fillId="0" borderId="0" xfId="4" applyFont="1"/>
    <xf numFmtId="1" fontId="13" fillId="0" borderId="0" xfId="4" applyNumberFormat="1" applyFont="1"/>
    <xf numFmtId="0" fontId="14" fillId="0" borderId="0" xfId="0" applyFont="1"/>
    <xf numFmtId="0" fontId="13" fillId="0" borderId="0" xfId="4" applyFont="1" applyFill="1"/>
    <xf numFmtId="0" fontId="15" fillId="0" borderId="9" xfId="0" applyFont="1" applyFill="1" applyBorder="1" applyAlignment="1">
      <alignment horizontal="centerContinuous"/>
    </xf>
    <xf numFmtId="0" fontId="14" fillId="0" borderId="0" xfId="0" applyFont="1" applyFill="1" applyBorder="1" applyAlignment="1"/>
    <xf numFmtId="0" fontId="14" fillId="0" borderId="8" xfId="0" applyFont="1" applyFill="1" applyBorder="1" applyAlignment="1"/>
    <xf numFmtId="0" fontId="15" fillId="0" borderId="9" xfId="0" applyFont="1" applyFill="1" applyBorder="1" applyAlignment="1">
      <alignment horizontal="center"/>
    </xf>
    <xf numFmtId="0" fontId="11" fillId="0" borderId="0" xfId="2" applyAlignment="1">
      <alignment horizontal="center"/>
    </xf>
    <xf numFmtId="0" fontId="11" fillId="0" borderId="12" xfId="2" applyBorder="1" applyAlignment="1">
      <alignment horizontal="center"/>
    </xf>
    <xf numFmtId="0" fontId="11" fillId="0" borderId="12" xfId="2" applyFont="1" applyBorder="1" applyAlignment="1">
      <alignment horizontal="center"/>
    </xf>
    <xf numFmtId="0" fontId="11" fillId="0" borderId="12" xfId="2" applyFont="1" applyBorder="1"/>
    <xf numFmtId="0" fontId="11" fillId="0" borderId="0" xfId="2" applyFont="1" applyAlignment="1">
      <alignment horizontal="center"/>
    </xf>
    <xf numFmtId="0" fontId="11" fillId="0" borderId="1" xfId="2" applyFont="1" applyBorder="1" applyAlignment="1">
      <alignment horizontal="center"/>
    </xf>
    <xf numFmtId="164" fontId="11" fillId="0" borderId="0" xfId="1" applyNumberFormat="1" applyFont="1" applyAlignment="1">
      <alignment horizontal="center"/>
    </xf>
    <xf numFmtId="164" fontId="11" fillId="0" borderId="0" xfId="1" applyNumberFormat="1" applyFont="1"/>
    <xf numFmtId="164" fontId="11" fillId="0" borderId="1" xfId="1" applyNumberFormat="1" applyFont="1" applyBorder="1" applyAlignment="1">
      <alignment horizontal="center"/>
    </xf>
    <xf numFmtId="164" fontId="11" fillId="0" borderId="1" xfId="1" applyNumberFormat="1" applyFont="1" applyBorder="1"/>
    <xf numFmtId="0" fontId="11" fillId="7" borderId="2" xfId="2" applyFill="1" applyBorder="1" applyAlignment="1">
      <alignment horizontal="center" vertical="center"/>
    </xf>
    <xf numFmtId="0" fontId="16" fillId="0" borderId="9" xfId="0" applyFont="1" applyFill="1" applyBorder="1" applyAlignment="1">
      <alignment horizontal="center"/>
    </xf>
    <xf numFmtId="0" fontId="17" fillId="0" borderId="0" xfId="0" applyFont="1" applyFill="1" applyBorder="1" applyAlignment="1"/>
    <xf numFmtId="0" fontId="17" fillId="0" borderId="8" xfId="0" applyFont="1" applyFill="1" applyBorder="1" applyAlignment="1"/>
    <xf numFmtId="0" fontId="17" fillId="7" borderId="0" xfId="0" applyFont="1" applyFill="1" applyBorder="1" applyAlignment="1"/>
    <xf numFmtId="169" fontId="14" fillId="0" borderId="0" xfId="0" applyNumberFormat="1" applyFont="1" applyFill="1" applyBorder="1" applyAlignment="1"/>
    <xf numFmtId="169" fontId="14" fillId="0" borderId="8" xfId="0" applyNumberFormat="1" applyFont="1" applyFill="1" applyBorder="1" applyAlignment="1"/>
    <xf numFmtId="0" fontId="14" fillId="0" borderId="0" xfId="0" applyFont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164" fontId="0" fillId="0" borderId="2" xfId="1" applyNumberFormat="1" applyFont="1" applyBorder="1"/>
    <xf numFmtId="165" fontId="4" fillId="0" borderId="3" xfId="1" applyNumberFormat="1" applyFont="1" applyBorder="1" applyAlignment="1">
      <alignment horizontal="center"/>
    </xf>
    <xf numFmtId="170" fontId="4" fillId="0" borderId="3" xfId="1" applyNumberFormat="1" applyFont="1" applyBorder="1" applyAlignment="1">
      <alignment horizontal="center"/>
    </xf>
    <xf numFmtId="170" fontId="0" fillId="0" borderId="2" xfId="1" applyNumberFormat="1" applyFont="1" applyBorder="1"/>
    <xf numFmtId="0" fontId="0" fillId="7" borderId="0" xfId="0" applyFill="1"/>
    <xf numFmtId="164" fontId="0" fillId="7" borderId="0" xfId="1" applyNumberFormat="1" applyFont="1" applyFill="1"/>
    <xf numFmtId="165" fontId="0" fillId="7" borderId="0" xfId="1" applyNumberFormat="1" applyFont="1" applyFill="1"/>
    <xf numFmtId="170" fontId="0" fillId="7" borderId="0" xfId="1" applyNumberFormat="1" applyFont="1" applyFill="1"/>
    <xf numFmtId="170" fontId="0" fillId="0" borderId="0" xfId="1" applyNumberFormat="1" applyFont="1" applyAlignment="1">
      <alignment horizontal="center"/>
    </xf>
    <xf numFmtId="164" fontId="0" fillId="0" borderId="0" xfId="1" applyNumberFormat="1" applyFont="1" applyAlignment="1">
      <alignment horizontal="center"/>
    </xf>
    <xf numFmtId="170" fontId="0" fillId="0" borderId="10" xfId="0" applyNumberFormat="1" applyBorder="1" applyAlignment="1">
      <alignment horizontal="center"/>
    </xf>
    <xf numFmtId="0" fontId="3" fillId="7" borderId="10" xfId="0" applyFont="1" applyFill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4" fillId="0" borderId="2" xfId="0" applyFont="1" applyBorder="1"/>
    <xf numFmtId="0" fontId="14" fillId="0" borderId="1" xfId="0" applyFont="1" applyBorder="1"/>
    <xf numFmtId="169" fontId="14" fillId="0" borderId="0" xfId="0" applyNumberFormat="1" applyFont="1"/>
  </cellXfs>
  <cellStyles count="6">
    <cellStyle name="Millares [0]" xfId="1" builtinId="6"/>
    <cellStyle name="Millares [0] 2" xfId="3" xr:uid="{2C949A7C-AD6E-4AB4-960B-413599A33012}"/>
    <cellStyle name="Normal" xfId="0" builtinId="0"/>
    <cellStyle name="Normal 2" xfId="2" xr:uid="{29B59E81-8760-4255-9B67-17BDD38A7372}"/>
    <cellStyle name="Normal 3" xfId="4" xr:uid="{C3DF33BB-24C5-4C9B-87B6-363BBD8B3910}"/>
    <cellStyle name="Porcentaje 2" xfId="5" xr:uid="{6D48E5DF-6F9F-40E1-A99D-68A48FAE236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L"/>
              <a:t>Advert 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'Data Hamburguesa'!$C$2:$C$76</c:f>
              <c:numCache>
                <c:formatCode>General</c:formatCode>
                <c:ptCount val="75"/>
                <c:pt idx="0">
                  <c:v>1.3</c:v>
                </c:pt>
                <c:pt idx="1">
                  <c:v>2.9</c:v>
                </c:pt>
                <c:pt idx="2">
                  <c:v>0.8</c:v>
                </c:pt>
                <c:pt idx="3">
                  <c:v>0.7</c:v>
                </c:pt>
                <c:pt idx="4">
                  <c:v>1.5</c:v>
                </c:pt>
                <c:pt idx="5">
                  <c:v>1.3</c:v>
                </c:pt>
                <c:pt idx="6">
                  <c:v>1.8</c:v>
                </c:pt>
                <c:pt idx="7">
                  <c:v>2.4</c:v>
                </c:pt>
                <c:pt idx="8">
                  <c:v>0.7</c:v>
                </c:pt>
                <c:pt idx="9">
                  <c:v>3</c:v>
                </c:pt>
                <c:pt idx="10">
                  <c:v>2.8</c:v>
                </c:pt>
                <c:pt idx="11">
                  <c:v>2.7</c:v>
                </c:pt>
                <c:pt idx="12">
                  <c:v>2.8</c:v>
                </c:pt>
                <c:pt idx="13">
                  <c:v>2.8</c:v>
                </c:pt>
                <c:pt idx="14">
                  <c:v>2.2999999999999998</c:v>
                </c:pt>
                <c:pt idx="15">
                  <c:v>1.7</c:v>
                </c:pt>
                <c:pt idx="16">
                  <c:v>1.5</c:v>
                </c:pt>
                <c:pt idx="17">
                  <c:v>0.8</c:v>
                </c:pt>
                <c:pt idx="18">
                  <c:v>2.9</c:v>
                </c:pt>
                <c:pt idx="19">
                  <c:v>0.5</c:v>
                </c:pt>
                <c:pt idx="20">
                  <c:v>2.1</c:v>
                </c:pt>
                <c:pt idx="21">
                  <c:v>0.8</c:v>
                </c:pt>
                <c:pt idx="22">
                  <c:v>1.1000000000000001</c:v>
                </c:pt>
                <c:pt idx="23">
                  <c:v>1.9</c:v>
                </c:pt>
                <c:pt idx="24">
                  <c:v>2.1</c:v>
                </c:pt>
                <c:pt idx="25">
                  <c:v>1.3</c:v>
                </c:pt>
                <c:pt idx="26">
                  <c:v>1.1000000000000001</c:v>
                </c:pt>
                <c:pt idx="27">
                  <c:v>1.1000000000000001</c:v>
                </c:pt>
                <c:pt idx="28">
                  <c:v>2.9</c:v>
                </c:pt>
                <c:pt idx="29">
                  <c:v>1.4</c:v>
                </c:pt>
                <c:pt idx="30">
                  <c:v>2.5</c:v>
                </c:pt>
                <c:pt idx="31">
                  <c:v>3</c:v>
                </c:pt>
                <c:pt idx="32">
                  <c:v>1</c:v>
                </c:pt>
                <c:pt idx="33">
                  <c:v>3.1</c:v>
                </c:pt>
                <c:pt idx="34">
                  <c:v>0.5</c:v>
                </c:pt>
                <c:pt idx="35">
                  <c:v>2.7</c:v>
                </c:pt>
                <c:pt idx="36">
                  <c:v>0.9</c:v>
                </c:pt>
                <c:pt idx="37">
                  <c:v>1.5</c:v>
                </c:pt>
                <c:pt idx="38">
                  <c:v>2.8</c:v>
                </c:pt>
                <c:pt idx="39">
                  <c:v>2.2999999999999998</c:v>
                </c:pt>
                <c:pt idx="40">
                  <c:v>1.2</c:v>
                </c:pt>
                <c:pt idx="41">
                  <c:v>3.1</c:v>
                </c:pt>
                <c:pt idx="42">
                  <c:v>1</c:v>
                </c:pt>
                <c:pt idx="43">
                  <c:v>2.5</c:v>
                </c:pt>
                <c:pt idx="44">
                  <c:v>2.1</c:v>
                </c:pt>
                <c:pt idx="45">
                  <c:v>2.8</c:v>
                </c:pt>
                <c:pt idx="46">
                  <c:v>3.1</c:v>
                </c:pt>
                <c:pt idx="47">
                  <c:v>3.1</c:v>
                </c:pt>
                <c:pt idx="48">
                  <c:v>0.9</c:v>
                </c:pt>
                <c:pt idx="49">
                  <c:v>1.8</c:v>
                </c:pt>
                <c:pt idx="50">
                  <c:v>3.1</c:v>
                </c:pt>
                <c:pt idx="51">
                  <c:v>1.9</c:v>
                </c:pt>
                <c:pt idx="52">
                  <c:v>0.7</c:v>
                </c:pt>
                <c:pt idx="53">
                  <c:v>1.6</c:v>
                </c:pt>
                <c:pt idx="54">
                  <c:v>2.9</c:v>
                </c:pt>
                <c:pt idx="55">
                  <c:v>2.2999999999999998</c:v>
                </c:pt>
                <c:pt idx="56">
                  <c:v>1.7</c:v>
                </c:pt>
                <c:pt idx="57">
                  <c:v>1.8</c:v>
                </c:pt>
                <c:pt idx="58">
                  <c:v>0.6</c:v>
                </c:pt>
                <c:pt idx="59">
                  <c:v>3.1</c:v>
                </c:pt>
                <c:pt idx="60">
                  <c:v>1.2</c:v>
                </c:pt>
                <c:pt idx="61">
                  <c:v>2.1</c:v>
                </c:pt>
                <c:pt idx="62">
                  <c:v>0.5</c:v>
                </c:pt>
                <c:pt idx="63">
                  <c:v>2.9</c:v>
                </c:pt>
                <c:pt idx="64">
                  <c:v>1.6</c:v>
                </c:pt>
                <c:pt idx="65">
                  <c:v>1.5</c:v>
                </c:pt>
                <c:pt idx="66">
                  <c:v>2</c:v>
                </c:pt>
                <c:pt idx="67">
                  <c:v>1.3</c:v>
                </c:pt>
                <c:pt idx="68">
                  <c:v>1.1000000000000001</c:v>
                </c:pt>
                <c:pt idx="69">
                  <c:v>2.2000000000000002</c:v>
                </c:pt>
                <c:pt idx="70">
                  <c:v>1.7</c:v>
                </c:pt>
                <c:pt idx="71">
                  <c:v>0.7</c:v>
                </c:pt>
                <c:pt idx="72">
                  <c:v>0.7</c:v>
                </c:pt>
                <c:pt idx="73">
                  <c:v>2</c:v>
                </c:pt>
                <c:pt idx="74">
                  <c:v>2.2000000000000002</c:v>
                </c:pt>
              </c:numCache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7D-4499-B742-B928844C50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4629496"/>
        <c:axId val="314628216"/>
      </c:scatterChart>
      <c:valAx>
        <c:axId val="314629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L"/>
                  <a:t>advert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4628216"/>
        <c:crosses val="autoZero"/>
        <c:crossBetween val="midCat"/>
      </c:valAx>
      <c:valAx>
        <c:axId val="3146282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CL"/>
                  <a:t>Residuos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462949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L" sz="1800" b="1" i="0" u="none" strike="noStrike" baseline="0">
                <a:effectLst/>
              </a:rPr>
              <a:t>Price </a:t>
            </a:r>
            <a:endParaRPr lang="es-CL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'Data Hamburguesa'!$B$2:$B$76</c:f>
              <c:numCache>
                <c:formatCode>General</c:formatCode>
                <c:ptCount val="75"/>
                <c:pt idx="0">
                  <c:v>5.69</c:v>
                </c:pt>
                <c:pt idx="1">
                  <c:v>6.49</c:v>
                </c:pt>
                <c:pt idx="2">
                  <c:v>5.63</c:v>
                </c:pt>
                <c:pt idx="3">
                  <c:v>6.22</c:v>
                </c:pt>
                <c:pt idx="4">
                  <c:v>5.0199999999999996</c:v>
                </c:pt>
                <c:pt idx="5">
                  <c:v>6.41</c:v>
                </c:pt>
                <c:pt idx="6">
                  <c:v>5.85</c:v>
                </c:pt>
                <c:pt idx="7">
                  <c:v>5.41</c:v>
                </c:pt>
                <c:pt idx="8">
                  <c:v>6.24</c:v>
                </c:pt>
                <c:pt idx="9">
                  <c:v>6.2</c:v>
                </c:pt>
                <c:pt idx="10">
                  <c:v>5.48</c:v>
                </c:pt>
                <c:pt idx="11">
                  <c:v>6.14</c:v>
                </c:pt>
                <c:pt idx="12">
                  <c:v>5.37</c:v>
                </c:pt>
                <c:pt idx="13">
                  <c:v>6.45</c:v>
                </c:pt>
                <c:pt idx="14">
                  <c:v>5.35</c:v>
                </c:pt>
                <c:pt idx="15">
                  <c:v>5.22</c:v>
                </c:pt>
                <c:pt idx="16">
                  <c:v>5.89</c:v>
                </c:pt>
                <c:pt idx="17">
                  <c:v>5.21</c:v>
                </c:pt>
                <c:pt idx="18">
                  <c:v>6</c:v>
                </c:pt>
                <c:pt idx="19">
                  <c:v>6.37</c:v>
                </c:pt>
                <c:pt idx="20">
                  <c:v>5.33</c:v>
                </c:pt>
                <c:pt idx="21">
                  <c:v>5.23</c:v>
                </c:pt>
                <c:pt idx="22">
                  <c:v>5.88</c:v>
                </c:pt>
                <c:pt idx="23">
                  <c:v>6.24</c:v>
                </c:pt>
                <c:pt idx="24">
                  <c:v>5.59</c:v>
                </c:pt>
                <c:pt idx="25">
                  <c:v>6.22</c:v>
                </c:pt>
                <c:pt idx="26">
                  <c:v>6.41</c:v>
                </c:pt>
                <c:pt idx="27">
                  <c:v>4.96</c:v>
                </c:pt>
                <c:pt idx="28">
                  <c:v>4.83</c:v>
                </c:pt>
                <c:pt idx="29">
                  <c:v>6.35</c:v>
                </c:pt>
                <c:pt idx="30">
                  <c:v>6.47</c:v>
                </c:pt>
                <c:pt idx="31">
                  <c:v>5.69</c:v>
                </c:pt>
                <c:pt idx="32">
                  <c:v>5.56</c:v>
                </c:pt>
                <c:pt idx="33">
                  <c:v>6.41</c:v>
                </c:pt>
                <c:pt idx="34">
                  <c:v>5.54</c:v>
                </c:pt>
                <c:pt idx="35">
                  <c:v>6.47</c:v>
                </c:pt>
                <c:pt idx="36">
                  <c:v>4.9400000000000004</c:v>
                </c:pt>
                <c:pt idx="37">
                  <c:v>6.16</c:v>
                </c:pt>
                <c:pt idx="38">
                  <c:v>5.93</c:v>
                </c:pt>
                <c:pt idx="39">
                  <c:v>5.2</c:v>
                </c:pt>
                <c:pt idx="40">
                  <c:v>5.62</c:v>
                </c:pt>
                <c:pt idx="41">
                  <c:v>5.28</c:v>
                </c:pt>
                <c:pt idx="42">
                  <c:v>5.46</c:v>
                </c:pt>
                <c:pt idx="43">
                  <c:v>5.1100000000000003</c:v>
                </c:pt>
                <c:pt idx="44">
                  <c:v>5.04</c:v>
                </c:pt>
                <c:pt idx="45">
                  <c:v>5.08</c:v>
                </c:pt>
                <c:pt idx="46">
                  <c:v>5.86</c:v>
                </c:pt>
                <c:pt idx="47">
                  <c:v>4.8899999999999997</c:v>
                </c:pt>
                <c:pt idx="48">
                  <c:v>5.68</c:v>
                </c:pt>
                <c:pt idx="49">
                  <c:v>5.83</c:v>
                </c:pt>
                <c:pt idx="50">
                  <c:v>6.33</c:v>
                </c:pt>
                <c:pt idx="51">
                  <c:v>6.47</c:v>
                </c:pt>
                <c:pt idx="52">
                  <c:v>5.7</c:v>
                </c:pt>
                <c:pt idx="53">
                  <c:v>5.22</c:v>
                </c:pt>
                <c:pt idx="54">
                  <c:v>5.05</c:v>
                </c:pt>
                <c:pt idx="55">
                  <c:v>5.76</c:v>
                </c:pt>
                <c:pt idx="56">
                  <c:v>6.25</c:v>
                </c:pt>
                <c:pt idx="57">
                  <c:v>5.34</c:v>
                </c:pt>
                <c:pt idx="58">
                  <c:v>4.9800000000000004</c:v>
                </c:pt>
                <c:pt idx="59">
                  <c:v>6.39</c:v>
                </c:pt>
                <c:pt idx="60">
                  <c:v>6.22</c:v>
                </c:pt>
                <c:pt idx="61">
                  <c:v>5.0999999999999996</c:v>
                </c:pt>
                <c:pt idx="62">
                  <c:v>6.49</c:v>
                </c:pt>
                <c:pt idx="63">
                  <c:v>4.8600000000000003</c:v>
                </c:pt>
                <c:pt idx="64">
                  <c:v>5.0999999999999996</c:v>
                </c:pt>
                <c:pt idx="65">
                  <c:v>5.98</c:v>
                </c:pt>
                <c:pt idx="66">
                  <c:v>5.0199999999999996</c:v>
                </c:pt>
                <c:pt idx="67">
                  <c:v>5.08</c:v>
                </c:pt>
                <c:pt idx="68">
                  <c:v>5.23</c:v>
                </c:pt>
                <c:pt idx="69">
                  <c:v>6.02</c:v>
                </c:pt>
                <c:pt idx="70">
                  <c:v>5.73</c:v>
                </c:pt>
                <c:pt idx="71">
                  <c:v>5.1100000000000003</c:v>
                </c:pt>
                <c:pt idx="72">
                  <c:v>5.71</c:v>
                </c:pt>
                <c:pt idx="73">
                  <c:v>5.45</c:v>
                </c:pt>
                <c:pt idx="74">
                  <c:v>6.05</c:v>
                </c:pt>
              </c:numCache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DD-4EE4-B4F9-EB865EE981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3781712"/>
        <c:axId val="763783312"/>
      </c:scatterChart>
      <c:valAx>
        <c:axId val="763781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L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63783312"/>
        <c:crosses val="autoZero"/>
        <c:crossBetween val="midCat"/>
      </c:valAx>
      <c:valAx>
        <c:axId val="7637833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CL"/>
                  <a:t>Residuos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6378171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L"/>
              <a:t>Ln Advert 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'Data Hamburguesa'!$F$2:$F$76</c:f>
              <c:numCache>
                <c:formatCode>General</c:formatCode>
                <c:ptCount val="75"/>
                <c:pt idx="0">
                  <c:v>0.26236426446749106</c:v>
                </c:pt>
                <c:pt idx="1">
                  <c:v>1.0647107369924282</c:v>
                </c:pt>
                <c:pt idx="2">
                  <c:v>-0.22314355131420971</c:v>
                </c:pt>
                <c:pt idx="3">
                  <c:v>-0.35667494393873245</c:v>
                </c:pt>
                <c:pt idx="4">
                  <c:v>0.40546510810816438</c:v>
                </c:pt>
                <c:pt idx="5">
                  <c:v>0.26236426446749106</c:v>
                </c:pt>
                <c:pt idx="6">
                  <c:v>0.58778666490211906</c:v>
                </c:pt>
                <c:pt idx="7">
                  <c:v>0.87546873735389985</c:v>
                </c:pt>
                <c:pt idx="8">
                  <c:v>-0.35667494393873245</c:v>
                </c:pt>
                <c:pt idx="9">
                  <c:v>1.0986122886681098</c:v>
                </c:pt>
                <c:pt idx="10">
                  <c:v>1.0296194171811581</c:v>
                </c:pt>
                <c:pt idx="11">
                  <c:v>0.99325177301028345</c:v>
                </c:pt>
                <c:pt idx="12">
                  <c:v>1.0296194171811581</c:v>
                </c:pt>
                <c:pt idx="13">
                  <c:v>1.0296194171811581</c:v>
                </c:pt>
                <c:pt idx="14">
                  <c:v>0.83290912293510388</c:v>
                </c:pt>
                <c:pt idx="15">
                  <c:v>0.53062825106217038</c:v>
                </c:pt>
                <c:pt idx="16">
                  <c:v>0.40546510810816438</c:v>
                </c:pt>
                <c:pt idx="17">
                  <c:v>-0.22314355131420971</c:v>
                </c:pt>
                <c:pt idx="18">
                  <c:v>1.0647107369924282</c:v>
                </c:pt>
                <c:pt idx="19">
                  <c:v>-0.69314718055994529</c:v>
                </c:pt>
                <c:pt idx="20">
                  <c:v>0.74193734472937733</c:v>
                </c:pt>
                <c:pt idx="21">
                  <c:v>-0.22314355131420971</c:v>
                </c:pt>
                <c:pt idx="22">
                  <c:v>9.5310179804324935E-2</c:v>
                </c:pt>
                <c:pt idx="23">
                  <c:v>0.64185388617239469</c:v>
                </c:pt>
                <c:pt idx="24">
                  <c:v>0.74193734472937733</c:v>
                </c:pt>
                <c:pt idx="25">
                  <c:v>0.26236426446749106</c:v>
                </c:pt>
                <c:pt idx="26">
                  <c:v>9.5310179804324935E-2</c:v>
                </c:pt>
                <c:pt idx="27">
                  <c:v>9.5310179804324935E-2</c:v>
                </c:pt>
                <c:pt idx="28">
                  <c:v>1.0647107369924282</c:v>
                </c:pt>
                <c:pt idx="29">
                  <c:v>0.33647223662121289</c:v>
                </c:pt>
                <c:pt idx="30">
                  <c:v>0.91629073187415511</c:v>
                </c:pt>
                <c:pt idx="31">
                  <c:v>1.0986122886681098</c:v>
                </c:pt>
                <c:pt idx="32">
                  <c:v>0</c:v>
                </c:pt>
                <c:pt idx="33">
                  <c:v>1.1314021114911006</c:v>
                </c:pt>
                <c:pt idx="34">
                  <c:v>-0.69314718055994529</c:v>
                </c:pt>
                <c:pt idx="35">
                  <c:v>0.99325177301028345</c:v>
                </c:pt>
                <c:pt idx="36">
                  <c:v>-0.10536051565782628</c:v>
                </c:pt>
                <c:pt idx="37">
                  <c:v>0.40546510810816438</c:v>
                </c:pt>
                <c:pt idx="38">
                  <c:v>1.0296194171811581</c:v>
                </c:pt>
                <c:pt idx="39">
                  <c:v>0.83290912293510388</c:v>
                </c:pt>
                <c:pt idx="40">
                  <c:v>0.18232155679395459</c:v>
                </c:pt>
                <c:pt idx="41">
                  <c:v>1.1314021114911006</c:v>
                </c:pt>
                <c:pt idx="42">
                  <c:v>0</c:v>
                </c:pt>
                <c:pt idx="43">
                  <c:v>0.91629073187415511</c:v>
                </c:pt>
                <c:pt idx="44">
                  <c:v>0.74193734472937733</c:v>
                </c:pt>
                <c:pt idx="45">
                  <c:v>1.0296194171811581</c:v>
                </c:pt>
                <c:pt idx="46">
                  <c:v>1.1314021114911006</c:v>
                </c:pt>
                <c:pt idx="47">
                  <c:v>1.1314021114911006</c:v>
                </c:pt>
                <c:pt idx="48">
                  <c:v>-0.10536051565782628</c:v>
                </c:pt>
                <c:pt idx="49">
                  <c:v>0.58778666490211906</c:v>
                </c:pt>
                <c:pt idx="50">
                  <c:v>1.1314021114911006</c:v>
                </c:pt>
                <c:pt idx="51">
                  <c:v>0.64185388617239469</c:v>
                </c:pt>
                <c:pt idx="52">
                  <c:v>-0.35667494393873245</c:v>
                </c:pt>
                <c:pt idx="53">
                  <c:v>0.47000362924573563</c:v>
                </c:pt>
                <c:pt idx="54">
                  <c:v>1.0647107369924282</c:v>
                </c:pt>
                <c:pt idx="55">
                  <c:v>0.83290912293510388</c:v>
                </c:pt>
                <c:pt idx="56">
                  <c:v>0.53062825106217038</c:v>
                </c:pt>
                <c:pt idx="57">
                  <c:v>0.58778666490211906</c:v>
                </c:pt>
                <c:pt idx="58">
                  <c:v>-0.51082562376599072</c:v>
                </c:pt>
                <c:pt idx="59">
                  <c:v>1.1314021114911006</c:v>
                </c:pt>
                <c:pt idx="60">
                  <c:v>0.18232155679395459</c:v>
                </c:pt>
                <c:pt idx="61">
                  <c:v>0.74193734472937733</c:v>
                </c:pt>
                <c:pt idx="62">
                  <c:v>-0.69314718055994529</c:v>
                </c:pt>
                <c:pt idx="63">
                  <c:v>1.0647107369924282</c:v>
                </c:pt>
                <c:pt idx="64">
                  <c:v>0.47000362924573563</c:v>
                </c:pt>
                <c:pt idx="65">
                  <c:v>0.40546510810816438</c:v>
                </c:pt>
                <c:pt idx="66">
                  <c:v>0.69314718055994529</c:v>
                </c:pt>
                <c:pt idx="67">
                  <c:v>0.26236426446749106</c:v>
                </c:pt>
                <c:pt idx="68">
                  <c:v>9.5310179804324935E-2</c:v>
                </c:pt>
                <c:pt idx="69">
                  <c:v>0.78845736036427028</c:v>
                </c:pt>
                <c:pt idx="70">
                  <c:v>0.53062825106217038</c:v>
                </c:pt>
                <c:pt idx="71">
                  <c:v>-0.35667494393873245</c:v>
                </c:pt>
                <c:pt idx="72">
                  <c:v>-0.35667494393873245</c:v>
                </c:pt>
                <c:pt idx="73">
                  <c:v>0.69314718055994529</c:v>
                </c:pt>
                <c:pt idx="74">
                  <c:v>0.78845736036427028</c:v>
                </c:pt>
              </c:numCache>
            </c:numRef>
          </c:xVal>
          <c:yVal>
            <c:numRef>
              <c:f>'Data Hamburguesa'!$M$35:$M$109</c:f>
              <c:numCache>
                <c:formatCode>General</c:formatCode>
                <c:ptCount val="75"/>
                <c:pt idx="0">
                  <c:v>-3.9028029424692967E-2</c:v>
                </c:pt>
                <c:pt idx="1">
                  <c:v>-1.9163740050248457E-2</c:v>
                </c:pt>
                <c:pt idx="2">
                  <c:v>-0.18269131016333073</c:v>
                </c:pt>
                <c:pt idx="3">
                  <c:v>-4.2245461013111552E-2</c:v>
                </c:pt>
                <c:pt idx="4">
                  <c:v>8.1247316794038404E-2</c:v>
                </c:pt>
                <c:pt idx="5">
                  <c:v>-1.0948585283927059E-2</c:v>
                </c:pt>
                <c:pt idx="6">
                  <c:v>-3.787155202397674E-2</c:v>
                </c:pt>
                <c:pt idx="7">
                  <c:v>6.6414336420685061E-2</c:v>
                </c:pt>
                <c:pt idx="8">
                  <c:v>0.14340437887110546</c:v>
                </c:pt>
                <c:pt idx="9">
                  <c:v>1.5111793325242928E-2</c:v>
                </c:pt>
                <c:pt idx="10">
                  <c:v>-5.0111278453793595E-2</c:v>
                </c:pt>
                <c:pt idx="11">
                  <c:v>8.7481024908467653E-2</c:v>
                </c:pt>
                <c:pt idx="12">
                  <c:v>7.5715727124041621E-3</c:v>
                </c:pt>
                <c:pt idx="13">
                  <c:v>-6.6715603616730235E-2</c:v>
                </c:pt>
                <c:pt idx="14">
                  <c:v>-5.6282402416413468E-2</c:v>
                </c:pt>
                <c:pt idx="15">
                  <c:v>-8.2107133607127736E-3</c:v>
                </c:pt>
                <c:pt idx="16">
                  <c:v>-6.0418835284217209E-2</c:v>
                </c:pt>
                <c:pt idx="17">
                  <c:v>-4.3343024702975796E-2</c:v>
                </c:pt>
                <c:pt idx="18">
                  <c:v>-3.817965552114444E-2</c:v>
                </c:pt>
                <c:pt idx="19">
                  <c:v>4.1592233498544573E-2</c:v>
                </c:pt>
                <c:pt idx="20">
                  <c:v>4.7522927819995786E-2</c:v>
                </c:pt>
                <c:pt idx="21">
                  <c:v>-5.9983289766647907E-2</c:v>
                </c:pt>
                <c:pt idx="22">
                  <c:v>-5.7450090981303603E-3</c:v>
                </c:pt>
                <c:pt idx="23">
                  <c:v>6.1571771033478662E-2</c:v>
                </c:pt>
                <c:pt idx="24">
                  <c:v>-3.7431431933058867E-2</c:v>
                </c:pt>
                <c:pt idx="25">
                  <c:v>2.8436098113481023E-2</c:v>
                </c:pt>
                <c:pt idx="26">
                  <c:v>-2.6380187041993963E-2</c:v>
                </c:pt>
                <c:pt idx="27">
                  <c:v>2.6051852354826543E-2</c:v>
                </c:pt>
                <c:pt idx="28">
                  <c:v>-7.3841435259058841E-3</c:v>
                </c:pt>
                <c:pt idx="29">
                  <c:v>2.7507960349523408E-2</c:v>
                </c:pt>
                <c:pt idx="30">
                  <c:v>3.8699707544871842E-2</c:v>
                </c:pt>
                <c:pt idx="31">
                  <c:v>-3.3098652159990749E-3</c:v>
                </c:pt>
                <c:pt idx="32">
                  <c:v>-3.358672641031113E-2</c:v>
                </c:pt>
                <c:pt idx="33">
                  <c:v>8.1313737714211243E-2</c:v>
                </c:pt>
                <c:pt idx="34">
                  <c:v>-5.7098862397077177E-2</c:v>
                </c:pt>
                <c:pt idx="35">
                  <c:v>-5.6020859578660875E-2</c:v>
                </c:pt>
                <c:pt idx="36">
                  <c:v>3.165481808968984E-2</c:v>
                </c:pt>
                <c:pt idx="37">
                  <c:v>0.14128653812343295</c:v>
                </c:pt>
                <c:pt idx="38">
                  <c:v>-0.1536801721031269</c:v>
                </c:pt>
                <c:pt idx="39">
                  <c:v>2.4458728089079784E-2</c:v>
                </c:pt>
                <c:pt idx="40">
                  <c:v>4.0053846669408699E-2</c:v>
                </c:pt>
                <c:pt idx="41">
                  <c:v>-3.0185431219315717E-2</c:v>
                </c:pt>
                <c:pt idx="42">
                  <c:v>-0.13041623970803595</c:v>
                </c:pt>
                <c:pt idx="43">
                  <c:v>3.639445120575413E-2</c:v>
                </c:pt>
                <c:pt idx="44">
                  <c:v>4.9023438092314464E-2</c:v>
                </c:pt>
                <c:pt idx="45">
                  <c:v>9.0995684843786506E-4</c:v>
                </c:pt>
                <c:pt idx="46">
                  <c:v>-3.4635866308819985E-2</c:v>
                </c:pt>
                <c:pt idx="47">
                  <c:v>-1.971036755110056E-2</c:v>
                </c:pt>
                <c:pt idx="48">
                  <c:v>-1.6522425958588549E-2</c:v>
                </c:pt>
                <c:pt idx="49">
                  <c:v>6.3879313240917668E-2</c:v>
                </c:pt>
                <c:pt idx="50">
                  <c:v>-7.6323914171591234E-2</c:v>
                </c:pt>
                <c:pt idx="51">
                  <c:v>-3.1407625928625116E-2</c:v>
                </c:pt>
                <c:pt idx="52">
                  <c:v>5.4905516777221663E-2</c:v>
                </c:pt>
                <c:pt idx="53">
                  <c:v>8.6111284835349799E-2</c:v>
                </c:pt>
                <c:pt idx="54">
                  <c:v>-5.0270707073755361E-2</c:v>
                </c:pt>
                <c:pt idx="55">
                  <c:v>2.7150244470451668E-2</c:v>
                </c:pt>
                <c:pt idx="56">
                  <c:v>2.7519024654836244E-3</c:v>
                </c:pt>
                <c:pt idx="57">
                  <c:v>6.9673486217771696E-2</c:v>
                </c:pt>
                <c:pt idx="58">
                  <c:v>4.8731446483657237E-2</c:v>
                </c:pt>
                <c:pt idx="59">
                  <c:v>-6.361427983190282E-3</c:v>
                </c:pt>
                <c:pt idx="60">
                  <c:v>9.4593624586971181E-2</c:v>
                </c:pt>
                <c:pt idx="61">
                  <c:v>6.15190292035388E-2</c:v>
                </c:pt>
                <c:pt idx="62">
                  <c:v>-4.6505294819693788E-2</c:v>
                </c:pt>
                <c:pt idx="63">
                  <c:v>-2.7327001180797339E-2</c:v>
                </c:pt>
                <c:pt idx="64">
                  <c:v>0.1084581594056262</c:v>
                </c:pt>
                <c:pt idx="65">
                  <c:v>-3.6261274269383748E-2</c:v>
                </c:pt>
                <c:pt idx="66">
                  <c:v>-3.4327898657697808E-2</c:v>
                </c:pt>
                <c:pt idx="67">
                  <c:v>-0.10559224690859992</c:v>
                </c:pt>
                <c:pt idx="68">
                  <c:v>2.1350186826065709E-2</c:v>
                </c:pt>
                <c:pt idx="69">
                  <c:v>-2.3713336068880153E-2</c:v>
                </c:pt>
                <c:pt idx="70">
                  <c:v>6.876942877898351E-2</c:v>
                </c:pt>
                <c:pt idx="71">
                  <c:v>-5.9141793344489102E-2</c:v>
                </c:pt>
                <c:pt idx="72">
                  <c:v>2.0730510893687715E-2</c:v>
                </c:pt>
                <c:pt idx="73">
                  <c:v>2.1570974176325919E-2</c:v>
                </c:pt>
                <c:pt idx="74">
                  <c:v>-3.3700074022231519E-3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FB-42F4-88C5-8493772C5E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413888"/>
        <c:axId val="43416192"/>
      </c:scatterChart>
      <c:valAx>
        <c:axId val="43413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L"/>
                  <a:t>ln advert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416192"/>
        <c:crosses val="autoZero"/>
        <c:crossBetween val="midCat"/>
      </c:valAx>
      <c:valAx>
        <c:axId val="43416192"/>
        <c:scaling>
          <c:orientation val="minMax"/>
        </c:scaling>
        <c:delete val="1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CL"/>
                  <a:t>Residuos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4138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L"/>
              <a:t>Ln Price 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'Data Hamburguesa'!$E$2:$E$76</c:f>
              <c:numCache>
                <c:formatCode>General</c:formatCode>
                <c:ptCount val="75"/>
                <c:pt idx="0">
                  <c:v>1.7387102481382397</c:v>
                </c:pt>
                <c:pt idx="1">
                  <c:v>1.8702625307159986</c:v>
                </c:pt>
                <c:pt idx="2">
                  <c:v>1.728109442151599</c:v>
                </c:pt>
                <c:pt idx="3">
                  <c:v>1.827769906751088</c:v>
                </c:pt>
                <c:pt idx="4">
                  <c:v>1.6134299337036377</c:v>
                </c:pt>
                <c:pt idx="5">
                  <c:v>1.8578592709325787</c:v>
                </c:pt>
                <c:pt idx="6">
                  <c:v>1.766441661243765</c:v>
                </c:pt>
                <c:pt idx="7">
                  <c:v>1.6882490928583902</c:v>
                </c:pt>
                <c:pt idx="8">
                  <c:v>1.8309801823813363</c:v>
                </c:pt>
                <c:pt idx="9">
                  <c:v>1.824549292051046</c:v>
                </c:pt>
                <c:pt idx="10">
                  <c:v>1.7011051009599243</c:v>
                </c:pt>
                <c:pt idx="11">
                  <c:v>1.8148247421590511</c:v>
                </c:pt>
                <c:pt idx="12">
                  <c:v>1.6808279085207734</c:v>
                </c:pt>
                <c:pt idx="13">
                  <c:v>1.8640801308076811</c:v>
                </c:pt>
                <c:pt idx="14">
                  <c:v>1.6770965609079151</c:v>
                </c:pt>
                <c:pt idx="15">
                  <c:v>1.6524974018945473</c:v>
                </c:pt>
                <c:pt idx="16">
                  <c:v>1.7732559976634952</c:v>
                </c:pt>
                <c:pt idx="17">
                  <c:v>1.6505798557652755</c:v>
                </c:pt>
                <c:pt idx="18">
                  <c:v>1.791759469228055</c:v>
                </c:pt>
                <c:pt idx="19">
                  <c:v>1.8515994695840721</c:v>
                </c:pt>
                <c:pt idx="20">
                  <c:v>1.6733512381777531</c:v>
                </c:pt>
                <c:pt idx="21">
                  <c:v>1.6544112780768316</c:v>
                </c:pt>
                <c:pt idx="22">
                  <c:v>1.7715567619105355</c:v>
                </c:pt>
                <c:pt idx="23">
                  <c:v>1.8309801823813363</c:v>
                </c:pt>
                <c:pt idx="24">
                  <c:v>1.7209792871670078</c:v>
                </c:pt>
                <c:pt idx="25">
                  <c:v>1.827769906751088</c:v>
                </c:pt>
                <c:pt idx="26">
                  <c:v>1.8578592709325787</c:v>
                </c:pt>
                <c:pt idx="27">
                  <c:v>1.6014057407368361</c:v>
                </c:pt>
                <c:pt idx="28">
                  <c:v>1.5748464676644813</c:v>
                </c:pt>
                <c:pt idx="29">
                  <c:v>1.8484548129046001</c:v>
                </c:pt>
                <c:pt idx="30">
                  <c:v>1.8671761085128091</c:v>
                </c:pt>
                <c:pt idx="31">
                  <c:v>1.7387102481382397</c:v>
                </c:pt>
                <c:pt idx="32">
                  <c:v>1.7155981082624909</c:v>
                </c:pt>
                <c:pt idx="33">
                  <c:v>1.8578592709325787</c:v>
                </c:pt>
                <c:pt idx="34">
                  <c:v>1.7119945007591924</c:v>
                </c:pt>
                <c:pt idx="35">
                  <c:v>1.8671761085128091</c:v>
                </c:pt>
                <c:pt idx="36">
                  <c:v>1.5973653311998313</c:v>
                </c:pt>
                <c:pt idx="37">
                  <c:v>1.8180767775454285</c:v>
                </c:pt>
                <c:pt idx="38">
                  <c:v>1.780024213009634</c:v>
                </c:pt>
                <c:pt idx="39">
                  <c:v>1.6486586255873816</c:v>
                </c:pt>
                <c:pt idx="40">
                  <c:v>1.7263316639055997</c:v>
                </c:pt>
                <c:pt idx="41">
                  <c:v>1.6639260977181702</c:v>
                </c:pt>
                <c:pt idx="42">
                  <c:v>1.6974487897568136</c:v>
                </c:pt>
                <c:pt idx="43">
                  <c:v>1.631199404215613</c:v>
                </c:pt>
                <c:pt idx="44">
                  <c:v>1.6174060820832772</c:v>
                </c:pt>
                <c:pt idx="45">
                  <c:v>1.6253112615903906</c:v>
                </c:pt>
                <c:pt idx="46">
                  <c:v>1.7681496035889213</c:v>
                </c:pt>
                <c:pt idx="47">
                  <c:v>1.5871923034867805</c:v>
                </c:pt>
                <c:pt idx="48">
                  <c:v>1.7369512327330598</c:v>
                </c:pt>
                <c:pt idx="49">
                  <c:v>1.7630170003624011</c:v>
                </c:pt>
                <c:pt idx="50">
                  <c:v>1.8453002361560848</c:v>
                </c:pt>
                <c:pt idx="51">
                  <c:v>1.8671761085128091</c:v>
                </c:pt>
                <c:pt idx="52">
                  <c:v>1.7404661748405046</c:v>
                </c:pt>
                <c:pt idx="53">
                  <c:v>1.6524974018945473</c:v>
                </c:pt>
                <c:pt idx="54">
                  <c:v>1.6193882432872684</c:v>
                </c:pt>
                <c:pt idx="55">
                  <c:v>1.7509374747077999</c:v>
                </c:pt>
                <c:pt idx="56">
                  <c:v>1.8325814637483102</c:v>
                </c:pt>
                <c:pt idx="57">
                  <c:v>1.6752256529721035</c:v>
                </c:pt>
                <c:pt idx="58">
                  <c:v>1.6054298910365616</c:v>
                </c:pt>
                <c:pt idx="59">
                  <c:v>1.8547342683894434</c:v>
                </c:pt>
                <c:pt idx="60">
                  <c:v>1.827769906751088</c:v>
                </c:pt>
                <c:pt idx="61">
                  <c:v>1.62924053973028</c:v>
                </c:pt>
                <c:pt idx="62">
                  <c:v>1.8702625307159986</c:v>
                </c:pt>
                <c:pt idx="63">
                  <c:v>1.5810384379124025</c:v>
                </c:pt>
                <c:pt idx="64">
                  <c:v>1.62924053973028</c:v>
                </c:pt>
                <c:pt idx="65">
                  <c:v>1.7884205679625405</c:v>
                </c:pt>
                <c:pt idx="66">
                  <c:v>1.6134299337036377</c:v>
                </c:pt>
                <c:pt idx="67">
                  <c:v>1.6253112615903906</c:v>
                </c:pt>
                <c:pt idx="68">
                  <c:v>1.6544112780768316</c:v>
                </c:pt>
                <c:pt idx="69">
                  <c:v>1.7950872593207297</c:v>
                </c:pt>
                <c:pt idx="70">
                  <c:v>1.7457155307266483</c:v>
                </c:pt>
                <c:pt idx="71">
                  <c:v>1.631199404215613</c:v>
                </c:pt>
                <c:pt idx="72">
                  <c:v>1.7422190236679189</c:v>
                </c:pt>
                <c:pt idx="73">
                  <c:v>1.6956156086751528</c:v>
                </c:pt>
                <c:pt idx="74">
                  <c:v>1.80005827204275</c:v>
                </c:pt>
              </c:numCache>
            </c:numRef>
          </c:xVal>
          <c:yVal>
            <c:numRef>
              <c:f>'Data Hamburguesa'!$M$35:$M$109</c:f>
              <c:numCache>
                <c:formatCode>General</c:formatCode>
                <c:ptCount val="75"/>
                <c:pt idx="0">
                  <c:v>-3.9028029424692967E-2</c:v>
                </c:pt>
                <c:pt idx="1">
                  <c:v>-1.9163740050248457E-2</c:v>
                </c:pt>
                <c:pt idx="2">
                  <c:v>-0.18269131016333073</c:v>
                </c:pt>
                <c:pt idx="3">
                  <c:v>-4.2245461013111552E-2</c:v>
                </c:pt>
                <c:pt idx="4">
                  <c:v>8.1247316794038404E-2</c:v>
                </c:pt>
                <c:pt idx="5">
                  <c:v>-1.0948585283927059E-2</c:v>
                </c:pt>
                <c:pt idx="6">
                  <c:v>-3.787155202397674E-2</c:v>
                </c:pt>
                <c:pt idx="7">
                  <c:v>6.6414336420685061E-2</c:v>
                </c:pt>
                <c:pt idx="8">
                  <c:v>0.14340437887110546</c:v>
                </c:pt>
                <c:pt idx="9">
                  <c:v>1.5111793325242928E-2</c:v>
                </c:pt>
                <c:pt idx="10">
                  <c:v>-5.0111278453793595E-2</c:v>
                </c:pt>
                <c:pt idx="11">
                  <c:v>8.7481024908467653E-2</c:v>
                </c:pt>
                <c:pt idx="12">
                  <c:v>7.5715727124041621E-3</c:v>
                </c:pt>
                <c:pt idx="13">
                  <c:v>-6.6715603616730235E-2</c:v>
                </c:pt>
                <c:pt idx="14">
                  <c:v>-5.6282402416413468E-2</c:v>
                </c:pt>
                <c:pt idx="15">
                  <c:v>-8.2107133607127736E-3</c:v>
                </c:pt>
                <c:pt idx="16">
                  <c:v>-6.0418835284217209E-2</c:v>
                </c:pt>
                <c:pt idx="17">
                  <c:v>-4.3343024702975796E-2</c:v>
                </c:pt>
                <c:pt idx="18">
                  <c:v>-3.817965552114444E-2</c:v>
                </c:pt>
                <c:pt idx="19">
                  <c:v>4.1592233498544573E-2</c:v>
                </c:pt>
                <c:pt idx="20">
                  <c:v>4.7522927819995786E-2</c:v>
                </c:pt>
                <c:pt idx="21">
                  <c:v>-5.9983289766647907E-2</c:v>
                </c:pt>
                <c:pt idx="22">
                  <c:v>-5.7450090981303603E-3</c:v>
                </c:pt>
                <c:pt idx="23">
                  <c:v>6.1571771033478662E-2</c:v>
                </c:pt>
                <c:pt idx="24">
                  <c:v>-3.7431431933058867E-2</c:v>
                </c:pt>
                <c:pt idx="25">
                  <c:v>2.8436098113481023E-2</c:v>
                </c:pt>
                <c:pt idx="26">
                  <c:v>-2.6380187041993963E-2</c:v>
                </c:pt>
                <c:pt idx="27">
                  <c:v>2.6051852354826543E-2</c:v>
                </c:pt>
                <c:pt idx="28">
                  <c:v>-7.3841435259058841E-3</c:v>
                </c:pt>
                <c:pt idx="29">
                  <c:v>2.7507960349523408E-2</c:v>
                </c:pt>
                <c:pt idx="30">
                  <c:v>3.8699707544871842E-2</c:v>
                </c:pt>
                <c:pt idx="31">
                  <c:v>-3.3098652159990749E-3</c:v>
                </c:pt>
                <c:pt idx="32">
                  <c:v>-3.358672641031113E-2</c:v>
                </c:pt>
                <c:pt idx="33">
                  <c:v>8.1313737714211243E-2</c:v>
                </c:pt>
                <c:pt idx="34">
                  <c:v>-5.7098862397077177E-2</c:v>
                </c:pt>
                <c:pt idx="35">
                  <c:v>-5.6020859578660875E-2</c:v>
                </c:pt>
                <c:pt idx="36">
                  <c:v>3.165481808968984E-2</c:v>
                </c:pt>
                <c:pt idx="37">
                  <c:v>0.14128653812343295</c:v>
                </c:pt>
                <c:pt idx="38">
                  <c:v>-0.1536801721031269</c:v>
                </c:pt>
                <c:pt idx="39">
                  <c:v>2.4458728089079784E-2</c:v>
                </c:pt>
                <c:pt idx="40">
                  <c:v>4.0053846669408699E-2</c:v>
                </c:pt>
                <c:pt idx="41">
                  <c:v>-3.0185431219315717E-2</c:v>
                </c:pt>
                <c:pt idx="42">
                  <c:v>-0.13041623970803595</c:v>
                </c:pt>
                <c:pt idx="43">
                  <c:v>3.639445120575413E-2</c:v>
                </c:pt>
                <c:pt idx="44">
                  <c:v>4.9023438092314464E-2</c:v>
                </c:pt>
                <c:pt idx="45">
                  <c:v>9.0995684843786506E-4</c:v>
                </c:pt>
                <c:pt idx="46">
                  <c:v>-3.4635866308819985E-2</c:v>
                </c:pt>
                <c:pt idx="47">
                  <c:v>-1.971036755110056E-2</c:v>
                </c:pt>
                <c:pt idx="48">
                  <c:v>-1.6522425958588549E-2</c:v>
                </c:pt>
                <c:pt idx="49">
                  <c:v>6.3879313240917668E-2</c:v>
                </c:pt>
                <c:pt idx="50">
                  <c:v>-7.6323914171591234E-2</c:v>
                </c:pt>
                <c:pt idx="51">
                  <c:v>-3.1407625928625116E-2</c:v>
                </c:pt>
                <c:pt idx="52">
                  <c:v>5.4905516777221663E-2</c:v>
                </c:pt>
                <c:pt idx="53">
                  <c:v>8.6111284835349799E-2</c:v>
                </c:pt>
                <c:pt idx="54">
                  <c:v>-5.0270707073755361E-2</c:v>
                </c:pt>
                <c:pt idx="55">
                  <c:v>2.7150244470451668E-2</c:v>
                </c:pt>
                <c:pt idx="56">
                  <c:v>2.7519024654836244E-3</c:v>
                </c:pt>
                <c:pt idx="57">
                  <c:v>6.9673486217771696E-2</c:v>
                </c:pt>
                <c:pt idx="58">
                  <c:v>4.8731446483657237E-2</c:v>
                </c:pt>
                <c:pt idx="59">
                  <c:v>-6.361427983190282E-3</c:v>
                </c:pt>
                <c:pt idx="60">
                  <c:v>9.4593624586971181E-2</c:v>
                </c:pt>
                <c:pt idx="61">
                  <c:v>6.15190292035388E-2</c:v>
                </c:pt>
                <c:pt idx="62">
                  <c:v>-4.6505294819693788E-2</c:v>
                </c:pt>
                <c:pt idx="63">
                  <c:v>-2.7327001180797339E-2</c:v>
                </c:pt>
                <c:pt idx="64">
                  <c:v>0.1084581594056262</c:v>
                </c:pt>
                <c:pt idx="65">
                  <c:v>-3.6261274269383748E-2</c:v>
                </c:pt>
                <c:pt idx="66">
                  <c:v>-3.4327898657697808E-2</c:v>
                </c:pt>
                <c:pt idx="67">
                  <c:v>-0.10559224690859992</c:v>
                </c:pt>
                <c:pt idx="68">
                  <c:v>2.1350186826065709E-2</c:v>
                </c:pt>
                <c:pt idx="69">
                  <c:v>-2.3713336068880153E-2</c:v>
                </c:pt>
                <c:pt idx="70">
                  <c:v>6.876942877898351E-2</c:v>
                </c:pt>
                <c:pt idx="71">
                  <c:v>-5.9141793344489102E-2</c:v>
                </c:pt>
                <c:pt idx="72">
                  <c:v>2.0730510893687715E-2</c:v>
                </c:pt>
                <c:pt idx="73">
                  <c:v>2.1570974176325919E-2</c:v>
                </c:pt>
                <c:pt idx="74">
                  <c:v>-3.3700074022231519E-3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53-4BEF-8390-2631B64F9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214784"/>
        <c:axId val="139751808"/>
      </c:scatterChart>
      <c:valAx>
        <c:axId val="138214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L"/>
                  <a:t>ln 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9751808"/>
        <c:crosses val="autoZero"/>
        <c:crossBetween val="midCat"/>
      </c:valAx>
      <c:valAx>
        <c:axId val="1397518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CL"/>
                  <a:t>Residuos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82147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37</xdr:row>
      <xdr:rowOff>0</xdr:rowOff>
    </xdr:from>
    <xdr:to>
      <xdr:col>6</xdr:col>
      <xdr:colOff>361950</xdr:colOff>
      <xdr:row>47</xdr:row>
      <xdr:rowOff>19050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E4DB2BBF-C9E7-4C4F-A916-893D99175F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52</xdr:row>
      <xdr:rowOff>0</xdr:rowOff>
    </xdr:from>
    <xdr:to>
      <xdr:col>8</xdr:col>
      <xdr:colOff>28576</xdr:colOff>
      <xdr:row>62</xdr:row>
      <xdr:rowOff>95250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18570F5D-39CD-486D-817E-14B3316BC3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22</xdr:row>
      <xdr:rowOff>0</xdr:rowOff>
    </xdr:from>
    <xdr:to>
      <xdr:col>9</xdr:col>
      <xdr:colOff>247650</xdr:colOff>
      <xdr:row>32</xdr:row>
      <xdr:rowOff>19050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34</xdr:row>
      <xdr:rowOff>0</xdr:rowOff>
    </xdr:from>
    <xdr:to>
      <xdr:col>9</xdr:col>
      <xdr:colOff>247650</xdr:colOff>
      <xdr:row>44</xdr:row>
      <xdr:rowOff>28575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4</xdr:row>
      <xdr:rowOff>0</xdr:rowOff>
    </xdr:from>
    <xdr:to>
      <xdr:col>20</xdr:col>
      <xdr:colOff>733425</xdr:colOff>
      <xdr:row>26</xdr:row>
      <xdr:rowOff>30480</xdr:rowOff>
    </xdr:to>
    <xdr:pic>
      <xdr:nvPicPr>
        <xdr:cNvPr id="2" name="6 Imagen">
          <a:extLst>
            <a:ext uri="{FF2B5EF4-FFF2-40B4-BE49-F238E27FC236}">
              <a16:creationId xmlns:a16="http://schemas.microsoft.com/office/drawing/2014/main" id="{3B709548-1434-4CB1-BF45-2B48D356BF5C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68000" y="762000"/>
          <a:ext cx="5305425" cy="422148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8</xdr:col>
      <xdr:colOff>335771</xdr:colOff>
      <xdr:row>49</xdr:row>
      <xdr:rowOff>87189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6AE4C8A9-60FF-493D-B78B-C5D00F1DEB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5715000"/>
          <a:ext cx="5669771" cy="3706689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33</xdr:row>
      <xdr:rowOff>0</xdr:rowOff>
    </xdr:from>
    <xdr:to>
      <xdr:col>19</xdr:col>
      <xdr:colOff>506408</xdr:colOff>
      <xdr:row>54</xdr:row>
      <xdr:rowOff>29305</xdr:rowOff>
    </xdr:to>
    <xdr:pic>
      <xdr:nvPicPr>
        <xdr:cNvPr id="4" name="7 Imagen">
          <a:extLst>
            <a:ext uri="{FF2B5EF4-FFF2-40B4-BE49-F238E27FC236}">
              <a16:creationId xmlns:a16="http://schemas.microsoft.com/office/drawing/2014/main" id="{4185BF8C-B284-4867-92A0-487B74CA9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06000" y="6286500"/>
          <a:ext cx="5078408" cy="40298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9</xdr:col>
      <xdr:colOff>94476</xdr:colOff>
      <xdr:row>28</xdr:row>
      <xdr:rowOff>18452</xdr:rowOff>
    </xdr:to>
    <xdr:pic>
      <xdr:nvPicPr>
        <xdr:cNvPr id="5" name="8 Imagen">
          <a:extLst>
            <a:ext uri="{FF2B5EF4-FFF2-40B4-BE49-F238E27FC236}">
              <a16:creationId xmlns:a16="http://schemas.microsoft.com/office/drawing/2014/main" id="{4B27DEB9-77B0-429F-8848-625A72ECF1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2000" y="571500"/>
          <a:ext cx="6190476" cy="478095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ibros/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Prime"/>
    </sheetNames>
    <definedNames>
      <definedName name="DAGOSTINO"/>
      <definedName name="DESIGN"/>
      <definedName name="DPTEST"/>
      <definedName name="LEVERAGE"/>
      <definedName name="RegCoeff"/>
      <definedName name="SHAPIRO"/>
      <definedName name="SWTEST"/>
      <definedName name="VIF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S109"/>
  <sheetViews>
    <sheetView workbookViewId="0">
      <selection activeCell="I28" sqref="I28"/>
    </sheetView>
  </sheetViews>
  <sheetFormatPr baseColWidth="10" defaultColWidth="9.5703125" defaultRowHeight="15" x14ac:dyDescent="0.25"/>
  <cols>
    <col min="1" max="3" width="10" customWidth="1"/>
    <col min="4" max="5" width="7.5703125" bestFit="1" customWidth="1"/>
    <col min="6" max="6" width="8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37</v>
      </c>
      <c r="E1" s="1" t="s">
        <v>38</v>
      </c>
      <c r="F1" s="1" t="s">
        <v>39</v>
      </c>
    </row>
    <row r="2" spans="1:12" x14ac:dyDescent="0.25">
      <c r="A2">
        <v>73.2</v>
      </c>
      <c r="B2">
        <v>5.69</v>
      </c>
      <c r="C2">
        <v>1.3</v>
      </c>
      <c r="D2">
        <f>+LN(A2)</f>
        <v>4.2931954209672663</v>
      </c>
      <c r="E2">
        <f>+LN(B2)</f>
        <v>1.7387102481382397</v>
      </c>
      <c r="F2">
        <f>+LN(C2)</f>
        <v>0.26236426446749106</v>
      </c>
      <c r="I2" s="2" t="s">
        <v>3</v>
      </c>
    </row>
    <row r="3" spans="1:12" x14ac:dyDescent="0.25">
      <c r="A3">
        <v>71.8</v>
      </c>
      <c r="B3">
        <v>6.49</v>
      </c>
      <c r="C3">
        <v>2.9</v>
      </c>
      <c r="D3">
        <f t="shared" ref="D3:D66" si="0">+LN(A3)</f>
        <v>4.2738844760541781</v>
      </c>
      <c r="E3">
        <f t="shared" ref="E3:E66" si="1">+LN(B3)</f>
        <v>1.8702625307159986</v>
      </c>
      <c r="F3">
        <f t="shared" ref="F3:F66" si="2">+LN(C3)</f>
        <v>1.0647107369924282</v>
      </c>
      <c r="I3" t="s">
        <v>4</v>
      </c>
      <c r="J3" t="s">
        <v>5</v>
      </c>
    </row>
    <row r="4" spans="1:12" x14ac:dyDescent="0.25">
      <c r="A4">
        <v>62.4</v>
      </c>
      <c r="B4">
        <v>5.63</v>
      </c>
      <c r="C4">
        <v>0.8</v>
      </c>
      <c r="D4">
        <f t="shared" si="0"/>
        <v>4.133565275375382</v>
      </c>
      <c r="E4">
        <f t="shared" si="1"/>
        <v>1.728109442151599</v>
      </c>
      <c r="F4">
        <f t="shared" si="2"/>
        <v>-0.22314355131420971</v>
      </c>
      <c r="I4" t="s">
        <v>6</v>
      </c>
      <c r="J4" t="s">
        <v>7</v>
      </c>
    </row>
    <row r="5" spans="1:12" x14ac:dyDescent="0.25">
      <c r="A5">
        <v>67.400000000000006</v>
      </c>
      <c r="B5">
        <v>6.22</v>
      </c>
      <c r="C5">
        <v>0.7</v>
      </c>
      <c r="D5">
        <f t="shared" si="0"/>
        <v>4.2106450179182611</v>
      </c>
      <c r="E5">
        <f t="shared" si="1"/>
        <v>1.827769906751088</v>
      </c>
      <c r="F5">
        <f t="shared" si="2"/>
        <v>-0.35667494393873245</v>
      </c>
      <c r="I5" t="s">
        <v>2</v>
      </c>
      <c r="J5" t="s">
        <v>8</v>
      </c>
    </row>
    <row r="6" spans="1:12" x14ac:dyDescent="0.25">
      <c r="A6">
        <v>89.3</v>
      </c>
      <c r="B6">
        <v>5.0199999999999996</v>
      </c>
      <c r="C6">
        <v>1.5</v>
      </c>
      <c r="D6">
        <f t="shared" si="0"/>
        <v>4.4920014878824537</v>
      </c>
      <c r="E6">
        <f t="shared" si="1"/>
        <v>1.6134299337036377</v>
      </c>
      <c r="F6">
        <f t="shared" si="2"/>
        <v>0.40546510810816438</v>
      </c>
    </row>
    <row r="7" spans="1:12" x14ac:dyDescent="0.25">
      <c r="A7">
        <v>70.3</v>
      </c>
      <c r="B7">
        <v>6.41</v>
      </c>
      <c r="C7">
        <v>1.3</v>
      </c>
      <c r="D7">
        <f t="shared" si="0"/>
        <v>4.2527717988166192</v>
      </c>
      <c r="E7">
        <f t="shared" si="1"/>
        <v>1.8578592709325787</v>
      </c>
      <c r="F7">
        <f t="shared" si="2"/>
        <v>0.26236426446749106</v>
      </c>
    </row>
    <row r="8" spans="1:12" x14ac:dyDescent="0.25">
      <c r="A8">
        <v>73.2</v>
      </c>
      <c r="B8">
        <v>5.85</v>
      </c>
      <c r="C8">
        <v>1.8</v>
      </c>
      <c r="D8">
        <f t="shared" si="0"/>
        <v>4.2931954209672663</v>
      </c>
      <c r="E8">
        <f t="shared" si="1"/>
        <v>1.766441661243765</v>
      </c>
      <c r="F8">
        <f t="shared" si="2"/>
        <v>0.58778666490211906</v>
      </c>
    </row>
    <row r="9" spans="1:12" x14ac:dyDescent="0.25">
      <c r="A9">
        <v>86.1</v>
      </c>
      <c r="B9">
        <v>5.41</v>
      </c>
      <c r="C9">
        <v>2.4</v>
      </c>
      <c r="D9">
        <f t="shared" si="0"/>
        <v>4.4555094114336846</v>
      </c>
      <c r="E9">
        <f t="shared" si="1"/>
        <v>1.6882490928583902</v>
      </c>
      <c r="F9">
        <f t="shared" si="2"/>
        <v>0.87546873735389985</v>
      </c>
    </row>
    <row r="10" spans="1:12" x14ac:dyDescent="0.25">
      <c r="A10">
        <v>81</v>
      </c>
      <c r="B10">
        <v>6.24</v>
      </c>
      <c r="C10">
        <v>0.7</v>
      </c>
      <c r="D10">
        <f t="shared" si="0"/>
        <v>4.3944491546724391</v>
      </c>
      <c r="E10">
        <f t="shared" si="1"/>
        <v>1.8309801823813363</v>
      </c>
      <c r="F10">
        <f t="shared" si="2"/>
        <v>-0.35667494393873245</v>
      </c>
      <c r="K10" t="s">
        <v>59</v>
      </c>
    </row>
    <row r="11" spans="1:12" ht="15.75" thickBot="1" x14ac:dyDescent="0.3">
      <c r="A11">
        <v>76.400000000000006</v>
      </c>
      <c r="B11">
        <v>6.2</v>
      </c>
      <c r="C11">
        <v>3</v>
      </c>
      <c r="D11">
        <f t="shared" si="0"/>
        <v>4.3359826961724748</v>
      </c>
      <c r="E11">
        <f t="shared" si="1"/>
        <v>1.824549292051046</v>
      </c>
      <c r="F11">
        <f t="shared" si="2"/>
        <v>1.0986122886681098</v>
      </c>
    </row>
    <row r="12" spans="1:12" x14ac:dyDescent="0.25">
      <c r="A12">
        <v>76.599999999999994</v>
      </c>
      <c r="B12">
        <v>5.48</v>
      </c>
      <c r="C12">
        <v>2.8</v>
      </c>
      <c r="D12">
        <f t="shared" si="0"/>
        <v>4.3385970767465452</v>
      </c>
      <c r="E12">
        <f t="shared" si="1"/>
        <v>1.7011051009599243</v>
      </c>
      <c r="F12">
        <f t="shared" si="2"/>
        <v>1.0296194171811581</v>
      </c>
      <c r="K12" s="15" t="s">
        <v>60</v>
      </c>
      <c r="L12" s="15"/>
    </row>
    <row r="13" spans="1:12" x14ac:dyDescent="0.25">
      <c r="A13">
        <v>82.2</v>
      </c>
      <c r="B13">
        <v>6.14</v>
      </c>
      <c r="C13">
        <v>2.7</v>
      </c>
      <c r="D13">
        <f t="shared" si="0"/>
        <v>4.4091553020621346</v>
      </c>
      <c r="E13">
        <f t="shared" si="1"/>
        <v>1.8148247421590511</v>
      </c>
      <c r="F13">
        <f t="shared" si="2"/>
        <v>0.99325177301028345</v>
      </c>
      <c r="K13" s="12" t="s">
        <v>61</v>
      </c>
      <c r="L13" s="12">
        <v>0.68491275789553629</v>
      </c>
    </row>
    <row r="14" spans="1:12" x14ac:dyDescent="0.25">
      <c r="A14">
        <v>82.1</v>
      </c>
      <c r="B14">
        <v>5.37</v>
      </c>
      <c r="C14">
        <v>2.8</v>
      </c>
      <c r="D14">
        <f t="shared" si="0"/>
        <v>4.4079380164583828</v>
      </c>
      <c r="E14">
        <f t="shared" si="1"/>
        <v>1.6808279085207734</v>
      </c>
      <c r="F14">
        <f t="shared" si="2"/>
        <v>1.0296194171811581</v>
      </c>
      <c r="K14" s="12" t="s">
        <v>62</v>
      </c>
      <c r="L14" s="12">
        <v>0.46910548592806944</v>
      </c>
    </row>
    <row r="15" spans="1:12" x14ac:dyDescent="0.25">
      <c r="A15">
        <v>68.599999999999994</v>
      </c>
      <c r="B15">
        <v>6.45</v>
      </c>
      <c r="C15">
        <v>2.8</v>
      </c>
      <c r="D15">
        <f t="shared" si="0"/>
        <v>4.2282925347318399</v>
      </c>
      <c r="E15">
        <f t="shared" si="1"/>
        <v>1.8640801308076811</v>
      </c>
      <c r="F15">
        <f t="shared" si="2"/>
        <v>1.0296194171811581</v>
      </c>
      <c r="K15" s="12" t="s">
        <v>63</v>
      </c>
      <c r="L15" s="12">
        <v>0.45435841609273808</v>
      </c>
    </row>
    <row r="16" spans="1:12" x14ac:dyDescent="0.25">
      <c r="A16">
        <v>76.5</v>
      </c>
      <c r="B16">
        <v>5.35</v>
      </c>
      <c r="C16">
        <v>2.2999999999999998</v>
      </c>
      <c r="D16">
        <f t="shared" si="0"/>
        <v>4.3372907408324899</v>
      </c>
      <c r="E16">
        <f t="shared" si="1"/>
        <v>1.6770965609079151</v>
      </c>
      <c r="F16">
        <f t="shared" si="2"/>
        <v>0.83290912293510388</v>
      </c>
      <c r="K16" s="12" t="s">
        <v>64</v>
      </c>
      <c r="L16" s="12">
        <v>6.2373734860252925E-2</v>
      </c>
    </row>
    <row r="17" spans="1:19" ht="15.75" thickBot="1" x14ac:dyDescent="0.3">
      <c r="A17">
        <v>80.3</v>
      </c>
      <c r="B17">
        <v>5.22</v>
      </c>
      <c r="C17">
        <v>1.7</v>
      </c>
      <c r="D17">
        <f t="shared" si="0"/>
        <v>4.3857696209527157</v>
      </c>
      <c r="E17">
        <f t="shared" si="1"/>
        <v>1.6524974018945473</v>
      </c>
      <c r="F17">
        <f t="shared" si="2"/>
        <v>0.53062825106217038</v>
      </c>
      <c r="K17" s="13" t="s">
        <v>65</v>
      </c>
      <c r="L17" s="13">
        <v>75</v>
      </c>
    </row>
    <row r="18" spans="1:19" x14ac:dyDescent="0.25">
      <c r="A18">
        <v>70.7</v>
      </c>
      <c r="B18">
        <v>5.89</v>
      </c>
      <c r="C18">
        <v>1.5</v>
      </c>
      <c r="D18">
        <f t="shared" si="0"/>
        <v>4.2584455729025272</v>
      </c>
      <c r="E18">
        <f t="shared" si="1"/>
        <v>1.7732559976634952</v>
      </c>
      <c r="F18">
        <f t="shared" si="2"/>
        <v>0.40546510810816438</v>
      </c>
    </row>
    <row r="19" spans="1:19" ht="15.75" thickBot="1" x14ac:dyDescent="0.3">
      <c r="A19">
        <v>75</v>
      </c>
      <c r="B19">
        <v>5.21</v>
      </c>
      <c r="C19">
        <v>0.8</v>
      </c>
      <c r="D19">
        <f t="shared" si="0"/>
        <v>4.3174881135363101</v>
      </c>
      <c r="E19">
        <f t="shared" si="1"/>
        <v>1.6505798557652755</v>
      </c>
      <c r="F19">
        <f t="shared" si="2"/>
        <v>-0.22314355131420971</v>
      </c>
      <c r="K19" t="s">
        <v>66</v>
      </c>
    </row>
    <row r="20" spans="1:19" x14ac:dyDescent="0.25">
      <c r="A20">
        <v>73.7</v>
      </c>
      <c r="B20">
        <v>6</v>
      </c>
      <c r="C20">
        <v>2.9</v>
      </c>
      <c r="D20">
        <f t="shared" si="0"/>
        <v>4.3000027991952914</v>
      </c>
      <c r="E20">
        <f t="shared" si="1"/>
        <v>1.791759469228055</v>
      </c>
      <c r="F20">
        <f t="shared" si="2"/>
        <v>1.0647107369924282</v>
      </c>
      <c r="K20" s="14"/>
      <c r="L20" s="14" t="s">
        <v>70</v>
      </c>
      <c r="M20" s="14" t="s">
        <v>71</v>
      </c>
      <c r="N20" s="14" t="s">
        <v>72</v>
      </c>
      <c r="O20" s="14" t="s">
        <v>24</v>
      </c>
      <c r="P20" s="14" t="s">
        <v>73</v>
      </c>
    </row>
    <row r="21" spans="1:19" x14ac:dyDescent="0.25">
      <c r="A21">
        <v>71.2</v>
      </c>
      <c r="B21">
        <v>6.37</v>
      </c>
      <c r="C21">
        <v>0.5</v>
      </c>
      <c r="D21">
        <f t="shared" si="0"/>
        <v>4.2654928184179299</v>
      </c>
      <c r="E21">
        <f t="shared" si="1"/>
        <v>1.8515994695840721</v>
      </c>
      <c r="F21">
        <f t="shared" si="2"/>
        <v>-0.69314718055994529</v>
      </c>
      <c r="K21" s="12" t="s">
        <v>67</v>
      </c>
      <c r="L21" s="12">
        <v>2</v>
      </c>
      <c r="M21" s="12">
        <v>0.24751314599622781</v>
      </c>
      <c r="N21" s="12">
        <v>0.12375657299811391</v>
      </c>
      <c r="O21" s="12">
        <v>31.810080996848242</v>
      </c>
      <c r="P21" s="12">
        <v>1.2597853540278048E-10</v>
      </c>
    </row>
    <row r="22" spans="1:19" x14ac:dyDescent="0.25">
      <c r="A22">
        <v>84.7</v>
      </c>
      <c r="B22">
        <v>5.33</v>
      </c>
      <c r="C22">
        <v>2.1</v>
      </c>
      <c r="D22">
        <f t="shared" si="0"/>
        <v>4.4391156016580089</v>
      </c>
      <c r="E22">
        <f t="shared" si="1"/>
        <v>1.6733512381777531</v>
      </c>
      <c r="F22">
        <f t="shared" si="2"/>
        <v>0.74193734472937733</v>
      </c>
      <c r="K22" s="12" t="s">
        <v>68</v>
      </c>
      <c r="L22" s="12">
        <v>72</v>
      </c>
      <c r="M22" s="12">
        <v>0.2801147616300334</v>
      </c>
      <c r="N22" s="12">
        <v>3.8904828004171308E-3</v>
      </c>
      <c r="O22" s="12"/>
      <c r="P22" s="12"/>
    </row>
    <row r="23" spans="1:19" ht="15.75" thickBot="1" x14ac:dyDescent="0.3">
      <c r="A23">
        <v>73.599999999999994</v>
      </c>
      <c r="B23">
        <v>5.23</v>
      </c>
      <c r="C23">
        <v>0.8</v>
      </c>
      <c r="D23">
        <f t="shared" si="0"/>
        <v>4.2986450257348308</v>
      </c>
      <c r="E23">
        <f t="shared" si="1"/>
        <v>1.6544112780768316</v>
      </c>
      <c r="F23">
        <f t="shared" si="2"/>
        <v>-0.22314355131420971</v>
      </c>
      <c r="K23" s="13" t="s">
        <v>29</v>
      </c>
      <c r="L23" s="13">
        <v>74</v>
      </c>
      <c r="M23" s="13">
        <v>0.52762790762626122</v>
      </c>
      <c r="N23" s="13"/>
      <c r="O23" s="13"/>
      <c r="P23" s="13"/>
    </row>
    <row r="24" spans="1:19" ht="15.75" thickBot="1" x14ac:dyDescent="0.3">
      <c r="A24">
        <v>73.7</v>
      </c>
      <c r="B24">
        <v>5.88</v>
      </c>
      <c r="C24">
        <v>1.1000000000000001</v>
      </c>
      <c r="D24">
        <f t="shared" si="0"/>
        <v>4.3000027991952914</v>
      </c>
      <c r="E24">
        <f t="shared" si="1"/>
        <v>1.7715567619105355</v>
      </c>
      <c r="F24">
        <f t="shared" si="2"/>
        <v>9.5310179804324935E-2</v>
      </c>
    </row>
    <row r="25" spans="1:19" x14ac:dyDescent="0.25">
      <c r="A25">
        <v>78.099999999999994</v>
      </c>
      <c r="B25">
        <v>6.24</v>
      </c>
      <c r="C25">
        <v>1.9</v>
      </c>
      <c r="D25">
        <f t="shared" si="0"/>
        <v>4.3579900568456402</v>
      </c>
      <c r="E25">
        <f t="shared" si="1"/>
        <v>1.8309801823813363</v>
      </c>
      <c r="F25">
        <f t="shared" si="2"/>
        <v>0.64185388617239469</v>
      </c>
      <c r="K25" s="14"/>
      <c r="L25" s="14" t="s">
        <v>74</v>
      </c>
      <c r="M25" s="14" t="s">
        <v>64</v>
      </c>
      <c r="N25" s="14" t="s">
        <v>75</v>
      </c>
      <c r="O25" s="14" t="s">
        <v>76</v>
      </c>
      <c r="P25" s="14" t="s">
        <v>77</v>
      </c>
      <c r="Q25" s="14" t="s">
        <v>78</v>
      </c>
      <c r="R25" s="14" t="s">
        <v>79</v>
      </c>
      <c r="S25" s="14" t="s">
        <v>80</v>
      </c>
    </row>
    <row r="26" spans="1:19" x14ac:dyDescent="0.25">
      <c r="A26">
        <v>75.7</v>
      </c>
      <c r="B26">
        <v>5.59</v>
      </c>
      <c r="C26">
        <v>2.1</v>
      </c>
      <c r="D26">
        <f t="shared" si="0"/>
        <v>4.3267781604434035</v>
      </c>
      <c r="E26">
        <f t="shared" si="1"/>
        <v>1.7209792871670078</v>
      </c>
      <c r="F26">
        <f t="shared" si="2"/>
        <v>0.74193734472937733</v>
      </c>
      <c r="K26" s="12" t="s">
        <v>69</v>
      </c>
      <c r="L26" s="12">
        <v>5.31994869317161</v>
      </c>
      <c r="M26" s="12">
        <v>0.13795125432747368</v>
      </c>
      <c r="N26" s="12">
        <v>38.563974783026786</v>
      </c>
      <c r="O26" s="12">
        <v>7.9698791043710525E-50</v>
      </c>
      <c r="P26" s="12">
        <v>5.0449478936944852</v>
      </c>
      <c r="Q26" s="12">
        <v>5.5949494926487349</v>
      </c>
      <c r="R26" s="12">
        <v>5.0449478936944852</v>
      </c>
      <c r="S26" s="12">
        <v>5.5949494926487349</v>
      </c>
    </row>
    <row r="27" spans="1:19" x14ac:dyDescent="0.25">
      <c r="A27">
        <v>74.400000000000006</v>
      </c>
      <c r="B27">
        <v>6.22</v>
      </c>
      <c r="C27">
        <v>1.3</v>
      </c>
      <c r="D27">
        <f t="shared" si="0"/>
        <v>4.3094559418390466</v>
      </c>
      <c r="E27">
        <f t="shared" si="1"/>
        <v>1.827769906751088</v>
      </c>
      <c r="F27">
        <f t="shared" si="2"/>
        <v>0.26236426446749106</v>
      </c>
      <c r="K27" s="12" t="s">
        <v>38</v>
      </c>
      <c r="L27" s="12">
        <v>-0.57493603123925319</v>
      </c>
      <c r="M27" s="12">
        <v>7.9346133431750732E-2</v>
      </c>
      <c r="N27" s="12">
        <v>-7.2459237315424092</v>
      </c>
      <c r="O27" s="12">
        <v>3.8814388095591399E-10</v>
      </c>
      <c r="P27" s="12">
        <v>-0.73310965739093981</v>
      </c>
      <c r="Q27" s="12">
        <v>-0.41676240508756657</v>
      </c>
      <c r="R27" s="12">
        <v>-0.73310965739093981</v>
      </c>
      <c r="S27" s="12">
        <v>-0.41676240508756657</v>
      </c>
    </row>
    <row r="28" spans="1:19" ht="15.75" thickBot="1" x14ac:dyDescent="0.3">
      <c r="A28">
        <v>68.7</v>
      </c>
      <c r="B28">
        <v>6.41</v>
      </c>
      <c r="C28">
        <v>1.1000000000000001</v>
      </c>
      <c r="D28">
        <f t="shared" si="0"/>
        <v>4.2297491992283041</v>
      </c>
      <c r="E28">
        <f t="shared" si="1"/>
        <v>1.8578592709325787</v>
      </c>
      <c r="F28">
        <f t="shared" si="2"/>
        <v>9.5310179804324935E-2</v>
      </c>
      <c r="K28" s="13" t="s">
        <v>39</v>
      </c>
      <c r="L28" s="13">
        <v>4.5440360500937201E-2</v>
      </c>
      <c r="M28" s="13">
        <v>1.3658267501406588E-2</v>
      </c>
      <c r="N28" s="13">
        <v>3.3269490802005124</v>
      </c>
      <c r="O28" s="13">
        <v>1.3850167622906845E-3</v>
      </c>
      <c r="P28" s="13">
        <v>1.8213101853161291E-2</v>
      </c>
      <c r="Q28" s="13">
        <v>7.2667619148713114E-2</v>
      </c>
      <c r="R28" s="13">
        <v>1.8213101853161291E-2</v>
      </c>
      <c r="S28" s="13">
        <v>7.2667619148713114E-2</v>
      </c>
    </row>
    <row r="29" spans="1:19" x14ac:dyDescent="0.25">
      <c r="A29">
        <v>83.9</v>
      </c>
      <c r="B29">
        <v>4.96</v>
      </c>
      <c r="C29">
        <v>1.1000000000000001</v>
      </c>
      <c r="D29">
        <f t="shared" si="0"/>
        <v>4.4296256134731609</v>
      </c>
      <c r="E29">
        <f t="shared" si="1"/>
        <v>1.6014057407368361</v>
      </c>
      <c r="F29">
        <f t="shared" si="2"/>
        <v>9.5310179804324935E-2</v>
      </c>
    </row>
    <row r="30" spans="1:19" x14ac:dyDescent="0.25">
      <c r="A30">
        <v>86.1</v>
      </c>
      <c r="B30">
        <v>4.83</v>
      </c>
      <c r="C30">
        <v>2.9</v>
      </c>
      <c r="D30">
        <f t="shared" si="0"/>
        <v>4.4555094114336846</v>
      </c>
      <c r="E30">
        <f t="shared" si="1"/>
        <v>1.5748464676644813</v>
      </c>
      <c r="F30">
        <f t="shared" si="2"/>
        <v>1.0647107369924282</v>
      </c>
    </row>
    <row r="31" spans="1:19" x14ac:dyDescent="0.25">
      <c r="A31">
        <v>73.7</v>
      </c>
      <c r="B31">
        <v>6.35</v>
      </c>
      <c r="C31">
        <v>1.4</v>
      </c>
      <c r="D31">
        <f t="shared" si="0"/>
        <v>4.3000027991952914</v>
      </c>
      <c r="E31">
        <f t="shared" si="1"/>
        <v>1.8484548129046001</v>
      </c>
      <c r="F31">
        <f t="shared" si="2"/>
        <v>0.33647223662121289</v>
      </c>
    </row>
    <row r="32" spans="1:19" x14ac:dyDescent="0.25">
      <c r="A32">
        <v>75.7</v>
      </c>
      <c r="B32">
        <v>6.47</v>
      </c>
      <c r="C32">
        <v>2.5</v>
      </c>
      <c r="D32">
        <f t="shared" si="0"/>
        <v>4.3267781604434035</v>
      </c>
      <c r="E32">
        <f t="shared" si="1"/>
        <v>1.8671761085128091</v>
      </c>
      <c r="F32">
        <f t="shared" si="2"/>
        <v>0.91629073187415511</v>
      </c>
      <c r="K32" t="s">
        <v>81</v>
      </c>
    </row>
    <row r="33" spans="1:13" ht="15.75" thickBot="1" x14ac:dyDescent="0.3">
      <c r="A33">
        <v>78.8</v>
      </c>
      <c r="B33">
        <v>5.69</v>
      </c>
      <c r="C33">
        <v>3</v>
      </c>
      <c r="D33">
        <f t="shared" si="0"/>
        <v>4.3669129968638334</v>
      </c>
      <c r="E33">
        <f t="shared" si="1"/>
        <v>1.7387102481382397</v>
      </c>
      <c r="F33">
        <f t="shared" si="2"/>
        <v>1.0986122886681098</v>
      </c>
    </row>
    <row r="34" spans="1:13" x14ac:dyDescent="0.25">
      <c r="A34">
        <v>73.7</v>
      </c>
      <c r="B34">
        <v>5.56</v>
      </c>
      <c r="C34">
        <v>1</v>
      </c>
      <c r="D34">
        <f t="shared" si="0"/>
        <v>4.3000027991952914</v>
      </c>
      <c r="E34">
        <f t="shared" si="1"/>
        <v>1.7155981082624909</v>
      </c>
      <c r="F34">
        <f t="shared" si="2"/>
        <v>0</v>
      </c>
      <c r="K34" s="14" t="s">
        <v>82</v>
      </c>
      <c r="L34" s="14" t="s">
        <v>85</v>
      </c>
      <c r="M34" s="14" t="s">
        <v>68</v>
      </c>
    </row>
    <row r="35" spans="1:13" x14ac:dyDescent="0.25">
      <c r="A35">
        <v>80.2</v>
      </c>
      <c r="B35">
        <v>6.41</v>
      </c>
      <c r="C35">
        <v>3.1</v>
      </c>
      <c r="D35">
        <f t="shared" si="0"/>
        <v>4.3845235148724688</v>
      </c>
      <c r="E35">
        <f t="shared" si="1"/>
        <v>1.8578592709325787</v>
      </c>
      <c r="F35">
        <f t="shared" si="2"/>
        <v>1.1314021114911006</v>
      </c>
      <c r="K35" s="12">
        <v>1</v>
      </c>
      <c r="L35" s="12">
        <v>4.3322234503919592</v>
      </c>
      <c r="M35" s="12">
        <v>-3.9028029424692967E-2</v>
      </c>
    </row>
    <row r="36" spans="1:13" x14ac:dyDescent="0.25">
      <c r="A36">
        <v>69.900000000000006</v>
      </c>
      <c r="B36">
        <v>5.54</v>
      </c>
      <c r="C36">
        <v>0.5</v>
      </c>
      <c r="D36">
        <f t="shared" si="0"/>
        <v>4.2470656492397643</v>
      </c>
      <c r="E36">
        <f t="shared" si="1"/>
        <v>1.7119945007591924</v>
      </c>
      <c r="F36">
        <f t="shared" si="2"/>
        <v>-0.69314718055994529</v>
      </c>
      <c r="K36" s="12">
        <v>2</v>
      </c>
      <c r="L36" s="12">
        <v>4.2930482161044266</v>
      </c>
      <c r="M36" s="12">
        <v>-1.9163740050248457E-2</v>
      </c>
    </row>
    <row r="37" spans="1:13" x14ac:dyDescent="0.25">
      <c r="A37">
        <v>69.099999999999994</v>
      </c>
      <c r="B37">
        <v>6.47</v>
      </c>
      <c r="C37">
        <v>2.7</v>
      </c>
      <c r="D37">
        <f t="shared" si="0"/>
        <v>4.2355547307736243</v>
      </c>
      <c r="E37">
        <f t="shared" si="1"/>
        <v>1.8671761085128091</v>
      </c>
      <c r="F37">
        <f t="shared" si="2"/>
        <v>0.99325177301028345</v>
      </c>
      <c r="K37" s="12">
        <v>3</v>
      </c>
      <c r="L37" s="12">
        <v>4.3162565855387127</v>
      </c>
      <c r="M37" s="12">
        <v>-0.18269131016333073</v>
      </c>
    </row>
    <row r="38" spans="1:13" x14ac:dyDescent="0.25">
      <c r="A38">
        <v>83.8</v>
      </c>
      <c r="B38">
        <v>4.9400000000000004</v>
      </c>
      <c r="C38">
        <v>0.9</v>
      </c>
      <c r="D38">
        <f t="shared" si="0"/>
        <v>4.4284330074880369</v>
      </c>
      <c r="E38">
        <f t="shared" si="1"/>
        <v>1.5973653311998313</v>
      </c>
      <c r="F38">
        <f t="shared" si="2"/>
        <v>-0.10536051565782628</v>
      </c>
      <c r="K38" s="12">
        <v>4</v>
      </c>
      <c r="L38" s="12">
        <v>4.2528904789313726</v>
      </c>
      <c r="M38" s="12">
        <v>-4.2245461013111552E-2</v>
      </c>
    </row>
    <row r="39" spans="1:13" x14ac:dyDescent="0.25">
      <c r="A39">
        <v>84.3</v>
      </c>
      <c r="B39">
        <v>6.16</v>
      </c>
      <c r="C39">
        <v>1.5</v>
      </c>
      <c r="D39">
        <f t="shared" si="0"/>
        <v>4.4343818650078095</v>
      </c>
      <c r="E39">
        <f t="shared" si="1"/>
        <v>1.8180767775454285</v>
      </c>
      <c r="F39">
        <f t="shared" si="2"/>
        <v>0.40546510810816438</v>
      </c>
      <c r="K39" s="12">
        <v>5</v>
      </c>
      <c r="L39" s="12">
        <v>4.4107541710884153</v>
      </c>
      <c r="M39" s="12">
        <v>8.1247316794038404E-2</v>
      </c>
    </row>
    <row r="40" spans="1:13" x14ac:dyDescent="0.25">
      <c r="A40">
        <v>66</v>
      </c>
      <c r="B40">
        <v>5.93</v>
      </c>
      <c r="C40">
        <v>2.8</v>
      </c>
      <c r="D40">
        <f t="shared" si="0"/>
        <v>4.1896547420264252</v>
      </c>
      <c r="E40">
        <f t="shared" si="1"/>
        <v>1.780024213009634</v>
      </c>
      <c r="F40">
        <f t="shared" si="2"/>
        <v>1.0296194171811581</v>
      </c>
      <c r="K40" s="12">
        <v>6</v>
      </c>
      <c r="L40" s="12">
        <v>4.2637203841005462</v>
      </c>
      <c r="M40" s="12">
        <v>-1.0948585283927059E-2</v>
      </c>
    </row>
    <row r="41" spans="1:13" x14ac:dyDescent="0.25">
      <c r="A41">
        <v>84.3</v>
      </c>
      <c r="B41">
        <v>5.2</v>
      </c>
      <c r="C41">
        <v>2.2999999999999998</v>
      </c>
      <c r="D41">
        <f t="shared" si="0"/>
        <v>4.4343818650078095</v>
      </c>
      <c r="E41">
        <f t="shared" si="1"/>
        <v>1.6486586255873816</v>
      </c>
      <c r="F41">
        <f t="shared" si="2"/>
        <v>0.83290912293510388</v>
      </c>
      <c r="K41" s="12">
        <v>7</v>
      </c>
      <c r="L41" s="12">
        <v>4.331066972991243</v>
      </c>
      <c r="M41" s="12">
        <v>-3.787155202397674E-2</v>
      </c>
    </row>
    <row r="42" spans="1:13" x14ac:dyDescent="0.25">
      <c r="A42">
        <v>79.5</v>
      </c>
      <c r="B42">
        <v>5.62</v>
      </c>
      <c r="C42">
        <v>1.2</v>
      </c>
      <c r="D42">
        <f t="shared" si="0"/>
        <v>4.3757570216602861</v>
      </c>
      <c r="E42">
        <f t="shared" si="1"/>
        <v>1.7263316639055997</v>
      </c>
      <c r="F42">
        <f t="shared" si="2"/>
        <v>0.18232155679395459</v>
      </c>
      <c r="K42" s="12">
        <v>8</v>
      </c>
      <c r="L42" s="12">
        <v>4.3890950750129996</v>
      </c>
      <c r="M42" s="12">
        <v>6.6414336420685061E-2</v>
      </c>
    </row>
    <row r="43" spans="1:13" x14ac:dyDescent="0.25">
      <c r="A43">
        <v>80.2</v>
      </c>
      <c r="B43">
        <v>5.28</v>
      </c>
      <c r="C43">
        <v>3.1</v>
      </c>
      <c r="D43">
        <f t="shared" si="0"/>
        <v>4.3845235148724688</v>
      </c>
      <c r="E43">
        <f t="shared" si="1"/>
        <v>1.6639260977181702</v>
      </c>
      <c r="F43">
        <f t="shared" si="2"/>
        <v>1.1314021114911006</v>
      </c>
      <c r="K43" s="12">
        <v>9</v>
      </c>
      <c r="L43" s="12">
        <v>4.2510447758013337</v>
      </c>
      <c r="M43" s="12">
        <v>0.14340437887110546</v>
      </c>
    </row>
    <row r="44" spans="1:13" x14ac:dyDescent="0.25">
      <c r="A44">
        <v>67.599999999999994</v>
      </c>
      <c r="B44">
        <v>5.46</v>
      </c>
      <c r="C44">
        <v>1</v>
      </c>
      <c r="D44">
        <f t="shared" si="0"/>
        <v>4.2136079830489184</v>
      </c>
      <c r="E44">
        <f t="shared" si="1"/>
        <v>1.6974487897568136</v>
      </c>
      <c r="F44">
        <f t="shared" si="2"/>
        <v>0</v>
      </c>
      <c r="K44" s="12">
        <v>10</v>
      </c>
      <c r="L44" s="12">
        <v>4.3208709028472319</v>
      </c>
      <c r="M44" s="12">
        <v>1.5111793325242928E-2</v>
      </c>
    </row>
    <row r="45" spans="1:13" x14ac:dyDescent="0.25">
      <c r="A45">
        <v>86.5</v>
      </c>
      <c r="B45">
        <v>5.1100000000000003</v>
      </c>
      <c r="C45">
        <v>2.5</v>
      </c>
      <c r="D45">
        <f t="shared" si="0"/>
        <v>4.4601444139378339</v>
      </c>
      <c r="E45">
        <f t="shared" si="1"/>
        <v>1.631199404215613</v>
      </c>
      <c r="F45">
        <f t="shared" si="2"/>
        <v>0.91629073187415511</v>
      </c>
      <c r="K45" s="12">
        <v>11</v>
      </c>
      <c r="L45" s="12">
        <v>4.3887083552003388</v>
      </c>
      <c r="M45" s="12">
        <v>-5.0111278453793595E-2</v>
      </c>
    </row>
    <row r="46" spans="1:13" x14ac:dyDescent="0.25">
      <c r="A46">
        <v>87.6</v>
      </c>
      <c r="B46">
        <v>5.04</v>
      </c>
      <c r="C46">
        <v>2.1</v>
      </c>
      <c r="D46">
        <f t="shared" si="0"/>
        <v>4.4727809979423458</v>
      </c>
      <c r="E46">
        <f t="shared" si="1"/>
        <v>1.6174060820832772</v>
      </c>
      <c r="F46">
        <f t="shared" si="2"/>
        <v>0.74193734472937733</v>
      </c>
      <c r="K46" s="12">
        <v>12</v>
      </c>
      <c r="L46" s="12">
        <v>4.3216742771536669</v>
      </c>
      <c r="M46" s="12">
        <v>8.7481024908467653E-2</v>
      </c>
    </row>
    <row r="47" spans="1:13" x14ac:dyDescent="0.25">
      <c r="A47">
        <v>84.2</v>
      </c>
      <c r="B47">
        <v>5.08</v>
      </c>
      <c r="C47">
        <v>2.8</v>
      </c>
      <c r="D47">
        <f t="shared" si="0"/>
        <v>4.4331949212482815</v>
      </c>
      <c r="E47">
        <f t="shared" si="1"/>
        <v>1.6253112615903906</v>
      </c>
      <c r="F47">
        <f t="shared" si="2"/>
        <v>1.0296194171811581</v>
      </c>
      <c r="K47" s="12">
        <v>13</v>
      </c>
      <c r="L47" s="12">
        <v>4.4003664437459786</v>
      </c>
      <c r="M47" s="12">
        <v>7.5715727124041621E-3</v>
      </c>
    </row>
    <row r="48" spans="1:13" x14ac:dyDescent="0.25">
      <c r="A48">
        <v>75.2</v>
      </c>
      <c r="B48">
        <v>5.86</v>
      </c>
      <c r="C48">
        <v>3.1</v>
      </c>
      <c r="D48">
        <f t="shared" si="0"/>
        <v>4.3201512309557941</v>
      </c>
      <c r="E48">
        <f t="shared" si="1"/>
        <v>1.7681496035889213</v>
      </c>
      <c r="F48">
        <f t="shared" si="2"/>
        <v>1.1314021114911006</v>
      </c>
      <c r="K48" s="12">
        <v>14</v>
      </c>
      <c r="L48" s="12">
        <v>4.2950081383485701</v>
      </c>
      <c r="M48" s="12">
        <v>-6.6715603616730235E-2</v>
      </c>
    </row>
    <row r="49" spans="1:13" x14ac:dyDescent="0.25">
      <c r="A49">
        <v>84.7</v>
      </c>
      <c r="B49">
        <v>4.8899999999999997</v>
      </c>
      <c r="C49">
        <v>3.1</v>
      </c>
      <c r="D49">
        <f t="shared" si="0"/>
        <v>4.4391156016580089</v>
      </c>
      <c r="E49">
        <f t="shared" si="1"/>
        <v>1.5871923034867805</v>
      </c>
      <c r="F49">
        <f t="shared" si="2"/>
        <v>1.1314021114911006</v>
      </c>
      <c r="K49" s="12">
        <v>15</v>
      </c>
      <c r="L49" s="12">
        <v>4.3935731432489034</v>
      </c>
      <c r="M49" s="12">
        <v>-5.6282402416413468E-2</v>
      </c>
    </row>
    <row r="50" spans="1:13" x14ac:dyDescent="0.25">
      <c r="A50">
        <v>73.7</v>
      </c>
      <c r="B50">
        <v>5.68</v>
      </c>
      <c r="C50">
        <v>0.9</v>
      </c>
      <c r="D50">
        <f t="shared" si="0"/>
        <v>4.3000027991952914</v>
      </c>
      <c r="E50">
        <f t="shared" si="1"/>
        <v>1.7369512327330598</v>
      </c>
      <c r="F50">
        <f t="shared" si="2"/>
        <v>-0.10536051565782628</v>
      </c>
      <c r="K50" s="12">
        <v>16</v>
      </c>
      <c r="L50" s="12">
        <v>4.3939803343134285</v>
      </c>
      <c r="M50" s="12">
        <v>-8.2107133607127736E-3</v>
      </c>
    </row>
    <row r="51" spans="1:13" x14ac:dyDescent="0.25">
      <c r="A51">
        <v>81.2</v>
      </c>
      <c r="B51">
        <v>5.83</v>
      </c>
      <c r="C51">
        <v>1.8</v>
      </c>
      <c r="D51">
        <f t="shared" si="0"/>
        <v>4.396915247167632</v>
      </c>
      <c r="E51">
        <f t="shared" si="1"/>
        <v>1.7630170003624011</v>
      </c>
      <c r="F51">
        <f t="shared" si="2"/>
        <v>0.58778666490211906</v>
      </c>
      <c r="K51" s="12">
        <v>17</v>
      </c>
      <c r="L51" s="12">
        <v>4.3188644081867444</v>
      </c>
      <c r="M51" s="12">
        <v>-6.0418835284217209E-2</v>
      </c>
    </row>
    <row r="52" spans="1:13" x14ac:dyDescent="0.25">
      <c r="A52">
        <v>69</v>
      </c>
      <c r="B52">
        <v>6.33</v>
      </c>
      <c r="C52">
        <v>3.1</v>
      </c>
      <c r="D52">
        <f t="shared" si="0"/>
        <v>4.2341065045972597</v>
      </c>
      <c r="E52">
        <f t="shared" si="1"/>
        <v>1.8453002361560848</v>
      </c>
      <c r="F52">
        <f t="shared" si="2"/>
        <v>1.1314021114911006</v>
      </c>
      <c r="K52" s="12">
        <v>18</v>
      </c>
      <c r="L52" s="12">
        <v>4.3608311382392859</v>
      </c>
      <c r="M52" s="12">
        <v>-4.3343024702975796E-2</v>
      </c>
    </row>
    <row r="53" spans="1:13" x14ac:dyDescent="0.25">
      <c r="A53">
        <v>69.7</v>
      </c>
      <c r="B53">
        <v>6.47</v>
      </c>
      <c r="C53">
        <v>1.9</v>
      </c>
      <c r="D53">
        <f t="shared" si="0"/>
        <v>4.2442003177664782</v>
      </c>
      <c r="E53">
        <f t="shared" si="1"/>
        <v>1.8671761085128091</v>
      </c>
      <c r="F53">
        <f t="shared" si="2"/>
        <v>0.64185388617239469</v>
      </c>
      <c r="K53" s="12">
        <v>19</v>
      </c>
      <c r="L53" s="12">
        <v>4.3381824547164358</v>
      </c>
      <c r="M53" s="12">
        <v>-3.817965552114444E-2</v>
      </c>
    </row>
    <row r="54" spans="1:13" x14ac:dyDescent="0.25">
      <c r="A54">
        <v>78.099999999999994</v>
      </c>
      <c r="B54">
        <v>5.7</v>
      </c>
      <c r="C54">
        <v>0.7</v>
      </c>
      <c r="D54">
        <f t="shared" si="0"/>
        <v>4.3579900568456402</v>
      </c>
      <c r="E54">
        <f t="shared" si="1"/>
        <v>1.7404661748405046</v>
      </c>
      <c r="F54">
        <f t="shared" si="2"/>
        <v>-0.35667494393873245</v>
      </c>
      <c r="K54" s="12">
        <v>20</v>
      </c>
      <c r="L54" s="12">
        <v>4.2239005849193854</v>
      </c>
      <c r="M54" s="12">
        <v>4.1592233498544573E-2</v>
      </c>
    </row>
    <row r="55" spans="1:13" x14ac:dyDescent="0.25">
      <c r="A55">
        <v>88</v>
      </c>
      <c r="B55">
        <v>5.22</v>
      </c>
      <c r="C55">
        <v>1.6</v>
      </c>
      <c r="D55">
        <f t="shared" si="0"/>
        <v>4.4773368144782069</v>
      </c>
      <c r="E55">
        <f t="shared" si="1"/>
        <v>1.6524974018945473</v>
      </c>
      <c r="F55">
        <f t="shared" si="2"/>
        <v>0.47000362924573563</v>
      </c>
      <c r="K55" s="12">
        <v>21</v>
      </c>
      <c r="L55" s="12">
        <v>4.3915926738380131</v>
      </c>
      <c r="M55" s="12">
        <v>4.7522927819995786E-2</v>
      </c>
    </row>
    <row r="56" spans="1:13" x14ac:dyDescent="0.25">
      <c r="A56">
        <v>80.400000000000006</v>
      </c>
      <c r="B56">
        <v>5.05</v>
      </c>
      <c r="C56">
        <v>2.9</v>
      </c>
      <c r="D56">
        <f t="shared" si="0"/>
        <v>4.3870141761849206</v>
      </c>
      <c r="E56">
        <f t="shared" si="1"/>
        <v>1.6193882432872684</v>
      </c>
      <c r="F56">
        <f t="shared" si="2"/>
        <v>1.0647107369924282</v>
      </c>
      <c r="K56" s="12">
        <v>22</v>
      </c>
      <c r="L56" s="12">
        <v>4.3586283155014787</v>
      </c>
      <c r="M56" s="12">
        <v>-5.9983289766647907E-2</v>
      </c>
    </row>
    <row r="57" spans="1:13" x14ac:dyDescent="0.25">
      <c r="A57">
        <v>79.7</v>
      </c>
      <c r="B57">
        <v>5.76</v>
      </c>
      <c r="C57">
        <v>2.2999999999999998</v>
      </c>
      <c r="D57">
        <f t="shared" si="0"/>
        <v>4.3782695857961693</v>
      </c>
      <c r="E57">
        <f t="shared" si="1"/>
        <v>1.7509374747077999</v>
      </c>
      <c r="F57">
        <f t="shared" si="2"/>
        <v>0.83290912293510388</v>
      </c>
      <c r="K57" s="12">
        <v>23</v>
      </c>
      <c r="L57" s="12">
        <v>4.3057478082934217</v>
      </c>
      <c r="M57" s="12">
        <v>-5.7450090981303603E-3</v>
      </c>
    </row>
    <row r="58" spans="1:13" x14ac:dyDescent="0.25">
      <c r="A58">
        <v>73.2</v>
      </c>
      <c r="B58">
        <v>6.25</v>
      </c>
      <c r="C58">
        <v>1.7</v>
      </c>
      <c r="D58">
        <f t="shared" si="0"/>
        <v>4.2931954209672663</v>
      </c>
      <c r="E58">
        <f t="shared" si="1"/>
        <v>1.8325814637483102</v>
      </c>
      <c r="F58">
        <f t="shared" si="2"/>
        <v>0.53062825106217038</v>
      </c>
      <c r="K58" s="12">
        <v>24</v>
      </c>
      <c r="L58" s="12">
        <v>4.2964182858121616</v>
      </c>
      <c r="M58" s="12">
        <v>6.1571771033478662E-2</v>
      </c>
    </row>
    <row r="59" spans="1:13" x14ac:dyDescent="0.25">
      <c r="A59">
        <v>85.9</v>
      </c>
      <c r="B59">
        <v>5.34</v>
      </c>
      <c r="C59">
        <v>1.8</v>
      </c>
      <c r="D59">
        <f t="shared" si="0"/>
        <v>4.4531838289902099</v>
      </c>
      <c r="E59">
        <f t="shared" si="1"/>
        <v>1.6752256529721035</v>
      </c>
      <c r="F59">
        <f t="shared" si="2"/>
        <v>0.58778666490211906</v>
      </c>
      <c r="K59" s="12">
        <v>25</v>
      </c>
      <c r="L59" s="12">
        <v>4.3642095923764623</v>
      </c>
      <c r="M59" s="12">
        <v>-3.7431431933058867E-2</v>
      </c>
    </row>
    <row r="60" spans="1:13" x14ac:dyDescent="0.25">
      <c r="A60">
        <v>83.3</v>
      </c>
      <c r="B60">
        <v>4.9800000000000004</v>
      </c>
      <c r="C60">
        <v>0.6</v>
      </c>
      <c r="D60">
        <f t="shared" si="0"/>
        <v>4.4224485491727972</v>
      </c>
      <c r="E60">
        <f t="shared" si="1"/>
        <v>1.6054298910365616</v>
      </c>
      <c r="F60">
        <f t="shared" si="2"/>
        <v>-0.51082562376599072</v>
      </c>
      <c r="K60" s="12">
        <v>26</v>
      </c>
      <c r="L60" s="12">
        <v>4.2810198437255655</v>
      </c>
      <c r="M60" s="12">
        <v>2.8436098113481023E-2</v>
      </c>
    </row>
    <row r="61" spans="1:13" x14ac:dyDescent="0.25">
      <c r="A61">
        <v>73.599999999999994</v>
      </c>
      <c r="B61">
        <v>6.39</v>
      </c>
      <c r="C61">
        <v>3.1</v>
      </c>
      <c r="D61">
        <f t="shared" si="0"/>
        <v>4.2986450257348308</v>
      </c>
      <c r="E61">
        <f t="shared" si="1"/>
        <v>1.8547342683894434</v>
      </c>
      <c r="F61">
        <f t="shared" si="2"/>
        <v>1.1314021114911006</v>
      </c>
      <c r="K61" s="12">
        <v>27</v>
      </c>
      <c r="L61" s="12">
        <v>4.256129386270298</v>
      </c>
      <c r="M61" s="12">
        <v>-2.6380187041993963E-2</v>
      </c>
    </row>
    <row r="62" spans="1:13" x14ac:dyDescent="0.25">
      <c r="A62">
        <v>79.2</v>
      </c>
      <c r="B62">
        <v>6.22</v>
      </c>
      <c r="C62">
        <v>1.2</v>
      </c>
      <c r="D62">
        <f t="shared" si="0"/>
        <v>4.3719762988203801</v>
      </c>
      <c r="E62">
        <f t="shared" si="1"/>
        <v>1.827769906751088</v>
      </c>
      <c r="F62">
        <f t="shared" si="2"/>
        <v>0.18232155679395459</v>
      </c>
      <c r="K62" s="12">
        <v>28</v>
      </c>
      <c r="L62" s="12">
        <v>4.4035737611183343</v>
      </c>
      <c r="M62" s="12">
        <v>2.6051852354826543E-2</v>
      </c>
    </row>
    <row r="63" spans="1:13" x14ac:dyDescent="0.25">
      <c r="A63">
        <v>88.1</v>
      </c>
      <c r="B63">
        <v>5.0999999999999996</v>
      </c>
      <c r="C63">
        <v>2.1</v>
      </c>
      <c r="D63">
        <f t="shared" si="0"/>
        <v>4.478472532942134</v>
      </c>
      <c r="E63">
        <f t="shared" si="1"/>
        <v>1.62924053973028</v>
      </c>
      <c r="F63">
        <f t="shared" si="2"/>
        <v>0.74193734472937733</v>
      </c>
      <c r="K63" s="12">
        <v>29</v>
      </c>
      <c r="L63" s="12">
        <v>4.4628935549595905</v>
      </c>
      <c r="M63" s="12">
        <v>-7.3841435259058841E-3</v>
      </c>
    </row>
    <row r="64" spans="1:13" x14ac:dyDescent="0.25">
      <c r="A64">
        <v>64.5</v>
      </c>
      <c r="B64">
        <v>6.49</v>
      </c>
      <c r="C64">
        <v>0.5</v>
      </c>
      <c r="D64">
        <f t="shared" si="0"/>
        <v>4.1666652238017265</v>
      </c>
      <c r="E64">
        <f t="shared" si="1"/>
        <v>1.8702625307159986</v>
      </c>
      <c r="F64">
        <f t="shared" si="2"/>
        <v>-0.69314718055994529</v>
      </c>
      <c r="K64" s="12">
        <v>30</v>
      </c>
      <c r="L64" s="12">
        <v>4.272494838845768</v>
      </c>
      <c r="M64" s="12">
        <v>2.7507960349523408E-2</v>
      </c>
    </row>
    <row r="65" spans="1:13" x14ac:dyDescent="0.25">
      <c r="A65">
        <v>84.1</v>
      </c>
      <c r="B65">
        <v>4.8600000000000003</v>
      </c>
      <c r="C65">
        <v>2.9</v>
      </c>
      <c r="D65">
        <f t="shared" si="0"/>
        <v>4.4320065669789024</v>
      </c>
      <c r="E65">
        <f t="shared" si="1"/>
        <v>1.5810384379124025</v>
      </c>
      <c r="F65">
        <f t="shared" si="2"/>
        <v>1.0647107369924282</v>
      </c>
      <c r="K65" s="12">
        <v>31</v>
      </c>
      <c r="L65" s="12">
        <v>4.2880784528985316</v>
      </c>
      <c r="M65" s="12">
        <v>3.8699707544871842E-2</v>
      </c>
    </row>
    <row r="66" spans="1:13" x14ac:dyDescent="0.25">
      <c r="A66">
        <v>91.2</v>
      </c>
      <c r="B66">
        <v>5.0999999999999996</v>
      </c>
      <c r="C66">
        <v>1.6</v>
      </c>
      <c r="D66">
        <f t="shared" si="0"/>
        <v>4.513054897080286</v>
      </c>
      <c r="E66">
        <f t="shared" si="1"/>
        <v>1.62924053973028</v>
      </c>
      <c r="F66">
        <f t="shared" si="2"/>
        <v>0.47000362924573563</v>
      </c>
      <c r="K66" s="12">
        <v>32</v>
      </c>
      <c r="L66" s="12">
        <v>4.3702228620798325</v>
      </c>
      <c r="M66" s="12">
        <v>-3.3098652159990749E-3</v>
      </c>
    </row>
    <row r="67" spans="1:13" x14ac:dyDescent="0.25">
      <c r="A67">
        <v>71.8</v>
      </c>
      <c r="B67">
        <v>5.98</v>
      </c>
      <c r="C67">
        <v>1.5</v>
      </c>
      <c r="D67">
        <f t="shared" ref="D67:D76" si="3">+LN(A67)</f>
        <v>4.2738844760541781</v>
      </c>
      <c r="E67">
        <f t="shared" ref="E67:E76" si="4">+LN(B67)</f>
        <v>1.7884205679625405</v>
      </c>
      <c r="F67">
        <f t="shared" ref="F67:F76" si="5">+LN(C67)</f>
        <v>0.40546510810816438</v>
      </c>
      <c r="K67" s="12">
        <v>33</v>
      </c>
      <c r="L67" s="12">
        <v>4.3335895256056025</v>
      </c>
      <c r="M67" s="12">
        <v>-3.358672641031113E-2</v>
      </c>
    </row>
    <row r="68" spans="1:13" x14ac:dyDescent="0.25">
      <c r="A68">
        <v>80.599999999999994</v>
      </c>
      <c r="B68">
        <v>5.0199999999999996</v>
      </c>
      <c r="C68">
        <v>2</v>
      </c>
      <c r="D68">
        <f t="shared" si="3"/>
        <v>4.389498649512583</v>
      </c>
      <c r="E68">
        <f t="shared" si="4"/>
        <v>1.6134299337036377</v>
      </c>
      <c r="F68">
        <f t="shared" si="5"/>
        <v>0.69314718055994529</v>
      </c>
      <c r="K68" s="12">
        <v>34</v>
      </c>
      <c r="L68" s="12">
        <v>4.3032097771582576</v>
      </c>
      <c r="M68" s="12">
        <v>8.1313737714211243E-2</v>
      </c>
    </row>
    <row r="69" spans="1:13" x14ac:dyDescent="0.25">
      <c r="A69">
        <v>73.099999999999994</v>
      </c>
      <c r="B69">
        <v>5.08</v>
      </c>
      <c r="C69">
        <v>1.3</v>
      </c>
      <c r="D69">
        <f t="shared" si="3"/>
        <v>4.2918283667557331</v>
      </c>
      <c r="E69">
        <f t="shared" si="4"/>
        <v>1.6253112615903906</v>
      </c>
      <c r="F69">
        <f t="shared" si="5"/>
        <v>0.26236426446749106</v>
      </c>
      <c r="K69" s="12">
        <v>35</v>
      </c>
      <c r="L69" s="12">
        <v>4.3041645116368414</v>
      </c>
      <c r="M69" s="12">
        <v>-5.7098862397077177E-2</v>
      </c>
    </row>
    <row r="70" spans="1:13" x14ac:dyDescent="0.25">
      <c r="A70">
        <v>81</v>
      </c>
      <c r="B70">
        <v>5.23</v>
      </c>
      <c r="C70">
        <v>1.1000000000000001</v>
      </c>
      <c r="D70">
        <f t="shared" si="3"/>
        <v>4.3944491546724391</v>
      </c>
      <c r="E70">
        <f t="shared" si="4"/>
        <v>1.6544112780768316</v>
      </c>
      <c r="F70">
        <f t="shared" si="5"/>
        <v>9.5310179804324935E-2</v>
      </c>
      <c r="K70" s="12">
        <v>36</v>
      </c>
      <c r="L70" s="12">
        <v>4.2915755903522852</v>
      </c>
      <c r="M70" s="12">
        <v>-5.6020859578660875E-2</v>
      </c>
    </row>
    <row r="71" spans="1:13" x14ac:dyDescent="0.25">
      <c r="A71">
        <v>73.7</v>
      </c>
      <c r="B71">
        <v>6.02</v>
      </c>
      <c r="C71">
        <v>2.2000000000000002</v>
      </c>
      <c r="D71">
        <f t="shared" si="3"/>
        <v>4.3000027991952914</v>
      </c>
      <c r="E71">
        <f t="shared" si="4"/>
        <v>1.7950872593207297</v>
      </c>
      <c r="F71">
        <f t="shared" si="5"/>
        <v>0.78845736036427028</v>
      </c>
      <c r="K71" s="12">
        <v>37</v>
      </c>
      <c r="L71" s="12">
        <v>4.3967781893983471</v>
      </c>
      <c r="M71" s="12">
        <v>3.165481808968984E-2</v>
      </c>
    </row>
    <row r="72" spans="1:13" x14ac:dyDescent="0.25">
      <c r="A72">
        <v>82.2</v>
      </c>
      <c r="B72">
        <v>5.73</v>
      </c>
      <c r="C72">
        <v>1.7</v>
      </c>
      <c r="D72">
        <f t="shared" si="3"/>
        <v>4.4091553020621346</v>
      </c>
      <c r="E72">
        <f t="shared" si="4"/>
        <v>1.7457155307266483</v>
      </c>
      <c r="F72">
        <f t="shared" si="5"/>
        <v>0.53062825106217038</v>
      </c>
      <c r="K72" s="12">
        <v>38</v>
      </c>
      <c r="L72" s="12">
        <v>4.2930953268843766</v>
      </c>
      <c r="M72" s="12">
        <v>0.14128653812343295</v>
      </c>
    </row>
    <row r="73" spans="1:13" x14ac:dyDescent="0.25">
      <c r="A73">
        <v>74.2</v>
      </c>
      <c r="B73">
        <v>5.1100000000000003</v>
      </c>
      <c r="C73">
        <v>0.7</v>
      </c>
      <c r="D73">
        <f t="shared" si="3"/>
        <v>4.3067641501733345</v>
      </c>
      <c r="E73">
        <f t="shared" si="4"/>
        <v>1.631199404215613</v>
      </c>
      <c r="F73">
        <f t="shared" si="5"/>
        <v>-0.35667494393873245</v>
      </c>
      <c r="K73" s="12">
        <v>39</v>
      </c>
      <c r="L73" s="12">
        <v>4.3433349141295521</v>
      </c>
      <c r="M73" s="12">
        <v>-0.1536801721031269</v>
      </c>
    </row>
    <row r="74" spans="1:13" x14ac:dyDescent="0.25">
      <c r="A74">
        <v>75.400000000000006</v>
      </c>
      <c r="B74">
        <v>5.71</v>
      </c>
      <c r="C74">
        <v>0.7</v>
      </c>
      <c r="D74">
        <f t="shared" si="3"/>
        <v>4.3228072750139104</v>
      </c>
      <c r="E74">
        <f t="shared" si="4"/>
        <v>1.7422190236679189</v>
      </c>
      <c r="F74">
        <f t="shared" si="5"/>
        <v>-0.35667494393873245</v>
      </c>
      <c r="K74" s="12">
        <v>40</v>
      </c>
      <c r="L74" s="12">
        <v>4.4099231369187297</v>
      </c>
      <c r="M74" s="12">
        <v>2.4458728089079784E-2</v>
      </c>
    </row>
    <row r="75" spans="1:13" x14ac:dyDescent="0.25">
      <c r="A75">
        <v>81.3</v>
      </c>
      <c r="B75">
        <v>5.45</v>
      </c>
      <c r="C75">
        <v>2</v>
      </c>
      <c r="D75">
        <f t="shared" si="3"/>
        <v>4.3981460165537651</v>
      </c>
      <c r="E75">
        <f t="shared" si="4"/>
        <v>1.6956156086751528</v>
      </c>
      <c r="F75">
        <f t="shared" si="5"/>
        <v>0.69314718055994529</v>
      </c>
      <c r="K75" s="12">
        <v>41</v>
      </c>
      <c r="L75" s="12">
        <v>4.3357031749908774</v>
      </c>
      <c r="M75" s="12">
        <v>4.0053846669408699E-2</v>
      </c>
    </row>
    <row r="76" spans="1:13" x14ac:dyDescent="0.25">
      <c r="A76">
        <v>75</v>
      </c>
      <c r="B76">
        <v>6.05</v>
      </c>
      <c r="C76">
        <v>2.2000000000000002</v>
      </c>
      <c r="D76">
        <f t="shared" si="3"/>
        <v>4.3174881135363101</v>
      </c>
      <c r="E76">
        <f t="shared" si="4"/>
        <v>1.80005827204275</v>
      </c>
      <c r="F76">
        <f t="shared" si="5"/>
        <v>0.78845736036427028</v>
      </c>
      <c r="K76" s="12">
        <v>42</v>
      </c>
      <c r="L76" s="12">
        <v>4.4147089460917845</v>
      </c>
      <c r="M76" s="12">
        <v>-3.0185431219315717E-2</v>
      </c>
    </row>
    <row r="77" spans="1:13" x14ac:dyDescent="0.25">
      <c r="K77" s="12">
        <v>43</v>
      </c>
      <c r="L77" s="12">
        <v>4.3440242227569543</v>
      </c>
      <c r="M77" s="12">
        <v>-0.13041623970803595</v>
      </c>
    </row>
    <row r="78" spans="1:13" x14ac:dyDescent="0.25">
      <c r="K78" s="12">
        <v>44</v>
      </c>
      <c r="L78" s="12">
        <v>4.4237499627320798</v>
      </c>
      <c r="M78" s="12">
        <v>3.639445120575413E-2</v>
      </c>
    </row>
    <row r="79" spans="1:13" x14ac:dyDescent="0.25">
      <c r="K79" s="12">
        <v>45</v>
      </c>
      <c r="L79" s="12">
        <v>4.4237575598500314</v>
      </c>
      <c r="M79" s="12">
        <v>4.9023438092314464E-2</v>
      </c>
    </row>
    <row r="80" spans="1:13" x14ac:dyDescent="0.25">
      <c r="K80" s="12">
        <v>46</v>
      </c>
      <c r="L80" s="12">
        <v>4.4322849643998437</v>
      </c>
      <c r="M80" s="12">
        <v>9.0995684843786506E-4</v>
      </c>
    </row>
    <row r="81" spans="11:13" x14ac:dyDescent="0.25">
      <c r="K81" s="12">
        <v>47</v>
      </c>
      <c r="L81" s="12">
        <v>4.3547870972646141</v>
      </c>
      <c r="M81" s="12">
        <v>-3.4635866308819985E-2</v>
      </c>
    </row>
    <row r="82" spans="11:13" x14ac:dyDescent="0.25">
      <c r="K82" s="12">
        <v>48</v>
      </c>
      <c r="L82" s="12">
        <v>4.4588259692091095</v>
      </c>
      <c r="M82" s="12">
        <v>-1.971036755110056E-2</v>
      </c>
    </row>
    <row r="83" spans="11:13" x14ac:dyDescent="0.25">
      <c r="K83" s="12">
        <v>49</v>
      </c>
      <c r="L83" s="12">
        <v>4.3165252251538799</v>
      </c>
      <c r="M83" s="12">
        <v>-1.6522425958588549E-2</v>
      </c>
    </row>
    <row r="84" spans="11:13" x14ac:dyDescent="0.25">
      <c r="K84" s="12">
        <v>50</v>
      </c>
      <c r="L84" s="12">
        <v>4.3330359339267144</v>
      </c>
      <c r="M84" s="12">
        <v>6.3879313240917668E-2</v>
      </c>
    </row>
    <row r="85" spans="11:13" x14ac:dyDescent="0.25">
      <c r="K85" s="12">
        <v>51</v>
      </c>
      <c r="L85" s="12">
        <v>4.3104304187688509</v>
      </c>
      <c r="M85" s="12">
        <v>-7.6323914171591234E-2</v>
      </c>
    </row>
    <row r="86" spans="11:13" x14ac:dyDescent="0.25">
      <c r="K86" s="12">
        <v>52</v>
      </c>
      <c r="L86" s="12">
        <v>4.2756079436951033</v>
      </c>
      <c r="M86" s="12">
        <v>-3.1407625928625116E-2</v>
      </c>
    </row>
    <row r="87" spans="11:13" x14ac:dyDescent="0.25">
      <c r="K87" s="12">
        <v>53</v>
      </c>
      <c r="L87" s="12">
        <v>4.3030845400684186</v>
      </c>
      <c r="M87" s="12">
        <v>5.4905516777221663E-2</v>
      </c>
    </row>
    <row r="88" spans="11:13" x14ac:dyDescent="0.25">
      <c r="K88" s="12">
        <v>54</v>
      </c>
      <c r="L88" s="12">
        <v>4.3912255296428571</v>
      </c>
      <c r="M88" s="12">
        <v>8.6111284835349799E-2</v>
      </c>
    </row>
    <row r="89" spans="11:13" x14ac:dyDescent="0.25">
      <c r="K89" s="12">
        <v>55</v>
      </c>
      <c r="L89" s="12">
        <v>4.437284883258676</v>
      </c>
      <c r="M89" s="12">
        <v>-5.0270707073755361E-2</v>
      </c>
    </row>
    <row r="90" spans="11:13" x14ac:dyDescent="0.25">
      <c r="K90" s="12">
        <v>56</v>
      </c>
      <c r="L90" s="12">
        <v>4.3511193413257176</v>
      </c>
      <c r="M90" s="12">
        <v>2.7150244470451668E-2</v>
      </c>
    </row>
    <row r="91" spans="11:13" x14ac:dyDescent="0.25">
      <c r="K91" s="12">
        <v>57</v>
      </c>
      <c r="L91" s="12">
        <v>4.2904435185017826</v>
      </c>
      <c r="M91" s="12">
        <v>2.7519024654836244E-3</v>
      </c>
    </row>
    <row r="92" spans="11:13" x14ac:dyDescent="0.25">
      <c r="K92" s="12">
        <v>58</v>
      </c>
      <c r="L92" s="12">
        <v>4.3835103427724382</v>
      </c>
      <c r="M92" s="12">
        <v>6.9673486217771696E-2</v>
      </c>
    </row>
    <row r="93" spans="11:13" x14ac:dyDescent="0.25">
      <c r="K93" s="12">
        <v>59</v>
      </c>
      <c r="L93" s="12">
        <v>4.3737171026891399</v>
      </c>
      <c r="M93" s="12">
        <v>4.8731446483657237E-2</v>
      </c>
    </row>
    <row r="94" spans="11:13" x14ac:dyDescent="0.25">
      <c r="K94" s="12">
        <v>60</v>
      </c>
      <c r="L94" s="12">
        <v>4.305006453718021</v>
      </c>
      <c r="M94" s="12">
        <v>-6.361427983190282E-3</v>
      </c>
    </row>
    <row r="95" spans="11:13" x14ac:dyDescent="0.25">
      <c r="K95" s="12">
        <v>61</v>
      </c>
      <c r="L95" s="12">
        <v>4.2773826742334089</v>
      </c>
      <c r="M95" s="12">
        <v>9.4593624586971181E-2</v>
      </c>
    </row>
    <row r="96" spans="11:13" x14ac:dyDescent="0.25">
      <c r="K96" s="12">
        <v>62</v>
      </c>
      <c r="L96" s="12">
        <v>4.4169535037385952</v>
      </c>
      <c r="M96" s="12">
        <v>6.15190292035388E-2</v>
      </c>
    </row>
    <row r="97" spans="11:13" x14ac:dyDescent="0.25">
      <c r="K97" s="12">
        <v>63</v>
      </c>
      <c r="L97" s="12">
        <v>4.2131705186214203</v>
      </c>
      <c r="M97" s="12">
        <v>-4.6505294819693788E-2</v>
      </c>
    </row>
    <row r="98" spans="11:13" x14ac:dyDescent="0.25">
      <c r="K98" s="12">
        <v>64</v>
      </c>
      <c r="L98" s="12">
        <v>4.4593335681596997</v>
      </c>
      <c r="M98" s="12">
        <v>-2.7327001180797339E-2</v>
      </c>
    </row>
    <row r="99" spans="11:13" x14ac:dyDescent="0.25">
      <c r="K99" s="12">
        <v>65</v>
      </c>
      <c r="L99" s="12">
        <v>4.4045967376746598</v>
      </c>
      <c r="M99" s="12">
        <v>0.1084581594056262</v>
      </c>
    </row>
    <row r="100" spans="11:13" x14ac:dyDescent="0.25">
      <c r="K100" s="12">
        <v>66</v>
      </c>
      <c r="L100" s="12">
        <v>4.3101457503235618</v>
      </c>
      <c r="M100" s="12">
        <v>-3.6261274269383748E-2</v>
      </c>
    </row>
    <row r="101" spans="11:13" x14ac:dyDescent="0.25">
      <c r="K101" s="12">
        <v>67</v>
      </c>
      <c r="L101" s="12">
        <v>4.4238265481702808</v>
      </c>
      <c r="M101" s="12">
        <v>-3.4327898657697808E-2</v>
      </c>
    </row>
    <row r="102" spans="11:13" x14ac:dyDescent="0.25">
      <c r="K102" s="12">
        <v>68</v>
      </c>
      <c r="L102" s="12">
        <v>4.397420613664333</v>
      </c>
      <c r="M102" s="12">
        <v>-0.10559224690859992</v>
      </c>
    </row>
    <row r="103" spans="11:13" x14ac:dyDescent="0.25">
      <c r="K103" s="12">
        <v>69</v>
      </c>
      <c r="L103" s="12">
        <v>4.3730989678463734</v>
      </c>
      <c r="M103" s="12">
        <v>2.1350186826065709E-2</v>
      </c>
    </row>
    <row r="104" spans="11:13" x14ac:dyDescent="0.25">
      <c r="K104" s="12">
        <v>70</v>
      </c>
      <c r="L104" s="12">
        <v>4.3237161352641715</v>
      </c>
      <c r="M104" s="12">
        <v>-2.3713336068880153E-2</v>
      </c>
    </row>
    <row r="105" spans="11:13" x14ac:dyDescent="0.25">
      <c r="K105" s="12">
        <v>71</v>
      </c>
      <c r="L105" s="12">
        <v>4.3403858732831511</v>
      </c>
      <c r="M105" s="12">
        <v>6.876942877898351E-2</v>
      </c>
    </row>
    <row r="106" spans="11:13" x14ac:dyDescent="0.25">
      <c r="K106" s="12">
        <v>72</v>
      </c>
      <c r="L106" s="12">
        <v>4.3659059435178236</v>
      </c>
      <c r="M106" s="12">
        <v>-5.9141793344489102E-2</v>
      </c>
    </row>
    <row r="107" spans="11:13" x14ac:dyDescent="0.25">
      <c r="K107" s="12">
        <v>73</v>
      </c>
      <c r="L107" s="12">
        <v>4.3020767641202227</v>
      </c>
      <c r="M107" s="12">
        <v>2.0730510893687715E-2</v>
      </c>
    </row>
    <row r="108" spans="11:13" x14ac:dyDescent="0.25">
      <c r="K108" s="12">
        <v>74</v>
      </c>
      <c r="L108" s="12">
        <v>4.3765750423774392</v>
      </c>
      <c r="M108" s="12">
        <v>2.1570974176325919E-2</v>
      </c>
    </row>
    <row r="109" spans="11:13" ht="15.75" thickBot="1" x14ac:dyDescent="0.3">
      <c r="K109" s="13">
        <v>75</v>
      </c>
      <c r="L109" s="13">
        <v>4.3208581209385333</v>
      </c>
      <c r="M109" s="13">
        <v>-3.3700074022231519E-3</v>
      </c>
    </row>
  </sheetData>
  <autoFilter ref="A1:F76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78"/>
  <sheetViews>
    <sheetView showGridLines="0" topLeftCell="N1" workbookViewId="0">
      <selection activeCell="K24" sqref="K24"/>
    </sheetView>
  </sheetViews>
  <sheetFormatPr baseColWidth="10" defaultRowHeight="15" x14ac:dyDescent="0.25"/>
  <cols>
    <col min="1" max="1" width="14.42578125" customWidth="1"/>
    <col min="2" max="2" width="18.140625" bestFit="1" customWidth="1"/>
    <col min="3" max="3" width="12.140625" customWidth="1"/>
    <col min="4" max="4" width="9.5703125" bestFit="1" customWidth="1"/>
    <col min="5" max="5" width="8.5703125" bestFit="1" customWidth="1"/>
    <col min="6" max="7" width="12.42578125" customWidth="1"/>
    <col min="8" max="8" width="9.5703125" customWidth="1"/>
    <col min="9" max="9" width="7.5703125" bestFit="1" customWidth="1"/>
    <col min="11" max="11" width="12" bestFit="1" customWidth="1"/>
    <col min="18" max="18" width="11.42578125" style="17"/>
    <col min="21" max="21" width="11.42578125" style="21"/>
    <col min="23" max="23" width="11.42578125" style="17"/>
    <col min="24" max="24" width="11.42578125" style="21"/>
    <col min="25" max="25" width="11.42578125" style="25"/>
    <col min="27" max="27" width="12" bestFit="1" customWidth="1"/>
    <col min="28" max="28" width="15.28515625" bestFit="1" customWidth="1"/>
    <col min="29" max="29" width="7.5703125" customWidth="1"/>
    <col min="30" max="30" width="6.140625" customWidth="1"/>
    <col min="31" max="31" width="7" bestFit="1" customWidth="1"/>
    <col min="32" max="32" width="8.85546875" bestFit="1" customWidth="1"/>
    <col min="33" max="33" width="10.28515625" bestFit="1" customWidth="1"/>
    <col min="34" max="34" width="10.42578125" bestFit="1" customWidth="1"/>
    <col min="35" max="35" width="7.7109375" bestFit="1" customWidth="1"/>
    <col min="36" max="36" width="9.85546875" bestFit="1" customWidth="1"/>
    <col min="37" max="37" width="8.28515625" bestFit="1" customWidth="1"/>
    <col min="38" max="38" width="5.7109375" bestFit="1" customWidth="1"/>
  </cols>
  <sheetData>
    <row r="1" spans="2:28" x14ac:dyDescent="0.25">
      <c r="B1" s="33" t="s">
        <v>9</v>
      </c>
      <c r="C1" s="33"/>
      <c r="D1" s="33"/>
      <c r="E1" s="33"/>
      <c r="F1" s="33"/>
      <c r="G1" s="33"/>
      <c r="H1" s="33"/>
      <c r="I1" s="33"/>
      <c r="L1" t="s">
        <v>40</v>
      </c>
      <c r="R1" s="17" t="s">
        <v>84</v>
      </c>
      <c r="U1" s="16" t="s">
        <v>84</v>
      </c>
      <c r="V1" s="17" t="s">
        <v>84</v>
      </c>
      <c r="W1" s="17" t="s">
        <v>84</v>
      </c>
      <c r="X1" s="16" t="s">
        <v>84</v>
      </c>
      <c r="Y1" s="17" t="s">
        <v>84</v>
      </c>
      <c r="Z1" s="16" t="s">
        <v>84</v>
      </c>
    </row>
    <row r="2" spans="2:28" ht="15.75" thickBot="1" x14ac:dyDescent="0.3">
      <c r="B2" s="33"/>
      <c r="C2" s="33"/>
      <c r="D2" s="33"/>
      <c r="E2" s="33"/>
      <c r="F2" s="33"/>
      <c r="G2" s="33"/>
      <c r="H2" s="33"/>
      <c r="I2" s="33"/>
      <c r="R2" s="17">
        <f>2*(C12+1)/C8</f>
        <v>0.08</v>
      </c>
      <c r="S2" s="25"/>
      <c r="T2" s="25"/>
      <c r="U2" s="25">
        <v>3</v>
      </c>
      <c r="V2" s="25">
        <v>0.05</v>
      </c>
      <c r="W2" s="17">
        <f>4/75</f>
        <v>5.3333333333333337E-2</v>
      </c>
      <c r="X2" s="25">
        <f>2*SQRT(3/75)</f>
        <v>0.4</v>
      </c>
      <c r="Y2" s="25">
        <f>1+(0.12)</f>
        <v>1.1200000000000001</v>
      </c>
      <c r="Z2" s="25">
        <f>1-(0.12)</f>
        <v>0.88</v>
      </c>
    </row>
    <row r="3" spans="2:28" ht="16.5" thickTop="1" thickBot="1" x14ac:dyDescent="0.3">
      <c r="B3" s="34" t="s">
        <v>10</v>
      </c>
      <c r="C3" s="34"/>
      <c r="D3" s="33"/>
      <c r="E3" s="34"/>
      <c r="F3" s="34"/>
      <c r="G3" s="33"/>
      <c r="H3" s="33"/>
      <c r="I3" s="33"/>
      <c r="L3" s="6" t="s">
        <v>41</v>
      </c>
      <c r="M3" s="6" t="str">
        <f>'Data Hamburguesa'!B1</f>
        <v>price</v>
      </c>
      <c r="N3" s="6" t="str">
        <f>'Data Hamburguesa'!C1</f>
        <v>advert</v>
      </c>
      <c r="O3" s="6" t="str">
        <f>'Data Hamburguesa'!A1</f>
        <v>sales</v>
      </c>
      <c r="P3" s="6" t="s">
        <v>42</v>
      </c>
      <c r="Q3" s="6" t="s">
        <v>28</v>
      </c>
      <c r="R3" s="18" t="s">
        <v>43</v>
      </c>
      <c r="S3" s="6" t="s">
        <v>44</v>
      </c>
      <c r="T3" s="6" t="s">
        <v>45</v>
      </c>
      <c r="U3" s="22" t="s">
        <v>46</v>
      </c>
      <c r="V3" s="18" t="s">
        <v>47</v>
      </c>
      <c r="W3" s="18" t="s">
        <v>40</v>
      </c>
      <c r="X3" s="22" t="s">
        <v>48</v>
      </c>
      <c r="Y3" s="26" t="s">
        <v>83</v>
      </c>
    </row>
    <row r="4" spans="2:28" ht="15.75" thickTop="1" x14ac:dyDescent="0.25">
      <c r="B4" s="33" t="s">
        <v>11</v>
      </c>
      <c r="C4" s="47">
        <f>SQRT(C5)</f>
        <v>0.66952054652187054</v>
      </c>
      <c r="D4" s="33"/>
      <c r="E4" s="33" t="s">
        <v>16</v>
      </c>
      <c r="F4" s="47">
        <f>C8*LN(D13/C8)+2*(C12+1)</f>
        <v>240.89825218283107</v>
      </c>
      <c r="G4" s="33"/>
      <c r="H4" s="33"/>
      <c r="I4" s="33"/>
      <c r="L4">
        <v>1</v>
      </c>
      <c r="M4">
        <f>'Data Hamburguesa'!B2</f>
        <v>5.69</v>
      </c>
      <c r="N4">
        <f>'Data Hamburguesa'!C2</f>
        <v>1.3</v>
      </c>
      <c r="O4">
        <f>'Data Hamburguesa'!A2</f>
        <v>73.2</v>
      </c>
      <c r="P4">
        <f t="array" ref="P4:P78">TREND('Data Hamburguesa'!A2:A76,'Data Hamburguesa'!B2:C76)</f>
        <v>76.339278831340692</v>
      </c>
      <c r="Q4">
        <f>O4-P4</f>
        <v>-3.1392788313406896</v>
      </c>
      <c r="R4" s="17">
        <f t="array" ref="R4:R78">[1]!LEVERAGE('Data Hamburguesa'!B2:C76)</f>
        <v>1.9121985382404297E-2</v>
      </c>
      <c r="S4">
        <f>Q4/SQRT($AA$6)</f>
        <v>-0.64248857584835883</v>
      </c>
      <c r="T4">
        <f>($AA$6-Q4^2/((1-R4)*$AA$5))*$AA$5/($AA$5-1)</f>
        <v>24.068954127015619</v>
      </c>
      <c r="U4" s="21">
        <f>Q4/SQRT(T4*(1-R4))</f>
        <v>-0.64609113441365418</v>
      </c>
      <c r="V4">
        <f>_xlfn.T.DIST.2T(ABS(U4),$AA$5)</f>
        <v>0.52027438028878159</v>
      </c>
      <c r="W4" s="17">
        <f>(Q4^2/$AA$6)*(R4/(1-R4)^2)/($AA$7+1)</f>
        <v>2.7347179804247247E-3</v>
      </c>
      <c r="X4" s="21">
        <f>U4*SQRT(R4/(1-R4))</f>
        <v>-9.0209603194164711E-2</v>
      </c>
      <c r="Y4" s="25">
        <v>1.0446470000000001</v>
      </c>
      <c r="Z4" t="s">
        <v>49</v>
      </c>
      <c r="AA4" s="7">
        <f>DEVSQ(Q4:Q78)</f>
        <v>1718.9429368934309</v>
      </c>
    </row>
    <row r="5" spans="2:28" x14ac:dyDescent="0.25">
      <c r="B5" s="33" t="s">
        <v>12</v>
      </c>
      <c r="C5" s="45">
        <f>D12/D14</f>
        <v>0.44825776221494429</v>
      </c>
      <c r="D5" s="33"/>
      <c r="E5" s="33" t="s">
        <v>17</v>
      </c>
      <c r="F5" s="47">
        <f>F4+2*(C12+2)*(C12+3)/(C8-C12-3)</f>
        <v>241.46968075425966</v>
      </c>
      <c r="G5" s="33"/>
      <c r="H5" s="33"/>
      <c r="I5" s="33"/>
      <c r="L5">
        <f>L4+1</f>
        <v>2</v>
      </c>
      <c r="M5">
        <f>'Data Hamburguesa'!B3</f>
        <v>6.49</v>
      </c>
      <c r="N5">
        <f>'Data Hamburguesa'!C3</f>
        <v>2.9</v>
      </c>
      <c r="O5">
        <f>'Data Hamburguesa'!A3</f>
        <v>71.8</v>
      </c>
      <c r="P5">
        <v>72.993130202614111</v>
      </c>
      <c r="Q5">
        <f t="shared" ref="Q5:Q68" si="0">O5-P5</f>
        <v>-1.193130202614114</v>
      </c>
      <c r="R5" s="17">
        <v>6.6159490756773923E-2</v>
      </c>
      <c r="S5">
        <f t="shared" ref="S5:S68" si="1">Q5/SQRT($AA$6)</f>
        <v>-0.24418746019824761</v>
      </c>
      <c r="T5">
        <f t="shared" ref="T5:T68" si="2">($AA$6-Q5^2/((1-R5)*$AA$5))*$AA$5/($AA$5-1)</f>
        <v>24.188993278163117</v>
      </c>
      <c r="U5" s="21">
        <f t="shared" ref="U5:U68" si="3">Q5/SQRT(T5*(1-R5))</f>
        <v>-0.25103980441386559</v>
      </c>
      <c r="V5">
        <f t="shared" ref="V5:V68" si="4">_xlfn.T.DIST.2T(ABS(U5),$AA$5)</f>
        <v>0.80249839710256343</v>
      </c>
      <c r="W5" s="17">
        <f t="shared" ref="W5:W68" si="5">(Q5^2/$AA$6)*(R5/(1-R5)^2)/($AA$7+1)</f>
        <v>1.5078988008982396E-3</v>
      </c>
      <c r="X5" s="21">
        <f t="shared" ref="X5:X68" si="6">U5*SQRT(R5/(1-R5))</f>
        <v>-6.681935975981422E-2</v>
      </c>
      <c r="Y5" s="25">
        <v>1.113766</v>
      </c>
      <c r="Z5" t="s">
        <v>50</v>
      </c>
      <c r="AA5" s="8">
        <f>COUNT('Data Hamburguesa'!A2:A76)-AA7-1</f>
        <v>72</v>
      </c>
    </row>
    <row r="6" spans="2:28" x14ac:dyDescent="0.25">
      <c r="B6" s="33" t="s">
        <v>13</v>
      </c>
      <c r="C6" s="47">
        <f>1-(1-C5)*(C8-1)/(C8-C12-1)</f>
        <v>0.43293158894313721</v>
      </c>
      <c r="D6" s="33"/>
      <c r="E6" s="36" t="s">
        <v>18</v>
      </c>
      <c r="F6" s="49">
        <f>C8*LN(D13/C8)+(C12+1)*LN(C8)</f>
        <v>247.85071652344001</v>
      </c>
      <c r="G6" s="33"/>
      <c r="H6" s="33"/>
      <c r="I6" s="33"/>
      <c r="L6" s="31">
        <f t="shared" ref="L6:L69" si="7">L5+1</f>
        <v>3</v>
      </c>
      <c r="M6">
        <f>'Data Hamburguesa'!B4</f>
        <v>5.63</v>
      </c>
      <c r="N6">
        <f>'Data Hamburguesa'!C4</f>
        <v>0.8</v>
      </c>
      <c r="O6">
        <f>'Data Hamburguesa'!A4</f>
        <v>62.4</v>
      </c>
      <c r="P6">
        <v>75.882457955664648</v>
      </c>
      <c r="Q6">
        <f t="shared" si="0"/>
        <v>-13.48245795566465</v>
      </c>
      <c r="R6" s="17">
        <v>3.4708136630905578E-2</v>
      </c>
      <c r="S6">
        <f t="shared" si="1"/>
        <v>-2.7593360374334583</v>
      </c>
      <c r="T6">
        <f t="shared" si="2"/>
        <v>21.55817300067854</v>
      </c>
      <c r="U6" s="21">
        <f t="shared" si="3"/>
        <v>-2.9555191355524597</v>
      </c>
      <c r="V6" s="31">
        <f t="shared" si="4"/>
        <v>4.2168088187129081E-3</v>
      </c>
      <c r="W6" s="20">
        <f t="shared" si="5"/>
        <v>9.4537026605309438E-2</v>
      </c>
      <c r="X6" s="21">
        <f t="shared" si="6"/>
        <v>-0.56042835709279337</v>
      </c>
      <c r="Y6" s="29">
        <v>0.76276429999999995</v>
      </c>
      <c r="Z6" t="s">
        <v>51</v>
      </c>
      <c r="AA6" s="8">
        <f>AA4/AA5</f>
        <v>23.874207456853206</v>
      </c>
    </row>
    <row r="7" spans="2:28" x14ac:dyDescent="0.25">
      <c r="B7" s="33" t="s">
        <v>14</v>
      </c>
      <c r="C7" s="47">
        <f>SQRT(E13)</f>
        <v>4.8861239706799484</v>
      </c>
      <c r="D7" s="33"/>
      <c r="E7" s="33"/>
      <c r="F7" s="47"/>
      <c r="G7" s="33"/>
      <c r="H7" s="33"/>
      <c r="I7" s="33"/>
      <c r="L7">
        <f t="shared" si="7"/>
        <v>4</v>
      </c>
      <c r="M7">
        <f>'Data Hamburguesa'!B5</f>
        <v>6.22</v>
      </c>
      <c r="N7">
        <f>'Data Hamburguesa'!C5</f>
        <v>0.7</v>
      </c>
      <c r="O7">
        <f>'Data Hamburguesa'!A5</f>
        <v>67.400000000000006</v>
      </c>
      <c r="P7">
        <v>71.030565475602273</v>
      </c>
      <c r="Q7">
        <f t="shared" si="0"/>
        <v>-3.6305654756022676</v>
      </c>
      <c r="R7" s="17">
        <v>5.421087502671379E-2</v>
      </c>
      <c r="S7">
        <f t="shared" si="1"/>
        <v>-0.74303589049072782</v>
      </c>
      <c r="T7">
        <f t="shared" si="2"/>
        <v>24.014174936206974</v>
      </c>
      <c r="U7" s="21">
        <f t="shared" si="3"/>
        <v>-0.76180405571902876</v>
      </c>
      <c r="V7">
        <f t="shared" si="4"/>
        <v>0.44866520503157503</v>
      </c>
      <c r="W7" s="17">
        <f t="shared" si="5"/>
        <v>1.1153113302003005E-2</v>
      </c>
      <c r="X7" s="21">
        <f t="shared" si="6"/>
        <v>-0.18238508969783274</v>
      </c>
      <c r="Y7" s="25">
        <v>1.0760240000000001</v>
      </c>
      <c r="Z7" t="s">
        <v>52</v>
      </c>
      <c r="AA7" s="9">
        <f>COUNT('Data Hamburguesa'!B2:C2)</f>
        <v>2</v>
      </c>
    </row>
    <row r="8" spans="2:28" x14ac:dyDescent="0.25">
      <c r="B8" s="36" t="s">
        <v>15</v>
      </c>
      <c r="C8" s="36">
        <f>COUNT('Data Hamburguesa'!A2:A76)</f>
        <v>75</v>
      </c>
      <c r="D8" s="33"/>
      <c r="E8" s="33"/>
      <c r="F8" s="33"/>
      <c r="G8" s="33"/>
      <c r="H8" s="33"/>
      <c r="I8" s="33"/>
      <c r="L8">
        <f t="shared" si="7"/>
        <v>5</v>
      </c>
      <c r="M8">
        <f>'Data Hamburguesa'!B6</f>
        <v>5.0199999999999996</v>
      </c>
      <c r="N8">
        <f>'Data Hamburguesa'!C6</f>
        <v>1.5</v>
      </c>
      <c r="O8">
        <f>'Data Hamburguesa'!A6</f>
        <v>89.3</v>
      </c>
      <c r="P8">
        <v>82.010058084633471</v>
      </c>
      <c r="Q8">
        <f t="shared" si="0"/>
        <v>7.2899419153665264</v>
      </c>
      <c r="R8" s="17">
        <v>3.7664748032070594E-2</v>
      </c>
      <c r="S8">
        <f t="shared" si="1"/>
        <v>1.491968267508379</v>
      </c>
      <c r="T8">
        <f t="shared" si="2"/>
        <v>23.432672042632266</v>
      </c>
      <c r="U8" s="21">
        <f t="shared" si="3"/>
        <v>1.5351469825695956</v>
      </c>
      <c r="V8">
        <f t="shared" si="4"/>
        <v>0.12913064989640893</v>
      </c>
      <c r="W8" s="17">
        <f t="shared" si="5"/>
        <v>3.0177287070051115E-2</v>
      </c>
      <c r="X8" s="21">
        <f t="shared" si="6"/>
        <v>0.30370664834296796</v>
      </c>
      <c r="Y8" s="25">
        <v>0.98254419999999998</v>
      </c>
    </row>
    <row r="9" spans="2:28" x14ac:dyDescent="0.25">
      <c r="B9" s="33"/>
      <c r="C9" s="33"/>
      <c r="D9" s="33"/>
      <c r="E9" s="33"/>
      <c r="F9" s="33"/>
      <c r="G9" s="33"/>
      <c r="H9" s="33"/>
      <c r="I9" s="33"/>
      <c r="L9">
        <f t="shared" si="7"/>
        <v>6</v>
      </c>
      <c r="M9">
        <f>'Data Hamburguesa'!B7</f>
        <v>6.41</v>
      </c>
      <c r="N9">
        <f>'Data Hamburguesa'!C7</f>
        <v>1.3</v>
      </c>
      <c r="O9">
        <f>'Data Hamburguesa'!A7</f>
        <v>70.3</v>
      </c>
      <c r="P9">
        <v>70.645623715813173</v>
      </c>
      <c r="Q9">
        <f t="shared" si="0"/>
        <v>-0.34562371581317564</v>
      </c>
      <c r="R9" s="17">
        <v>4.6055273091961155E-2</v>
      </c>
      <c r="S9">
        <f t="shared" si="1"/>
        <v>-7.0735764767155276E-2</v>
      </c>
      <c r="T9">
        <f t="shared" si="2"/>
        <v>24.208700196680276</v>
      </c>
      <c r="U9" s="21">
        <f t="shared" si="3"/>
        <v>-7.1921078799613625E-2</v>
      </c>
      <c r="V9">
        <f t="shared" si="4"/>
        <v>0.9428641268605279</v>
      </c>
      <c r="W9" s="17">
        <f t="shared" si="5"/>
        <v>8.4409201193567202E-5</v>
      </c>
      <c r="X9" s="21">
        <f t="shared" si="6"/>
        <v>-1.5802808167230301E-2</v>
      </c>
      <c r="Y9" s="25">
        <v>1.0929599999999999</v>
      </c>
    </row>
    <row r="10" spans="2:28" ht="15.75" thickBot="1" x14ac:dyDescent="0.3">
      <c r="B10" s="33" t="s">
        <v>87</v>
      </c>
      <c r="C10" s="33"/>
      <c r="D10" s="33"/>
      <c r="E10" s="33"/>
      <c r="F10" s="37" t="s">
        <v>20</v>
      </c>
      <c r="G10" s="37">
        <v>0.05</v>
      </c>
      <c r="H10" s="33"/>
      <c r="I10" s="33"/>
      <c r="L10">
        <f t="shared" si="7"/>
        <v>7</v>
      </c>
      <c r="M10">
        <f>'Data Hamburguesa'!B8</f>
        <v>5.85</v>
      </c>
      <c r="N10">
        <f>'Data Hamburguesa'!C8</f>
        <v>1.8</v>
      </c>
      <c r="O10">
        <f>'Data Hamburguesa'!A8</f>
        <v>73.2</v>
      </c>
      <c r="P10">
        <v>76.005314274304581</v>
      </c>
      <c r="Q10">
        <f t="shared" si="0"/>
        <v>-2.8053142743045782</v>
      </c>
      <c r="R10" s="17">
        <v>1.4716537572508995E-2</v>
      </c>
      <c r="S10">
        <f t="shared" si="1"/>
        <v>-0.57413898851899015</v>
      </c>
      <c r="T10">
        <f t="shared" si="2"/>
        <v>24.097966236813036</v>
      </c>
      <c r="U10" s="21">
        <f t="shared" si="3"/>
        <v>-0.57571922097872452</v>
      </c>
      <c r="V10">
        <f t="shared" si="4"/>
        <v>0.56660010924310433</v>
      </c>
      <c r="W10" s="17">
        <f t="shared" si="5"/>
        <v>1.6656972999081665E-3</v>
      </c>
      <c r="X10" s="21">
        <f t="shared" si="6"/>
        <v>-7.0361154064227965E-2</v>
      </c>
      <c r="Y10" s="25">
        <v>1.0437419999999999</v>
      </c>
    </row>
    <row r="11" spans="2:28" ht="15.75" thickTop="1" x14ac:dyDescent="0.25">
      <c r="B11" s="38"/>
      <c r="C11" s="38" t="s">
        <v>21</v>
      </c>
      <c r="D11" s="38" t="s">
        <v>22</v>
      </c>
      <c r="E11" s="38" t="s">
        <v>23</v>
      </c>
      <c r="F11" s="38" t="s">
        <v>24</v>
      </c>
      <c r="G11" s="38" t="s">
        <v>25</v>
      </c>
      <c r="H11" s="38" t="s">
        <v>26</v>
      </c>
      <c r="I11" s="33"/>
      <c r="L11">
        <f t="shared" si="7"/>
        <v>8</v>
      </c>
      <c r="M11">
        <f>'Data Hamburguesa'!B9</f>
        <v>5.41</v>
      </c>
      <c r="N11">
        <f>'Data Hamburguesa'!C9</f>
        <v>2.4</v>
      </c>
      <c r="O11">
        <f>'Data Hamburguesa'!A9</f>
        <v>86.1</v>
      </c>
      <c r="P11">
        <v>80.602320740602053</v>
      </c>
      <c r="Q11">
        <f t="shared" si="0"/>
        <v>5.4976792593979411</v>
      </c>
      <c r="R11" s="17">
        <v>2.3498136394148581E-2</v>
      </c>
      <c r="S11">
        <f t="shared" si="1"/>
        <v>1.125161639857633</v>
      </c>
      <c r="T11">
        <f t="shared" si="2"/>
        <v>23.774523244400473</v>
      </c>
      <c r="U11" s="21">
        <f t="shared" si="3"/>
        <v>1.1410034365507027</v>
      </c>
      <c r="V11">
        <f t="shared" si="4"/>
        <v>0.25764944561745906</v>
      </c>
      <c r="W11" s="17">
        <f t="shared" si="5"/>
        <v>1.039910222398038E-2</v>
      </c>
      <c r="X11" s="21">
        <f t="shared" si="6"/>
        <v>0.17699749681105634</v>
      </c>
      <c r="Y11" s="25">
        <v>1.0112890000000001</v>
      </c>
    </row>
    <row r="12" spans="2:28" x14ac:dyDescent="0.25">
      <c r="B12" s="35" t="s">
        <v>27</v>
      </c>
      <c r="C12" s="35">
        <f>COUNT('Data Hamburguesa'!B2:C2)</f>
        <v>2</v>
      </c>
      <c r="D12" s="45">
        <f>DEVSQ(MMULT([1]!DESIGN('Data Hamburguesa'!B2:C76),C17:C19))</f>
        <v>1396.5389297732374</v>
      </c>
      <c r="E12" s="45">
        <f>D12/C12</f>
        <v>698.26946488661872</v>
      </c>
      <c r="F12" s="52">
        <f>E12/E13</f>
        <v>29.247859479673654</v>
      </c>
      <c r="G12" s="51">
        <f>_xlfn.F.DIST.RT(F12,C12,C13)</f>
        <v>5.0408566968021385E-10</v>
      </c>
      <c r="H12" s="39" t="str">
        <f>IF(G12&lt;G10,"yes","no")</f>
        <v>yes</v>
      </c>
      <c r="I12" s="35"/>
      <c r="L12" s="31">
        <f t="shared" si="7"/>
        <v>9</v>
      </c>
      <c r="M12">
        <f>'Data Hamburguesa'!B10</f>
        <v>6.24</v>
      </c>
      <c r="N12">
        <f>'Data Hamburguesa'!C10</f>
        <v>0.7</v>
      </c>
      <c r="O12">
        <f>'Data Hamburguesa'!A10</f>
        <v>81</v>
      </c>
      <c r="P12">
        <v>70.872408389059842</v>
      </c>
      <c r="Q12">
        <f t="shared" si="0"/>
        <v>10.127591610940158</v>
      </c>
      <c r="R12" s="17">
        <v>5.5341127019351455E-2</v>
      </c>
      <c r="S12">
        <f t="shared" si="1"/>
        <v>2.0727250621786428</v>
      </c>
      <c r="T12">
        <f t="shared" si="2"/>
        <v>22.681212087626719</v>
      </c>
      <c r="U12" s="21">
        <f t="shared" si="3"/>
        <v>2.1879406969139135</v>
      </c>
      <c r="V12" s="31">
        <f t="shared" si="4"/>
        <v>3.1920450364929957E-2</v>
      </c>
      <c r="W12" s="20">
        <f t="shared" si="5"/>
        <v>8.880964326669781E-2</v>
      </c>
      <c r="X12" s="30">
        <f t="shared" si="6"/>
        <v>0.52956837526994782</v>
      </c>
      <c r="Y12" s="25">
        <v>0.90768859999999996</v>
      </c>
    </row>
    <row r="13" spans="2:28" x14ac:dyDescent="0.25">
      <c r="B13" s="35" t="s">
        <v>28</v>
      </c>
      <c r="C13" s="35">
        <f>C14-C12</f>
        <v>72</v>
      </c>
      <c r="D13" s="45">
        <f>D14-D12</f>
        <v>1718.9429368934291</v>
      </c>
      <c r="E13" s="45">
        <f>D13/C13</f>
        <v>23.874207456853181</v>
      </c>
      <c r="F13" s="35"/>
      <c r="G13" s="35"/>
      <c r="H13" s="35"/>
      <c r="I13" s="35"/>
      <c r="L13">
        <f t="shared" si="7"/>
        <v>10</v>
      </c>
      <c r="M13">
        <f>'Data Hamburguesa'!B11</f>
        <v>6.2</v>
      </c>
      <c r="N13">
        <f>'Data Hamburguesa'!C11</f>
        <v>3</v>
      </c>
      <c r="O13">
        <f>'Data Hamburguesa'!A11</f>
        <v>76.400000000000006</v>
      </c>
      <c r="P13">
        <v>75.47266638454002</v>
      </c>
      <c r="Q13">
        <f t="shared" si="0"/>
        <v>0.92733361545998605</v>
      </c>
      <c r="R13" s="17">
        <v>5.1709857579208249E-2</v>
      </c>
      <c r="S13">
        <f t="shared" si="1"/>
        <v>0.18978921145362157</v>
      </c>
      <c r="T13">
        <f t="shared" si="2"/>
        <v>24.197691502546874</v>
      </c>
      <c r="U13" s="21">
        <f t="shared" si="3"/>
        <v>0.19358799295242388</v>
      </c>
      <c r="V13">
        <f t="shared" si="4"/>
        <v>0.84704360342150409</v>
      </c>
      <c r="W13" s="17">
        <f t="shared" si="5"/>
        <v>6.9041887777256214E-4</v>
      </c>
      <c r="X13" s="21">
        <f t="shared" si="6"/>
        <v>4.5205832346080346E-2</v>
      </c>
      <c r="Y13" s="25">
        <v>1.0979779999999999</v>
      </c>
      <c r="AB13" s="57" t="s">
        <v>84</v>
      </c>
    </row>
    <row r="14" spans="2:28" x14ac:dyDescent="0.25">
      <c r="B14" s="40" t="s">
        <v>29</v>
      </c>
      <c r="C14" s="40">
        <f>C8-1</f>
        <v>74</v>
      </c>
      <c r="D14" s="46">
        <f>DEVSQ('Data Hamburguesa'!A2:A76)</f>
        <v>3115.4818666666665</v>
      </c>
      <c r="E14" s="40"/>
      <c r="F14" s="40"/>
      <c r="G14" s="40"/>
      <c r="H14" s="40"/>
      <c r="I14" s="35"/>
      <c r="L14">
        <f t="shared" si="7"/>
        <v>11</v>
      </c>
      <c r="M14">
        <f>'Data Hamburguesa'!B12</f>
        <v>5.48</v>
      </c>
      <c r="N14">
        <f>'Data Hamburguesa'!C12</f>
        <v>2.8</v>
      </c>
      <c r="O14">
        <f>'Data Hamburguesa'!A12</f>
        <v>76.599999999999994</v>
      </c>
      <c r="P14">
        <v>80.79380464594621</v>
      </c>
      <c r="Q14">
        <f t="shared" si="0"/>
        <v>-4.1938046459462157</v>
      </c>
      <c r="R14" s="17">
        <v>3.3689028771552929E-2</v>
      </c>
      <c r="S14">
        <f t="shared" si="1"/>
        <v>-0.85830909553500512</v>
      </c>
      <c r="T14">
        <f t="shared" si="2"/>
        <v>23.954109288676822</v>
      </c>
      <c r="U14" s="21">
        <f t="shared" si="3"/>
        <v>-0.87168531159895546</v>
      </c>
      <c r="V14">
        <f t="shared" si="4"/>
        <v>0.38627752137282934</v>
      </c>
      <c r="W14" s="17">
        <f t="shared" si="5"/>
        <v>8.8597372993899411E-3</v>
      </c>
      <c r="X14" s="21">
        <f t="shared" si="6"/>
        <v>-0.16275918935271441</v>
      </c>
      <c r="Y14" s="25">
        <v>1.0452889999999999</v>
      </c>
      <c r="AA14" s="57" t="s">
        <v>43</v>
      </c>
      <c r="AB14" s="61" t="s">
        <v>95</v>
      </c>
    </row>
    <row r="15" spans="2:28" ht="15.75" thickBot="1" x14ac:dyDescent="0.3">
      <c r="B15" s="35"/>
      <c r="C15" s="35"/>
      <c r="D15" s="35"/>
      <c r="E15" s="35"/>
      <c r="F15" s="35"/>
      <c r="G15" s="35"/>
      <c r="H15" s="35"/>
      <c r="I15" s="35"/>
      <c r="L15">
        <f t="shared" si="7"/>
        <v>12</v>
      </c>
      <c r="M15">
        <f>'Data Hamburguesa'!B13</f>
        <v>6.14</v>
      </c>
      <c r="N15">
        <f>'Data Hamburguesa'!C13</f>
        <v>2.7</v>
      </c>
      <c r="O15">
        <f>'Data Hamburguesa'!A13</f>
        <v>82.2</v>
      </c>
      <c r="P15">
        <v>75.388362362985333</v>
      </c>
      <c r="Q15">
        <f t="shared" si="0"/>
        <v>6.8116376370146696</v>
      </c>
      <c r="R15" s="17">
        <v>3.7333483382954377E-2</v>
      </c>
      <c r="S15">
        <f t="shared" si="1"/>
        <v>1.3940779394647176</v>
      </c>
      <c r="T15">
        <f t="shared" si="2"/>
        <v>23.531621660089634</v>
      </c>
      <c r="U15" s="21">
        <f t="shared" si="3"/>
        <v>1.4311583033503856</v>
      </c>
      <c r="V15">
        <f t="shared" si="4"/>
        <v>0.15671115927541379</v>
      </c>
      <c r="W15" s="17">
        <f t="shared" si="5"/>
        <v>2.6097543810608737E-2</v>
      </c>
      <c r="X15" s="21">
        <f t="shared" si="6"/>
        <v>0.28183764294070202</v>
      </c>
      <c r="Y15" s="25">
        <v>0.99470159999999996</v>
      </c>
      <c r="AA15" s="58" t="s">
        <v>46</v>
      </c>
      <c r="AB15" s="62" t="s">
        <v>93</v>
      </c>
    </row>
    <row r="16" spans="2:28" ht="15.75" thickTop="1" x14ac:dyDescent="0.25">
      <c r="B16" s="41"/>
      <c r="C16" s="41" t="s">
        <v>30</v>
      </c>
      <c r="D16" s="41" t="s">
        <v>31</v>
      </c>
      <c r="E16" s="41" t="s">
        <v>32</v>
      </c>
      <c r="F16" s="41" t="s">
        <v>25</v>
      </c>
      <c r="G16" s="41" t="s">
        <v>33</v>
      </c>
      <c r="H16" s="41" t="s">
        <v>34</v>
      </c>
      <c r="I16" s="41" t="s">
        <v>35</v>
      </c>
      <c r="L16">
        <f t="shared" si="7"/>
        <v>13</v>
      </c>
      <c r="M16">
        <f>'Data Hamburguesa'!B14</f>
        <v>5.37</v>
      </c>
      <c r="N16">
        <f>'Data Hamburguesa'!C14</f>
        <v>2.8</v>
      </c>
      <c r="O16">
        <f>'Data Hamburguesa'!A14</f>
        <v>82.1</v>
      </c>
      <c r="P16">
        <v>81.663668621929588</v>
      </c>
      <c r="Q16">
        <f t="shared" si="0"/>
        <v>0.43633137807040612</v>
      </c>
      <c r="R16" s="17">
        <v>3.6765245265344894E-2</v>
      </c>
      <c r="S16">
        <f t="shared" si="1"/>
        <v>8.9300103863244079E-2</v>
      </c>
      <c r="T16">
        <f t="shared" si="2"/>
        <v>24.207680071908182</v>
      </c>
      <c r="U16" s="21">
        <f t="shared" si="3"/>
        <v>9.0359493550178055E-2</v>
      </c>
      <c r="V16">
        <f t="shared" si="4"/>
        <v>0.92825244874650981</v>
      </c>
      <c r="W16" s="17">
        <f t="shared" si="5"/>
        <v>1.0533091397656499E-4</v>
      </c>
      <c r="X16" s="21">
        <f t="shared" si="6"/>
        <v>1.7653322281977815E-2</v>
      </c>
      <c r="Y16" s="25">
        <v>1.082282</v>
      </c>
      <c r="AA16" s="57" t="s">
        <v>47</v>
      </c>
      <c r="AB16" s="63" t="s">
        <v>98</v>
      </c>
    </row>
    <row r="17" spans="1:38" hidden="1" x14ac:dyDescent="0.25">
      <c r="B17" s="35" t="s">
        <v>36</v>
      </c>
      <c r="C17" s="45">
        <f t="array" ref="C17:D19">[1]!RegCoeff('Data Hamburguesa'!B2:C76,'Data Hamburguesa'!A2:A76)</f>
        <v>118.91361040087369</v>
      </c>
      <c r="D17" s="45">
        <v>6.3516375062451589</v>
      </c>
      <c r="E17" s="45">
        <f>C17/D17</f>
        <v>18.721724954226929</v>
      </c>
      <c r="F17" s="35">
        <f>_xlfn.T.DIST.2T(ABS(E17),$C$13)</f>
        <v>2.2142929436346837E-29</v>
      </c>
      <c r="G17" s="43">
        <f>C17-_xlfn.T.INV.2T(G$10,$C$13)*D17</f>
        <v>106.25185244353091</v>
      </c>
      <c r="H17" s="43">
        <f>C17+_xlfn.T.INV.2T(G$10,$C$13)*D17</f>
        <v>131.57536835821648</v>
      </c>
      <c r="I17" s="43"/>
      <c r="L17">
        <f t="shared" si="7"/>
        <v>14</v>
      </c>
      <c r="M17">
        <f>'Data Hamburguesa'!B15</f>
        <v>6.45</v>
      </c>
      <c r="N17">
        <f>'Data Hamburguesa'!C15</f>
        <v>2.8</v>
      </c>
      <c r="O17">
        <f>'Data Hamburguesa'!A15</f>
        <v>68.599999999999994</v>
      </c>
      <c r="P17">
        <v>73.123185948638309</v>
      </c>
      <c r="Q17">
        <f t="shared" si="0"/>
        <v>-4.5231859486383144</v>
      </c>
      <c r="R17" s="17">
        <v>5.9271068096280757E-2</v>
      </c>
      <c r="S17">
        <f t="shared" si="1"/>
        <v>-0.9257206685259094</v>
      </c>
      <c r="T17">
        <f t="shared" si="2"/>
        <v>23.904150472723529</v>
      </c>
      <c r="U17" s="21">
        <f t="shared" si="3"/>
        <v>-0.95384000801590541</v>
      </c>
      <c r="V17">
        <f t="shared" si="4"/>
        <v>0.34335606411121755</v>
      </c>
      <c r="W17" s="17">
        <f t="shared" si="5"/>
        <v>1.9131649583865099E-2</v>
      </c>
      <c r="X17" s="21">
        <f t="shared" si="6"/>
        <v>-0.23942233440786123</v>
      </c>
      <c r="Y17" s="25">
        <v>1.06701</v>
      </c>
      <c r="AA17" s="59"/>
      <c r="AB17" s="63"/>
    </row>
    <row r="18" spans="1:38" x14ac:dyDescent="0.25">
      <c r="B18" s="35" t="str">
        <f t="array" ref="B18:B19">TRANSPOSE('Data Hamburguesa'!B1:C1)</f>
        <v>price</v>
      </c>
      <c r="C18" s="45">
        <v>-7.907854327121556</v>
      </c>
      <c r="D18" s="45">
        <v>1.0959930220618455</v>
      </c>
      <c r="E18" s="45">
        <f t="shared" ref="E18:E19" si="8">C18/D18</f>
        <v>-7.2152414914511436</v>
      </c>
      <c r="F18" s="51">
        <f t="shared" ref="F18:F19" si="9">_xlfn.T.DIST.2T(ABS(E18),$C$13)</f>
        <v>4.4239972874347241E-10</v>
      </c>
      <c r="G18" s="43">
        <f t="shared" ref="G18:G19" si="10">C18-_xlfn.T.INV.2T(G$10,$C$13)*D18</f>
        <v>-10.092676485917487</v>
      </c>
      <c r="H18" s="43">
        <f t="shared" ref="H18:H19" si="11">C18+_xlfn.T.INV.2T(G$10,$C$13)*D18</f>
        <v>-5.7230321683256253</v>
      </c>
      <c r="I18" s="43">
        <f>[1]!VIF('Data Hamburguesa'!B2:C76,1)</f>
        <v>1.0006956414210395</v>
      </c>
      <c r="L18">
        <f t="shared" si="7"/>
        <v>15</v>
      </c>
      <c r="M18">
        <f>'Data Hamburguesa'!B16</f>
        <v>5.35</v>
      </c>
      <c r="N18">
        <f>'Data Hamburguesa'!C16</f>
        <v>2.2999999999999998</v>
      </c>
      <c r="O18">
        <f>'Data Hamburguesa'!A16</f>
        <v>76.5</v>
      </c>
      <c r="P18">
        <v>80.890533573168682</v>
      </c>
      <c r="Q18">
        <f t="shared" si="0"/>
        <v>-4.3905335731686819</v>
      </c>
      <c r="R18" s="17">
        <v>2.3373781925263633E-2</v>
      </c>
      <c r="S18">
        <f t="shared" si="1"/>
        <v>-0.89857187404880723</v>
      </c>
      <c r="T18">
        <f t="shared" si="2"/>
        <v>23.932461927541567</v>
      </c>
      <c r="U18" s="21">
        <f t="shared" si="3"/>
        <v>-0.90815384199524907</v>
      </c>
      <c r="V18">
        <f t="shared" si="4"/>
        <v>0.36682668947379171</v>
      </c>
      <c r="W18" s="17">
        <f t="shared" si="5"/>
        <v>6.5956350403197778E-3</v>
      </c>
      <c r="X18" s="21">
        <f t="shared" si="6"/>
        <v>-0.14049463132326392</v>
      </c>
      <c r="Y18" s="25">
        <v>1.031447</v>
      </c>
      <c r="AA18" s="57" t="s">
        <v>40</v>
      </c>
      <c r="AB18" s="61" t="s">
        <v>94</v>
      </c>
    </row>
    <row r="19" spans="1:38" x14ac:dyDescent="0.25">
      <c r="B19" s="40" t="str">
        <v>advert</v>
      </c>
      <c r="C19" s="46">
        <v>1.8625842706066589</v>
      </c>
      <c r="D19" s="46">
        <v>0.68319547378501266</v>
      </c>
      <c r="E19" s="46">
        <f t="shared" si="8"/>
        <v>2.726283094774681</v>
      </c>
      <c r="F19" s="53">
        <f t="shared" si="9"/>
        <v>8.0381824802847005E-3</v>
      </c>
      <c r="G19" s="44">
        <f t="shared" si="10"/>
        <v>0.50065898470794012</v>
      </c>
      <c r="H19" s="44">
        <f t="shared" si="11"/>
        <v>3.2245095565053776</v>
      </c>
      <c r="I19" s="44">
        <f>[1]!VIF('Data Hamburguesa'!B2:C76,2)</f>
        <v>1.0006956414210395</v>
      </c>
      <c r="L19">
        <f t="shared" si="7"/>
        <v>16</v>
      </c>
      <c r="M19">
        <f>'Data Hamburguesa'!B17</f>
        <v>5.22</v>
      </c>
      <c r="N19">
        <f>'Data Hamburguesa'!C17</f>
        <v>1.7</v>
      </c>
      <c r="O19">
        <f>'Data Hamburguesa'!A17</f>
        <v>80.3</v>
      </c>
      <c r="P19">
        <v>80.801004073330489</v>
      </c>
      <c r="Q19">
        <f t="shared" si="0"/>
        <v>-0.50100407333049191</v>
      </c>
      <c r="R19" s="17">
        <v>2.4609744047565305E-2</v>
      </c>
      <c r="S19">
        <f t="shared" si="1"/>
        <v>-0.10253609534609751</v>
      </c>
      <c r="T19">
        <f t="shared" si="2"/>
        <v>24.206839419535271</v>
      </c>
      <c r="U19" s="21">
        <f t="shared" si="3"/>
        <v>-0.10310577853215698</v>
      </c>
      <c r="V19">
        <f t="shared" si="4"/>
        <v>0.91816566202041394</v>
      </c>
      <c r="W19" s="17">
        <f t="shared" si="5"/>
        <v>9.0653080599779442E-5</v>
      </c>
      <c r="X19" s="21">
        <f t="shared" si="6"/>
        <v>-1.6377490189148344E-2</v>
      </c>
      <c r="Y19" s="25">
        <v>1.068683</v>
      </c>
      <c r="AA19" s="58" t="s">
        <v>48</v>
      </c>
      <c r="AB19" s="62" t="s">
        <v>96</v>
      </c>
    </row>
    <row r="20" spans="1:38" x14ac:dyDescent="0.25">
      <c r="B20" s="32"/>
      <c r="C20" s="32"/>
      <c r="D20" s="32"/>
      <c r="E20" s="32"/>
      <c r="F20" s="32"/>
      <c r="G20" s="32"/>
      <c r="H20" s="32"/>
      <c r="I20" s="32"/>
      <c r="L20">
        <f t="shared" si="7"/>
        <v>17</v>
      </c>
      <c r="M20">
        <f>'Data Hamburguesa'!B18</f>
        <v>5.89</v>
      </c>
      <c r="N20">
        <f>'Data Hamburguesa'!C18</f>
        <v>1.5</v>
      </c>
      <c r="O20">
        <f>'Data Hamburguesa'!A18</f>
        <v>70.7</v>
      </c>
      <c r="P20">
        <v>75.130224820037725</v>
      </c>
      <c r="Q20">
        <f t="shared" si="0"/>
        <v>-4.4302248200377221</v>
      </c>
      <c r="R20" s="17">
        <v>1.7831551189736682E-2</v>
      </c>
      <c r="S20">
        <f t="shared" si="1"/>
        <v>-0.90669513230160936</v>
      </c>
      <c r="T20">
        <f t="shared" si="2"/>
        <v>23.929010043078957</v>
      </c>
      <c r="U20" s="21">
        <f t="shared" si="3"/>
        <v>-0.91384051915781095</v>
      </c>
      <c r="V20">
        <f t="shared" si="4"/>
        <v>0.36385078661491743</v>
      </c>
      <c r="W20" s="17">
        <f t="shared" si="5"/>
        <v>5.0654552244896898E-3</v>
      </c>
      <c r="X20" s="21">
        <f t="shared" si="6"/>
        <v>-0.12313229764552669</v>
      </c>
      <c r="Y20" s="25">
        <v>1.025183</v>
      </c>
      <c r="AA20" s="60" t="s">
        <v>83</v>
      </c>
      <c r="AB20" s="61" t="s">
        <v>97</v>
      </c>
    </row>
    <row r="21" spans="1:38" x14ac:dyDescent="0.25">
      <c r="A21" s="32" t="s">
        <v>53</v>
      </c>
      <c r="B21" s="32"/>
      <c r="E21" s="32"/>
      <c r="F21" s="32"/>
      <c r="G21" s="32"/>
      <c r="H21" s="32"/>
      <c r="I21" s="32"/>
      <c r="L21">
        <f t="shared" si="7"/>
        <v>18</v>
      </c>
      <c r="M21">
        <f>'Data Hamburguesa'!B19</f>
        <v>5.21</v>
      </c>
      <c r="N21">
        <f>'Data Hamburguesa'!C19</f>
        <v>0.8</v>
      </c>
      <c r="O21">
        <f>'Data Hamburguesa'!A19</f>
        <v>75</v>
      </c>
      <c r="P21">
        <v>79.203756773055716</v>
      </c>
      <c r="Q21">
        <f t="shared" si="0"/>
        <v>-4.2037567730557157</v>
      </c>
      <c r="R21" s="17">
        <v>4.5275776160000739E-2</v>
      </c>
      <c r="S21">
        <f t="shared" si="1"/>
        <v>-0.86034590982158876</v>
      </c>
      <c r="T21">
        <f t="shared" si="2"/>
        <v>23.949765197516896</v>
      </c>
      <c r="U21" s="21">
        <f t="shared" si="3"/>
        <v>-0.87911963310860475</v>
      </c>
      <c r="V21">
        <f t="shared" si="4"/>
        <v>0.38226102585206201</v>
      </c>
      <c r="W21" s="17">
        <f t="shared" si="5"/>
        <v>1.225561084795552E-2</v>
      </c>
      <c r="X21" s="21">
        <f t="shared" si="6"/>
        <v>-0.19144408837180513</v>
      </c>
      <c r="Y21" s="25">
        <v>1.057399</v>
      </c>
    </row>
    <row r="22" spans="1:38" x14ac:dyDescent="0.25">
      <c r="A22" s="10"/>
      <c r="B22" s="10" t="str">
        <f>Q3</f>
        <v>Residual</v>
      </c>
      <c r="F22" s="55" t="s">
        <v>89</v>
      </c>
      <c r="G22" s="55" t="s">
        <v>90</v>
      </c>
      <c r="H22" s="55"/>
      <c r="L22">
        <f t="shared" si="7"/>
        <v>19</v>
      </c>
      <c r="M22">
        <f>'Data Hamburguesa'!B20</f>
        <v>6</v>
      </c>
      <c r="N22">
        <f>'Data Hamburguesa'!C20</f>
        <v>2.9</v>
      </c>
      <c r="O22">
        <f>'Data Hamburguesa'!A20</f>
        <v>73.7</v>
      </c>
      <c r="P22">
        <v>76.867978822903666</v>
      </c>
      <c r="Q22">
        <f t="shared" si="0"/>
        <v>-3.1679788229036632</v>
      </c>
      <c r="R22" s="17">
        <v>3.9511552760277881E-2</v>
      </c>
      <c r="S22">
        <f t="shared" si="1"/>
        <v>-0.64836235058989078</v>
      </c>
      <c r="T22">
        <f t="shared" si="2"/>
        <v>24.063295677128714</v>
      </c>
      <c r="U22" s="21">
        <f t="shared" si="3"/>
        <v>-0.65895937836472618</v>
      </c>
      <c r="V22">
        <f t="shared" si="4"/>
        <v>0.51202383345750735</v>
      </c>
      <c r="W22" s="17">
        <f t="shared" si="5"/>
        <v>6.00142147112396E-3</v>
      </c>
      <c r="X22" s="21">
        <f t="shared" si="6"/>
        <v>-0.13365174061492943</v>
      </c>
      <c r="Y22" s="25">
        <v>1.066071</v>
      </c>
    </row>
    <row r="23" spans="1:38" x14ac:dyDescent="0.25">
      <c r="A23" t="s">
        <v>54</v>
      </c>
      <c r="B23">
        <f>[1]!SHAPIRO(Q4:Q78)</f>
        <v>0.98796539104189784</v>
      </c>
      <c r="F23" s="55" t="s">
        <v>91</v>
      </c>
      <c r="G23" s="55" t="s">
        <v>92</v>
      </c>
      <c r="H23" s="55"/>
      <c r="L23">
        <f t="shared" si="7"/>
        <v>20</v>
      </c>
      <c r="M23">
        <f>'Data Hamburguesa'!B21</f>
        <v>6.37</v>
      </c>
      <c r="N23">
        <f>'Data Hamburguesa'!C21</f>
        <v>0.5</v>
      </c>
      <c r="O23">
        <f>'Data Hamburguesa'!A21</f>
        <v>71.2</v>
      </c>
      <c r="P23">
        <v>69.471870472412718</v>
      </c>
      <c r="Q23">
        <f t="shared" si="0"/>
        <v>1.728129527587285</v>
      </c>
      <c r="R23" s="17">
        <v>7.3623131258172381E-2</v>
      </c>
      <c r="S23">
        <f t="shared" si="1"/>
        <v>0.35368106457331649</v>
      </c>
      <c r="T23">
        <f t="shared" si="2"/>
        <v>24.165058601887004</v>
      </c>
      <c r="U23" s="21">
        <f t="shared" si="3"/>
        <v>0.36524856075708201</v>
      </c>
      <c r="V23">
        <f t="shared" si="4"/>
        <v>0.71599665460805628</v>
      </c>
      <c r="W23" s="17">
        <f t="shared" si="5"/>
        <v>3.5771837006751037E-3</v>
      </c>
      <c r="X23" s="21">
        <f t="shared" si="6"/>
        <v>0.10296788786338699</v>
      </c>
      <c r="Y23" s="25">
        <v>1.1194090000000001</v>
      </c>
      <c r="AA23" s="69" t="s">
        <v>41</v>
      </c>
      <c r="AB23" s="69" t="s">
        <v>1</v>
      </c>
      <c r="AC23" s="69" t="s">
        <v>2</v>
      </c>
      <c r="AD23" s="69" t="s">
        <v>0</v>
      </c>
      <c r="AE23" s="69" t="s">
        <v>42</v>
      </c>
      <c r="AF23" s="69" t="s">
        <v>28</v>
      </c>
      <c r="AG23" s="57" t="s">
        <v>43</v>
      </c>
      <c r="AH23" s="58" t="s">
        <v>46</v>
      </c>
      <c r="AI23" s="57" t="s">
        <v>47</v>
      </c>
      <c r="AJ23" s="57" t="s">
        <v>40</v>
      </c>
      <c r="AK23" s="58" t="s">
        <v>48</v>
      </c>
      <c r="AL23" s="60" t="s">
        <v>83</v>
      </c>
    </row>
    <row r="24" spans="1:38" x14ac:dyDescent="0.25">
      <c r="A24" t="s">
        <v>25</v>
      </c>
      <c r="B24">
        <f>[1]!SWTEST(Q4:Q78)</f>
        <v>0.70281575815974762</v>
      </c>
      <c r="L24">
        <f t="shared" si="7"/>
        <v>21</v>
      </c>
      <c r="M24">
        <f>'Data Hamburguesa'!B22</f>
        <v>5.33</v>
      </c>
      <c r="N24">
        <f>'Data Hamburguesa'!C22</f>
        <v>2.1</v>
      </c>
      <c r="O24">
        <f>'Data Hamburguesa'!A22</f>
        <v>84.7</v>
      </c>
      <c r="P24">
        <v>80.676173805589784</v>
      </c>
      <c r="Q24">
        <f t="shared" si="0"/>
        <v>4.0238261944102192</v>
      </c>
      <c r="R24" s="17">
        <v>2.1185460123400127E-2</v>
      </c>
      <c r="S24">
        <f t="shared" si="1"/>
        <v>0.82352110150211066</v>
      </c>
      <c r="T24">
        <f t="shared" si="2"/>
        <v>23.977483349855934</v>
      </c>
      <c r="U24" s="21">
        <f t="shared" si="3"/>
        <v>0.83059097613036104</v>
      </c>
      <c r="V24">
        <f t="shared" si="4"/>
        <v>0.40895053392770331</v>
      </c>
      <c r="W24" s="17">
        <f t="shared" si="5"/>
        <v>4.9987945275550326E-3</v>
      </c>
      <c r="X24" s="21">
        <f t="shared" si="6"/>
        <v>0.12219570823607308</v>
      </c>
      <c r="Y24" s="25">
        <v>1.0349600000000001</v>
      </c>
      <c r="AA24" s="63">
        <v>3</v>
      </c>
      <c r="AB24" s="63">
        <v>5.63</v>
      </c>
      <c r="AC24" s="63">
        <v>0.8</v>
      </c>
      <c r="AD24" s="63">
        <v>62.4</v>
      </c>
      <c r="AE24" s="67">
        <v>75.882457955664648</v>
      </c>
      <c r="AF24" s="67">
        <v>-13.48245795566465</v>
      </c>
      <c r="AG24" s="67">
        <v>3.4708136630905578E-2</v>
      </c>
      <c r="AH24" s="67">
        <v>-2.9555191355524597</v>
      </c>
      <c r="AI24" s="68">
        <v>4.2168088187129081E-3</v>
      </c>
      <c r="AJ24" s="68">
        <v>9.4537026605309438E-2</v>
      </c>
      <c r="AK24" s="67">
        <v>-0.56042835709279337</v>
      </c>
      <c r="AL24" s="68">
        <v>0.76276429999999995</v>
      </c>
    </row>
    <row r="25" spans="1:38" x14ac:dyDescent="0.25">
      <c r="A25" t="s">
        <v>55</v>
      </c>
      <c r="B25">
        <v>0.05</v>
      </c>
      <c r="L25">
        <f t="shared" si="7"/>
        <v>22</v>
      </c>
      <c r="M25">
        <f>'Data Hamburguesa'!B23</f>
        <v>5.23</v>
      </c>
      <c r="N25">
        <f>'Data Hamburguesa'!C23</f>
        <v>0.8</v>
      </c>
      <c r="O25">
        <f>'Data Hamburguesa'!A23</f>
        <v>73.599999999999994</v>
      </c>
      <c r="P25">
        <v>79.04559968651327</v>
      </c>
      <c r="Q25">
        <f t="shared" si="0"/>
        <v>-5.4455996865132761</v>
      </c>
      <c r="R25" s="17">
        <v>4.4370045297404827E-2</v>
      </c>
      <c r="S25">
        <f t="shared" si="1"/>
        <v>-1.1145029719242816</v>
      </c>
      <c r="T25">
        <f t="shared" si="2"/>
        <v>23.773401624915429</v>
      </c>
      <c r="U25" s="21">
        <f t="shared" si="3"/>
        <v>-1.142497271825484</v>
      </c>
      <c r="V25">
        <f t="shared" si="4"/>
        <v>0.25703242634967682</v>
      </c>
      <c r="W25" s="17">
        <f t="shared" si="5"/>
        <v>2.0116460566369825E-2</v>
      </c>
      <c r="X25" s="21">
        <f t="shared" si="6"/>
        <v>-0.24618139624014981</v>
      </c>
      <c r="Y25" s="25">
        <v>1.033231</v>
      </c>
      <c r="AA25" s="63">
        <v>9</v>
      </c>
      <c r="AB25" s="63">
        <v>6.24</v>
      </c>
      <c r="AC25" s="63">
        <v>0.7</v>
      </c>
      <c r="AD25" s="63">
        <v>81</v>
      </c>
      <c r="AE25" s="67">
        <v>70.872408389059842</v>
      </c>
      <c r="AF25" s="67">
        <v>10.127591610940158</v>
      </c>
      <c r="AG25" s="67">
        <v>5.5341127019351455E-2</v>
      </c>
      <c r="AH25" s="67">
        <v>2.1879406969139135</v>
      </c>
      <c r="AI25" s="68">
        <v>3.1920450364929957E-2</v>
      </c>
      <c r="AJ25" s="68">
        <v>8.880964326669781E-2</v>
      </c>
      <c r="AK25" s="68">
        <v>0.52956837526994782</v>
      </c>
      <c r="AL25" s="67">
        <v>0.90768859999999996</v>
      </c>
    </row>
    <row r="26" spans="1:38" x14ac:dyDescent="0.25">
      <c r="A26" s="4" t="s">
        <v>56</v>
      </c>
      <c r="B26" s="56" t="str">
        <f>IF(B24&lt;B25,"no","yes")</f>
        <v>yes</v>
      </c>
      <c r="L26">
        <f t="shared" si="7"/>
        <v>23</v>
      </c>
      <c r="M26">
        <f>'Data Hamburguesa'!B24</f>
        <v>5.88</v>
      </c>
      <c r="N26">
        <f>'Data Hamburguesa'!C24</f>
        <v>1.1000000000000001</v>
      </c>
      <c r="O26">
        <f>'Data Hamburguesa'!A24</f>
        <v>73.7</v>
      </c>
      <c r="P26">
        <v>74.464269655066261</v>
      </c>
      <c r="Q26">
        <f t="shared" si="0"/>
        <v>-0.76426965506625777</v>
      </c>
      <c r="R26" s="17">
        <v>2.6262804421715611E-2</v>
      </c>
      <c r="S26">
        <f t="shared" si="1"/>
        <v>-0.15641634548210254</v>
      </c>
      <c r="T26">
        <f t="shared" si="2"/>
        <v>24.202015136971344</v>
      </c>
      <c r="U26" s="21">
        <f t="shared" si="3"/>
        <v>-0.15743452292755336</v>
      </c>
      <c r="V26">
        <f t="shared" si="4"/>
        <v>0.87534308167976571</v>
      </c>
      <c r="W26" s="17">
        <f t="shared" si="5"/>
        <v>2.2589186690003026E-4</v>
      </c>
      <c r="X26" s="21">
        <f t="shared" si="6"/>
        <v>-2.5855303632194578E-2</v>
      </c>
      <c r="Y26" s="25">
        <v>1.0698570000000001</v>
      </c>
      <c r="AA26" s="63">
        <v>38</v>
      </c>
      <c r="AB26" s="63">
        <v>6.16</v>
      </c>
      <c r="AC26" s="63">
        <v>1.5</v>
      </c>
      <c r="AD26" s="63">
        <v>84.3</v>
      </c>
      <c r="AE26" s="67">
        <v>72.995104151714898</v>
      </c>
      <c r="AF26" s="67">
        <v>11.304895848285099</v>
      </c>
      <c r="AG26" s="67">
        <v>2.716299079350408E-2</v>
      </c>
      <c r="AH26" s="67">
        <v>2.4238666543345802</v>
      </c>
      <c r="AI26" s="68">
        <v>1.7869571529014736E-2</v>
      </c>
      <c r="AJ26" s="67">
        <v>5.1213013507949219E-2</v>
      </c>
      <c r="AK26" s="68">
        <v>0.40502093816652202</v>
      </c>
      <c r="AL26" s="68">
        <v>0.84450020000000003</v>
      </c>
    </row>
    <row r="27" spans="1:38" x14ac:dyDescent="0.25">
      <c r="L27">
        <f t="shared" si="7"/>
        <v>24</v>
      </c>
      <c r="M27">
        <f>'Data Hamburguesa'!B25</f>
        <v>6.24</v>
      </c>
      <c r="N27">
        <f>'Data Hamburguesa'!C25</f>
        <v>1.9</v>
      </c>
      <c r="O27">
        <f>'Data Hamburguesa'!A25</f>
        <v>78.099999999999994</v>
      </c>
      <c r="P27">
        <v>73.107509513787832</v>
      </c>
      <c r="Q27">
        <f t="shared" si="0"/>
        <v>4.9924904862121622</v>
      </c>
      <c r="R27" s="17">
        <v>2.87187139221406E-2</v>
      </c>
      <c r="S27">
        <f t="shared" si="1"/>
        <v>1.0217690988133914</v>
      </c>
      <c r="T27">
        <f t="shared" si="2"/>
        <v>23.849028137317628</v>
      </c>
      <c r="U27" s="21">
        <f t="shared" si="3"/>
        <v>1.037311977028089</v>
      </c>
      <c r="V27">
        <f t="shared" si="4"/>
        <v>0.303061726887349</v>
      </c>
      <c r="W27" s="17">
        <f t="shared" si="5"/>
        <v>1.0593981713586297E-2</v>
      </c>
      <c r="X27" s="21">
        <f t="shared" si="6"/>
        <v>0.17836899919254412</v>
      </c>
      <c r="Y27" s="25">
        <v>1.0263139999999999</v>
      </c>
      <c r="AA27" s="63">
        <v>39</v>
      </c>
      <c r="AB27" s="63">
        <v>5.93</v>
      </c>
      <c r="AC27" s="63">
        <v>2.8</v>
      </c>
      <c r="AD27" s="63">
        <v>66</v>
      </c>
      <c r="AE27" s="67">
        <v>77.235270198741517</v>
      </c>
      <c r="AF27" s="67">
        <v>-11.235270198741517</v>
      </c>
      <c r="AG27" s="67">
        <v>3.3783569629623228E-2</v>
      </c>
      <c r="AH27" s="67">
        <v>-2.416626278182131</v>
      </c>
      <c r="AI27" s="68">
        <v>1.820096809847738E-2</v>
      </c>
      <c r="AJ27" s="68">
        <v>6.3778385876982285E-2</v>
      </c>
      <c r="AK27" s="67">
        <v>-0.4518820106356406</v>
      </c>
      <c r="AL27" s="68">
        <v>0.85145090000000001</v>
      </c>
    </row>
    <row r="28" spans="1:38" x14ac:dyDescent="0.25">
      <c r="A28" t="s">
        <v>57</v>
      </c>
      <c r="L28">
        <f t="shared" si="7"/>
        <v>25</v>
      </c>
      <c r="M28">
        <f>'Data Hamburguesa'!B26</f>
        <v>5.59</v>
      </c>
      <c r="N28">
        <f>'Data Hamburguesa'!C26</f>
        <v>2.1</v>
      </c>
      <c r="O28">
        <f>'Data Hamburguesa'!A26</f>
        <v>75.7</v>
      </c>
      <c r="P28">
        <v>78.620131680538179</v>
      </c>
      <c r="Q28">
        <f t="shared" si="0"/>
        <v>-2.9201316805381765</v>
      </c>
      <c r="R28" s="17">
        <v>1.5131113335043677E-2</v>
      </c>
      <c r="S28">
        <f t="shared" si="1"/>
        <v>-0.59763765677271852</v>
      </c>
      <c r="T28">
        <f t="shared" si="2"/>
        <v>24.08851774656323</v>
      </c>
      <c r="U28" s="21">
        <f t="shared" si="3"/>
        <v>-0.59952622973276015</v>
      </c>
      <c r="V28">
        <f t="shared" si="4"/>
        <v>0.55070404540666906</v>
      </c>
      <c r="W28" s="17">
        <f t="shared" si="5"/>
        <v>1.857242882423639E-3</v>
      </c>
      <c r="X28" s="21">
        <f t="shared" si="6"/>
        <v>-7.431122521162721E-2</v>
      </c>
      <c r="Y28" s="25">
        <v>1.042953</v>
      </c>
    </row>
    <row r="29" spans="1:38" x14ac:dyDescent="0.25">
      <c r="L29">
        <f t="shared" si="7"/>
        <v>26</v>
      </c>
      <c r="M29">
        <f>'Data Hamburguesa'!B27</f>
        <v>6.22</v>
      </c>
      <c r="N29">
        <f>'Data Hamburguesa'!C27</f>
        <v>1.3</v>
      </c>
      <c r="O29">
        <f>'Data Hamburguesa'!A27</f>
        <v>74.400000000000006</v>
      </c>
      <c r="P29">
        <v>72.148116037966275</v>
      </c>
      <c r="Q29">
        <f t="shared" si="0"/>
        <v>2.2518839620337303</v>
      </c>
      <c r="R29" s="17">
        <v>3.388128394706845E-2</v>
      </c>
      <c r="S29">
        <f t="shared" si="1"/>
        <v>0.46087327614824303</v>
      </c>
      <c r="T29">
        <f t="shared" si="2"/>
        <v>24.136536884780476</v>
      </c>
      <c r="U29" s="21">
        <f t="shared" si="3"/>
        <v>0.46632992041787735</v>
      </c>
      <c r="V29">
        <f t="shared" si="4"/>
        <v>0.64238721923421294</v>
      </c>
      <c r="W29" s="17">
        <f t="shared" si="5"/>
        <v>2.5700446373232398E-3</v>
      </c>
      <c r="X29" s="21">
        <f t="shared" si="6"/>
        <v>8.7328894701596951E-2</v>
      </c>
      <c r="Y29" s="25">
        <v>1.069566</v>
      </c>
    </row>
    <row r="30" spans="1:38" x14ac:dyDescent="0.25">
      <c r="A30" s="11" t="s">
        <v>58</v>
      </c>
      <c r="B30" s="11">
        <f>[1]!DAGOSTINO(Q4:Q78)</f>
        <v>0.53519668944931498</v>
      </c>
      <c r="L30">
        <f t="shared" si="7"/>
        <v>27</v>
      </c>
      <c r="M30">
        <f>'Data Hamburguesa'!B28</f>
        <v>6.41</v>
      </c>
      <c r="N30">
        <f>'Data Hamburguesa'!C28</f>
        <v>1.1000000000000001</v>
      </c>
      <c r="O30">
        <f>'Data Hamburguesa'!A28</f>
        <v>68.7</v>
      </c>
      <c r="P30">
        <v>70.273106861691844</v>
      </c>
      <c r="Q30">
        <f t="shared" si="0"/>
        <v>-1.5731068616918407</v>
      </c>
      <c r="R30" s="17">
        <v>5.1330598397134983E-2</v>
      </c>
      <c r="S30">
        <f t="shared" si="1"/>
        <v>-0.32195393959128876</v>
      </c>
      <c r="T30">
        <f t="shared" si="2"/>
        <v>24.173723556692217</v>
      </c>
      <c r="U30" s="21">
        <f t="shared" si="3"/>
        <v>-0.32849518124282612</v>
      </c>
      <c r="V30">
        <f t="shared" si="4"/>
        <v>0.74349077510499972</v>
      </c>
      <c r="W30" s="17">
        <f t="shared" si="5"/>
        <v>1.9706648655263667E-3</v>
      </c>
      <c r="X30" s="21">
        <f t="shared" si="6"/>
        <v>-7.6411675071363316E-2</v>
      </c>
      <c r="Y30" s="25">
        <v>1.0942810000000001</v>
      </c>
    </row>
    <row r="31" spans="1:38" x14ac:dyDescent="0.25">
      <c r="A31" t="s">
        <v>25</v>
      </c>
      <c r="B31">
        <f>[1]!DPTEST(Q4:Q78)</f>
        <v>0.76521507205667971</v>
      </c>
      <c r="L31">
        <f t="shared" si="7"/>
        <v>28</v>
      </c>
      <c r="M31">
        <f>'Data Hamburguesa'!B29</f>
        <v>4.96</v>
      </c>
      <c r="N31">
        <f>'Data Hamburguesa'!C29</f>
        <v>1.1000000000000001</v>
      </c>
      <c r="O31">
        <f>'Data Hamburguesa'!A29</f>
        <v>83.9</v>
      </c>
      <c r="P31">
        <v>81.739495636018091</v>
      </c>
      <c r="Q31">
        <f t="shared" si="0"/>
        <v>2.1605043639819144</v>
      </c>
      <c r="R31" s="17">
        <v>4.986742916589508E-2</v>
      </c>
      <c r="S31">
        <f t="shared" si="1"/>
        <v>0.44217141786544967</v>
      </c>
      <c r="T31">
        <f t="shared" si="2"/>
        <v>24.141270010844732</v>
      </c>
      <c r="U31" s="21">
        <f t="shared" si="3"/>
        <v>0.45111055429951735</v>
      </c>
      <c r="V31">
        <f t="shared" si="4"/>
        <v>0.65326562590492077</v>
      </c>
      <c r="W31" s="17">
        <f t="shared" si="5"/>
        <v>3.6000509310449521E-3</v>
      </c>
      <c r="X31" s="21">
        <f t="shared" si="6"/>
        <v>0.10334735706679885</v>
      </c>
      <c r="Y31" s="25">
        <v>1.088201</v>
      </c>
    </row>
    <row r="32" spans="1:38" x14ac:dyDescent="0.25">
      <c r="A32" t="s">
        <v>55</v>
      </c>
      <c r="B32">
        <v>0.05</v>
      </c>
      <c r="L32" s="28">
        <f t="shared" si="7"/>
        <v>29</v>
      </c>
      <c r="M32">
        <f>'Data Hamburguesa'!B30</f>
        <v>4.83</v>
      </c>
      <c r="N32">
        <f>'Data Hamburguesa'!C30</f>
        <v>2.9</v>
      </c>
      <c r="O32">
        <f>'Data Hamburguesa'!A30</f>
        <v>86.1</v>
      </c>
      <c r="P32">
        <v>86.120168385635878</v>
      </c>
      <c r="Q32">
        <f t="shared" si="0"/>
        <v>-2.0168385635884079E-2</v>
      </c>
      <c r="R32" s="17">
        <v>7.3602151746704425E-2</v>
      </c>
      <c r="S32">
        <f t="shared" si="1"/>
        <v>-4.1276860261647147E-3</v>
      </c>
      <c r="T32">
        <f t="shared" si="2"/>
        <v>24.210457715666742</v>
      </c>
      <c r="U32" s="21">
        <f t="shared" si="3"/>
        <v>-4.2586394012858724E-3</v>
      </c>
      <c r="V32">
        <f t="shared" si="4"/>
        <v>0.9966138851846198</v>
      </c>
      <c r="W32" s="17">
        <f t="shared" si="5"/>
        <v>4.870656376268329E-7</v>
      </c>
      <c r="X32" s="21">
        <f t="shared" si="6"/>
        <v>-1.2003761407876176E-3</v>
      </c>
      <c r="Y32" s="27">
        <v>1.125705</v>
      </c>
    </row>
    <row r="33" spans="1:25" x14ac:dyDescent="0.25">
      <c r="A33" s="4" t="s">
        <v>56</v>
      </c>
      <c r="B33" s="56" t="str">
        <f>IF(B31&lt;B32,"no","yes")</f>
        <v>yes</v>
      </c>
      <c r="L33">
        <f t="shared" si="7"/>
        <v>30</v>
      </c>
      <c r="M33">
        <f>'Data Hamburguesa'!B31</f>
        <v>6.35</v>
      </c>
      <c r="N33">
        <f>'Data Hamburguesa'!C31</f>
        <v>1.4</v>
      </c>
      <c r="O33">
        <f>'Data Hamburguesa'!A31</f>
        <v>73.7</v>
      </c>
      <c r="P33">
        <v>71.306353402501145</v>
      </c>
      <c r="Q33">
        <f t="shared" si="0"/>
        <v>2.3936465974988579</v>
      </c>
      <c r="R33" s="17">
        <v>3.9777187941859235E-2</v>
      </c>
      <c r="S33">
        <f t="shared" si="1"/>
        <v>0.48988658737730706</v>
      </c>
      <c r="T33">
        <f t="shared" si="2"/>
        <v>24.126423193648026</v>
      </c>
      <c r="U33" s="21">
        <f t="shared" si="3"/>
        <v>0.49731041019042049</v>
      </c>
      <c r="V33">
        <f t="shared" si="4"/>
        <v>0.62048549561722666</v>
      </c>
      <c r="W33" s="17">
        <f t="shared" si="5"/>
        <v>3.4511185818752455E-3</v>
      </c>
      <c r="X33" s="21">
        <f t="shared" si="6"/>
        <v>0.1012181929114577</v>
      </c>
      <c r="Y33" s="25">
        <v>1.074781</v>
      </c>
    </row>
    <row r="34" spans="1:25" x14ac:dyDescent="0.25">
      <c r="L34">
        <f t="shared" si="7"/>
        <v>31</v>
      </c>
      <c r="M34">
        <f>'Data Hamburguesa'!B32</f>
        <v>6.47</v>
      </c>
      <c r="N34">
        <f>'Data Hamburguesa'!C32</f>
        <v>2.5</v>
      </c>
      <c r="O34">
        <f>'Data Hamburguesa'!A32</f>
        <v>75.7</v>
      </c>
      <c r="P34">
        <v>72.406253580913869</v>
      </c>
      <c r="Q34">
        <f t="shared" si="0"/>
        <v>3.2937464190861334</v>
      </c>
      <c r="R34" s="17">
        <v>5.172844459091637E-2</v>
      </c>
      <c r="S34">
        <f t="shared" si="1"/>
        <v>0.6741020978695671</v>
      </c>
      <c r="T34">
        <f t="shared" si="2"/>
        <v>24.04932913546574</v>
      </c>
      <c r="U34" s="21">
        <f t="shared" si="3"/>
        <v>0.68971919966687245</v>
      </c>
      <c r="V34">
        <f t="shared" si="4"/>
        <v>0.49258786963984413</v>
      </c>
      <c r="W34" s="17">
        <f t="shared" si="5"/>
        <v>8.7135288912381318E-3</v>
      </c>
      <c r="X34" s="21">
        <f t="shared" si="6"/>
        <v>0.16109077235867827</v>
      </c>
      <c r="Y34" s="25">
        <v>1.0779270000000001</v>
      </c>
    </row>
    <row r="35" spans="1:25" x14ac:dyDescent="0.25">
      <c r="L35">
        <f t="shared" si="7"/>
        <v>32</v>
      </c>
      <c r="M35">
        <f>'Data Hamburguesa'!B33</f>
        <v>5.69</v>
      </c>
      <c r="N35">
        <f>'Data Hamburguesa'!C33</f>
        <v>3</v>
      </c>
      <c r="O35">
        <f>'Data Hamburguesa'!A33</f>
        <v>78.8</v>
      </c>
      <c r="P35">
        <v>79.50567209137202</v>
      </c>
      <c r="Q35">
        <f t="shared" si="0"/>
        <v>-0.70567209137202269</v>
      </c>
      <c r="R35" s="17">
        <v>3.9454599800397977E-2</v>
      </c>
      <c r="S35">
        <f t="shared" si="1"/>
        <v>-0.14442369772165681</v>
      </c>
      <c r="T35">
        <f t="shared" si="2"/>
        <v>24.203162104864813</v>
      </c>
      <c r="U35" s="21">
        <f t="shared" si="3"/>
        <v>-0.14635512627750014</v>
      </c>
      <c r="V35">
        <f t="shared" si="4"/>
        <v>0.88405005586777463</v>
      </c>
      <c r="W35" s="17">
        <f t="shared" si="5"/>
        <v>2.9731547535067997E-4</v>
      </c>
      <c r="X35" s="21">
        <f t="shared" si="6"/>
        <v>-2.9661821136178709E-2</v>
      </c>
      <c r="Y35" s="25">
        <v>1.084705</v>
      </c>
    </row>
    <row r="36" spans="1:25" x14ac:dyDescent="0.25">
      <c r="L36">
        <f t="shared" si="7"/>
        <v>33</v>
      </c>
      <c r="M36">
        <f>'Data Hamburguesa'!B34</f>
        <v>5.56</v>
      </c>
      <c r="N36">
        <f>'Data Hamburguesa'!C34</f>
        <v>1</v>
      </c>
      <c r="O36">
        <f>'Data Hamburguesa'!A34</f>
        <v>73.7</v>
      </c>
      <c r="P36">
        <v>76.808524612684508</v>
      </c>
      <c r="Q36">
        <f t="shared" si="0"/>
        <v>-3.108524612684505</v>
      </c>
      <c r="R36" s="17">
        <v>2.7896475120305818E-2</v>
      </c>
      <c r="S36">
        <f t="shared" si="1"/>
        <v>-0.63619438052283483</v>
      </c>
      <c r="T36">
        <f t="shared" si="2"/>
        <v>24.070460767012712</v>
      </c>
      <c r="U36" s="21">
        <f t="shared" si="3"/>
        <v>-0.64262238485787315</v>
      </c>
      <c r="V36">
        <f t="shared" si="4"/>
        <v>0.52251030270488807</v>
      </c>
      <c r="W36" s="17">
        <f t="shared" si="5"/>
        <v>3.9827468058144244E-3</v>
      </c>
      <c r="X36" s="21">
        <f t="shared" si="6"/>
        <v>-0.1088614854587661</v>
      </c>
      <c r="Y36" s="25">
        <v>1.0542750000000001</v>
      </c>
    </row>
    <row r="37" spans="1:25" x14ac:dyDescent="0.25">
      <c r="L37">
        <f t="shared" si="7"/>
        <v>34</v>
      </c>
      <c r="M37">
        <f>'Data Hamburguesa'!B35</f>
        <v>6.41</v>
      </c>
      <c r="N37">
        <f>'Data Hamburguesa'!C35</f>
        <v>3.1</v>
      </c>
      <c r="O37">
        <f>'Data Hamburguesa'!A35</f>
        <v>80.2</v>
      </c>
      <c r="P37">
        <v>73.998275402905165</v>
      </c>
      <c r="Q37">
        <f t="shared" si="0"/>
        <v>6.201724597094838</v>
      </c>
      <c r="R37" s="17">
        <v>6.8959652380214065E-2</v>
      </c>
      <c r="S37">
        <f t="shared" si="1"/>
        <v>1.2692524042184319</v>
      </c>
      <c r="T37">
        <f t="shared" si="2"/>
        <v>23.628631231517922</v>
      </c>
      <c r="U37" s="21">
        <f t="shared" si="3"/>
        <v>1.3222358960808158</v>
      </c>
      <c r="V37">
        <f t="shared" si="4"/>
        <v>0.19027475418469947</v>
      </c>
      <c r="W37" s="17">
        <f t="shared" si="5"/>
        <v>4.2720152495335201E-2</v>
      </c>
      <c r="X37" s="21">
        <f t="shared" si="6"/>
        <v>0.35985059408347109</v>
      </c>
      <c r="Y37" s="25">
        <v>1.041263</v>
      </c>
    </row>
    <row r="38" spans="1:25" x14ac:dyDescent="0.25">
      <c r="L38">
        <f t="shared" si="7"/>
        <v>35</v>
      </c>
      <c r="M38">
        <f>'Data Hamburguesa'!B36</f>
        <v>5.54</v>
      </c>
      <c r="N38">
        <f>'Data Hamburguesa'!C36</f>
        <v>0.5</v>
      </c>
      <c r="O38">
        <f>'Data Hamburguesa'!A36</f>
        <v>69.900000000000006</v>
      </c>
      <c r="P38">
        <v>76.035389563923601</v>
      </c>
      <c r="Q38">
        <f t="shared" si="0"/>
        <v>-6.1353895639235958</v>
      </c>
      <c r="R38" s="17">
        <v>4.9411357876132399E-2</v>
      </c>
      <c r="S38">
        <f t="shared" si="1"/>
        <v>-1.2556761966622387</v>
      </c>
      <c r="T38">
        <f t="shared" si="2"/>
        <v>23.652721941983916</v>
      </c>
      <c r="U38" s="21">
        <f t="shared" si="3"/>
        <v>-1.2939135761910345</v>
      </c>
      <c r="V38">
        <f t="shared" si="4"/>
        <v>0.19983052831253828</v>
      </c>
      <c r="W38" s="17">
        <f t="shared" si="5"/>
        <v>2.8739262257942138E-2</v>
      </c>
      <c r="X38" s="21">
        <f t="shared" si="6"/>
        <v>-0.29500022937172127</v>
      </c>
      <c r="Y38" s="25">
        <v>1.022972</v>
      </c>
    </row>
    <row r="39" spans="1:25" x14ac:dyDescent="0.25">
      <c r="L39">
        <f t="shared" si="7"/>
        <v>36</v>
      </c>
      <c r="M39">
        <f>'Data Hamburguesa'!B37</f>
        <v>6.47</v>
      </c>
      <c r="N39">
        <f>'Data Hamburguesa'!C37</f>
        <v>2.7</v>
      </c>
      <c r="O39">
        <f>'Data Hamburguesa'!A37</f>
        <v>69.099999999999994</v>
      </c>
      <c r="P39">
        <v>72.778770435035199</v>
      </c>
      <c r="Q39">
        <f t="shared" si="0"/>
        <v>-3.6787704350352044</v>
      </c>
      <c r="R39" s="17">
        <v>5.7381631985383423E-2</v>
      </c>
      <c r="S39">
        <f t="shared" si="1"/>
        <v>-0.75290157538169644</v>
      </c>
      <c r="T39">
        <f t="shared" si="2"/>
        <v>24.008249942698981</v>
      </c>
      <c r="U39" s="21">
        <f t="shared" si="3"/>
        <v>-0.77331153186544477</v>
      </c>
      <c r="V39">
        <f t="shared" si="4"/>
        <v>0.44186955426131036</v>
      </c>
      <c r="W39" s="17">
        <f t="shared" si="5"/>
        <v>1.2202709046149977E-2</v>
      </c>
      <c r="X39" s="21">
        <f t="shared" si="6"/>
        <v>-0.19079763419700266</v>
      </c>
      <c r="Y39" s="25">
        <v>1.0788439999999999</v>
      </c>
    </row>
    <row r="40" spans="1:25" x14ac:dyDescent="0.25">
      <c r="L40">
        <f t="shared" si="7"/>
        <v>37</v>
      </c>
      <c r="M40">
        <f>'Data Hamburguesa'!B38</f>
        <v>4.9400000000000004</v>
      </c>
      <c r="N40">
        <f>'Data Hamburguesa'!C38</f>
        <v>0.9</v>
      </c>
      <c r="O40">
        <f>'Data Hamburguesa'!A38</f>
        <v>83.8</v>
      </c>
      <c r="P40">
        <v>81.525135868439207</v>
      </c>
      <c r="Q40">
        <f t="shared" si="0"/>
        <v>2.2748641315607898</v>
      </c>
      <c r="R40" s="17">
        <v>5.7679616871564261E-2</v>
      </c>
      <c r="S40">
        <f t="shared" si="1"/>
        <v>0.46557642524248544</v>
      </c>
      <c r="T40">
        <f t="shared" si="2"/>
        <v>24.133115026569264</v>
      </c>
      <c r="U40" s="21">
        <f t="shared" si="3"/>
        <v>0.47703415933002491</v>
      </c>
      <c r="V40">
        <f t="shared" si="4"/>
        <v>0.63478257191965004</v>
      </c>
      <c r="W40" s="17">
        <f t="shared" si="5"/>
        <v>4.6933820108872844E-3</v>
      </c>
      <c r="X40" s="21">
        <f t="shared" si="6"/>
        <v>0.11802156516253814</v>
      </c>
      <c r="Y40" s="25">
        <v>1.0961110000000001</v>
      </c>
    </row>
    <row r="41" spans="1:25" x14ac:dyDescent="0.25">
      <c r="L41" s="31">
        <f t="shared" si="7"/>
        <v>38</v>
      </c>
      <c r="M41">
        <f>'Data Hamburguesa'!B39</f>
        <v>6.16</v>
      </c>
      <c r="N41">
        <f>'Data Hamburguesa'!C39</f>
        <v>1.5</v>
      </c>
      <c r="O41">
        <f>'Data Hamburguesa'!A39</f>
        <v>84.3</v>
      </c>
      <c r="P41">
        <v>72.995104151714898</v>
      </c>
      <c r="Q41">
        <f t="shared" si="0"/>
        <v>11.304895848285099</v>
      </c>
      <c r="R41" s="17">
        <v>2.716299079350408E-2</v>
      </c>
      <c r="S41">
        <f t="shared" si="1"/>
        <v>2.3136735613181578</v>
      </c>
      <c r="T41">
        <f t="shared" si="2"/>
        <v>22.360195641643099</v>
      </c>
      <c r="U41" s="21">
        <f t="shared" si="3"/>
        <v>2.4238666543345802</v>
      </c>
      <c r="V41" s="31">
        <f t="shared" si="4"/>
        <v>1.7869571529014736E-2</v>
      </c>
      <c r="W41" s="17">
        <f t="shared" si="5"/>
        <v>5.1213013507949219E-2</v>
      </c>
      <c r="X41" s="30">
        <f t="shared" si="6"/>
        <v>0.40502093816652202</v>
      </c>
      <c r="Y41" s="29">
        <v>0.84450020000000003</v>
      </c>
    </row>
    <row r="42" spans="1:25" x14ac:dyDescent="0.25">
      <c r="L42" s="31">
        <f t="shared" si="7"/>
        <v>39</v>
      </c>
      <c r="M42">
        <f>'Data Hamburguesa'!B40</f>
        <v>5.93</v>
      </c>
      <c r="N42">
        <f>'Data Hamburguesa'!C40</f>
        <v>2.8</v>
      </c>
      <c r="O42">
        <f>'Data Hamburguesa'!A40</f>
        <v>66</v>
      </c>
      <c r="P42">
        <v>77.235270198741517</v>
      </c>
      <c r="Q42">
        <f t="shared" si="0"/>
        <v>-11.235270198741517</v>
      </c>
      <c r="R42" s="17">
        <v>3.3783569629623228E-2</v>
      </c>
      <c r="S42">
        <f t="shared" si="1"/>
        <v>-2.2994238922632215</v>
      </c>
      <c r="T42">
        <f t="shared" si="2"/>
        <v>22.370394193203612</v>
      </c>
      <c r="U42" s="21">
        <f t="shared" si="3"/>
        <v>-2.416626278182131</v>
      </c>
      <c r="V42" s="31">
        <f t="shared" si="4"/>
        <v>1.820096809847738E-2</v>
      </c>
      <c r="W42" s="20">
        <f t="shared" si="5"/>
        <v>6.3778385876982285E-2</v>
      </c>
      <c r="X42" s="21">
        <f t="shared" si="6"/>
        <v>-0.4518820106356406</v>
      </c>
      <c r="Y42" s="29">
        <v>0.85145090000000001</v>
      </c>
    </row>
    <row r="43" spans="1:25" x14ac:dyDescent="0.25">
      <c r="L43">
        <f t="shared" si="7"/>
        <v>40</v>
      </c>
      <c r="M43">
        <f>'Data Hamburguesa'!B41</f>
        <v>5.2</v>
      </c>
      <c r="N43">
        <f>'Data Hamburguesa'!C41</f>
        <v>2.2999999999999998</v>
      </c>
      <c r="O43">
        <f>'Data Hamburguesa'!A41</f>
        <v>84.3</v>
      </c>
      <c r="P43">
        <v>82.076711722236922</v>
      </c>
      <c r="Q43">
        <f t="shared" si="0"/>
        <v>2.2232882777630749</v>
      </c>
      <c r="R43" s="17">
        <v>2.9708702391949462E-2</v>
      </c>
      <c r="S43">
        <f t="shared" si="1"/>
        <v>0.4550208490624284</v>
      </c>
      <c r="T43">
        <f t="shared" si="2"/>
        <v>24.138712385577882</v>
      </c>
      <c r="U43" s="21">
        <f t="shared" si="3"/>
        <v>0.45939647659393446</v>
      </c>
      <c r="V43">
        <f t="shared" si="4"/>
        <v>0.64733353940437088</v>
      </c>
      <c r="W43" s="17">
        <f t="shared" si="5"/>
        <v>2.1778138175333503E-3</v>
      </c>
      <c r="X43" s="21">
        <f t="shared" si="6"/>
        <v>8.0385632533956267E-2</v>
      </c>
      <c r="Y43" s="25">
        <v>1.0652539999999999</v>
      </c>
    </row>
    <row r="44" spans="1:25" x14ac:dyDescent="0.25">
      <c r="L44">
        <f t="shared" si="7"/>
        <v>41</v>
      </c>
      <c r="M44">
        <f>'Data Hamburguesa'!B42</f>
        <v>5.62</v>
      </c>
      <c r="N44">
        <f>'Data Hamburguesa'!C42</f>
        <v>1.2</v>
      </c>
      <c r="O44">
        <f>'Data Hamburguesa'!A42</f>
        <v>79.5</v>
      </c>
      <c r="P44">
        <v>76.706570207178544</v>
      </c>
      <c r="Q44">
        <f t="shared" si="0"/>
        <v>2.7934297928214562</v>
      </c>
      <c r="R44" s="17">
        <v>2.1597323484479302E-2</v>
      </c>
      <c r="S44">
        <f t="shared" si="1"/>
        <v>0.57170669626557269</v>
      </c>
      <c r="T44">
        <f t="shared" si="2"/>
        <v>24.098132921752935</v>
      </c>
      <c r="U44" s="21">
        <f t="shared" si="3"/>
        <v>0.57529055894337411</v>
      </c>
      <c r="V44">
        <f t="shared" si="4"/>
        <v>0.56688837631032696</v>
      </c>
      <c r="W44" s="17">
        <f t="shared" si="5"/>
        <v>2.4580458094405466E-3</v>
      </c>
      <c r="X44" s="21">
        <f t="shared" si="6"/>
        <v>8.5472891758102798E-2</v>
      </c>
      <c r="Y44" s="25">
        <v>1.051104</v>
      </c>
    </row>
    <row r="45" spans="1:25" x14ac:dyDescent="0.25">
      <c r="L45">
        <f t="shared" si="7"/>
        <v>42</v>
      </c>
      <c r="M45">
        <f>'Data Hamburguesa'!B43</f>
        <v>5.28</v>
      </c>
      <c r="N45">
        <f>'Data Hamburguesa'!C43</f>
        <v>3.1</v>
      </c>
      <c r="O45">
        <f>'Data Hamburguesa'!A43</f>
        <v>80.2</v>
      </c>
      <c r="P45">
        <v>82.934150792552515</v>
      </c>
      <c r="Q45">
        <f t="shared" si="0"/>
        <v>-2.7341507925525121</v>
      </c>
      <c r="R45" s="17">
        <v>5.3363636316669724E-2</v>
      </c>
      <c r="S45">
        <f t="shared" si="1"/>
        <v>-0.55957458487735201</v>
      </c>
      <c r="T45">
        <f t="shared" si="2"/>
        <v>24.099238649081396</v>
      </c>
      <c r="U45" s="21">
        <f t="shared" si="3"/>
        <v>-0.57243899430329448</v>
      </c>
      <c r="V45">
        <f t="shared" si="4"/>
        <v>0.56880782393830231</v>
      </c>
      <c r="W45" s="17">
        <f t="shared" si="5"/>
        <v>6.2154668839880765E-3</v>
      </c>
      <c r="X45" s="21">
        <f t="shared" si="6"/>
        <v>-0.13591278955399341</v>
      </c>
      <c r="Y45" s="25">
        <v>1.086525</v>
      </c>
    </row>
    <row r="46" spans="1:25" x14ac:dyDescent="0.25">
      <c r="L46">
        <f t="shared" si="7"/>
        <v>43</v>
      </c>
      <c r="M46">
        <f>'Data Hamburguesa'!B44</f>
        <v>5.46</v>
      </c>
      <c r="N46">
        <f>'Data Hamburguesa'!C44</f>
        <v>1</v>
      </c>
      <c r="O46">
        <f>'Data Hamburguesa'!A44</f>
        <v>67.599999999999994</v>
      </c>
      <c r="P46">
        <v>77.599310045396663</v>
      </c>
      <c r="Q46">
        <f t="shared" si="0"/>
        <v>-9.999310045396669</v>
      </c>
      <c r="R46" s="17">
        <v>2.9540009375722667E-2</v>
      </c>
      <c r="S46">
        <f t="shared" si="1"/>
        <v>-2.0464708029103016</v>
      </c>
      <c r="T46">
        <f t="shared" si="2"/>
        <v>22.759341369225083</v>
      </c>
      <c r="U46" s="21">
        <f t="shared" si="3"/>
        <v>-2.1276558018611085</v>
      </c>
      <c r="V46" s="31">
        <f t="shared" si="4"/>
        <v>3.6790635678236393E-2</v>
      </c>
      <c r="W46" s="17">
        <f t="shared" si="5"/>
        <v>4.3787001824612481E-2</v>
      </c>
      <c r="X46" s="21">
        <f t="shared" si="6"/>
        <v>-0.37120846284510839</v>
      </c>
      <c r="Y46" s="25">
        <v>0.89271849999999997</v>
      </c>
    </row>
    <row r="47" spans="1:25" x14ac:dyDescent="0.25">
      <c r="L47">
        <f t="shared" si="7"/>
        <v>44</v>
      </c>
      <c r="M47">
        <f>'Data Hamburguesa'!B45</f>
        <v>5.1100000000000003</v>
      </c>
      <c r="N47">
        <f>'Data Hamburguesa'!C45</f>
        <v>2.5</v>
      </c>
      <c r="O47">
        <f>'Data Hamburguesa'!A45</f>
        <v>86.5</v>
      </c>
      <c r="P47">
        <v>83.160935465799184</v>
      </c>
      <c r="Q47">
        <f t="shared" si="0"/>
        <v>3.3390645342008156</v>
      </c>
      <c r="R47" s="17">
        <v>3.9135414192460381E-2</v>
      </c>
      <c r="S47">
        <f t="shared" si="1"/>
        <v>0.68337695773530549</v>
      </c>
      <c r="T47">
        <f t="shared" si="2"/>
        <v>24.047034912548853</v>
      </c>
      <c r="U47" s="21">
        <f t="shared" si="3"/>
        <v>0.69464506114283409</v>
      </c>
      <c r="V47">
        <f t="shared" si="4"/>
        <v>0.48951333204286174</v>
      </c>
      <c r="W47" s="17">
        <f t="shared" si="5"/>
        <v>6.5984961532558574E-3</v>
      </c>
      <c r="X47" s="21">
        <f t="shared" si="6"/>
        <v>0.14018993230164434</v>
      </c>
      <c r="Y47" s="25">
        <v>1.0634950000000001</v>
      </c>
    </row>
    <row r="48" spans="1:25" x14ac:dyDescent="0.25">
      <c r="L48">
        <f t="shared" si="7"/>
        <v>45</v>
      </c>
      <c r="M48">
        <f>'Data Hamburguesa'!B46</f>
        <v>5.04</v>
      </c>
      <c r="N48">
        <f>'Data Hamburguesa'!C46</f>
        <v>2.1</v>
      </c>
      <c r="O48">
        <f>'Data Hamburguesa'!A46</f>
        <v>87.6</v>
      </c>
      <c r="P48">
        <v>82.969451560455042</v>
      </c>
      <c r="Q48">
        <f t="shared" si="0"/>
        <v>4.6305484395449525</v>
      </c>
      <c r="R48" s="17">
        <v>3.5963427169325587E-2</v>
      </c>
      <c r="S48">
        <f t="shared" si="1"/>
        <v>0.94769360485558207</v>
      </c>
      <c r="T48">
        <f t="shared" si="2"/>
        <v>23.897198085479282</v>
      </c>
      <c r="U48" s="21">
        <f t="shared" si="3"/>
        <v>0.96474421901744789</v>
      </c>
      <c r="V48">
        <f t="shared" si="4"/>
        <v>0.33790216830221598</v>
      </c>
      <c r="W48" s="17">
        <f t="shared" si="5"/>
        <v>1.1584804160685856E-2</v>
      </c>
      <c r="X48" s="21">
        <f t="shared" si="6"/>
        <v>0.18633565552720233</v>
      </c>
      <c r="Y48" s="25">
        <v>1.040305</v>
      </c>
    </row>
    <row r="49" spans="12:25" x14ac:dyDescent="0.25">
      <c r="L49">
        <f t="shared" si="7"/>
        <v>46</v>
      </c>
      <c r="M49">
        <f>'Data Hamburguesa'!B47</f>
        <v>5.08</v>
      </c>
      <c r="N49">
        <f>'Data Hamburguesa'!C47</f>
        <v>2.8</v>
      </c>
      <c r="O49">
        <f>'Data Hamburguesa'!A47</f>
        <v>84.2</v>
      </c>
      <c r="P49">
        <v>83.956946376794832</v>
      </c>
      <c r="Q49">
        <f t="shared" si="0"/>
        <v>0.24305362320517077</v>
      </c>
      <c r="R49" s="17">
        <v>5.0711664590424824E-2</v>
      </c>
      <c r="S49">
        <f t="shared" si="1"/>
        <v>4.974364642887838E-2</v>
      </c>
      <c r="T49">
        <f t="shared" si="2"/>
        <v>24.209587408413356</v>
      </c>
      <c r="U49" s="21">
        <f t="shared" si="3"/>
        <v>5.0700160394335295E-2</v>
      </c>
      <c r="V49">
        <f t="shared" si="4"/>
        <v>0.95970484158758851</v>
      </c>
      <c r="W49" s="17">
        <f t="shared" si="5"/>
        <v>4.6415769886579701E-5</v>
      </c>
      <c r="X49" s="21">
        <f t="shared" si="6"/>
        <v>1.1718288722431561E-2</v>
      </c>
      <c r="Y49" s="25">
        <v>1.0984419999999999</v>
      </c>
    </row>
    <row r="50" spans="12:25" x14ac:dyDescent="0.25">
      <c r="L50">
        <f t="shared" si="7"/>
        <v>47</v>
      </c>
      <c r="M50">
        <f>'Data Hamburguesa'!B48</f>
        <v>5.86</v>
      </c>
      <c r="N50">
        <f>'Data Hamburguesa'!C48</f>
        <v>3.1</v>
      </c>
      <c r="O50">
        <f>'Data Hamburguesa'!A48</f>
        <v>75.2</v>
      </c>
      <c r="P50">
        <v>78.347595282822013</v>
      </c>
      <c r="Q50">
        <f t="shared" si="0"/>
        <v>-3.1475952828220102</v>
      </c>
      <c r="R50" s="17">
        <v>4.5318587546368132E-2</v>
      </c>
      <c r="S50">
        <f t="shared" si="1"/>
        <v>-0.64419063079645777</v>
      </c>
      <c r="T50">
        <f t="shared" si="2"/>
        <v>24.064299719439006</v>
      </c>
      <c r="U50" s="21">
        <f t="shared" si="3"/>
        <v>-0.65669398482140107</v>
      </c>
      <c r="V50">
        <f t="shared" si="4"/>
        <v>0.51347123287358687</v>
      </c>
      <c r="W50" s="17">
        <f t="shared" si="5"/>
        <v>6.878076235326297E-3</v>
      </c>
      <c r="X50" s="21">
        <f t="shared" si="6"/>
        <v>-0.1430777123308028</v>
      </c>
      <c r="Y50" s="25">
        <v>1.0726899999999999</v>
      </c>
    </row>
    <row r="51" spans="12:25" x14ac:dyDescent="0.25">
      <c r="L51" s="28">
        <f t="shared" si="7"/>
        <v>48</v>
      </c>
      <c r="M51">
        <f>'Data Hamburguesa'!B49</f>
        <v>4.8899999999999997</v>
      </c>
      <c r="N51">
        <f>'Data Hamburguesa'!C49</f>
        <v>3.1</v>
      </c>
      <c r="O51">
        <f>'Data Hamburguesa'!A49</f>
        <v>84.7</v>
      </c>
      <c r="P51">
        <v>86.018213980129929</v>
      </c>
      <c r="Q51">
        <f t="shared" si="0"/>
        <v>-1.3182139801299257</v>
      </c>
      <c r="R51" s="17">
        <v>7.7806926515676333E-2</v>
      </c>
      <c r="S51">
        <f t="shared" si="1"/>
        <v>-0.26978725632834971</v>
      </c>
      <c r="T51">
        <f t="shared" si="2"/>
        <v>24.183924468036945</v>
      </c>
      <c r="U51" s="21">
        <f t="shared" si="3"/>
        <v>-0.27913326551461481</v>
      </c>
      <c r="V51">
        <f t="shared" si="4"/>
        <v>0.78094277957247749</v>
      </c>
      <c r="W51" s="17">
        <f t="shared" si="5"/>
        <v>2.2197095818113576E-3</v>
      </c>
      <c r="X51" s="21">
        <f t="shared" si="6"/>
        <v>-8.1079264155510797E-2</v>
      </c>
      <c r="Y51" s="27">
        <v>1.127124</v>
      </c>
    </row>
    <row r="52" spans="12:25" x14ac:dyDescent="0.25">
      <c r="L52">
        <f t="shared" si="7"/>
        <v>49</v>
      </c>
      <c r="M52">
        <f>'Data Hamburguesa'!B50</f>
        <v>5.68</v>
      </c>
      <c r="N52">
        <f>'Data Hamburguesa'!C50</f>
        <v>0.9</v>
      </c>
      <c r="O52">
        <f>'Data Hamburguesa'!A50</f>
        <v>73.7</v>
      </c>
      <c r="P52">
        <v>75.673323666369257</v>
      </c>
      <c r="Q52">
        <f t="shared" si="0"/>
        <v>-1.9733236663692537</v>
      </c>
      <c r="R52" s="17">
        <v>3.0746980603897606E-2</v>
      </c>
      <c r="S52">
        <f t="shared" si="1"/>
        <v>-0.40386279149086901</v>
      </c>
      <c r="T52">
        <f t="shared" si="2"/>
        <v>24.153878923695604</v>
      </c>
      <c r="U52" s="21">
        <f t="shared" si="3"/>
        <v>-0.40783669684177615</v>
      </c>
      <c r="V52">
        <f t="shared" si="4"/>
        <v>0.6846037798953255</v>
      </c>
      <c r="W52" s="17">
        <f t="shared" si="5"/>
        <v>1.77940406989952E-3</v>
      </c>
      <c r="X52" s="21">
        <f t="shared" si="6"/>
        <v>-7.2638849400719643E-2</v>
      </c>
      <c r="Y52" s="25">
        <v>1.0684070000000001</v>
      </c>
    </row>
    <row r="53" spans="12:25" x14ac:dyDescent="0.25">
      <c r="L53">
        <f t="shared" si="7"/>
        <v>50</v>
      </c>
      <c r="M53">
        <f>'Data Hamburguesa'!B51</f>
        <v>5.83</v>
      </c>
      <c r="N53">
        <f>'Data Hamburguesa'!C51</f>
        <v>1.8</v>
      </c>
      <c r="O53">
        <f>'Data Hamburguesa'!A51</f>
        <v>81.2</v>
      </c>
      <c r="P53">
        <v>76.163471360847012</v>
      </c>
      <c r="Q53">
        <f t="shared" si="0"/>
        <v>5.0365286391529906</v>
      </c>
      <c r="R53" s="17">
        <v>1.4407564597993562E-2</v>
      </c>
      <c r="S53">
        <f t="shared" si="1"/>
        <v>1.0307820000834138</v>
      </c>
      <c r="T53">
        <f t="shared" si="2"/>
        <v>23.84796482268343</v>
      </c>
      <c r="U53" s="21">
        <f t="shared" si="3"/>
        <v>1.0388598593739593</v>
      </c>
      <c r="V53">
        <f t="shared" si="4"/>
        <v>0.3023461187165068</v>
      </c>
      <c r="W53" s="17">
        <f t="shared" si="5"/>
        <v>5.2530102703488846E-3</v>
      </c>
      <c r="X53" s="21">
        <f t="shared" si="6"/>
        <v>0.12560402966883774</v>
      </c>
      <c r="Y53" s="25">
        <v>1.0112760000000001</v>
      </c>
    </row>
    <row r="54" spans="12:25" x14ac:dyDescent="0.25">
      <c r="L54">
        <f t="shared" si="7"/>
        <v>51</v>
      </c>
      <c r="M54">
        <f>'Data Hamburguesa'!B52</f>
        <v>6.33</v>
      </c>
      <c r="N54">
        <f>'Data Hamburguesa'!C52</f>
        <v>3.1</v>
      </c>
      <c r="O54">
        <f>'Data Hamburguesa'!A52</f>
        <v>69</v>
      </c>
      <c r="P54">
        <v>74.630903749074889</v>
      </c>
      <c r="Q54">
        <f t="shared" si="0"/>
        <v>-5.6309037490748892</v>
      </c>
      <c r="R54" s="17">
        <v>6.3629155357342315E-2</v>
      </c>
      <c r="S54">
        <f t="shared" si="1"/>
        <v>-1.1524275239155046</v>
      </c>
      <c r="T54">
        <f t="shared" si="2"/>
        <v>23.733539023089374</v>
      </c>
      <c r="U54" s="21">
        <f t="shared" si="3"/>
        <v>-1.1944635764364322</v>
      </c>
      <c r="V54">
        <f t="shared" si="4"/>
        <v>0.23621683184798772</v>
      </c>
      <c r="W54" s="17">
        <f t="shared" si="5"/>
        <v>3.2126719559960701E-2</v>
      </c>
      <c r="X54" s="21">
        <f t="shared" si="6"/>
        <v>-0.3113702022623851</v>
      </c>
      <c r="Y54" s="25">
        <v>1.0491870000000001</v>
      </c>
    </row>
    <row r="55" spans="12:25" x14ac:dyDescent="0.25">
      <c r="L55">
        <f t="shared" si="7"/>
        <v>52</v>
      </c>
      <c r="M55">
        <f>'Data Hamburguesa'!B53</f>
        <v>6.47</v>
      </c>
      <c r="N55">
        <f>'Data Hamburguesa'!C53</f>
        <v>1.9</v>
      </c>
      <c r="O55">
        <f>'Data Hamburguesa'!A53</f>
        <v>69.7</v>
      </c>
      <c r="P55">
        <v>71.288703018549882</v>
      </c>
      <c r="Q55">
        <f t="shared" si="0"/>
        <v>-1.5887030185498787</v>
      </c>
      <c r="R55" s="17">
        <v>4.4153190012157471E-2</v>
      </c>
      <c r="S55">
        <f t="shared" si="1"/>
        <v>-0.32514586778460225</v>
      </c>
      <c r="T55">
        <f t="shared" si="2"/>
        <v>24.17327281926633</v>
      </c>
      <c r="U55" s="21">
        <f t="shared" si="3"/>
        <v>-0.33050714026248423</v>
      </c>
      <c r="V55">
        <f t="shared" si="4"/>
        <v>0.74197663566272243</v>
      </c>
      <c r="W55" s="17">
        <f t="shared" si="5"/>
        <v>1.7030238081117389E-3</v>
      </c>
      <c r="X55" s="21">
        <f t="shared" si="6"/>
        <v>-7.1034240607998553E-2</v>
      </c>
      <c r="Y55" s="25">
        <v>1.0860030000000001</v>
      </c>
    </row>
    <row r="56" spans="12:25" x14ac:dyDescent="0.25">
      <c r="L56">
        <f t="shared" si="7"/>
        <v>53</v>
      </c>
      <c r="M56">
        <f>'Data Hamburguesa'!B54</f>
        <v>5.7</v>
      </c>
      <c r="N56">
        <f>'Data Hamburguesa'!C54</f>
        <v>0.7</v>
      </c>
      <c r="O56">
        <f>'Data Hamburguesa'!A54</f>
        <v>78.099999999999994</v>
      </c>
      <c r="P56">
        <v>75.142649725705482</v>
      </c>
      <c r="Q56">
        <f t="shared" si="0"/>
        <v>2.9573502742945124</v>
      </c>
      <c r="R56" s="17">
        <v>3.8952421853755838E-2</v>
      </c>
      <c r="S56">
        <f t="shared" si="1"/>
        <v>0.60525485886985575</v>
      </c>
      <c r="T56">
        <f t="shared" si="2"/>
        <v>24.082289204174653</v>
      </c>
      <c r="U56" s="21">
        <f t="shared" si="3"/>
        <v>0.61472579626755564</v>
      </c>
      <c r="V56">
        <f t="shared" si="4"/>
        <v>0.54067371643745576</v>
      </c>
      <c r="W56" s="17">
        <f t="shared" si="5"/>
        <v>5.1499143016410483E-3</v>
      </c>
      <c r="X56" s="21">
        <f t="shared" si="6"/>
        <v>0.12375883894794194</v>
      </c>
      <c r="Y56" s="25">
        <v>1.067976</v>
      </c>
    </row>
    <row r="57" spans="12:25" x14ac:dyDescent="0.25">
      <c r="L57">
        <f t="shared" si="7"/>
        <v>54</v>
      </c>
      <c r="M57">
        <f>'Data Hamburguesa'!B55</f>
        <v>5.22</v>
      </c>
      <c r="N57">
        <f>'Data Hamburguesa'!C55</f>
        <v>1.6</v>
      </c>
      <c r="O57">
        <f>'Data Hamburguesa'!A55</f>
        <v>88</v>
      </c>
      <c r="P57">
        <v>80.614745646269824</v>
      </c>
      <c r="Q57">
        <f t="shared" si="0"/>
        <v>7.3852543537301756</v>
      </c>
      <c r="R57" s="17">
        <v>2.5291041147567077E-2</v>
      </c>
      <c r="S57">
        <f t="shared" si="1"/>
        <v>1.5114750256126734</v>
      </c>
      <c r="T57">
        <f t="shared" si="2"/>
        <v>23.422334355432049</v>
      </c>
      <c r="U57" s="21">
        <f t="shared" si="3"/>
        <v>1.5456561644189186</v>
      </c>
      <c r="V57">
        <f t="shared" si="4"/>
        <v>0.12657196863014422</v>
      </c>
      <c r="W57" s="17">
        <f t="shared" si="5"/>
        <v>2.0272041616034527E-2</v>
      </c>
      <c r="X57" s="21">
        <f t="shared" si="6"/>
        <v>0.24897673386480543</v>
      </c>
      <c r="Y57" s="25">
        <v>0.96878790000000004</v>
      </c>
    </row>
    <row r="58" spans="12:25" x14ac:dyDescent="0.25">
      <c r="L58">
        <f t="shared" si="7"/>
        <v>55</v>
      </c>
      <c r="M58">
        <f>'Data Hamburguesa'!B56</f>
        <v>5.05</v>
      </c>
      <c r="N58">
        <f>'Data Hamburguesa'!C56</f>
        <v>2.9</v>
      </c>
      <c r="O58">
        <f>'Data Hamburguesa'!A56</f>
        <v>80.400000000000006</v>
      </c>
      <c r="P58">
        <v>84.38044043366915</v>
      </c>
      <c r="Q58">
        <f t="shared" si="0"/>
        <v>-3.9804404336691448</v>
      </c>
      <c r="R58" s="17">
        <v>5.6676381656499374E-2</v>
      </c>
      <c r="S58">
        <f t="shared" si="1"/>
        <v>-0.81464171960320297</v>
      </c>
      <c r="T58">
        <f t="shared" si="2"/>
        <v>23.97390287043449</v>
      </c>
      <c r="U58" s="21">
        <f t="shared" si="3"/>
        <v>-0.83701146032603424</v>
      </c>
      <c r="V58">
        <f t="shared" si="4"/>
        <v>0.40535576365072068</v>
      </c>
      <c r="W58" s="17">
        <f t="shared" si="5"/>
        <v>1.4089407822394756E-2</v>
      </c>
      <c r="X58" s="21">
        <f t="shared" si="6"/>
        <v>-0.20516444908496148</v>
      </c>
      <c r="Y58" s="25">
        <v>1.0734170000000001</v>
      </c>
    </row>
    <row r="59" spans="12:25" x14ac:dyDescent="0.25">
      <c r="L59">
        <f t="shared" si="7"/>
        <v>56</v>
      </c>
      <c r="M59">
        <f>'Data Hamburguesa'!B57</f>
        <v>5.76</v>
      </c>
      <c r="N59">
        <f>'Data Hamburguesa'!C57</f>
        <v>2.2999999999999998</v>
      </c>
      <c r="O59">
        <f>'Data Hamburguesa'!A57</f>
        <v>79.7</v>
      </c>
      <c r="P59">
        <v>77.648313299048851</v>
      </c>
      <c r="Q59">
        <f t="shared" si="0"/>
        <v>2.0516867009511515</v>
      </c>
      <c r="R59" s="17">
        <v>1.7610367716395649E-2</v>
      </c>
      <c r="S59">
        <f t="shared" si="1"/>
        <v>0.41990066426121397</v>
      </c>
      <c r="T59">
        <f t="shared" si="2"/>
        <v>24.150113525669553</v>
      </c>
      <c r="U59" s="21">
        <f t="shared" si="3"/>
        <v>0.42122056837425997</v>
      </c>
      <c r="V59">
        <f t="shared" si="4"/>
        <v>0.67484883623854963</v>
      </c>
      <c r="W59" s="17">
        <f t="shared" si="5"/>
        <v>1.072439378044434E-3</v>
      </c>
      <c r="X59" s="21">
        <f t="shared" si="6"/>
        <v>5.6396466826774072E-2</v>
      </c>
      <c r="Y59" s="25">
        <v>1.0536270000000001</v>
      </c>
    </row>
    <row r="60" spans="12:25" x14ac:dyDescent="0.25">
      <c r="L60">
        <f t="shared" si="7"/>
        <v>57</v>
      </c>
      <c r="M60">
        <f>'Data Hamburguesa'!B58</f>
        <v>6.25</v>
      </c>
      <c r="N60">
        <f>'Data Hamburguesa'!C58</f>
        <v>1.7</v>
      </c>
      <c r="O60">
        <f>'Data Hamburguesa'!A58</f>
        <v>73.2</v>
      </c>
      <c r="P60">
        <v>72.65591411639528</v>
      </c>
      <c r="Q60">
        <f t="shared" si="0"/>
        <v>0.54408588360472265</v>
      </c>
      <c r="R60" s="17">
        <v>2.9809336244832955E-2</v>
      </c>
      <c r="S60">
        <f t="shared" si="1"/>
        <v>0.11135327037742106</v>
      </c>
      <c r="T60">
        <f t="shared" si="2"/>
        <v>24.206166364370159</v>
      </c>
      <c r="U60" s="21">
        <f t="shared" si="3"/>
        <v>0.1122731495249569</v>
      </c>
      <c r="V60">
        <f t="shared" si="4"/>
        <v>0.91091926047770588</v>
      </c>
      <c r="W60" s="17">
        <f t="shared" si="5"/>
        <v>1.3089492905656321E-4</v>
      </c>
      <c r="X60" s="21">
        <f t="shared" si="6"/>
        <v>1.9679928361619137E-2</v>
      </c>
      <c r="Y60" s="25">
        <v>1.0743210000000001</v>
      </c>
    </row>
    <row r="61" spans="12:25" x14ac:dyDescent="0.25">
      <c r="L61">
        <f t="shared" si="7"/>
        <v>58</v>
      </c>
      <c r="M61">
        <f>'Data Hamburguesa'!B59</f>
        <v>5.34</v>
      </c>
      <c r="N61">
        <f>'Data Hamburguesa'!C59</f>
        <v>1.8</v>
      </c>
      <c r="O61">
        <f>'Data Hamburguesa'!A59</f>
        <v>85.9</v>
      </c>
      <c r="P61">
        <v>80.038319981136567</v>
      </c>
      <c r="Q61">
        <f t="shared" si="0"/>
        <v>5.8616800188634386</v>
      </c>
      <c r="R61" s="17">
        <v>1.9411130743180564E-2</v>
      </c>
      <c r="S61">
        <f t="shared" si="1"/>
        <v>1.1996584724492225</v>
      </c>
      <c r="T61">
        <f t="shared" si="2"/>
        <v>23.716950548515268</v>
      </c>
      <c r="U61" s="21">
        <f t="shared" si="3"/>
        <v>1.2154838801433556</v>
      </c>
      <c r="V61">
        <f t="shared" si="4"/>
        <v>0.22815215407119235</v>
      </c>
      <c r="W61" s="17">
        <f t="shared" si="5"/>
        <v>9.6843597187809254E-3</v>
      </c>
      <c r="X61" s="21">
        <f t="shared" si="6"/>
        <v>0.17101379371454295</v>
      </c>
      <c r="Y61" s="25">
        <v>0.99977590000000005</v>
      </c>
    </row>
    <row r="62" spans="12:25" x14ac:dyDescent="0.25">
      <c r="L62">
        <f t="shared" si="7"/>
        <v>59</v>
      </c>
      <c r="M62">
        <f>'Data Hamburguesa'!B60</f>
        <v>4.9800000000000004</v>
      </c>
      <c r="N62">
        <f>'Data Hamburguesa'!C60</f>
        <v>0.6</v>
      </c>
      <c r="O62">
        <f>'Data Hamburguesa'!A60</f>
        <v>83.3</v>
      </c>
      <c r="P62">
        <v>80.650046414172337</v>
      </c>
      <c r="Q62">
        <f t="shared" si="0"/>
        <v>2.6499535858276602</v>
      </c>
      <c r="R62" s="17">
        <v>6.7297174251274045E-2</v>
      </c>
      <c r="S62">
        <f t="shared" si="1"/>
        <v>0.542342683429478</v>
      </c>
      <c r="T62">
        <f t="shared" si="2"/>
        <v>24.104422636512286</v>
      </c>
      <c r="U62" s="21">
        <f t="shared" si="3"/>
        <v>0.55887959593940983</v>
      </c>
      <c r="V62">
        <f t="shared" si="4"/>
        <v>0.57797806349555148</v>
      </c>
      <c r="W62" s="17">
        <f t="shared" si="5"/>
        <v>7.5846677387976721E-3</v>
      </c>
      <c r="X62" s="21">
        <f t="shared" si="6"/>
        <v>0.15012223535325001</v>
      </c>
      <c r="Y62" s="25">
        <v>1.103469</v>
      </c>
    </row>
    <row r="63" spans="12:25" x14ac:dyDescent="0.25">
      <c r="L63">
        <f t="shared" si="7"/>
        <v>60</v>
      </c>
      <c r="M63">
        <f>'Data Hamburguesa'!B61</f>
        <v>6.39</v>
      </c>
      <c r="N63">
        <f>'Data Hamburguesa'!C61</f>
        <v>3.1</v>
      </c>
      <c r="O63">
        <f>'Data Hamburguesa'!A61</f>
        <v>73.599999999999994</v>
      </c>
      <c r="P63">
        <v>74.156432489447596</v>
      </c>
      <c r="Q63">
        <f t="shared" si="0"/>
        <v>-0.5564324894476016</v>
      </c>
      <c r="R63" s="17">
        <v>6.7566651634600156E-2</v>
      </c>
      <c r="S63">
        <f t="shared" si="1"/>
        <v>-0.11388014155731066</v>
      </c>
      <c r="T63">
        <f t="shared" si="2"/>
        <v>24.205787099738682</v>
      </c>
      <c r="U63" s="21">
        <f t="shared" si="3"/>
        <v>-0.11712348238878341</v>
      </c>
      <c r="V63">
        <f t="shared" si="4"/>
        <v>0.90708830482663938</v>
      </c>
      <c r="W63" s="17">
        <f t="shared" si="5"/>
        <v>3.3594760092156935E-4</v>
      </c>
      <c r="X63" s="21">
        <f t="shared" si="6"/>
        <v>-3.1528352428428212E-2</v>
      </c>
      <c r="Y63" s="25">
        <v>1.1177710000000001</v>
      </c>
    </row>
    <row r="64" spans="12:25" x14ac:dyDescent="0.25">
      <c r="L64">
        <f t="shared" si="7"/>
        <v>61</v>
      </c>
      <c r="M64">
        <f>'Data Hamburguesa'!B62</f>
        <v>6.22</v>
      </c>
      <c r="N64">
        <f>'Data Hamburguesa'!C62</f>
        <v>1.2</v>
      </c>
      <c r="O64">
        <f>'Data Hamburguesa'!A62</f>
        <v>79.2</v>
      </c>
      <c r="P64">
        <v>71.961857610905611</v>
      </c>
      <c r="Q64">
        <f t="shared" si="0"/>
        <v>7.2381423890943921</v>
      </c>
      <c r="R64" s="17">
        <v>3.6292017084859116E-2</v>
      </c>
      <c r="S64">
        <f t="shared" si="1"/>
        <v>1.4813669142510799</v>
      </c>
      <c r="T64">
        <f t="shared" si="2"/>
        <v>23.444778370628153</v>
      </c>
      <c r="U64" s="21">
        <f t="shared" si="3"/>
        <v>1.5227595374041432</v>
      </c>
      <c r="V64">
        <f t="shared" si="4"/>
        <v>0.13219911540150034</v>
      </c>
      <c r="W64" s="17">
        <f t="shared" si="5"/>
        <v>2.8584080099757558E-2</v>
      </c>
      <c r="X64" s="21">
        <f t="shared" si="6"/>
        <v>0.2955045371255246</v>
      </c>
      <c r="Y64" s="25">
        <v>0.98266629999999999</v>
      </c>
    </row>
    <row r="65" spans="12:25" x14ac:dyDescent="0.25">
      <c r="L65">
        <f t="shared" si="7"/>
        <v>62</v>
      </c>
      <c r="M65">
        <f>'Data Hamburguesa'!B63</f>
        <v>5.0999999999999996</v>
      </c>
      <c r="N65">
        <f>'Data Hamburguesa'!C63</f>
        <v>2.1</v>
      </c>
      <c r="O65">
        <f>'Data Hamburguesa'!A63</f>
        <v>88.1</v>
      </c>
      <c r="P65">
        <v>82.494980300827748</v>
      </c>
      <c r="Q65">
        <f t="shared" si="0"/>
        <v>5.6050196991722459</v>
      </c>
      <c r="R65" s="17">
        <v>3.2211587112228372E-2</v>
      </c>
      <c r="S65">
        <f t="shared" si="1"/>
        <v>1.147130063176079</v>
      </c>
      <c r="T65">
        <f t="shared" si="2"/>
        <v>23.753254111368214</v>
      </c>
      <c r="U65" s="21">
        <f t="shared" si="3"/>
        <v>1.1690292477018287</v>
      </c>
      <c r="V65">
        <f t="shared" si="4"/>
        <v>0.24624768586375778</v>
      </c>
      <c r="W65" s="17">
        <f t="shared" si="5"/>
        <v>1.5085348788624118E-2</v>
      </c>
      <c r="X65" s="21">
        <f t="shared" si="6"/>
        <v>0.21327562808920694</v>
      </c>
      <c r="Y65" s="25">
        <v>1.017658</v>
      </c>
    </row>
    <row r="66" spans="12:25" x14ac:dyDescent="0.25">
      <c r="L66" s="28">
        <f t="shared" si="7"/>
        <v>63</v>
      </c>
      <c r="M66">
        <f>'Data Hamburguesa'!B64</f>
        <v>6.49</v>
      </c>
      <c r="N66">
        <f>'Data Hamburguesa'!C64</f>
        <v>0.5</v>
      </c>
      <c r="O66">
        <f>'Data Hamburguesa'!A64</f>
        <v>64.5</v>
      </c>
      <c r="P66">
        <v>68.522927953158131</v>
      </c>
      <c r="Q66">
        <f t="shared" si="0"/>
        <v>-4.0229279531581312</v>
      </c>
      <c r="R66" s="20">
        <v>8.2859395154717352E-2</v>
      </c>
      <c r="S66">
        <f t="shared" si="1"/>
        <v>-0.82333726636868421</v>
      </c>
      <c r="T66">
        <f t="shared" si="2"/>
        <v>23.961927364819307</v>
      </c>
      <c r="U66" s="21">
        <f t="shared" si="3"/>
        <v>-0.8581504220073628</v>
      </c>
      <c r="V66">
        <f t="shared" si="4"/>
        <v>0.393657167387651</v>
      </c>
      <c r="W66" s="17">
        <f t="shared" si="5"/>
        <v>2.2258926083746633E-2</v>
      </c>
      <c r="X66" s="21">
        <f t="shared" si="6"/>
        <v>-0.25793860041990246</v>
      </c>
      <c r="Y66" s="25">
        <v>1.1024080000000001</v>
      </c>
    </row>
    <row r="67" spans="12:25" x14ac:dyDescent="0.25">
      <c r="L67">
        <f t="shared" si="7"/>
        <v>64</v>
      </c>
      <c r="M67">
        <f>'Data Hamburguesa'!B65</f>
        <v>4.8600000000000003</v>
      </c>
      <c r="N67">
        <f>'Data Hamburguesa'!C65</f>
        <v>2.9</v>
      </c>
      <c r="O67">
        <f>'Data Hamburguesa'!A65</f>
        <v>84.1</v>
      </c>
      <c r="P67">
        <v>85.882932755822239</v>
      </c>
      <c r="Q67">
        <f t="shared" si="0"/>
        <v>-1.7829327558222445</v>
      </c>
      <c r="R67" s="17">
        <v>7.1007303861943899E-2</v>
      </c>
      <c r="S67">
        <f t="shared" si="1"/>
        <v>-0.36489715908172765</v>
      </c>
      <c r="T67">
        <f t="shared" si="2"/>
        <v>24.162269200104394</v>
      </c>
      <c r="U67" s="21">
        <f t="shared" si="3"/>
        <v>-0.37632230033834074</v>
      </c>
      <c r="V67">
        <f t="shared" si="4"/>
        <v>0.7077839737102305</v>
      </c>
      <c r="W67" s="17">
        <f t="shared" si="5"/>
        <v>3.6517255774808702E-3</v>
      </c>
      <c r="X67" s="21">
        <f t="shared" si="6"/>
        <v>-0.1040411913226184</v>
      </c>
      <c r="Y67" s="25">
        <v>1.1158710000000001</v>
      </c>
    </row>
    <row r="68" spans="12:25" x14ac:dyDescent="0.25">
      <c r="L68">
        <f t="shared" si="7"/>
        <v>65</v>
      </c>
      <c r="M68">
        <f>'Data Hamburguesa'!B66</f>
        <v>5.0999999999999996</v>
      </c>
      <c r="N68">
        <f>'Data Hamburguesa'!C66</f>
        <v>1.6</v>
      </c>
      <c r="O68">
        <f>'Data Hamburguesa'!A66</f>
        <v>91.2</v>
      </c>
      <c r="P68">
        <v>81.563688165524411</v>
      </c>
      <c r="Q68">
        <f t="shared" si="0"/>
        <v>9.6363118344755918</v>
      </c>
      <c r="R68" s="17">
        <v>3.1608713581427132E-2</v>
      </c>
      <c r="S68">
        <f t="shared" si="1"/>
        <v>1.9721791531078587</v>
      </c>
      <c r="T68">
        <f t="shared" si="2"/>
        <v>22.859908296185257</v>
      </c>
      <c r="U68" s="21">
        <f t="shared" si="3"/>
        <v>2.0480858969332703</v>
      </c>
      <c r="V68" s="31">
        <f t="shared" si="4"/>
        <v>4.4199222753436816E-2</v>
      </c>
      <c r="W68" s="17">
        <f t="shared" si="5"/>
        <v>4.3699508062270159E-2</v>
      </c>
      <c r="X68" s="21">
        <f t="shared" si="6"/>
        <v>0.37002080285961009</v>
      </c>
      <c r="Y68" s="25">
        <v>0.90653740000000005</v>
      </c>
    </row>
    <row r="69" spans="12:25" x14ac:dyDescent="0.25">
      <c r="L69">
        <f t="shared" si="7"/>
        <v>66</v>
      </c>
      <c r="M69">
        <f>'Data Hamburguesa'!B67</f>
        <v>5.98</v>
      </c>
      <c r="N69">
        <f>'Data Hamburguesa'!C67</f>
        <v>1.5</v>
      </c>
      <c r="O69">
        <f>'Data Hamburguesa'!A67</f>
        <v>71.8</v>
      </c>
      <c r="P69">
        <v>74.418517930596778</v>
      </c>
      <c r="Q69">
        <f t="shared" ref="Q69:Q78" si="12">O69-P69</f>
        <v>-2.6185179305967807</v>
      </c>
      <c r="R69" s="17">
        <v>2.0126948444065419E-2</v>
      </c>
      <c r="S69">
        <f t="shared" ref="S69:S78" si="13">Q69/SQRT($AA$6)</f>
        <v>-0.53590902447618194</v>
      </c>
      <c r="T69">
        <f t="shared" ref="T69:T78" si="14">($AA$6-Q69^2/((1-R69)*$AA$5))*$AA$5/($AA$5-1)</f>
        <v>24.111907928776592</v>
      </c>
      <c r="U69" s="21">
        <f t="shared" ref="U69:U78" si="15">Q69/SQRT(T69*(1-R69))</f>
        <v>-0.53870977611467197</v>
      </c>
      <c r="V69">
        <f t="shared" ref="V69:V78" si="16">_xlfn.T.DIST.2T(ABS(U69),$AA$5)</f>
        <v>0.59174887615587779</v>
      </c>
      <c r="W69" s="17">
        <f t="shared" ref="W69:W78" si="17">(Q69^2/$AA$6)*(R69/(1-R69)^2)/($AA$7+1)</f>
        <v>2.0067773589055155E-3</v>
      </c>
      <c r="X69" s="21">
        <f t="shared" ref="X69:X78" si="18">U69*SQRT(R69/(1-R69))</f>
        <v>-7.7207398116301659E-2</v>
      </c>
      <c r="Y69" s="25">
        <v>1.051328</v>
      </c>
    </row>
    <row r="70" spans="12:25" x14ac:dyDescent="0.25">
      <c r="L70">
        <f t="shared" ref="L70:L78" si="19">L69+1</f>
        <v>67</v>
      </c>
      <c r="M70">
        <f>'Data Hamburguesa'!B68</f>
        <v>5.0199999999999996</v>
      </c>
      <c r="N70">
        <f>'Data Hamburguesa'!C68</f>
        <v>2</v>
      </c>
      <c r="O70">
        <f>'Data Hamburguesa'!A68</f>
        <v>80.599999999999994</v>
      </c>
      <c r="P70">
        <v>82.941350219936808</v>
      </c>
      <c r="Q70">
        <f t="shared" si="12"/>
        <v>-2.3413502199368139</v>
      </c>
      <c r="R70" s="17">
        <v>3.6378711386710783E-2</v>
      </c>
      <c r="S70">
        <f t="shared" si="13"/>
        <v>-0.47918354793830437</v>
      </c>
      <c r="T70">
        <f t="shared" si="14"/>
        <v>24.130338902916396</v>
      </c>
      <c r="U70" s="21">
        <f t="shared" si="15"/>
        <v>-0.48554722538439987</v>
      </c>
      <c r="V70">
        <f t="shared" si="16"/>
        <v>0.62876251991706322</v>
      </c>
      <c r="W70" s="17">
        <f t="shared" si="17"/>
        <v>2.9985899575262157E-3</v>
      </c>
      <c r="X70" s="21">
        <f t="shared" si="18"/>
        <v>-9.4341318025399787E-2</v>
      </c>
      <c r="Y70" s="25">
        <v>1.071512</v>
      </c>
    </row>
    <row r="71" spans="12:25" x14ac:dyDescent="0.25">
      <c r="L71">
        <f t="shared" si="19"/>
        <v>68</v>
      </c>
      <c r="M71">
        <f>'Data Hamburguesa'!B69</f>
        <v>5.08</v>
      </c>
      <c r="N71">
        <f>'Data Hamburguesa'!C69</f>
        <v>1.3</v>
      </c>
      <c r="O71">
        <f>'Data Hamburguesa'!A69</f>
        <v>73.099999999999994</v>
      </c>
      <c r="P71">
        <v>81.163069970884834</v>
      </c>
      <c r="Q71">
        <f t="shared" si="12"/>
        <v>-8.0630699708848397</v>
      </c>
      <c r="R71" s="17">
        <v>3.7123044061113636E-2</v>
      </c>
      <c r="S71">
        <f t="shared" si="13"/>
        <v>-1.6501975838658034</v>
      </c>
      <c r="T71">
        <f t="shared" si="14"/>
        <v>23.2594831729383</v>
      </c>
      <c r="U71" s="21">
        <f t="shared" si="15"/>
        <v>-1.7037858293825121</v>
      </c>
      <c r="V71">
        <f t="shared" si="16"/>
        <v>9.2733805151451312E-2</v>
      </c>
      <c r="W71" s="17">
        <f t="shared" si="17"/>
        <v>3.6345666206525899E-2</v>
      </c>
      <c r="X71" s="21">
        <f t="shared" si="18"/>
        <v>-0.33454257525476638</v>
      </c>
      <c r="Y71" s="25">
        <v>0.96037859999999997</v>
      </c>
    </row>
    <row r="72" spans="12:25" x14ac:dyDescent="0.25">
      <c r="L72">
        <f t="shared" si="19"/>
        <v>69</v>
      </c>
      <c r="M72">
        <f>'Data Hamburguesa'!B70</f>
        <v>5.23</v>
      </c>
      <c r="N72">
        <f>'Data Hamburguesa'!C70</f>
        <v>1.1000000000000001</v>
      </c>
      <c r="O72">
        <f>'Data Hamburguesa'!A70</f>
        <v>81</v>
      </c>
      <c r="P72">
        <v>79.604374967695279</v>
      </c>
      <c r="Q72">
        <f t="shared" si="12"/>
        <v>1.3956250323047215</v>
      </c>
      <c r="R72" s="17">
        <v>3.4109923300227087E-2</v>
      </c>
      <c r="S72">
        <f t="shared" si="13"/>
        <v>0.2856302952359408</v>
      </c>
      <c r="T72">
        <f t="shared" si="14"/>
        <v>24.182061734785794</v>
      </c>
      <c r="U72" s="21">
        <f t="shared" si="15"/>
        <v>0.28877409771561452</v>
      </c>
      <c r="V72">
        <f t="shared" si="16"/>
        <v>0.77358404142077497</v>
      </c>
      <c r="W72" s="17">
        <f t="shared" si="17"/>
        <v>9.9428895969628649E-4</v>
      </c>
      <c r="X72" s="21">
        <f t="shared" si="18"/>
        <v>5.4266867720076356E-2</v>
      </c>
      <c r="Y72" s="25">
        <v>1.0758840000000001</v>
      </c>
    </row>
    <row r="73" spans="12:25" x14ac:dyDescent="0.25">
      <c r="L73">
        <f t="shared" si="19"/>
        <v>70</v>
      </c>
      <c r="M73">
        <f>'Data Hamburguesa'!B71</f>
        <v>6.02</v>
      </c>
      <c r="N73">
        <f>'Data Hamburguesa'!C71</f>
        <v>2.2000000000000002</v>
      </c>
      <c r="O73">
        <f>'Data Hamburguesa'!A71</f>
        <v>73.7</v>
      </c>
      <c r="P73">
        <v>75.406012746936582</v>
      </c>
      <c r="Q73">
        <f t="shared" si="12"/>
        <v>-1.7060127469365796</v>
      </c>
      <c r="R73" s="17">
        <v>2.1187701479837659E-2</v>
      </c>
      <c r="S73">
        <f t="shared" si="13"/>
        <v>-0.34915461768342565</v>
      </c>
      <c r="T73">
        <f t="shared" si="14"/>
        <v>24.168583889844889</v>
      </c>
      <c r="U73" s="21">
        <f t="shared" si="15"/>
        <v>-0.35075749576786275</v>
      </c>
      <c r="V73">
        <f t="shared" si="16"/>
        <v>0.72679449064124069</v>
      </c>
      <c r="W73" s="17">
        <f t="shared" si="17"/>
        <v>8.98668120761684E-4</v>
      </c>
      <c r="X73" s="21">
        <f t="shared" si="18"/>
        <v>-5.160587840007394E-2</v>
      </c>
      <c r="Y73" s="25">
        <v>1.059906</v>
      </c>
    </row>
    <row r="74" spans="12:25" x14ac:dyDescent="0.25">
      <c r="L74">
        <f t="shared" si="19"/>
        <v>71</v>
      </c>
      <c r="M74">
        <f>'Data Hamburguesa'!B72</f>
        <v>5.73</v>
      </c>
      <c r="N74">
        <f>'Data Hamburguesa'!C72</f>
        <v>1.7</v>
      </c>
      <c r="O74">
        <f>'Data Hamburguesa'!A72</f>
        <v>82.2</v>
      </c>
      <c r="P74">
        <v>76.767998366498489</v>
      </c>
      <c r="Q74">
        <f t="shared" si="12"/>
        <v>5.432001633501514</v>
      </c>
      <c r="R74" s="17">
        <v>1.3841095140395519E-2</v>
      </c>
      <c r="S74">
        <f t="shared" si="13"/>
        <v>1.1117199780638394</v>
      </c>
      <c r="T74">
        <f t="shared" si="14"/>
        <v>23.789044490295119</v>
      </c>
      <c r="U74" s="21">
        <f t="shared" si="15"/>
        <v>1.1214965508748895</v>
      </c>
      <c r="V74">
        <f t="shared" si="16"/>
        <v>0.26580302238646863</v>
      </c>
      <c r="W74" s="17">
        <f t="shared" si="17"/>
        <v>5.8633553860010972E-3</v>
      </c>
      <c r="X74" s="21">
        <f t="shared" si="18"/>
        <v>0.13286473292221615</v>
      </c>
      <c r="Y74" s="25">
        <v>1.0032220000000001</v>
      </c>
    </row>
    <row r="75" spans="12:25" x14ac:dyDescent="0.25">
      <c r="L75">
        <f t="shared" si="19"/>
        <v>72</v>
      </c>
      <c r="M75">
        <f>'Data Hamburguesa'!B73</f>
        <v>5.1100000000000003</v>
      </c>
      <c r="N75">
        <f>'Data Hamburguesa'!C73</f>
        <v>0.7</v>
      </c>
      <c r="O75">
        <f>'Data Hamburguesa'!A73</f>
        <v>74.2</v>
      </c>
      <c r="P75">
        <v>79.808283778707192</v>
      </c>
      <c r="Q75">
        <f t="shared" si="12"/>
        <v>-5.6082837787071895</v>
      </c>
      <c r="R75" s="17">
        <v>5.4590415498942953E-2</v>
      </c>
      <c r="S75">
        <f t="shared" si="13"/>
        <v>-1.1477980936138106</v>
      </c>
      <c r="T75">
        <f t="shared" si="14"/>
        <v>23.741886204564459</v>
      </c>
      <c r="U75" s="21">
        <f t="shared" si="15"/>
        <v>-1.1837564839168615</v>
      </c>
      <c r="V75">
        <f t="shared" si="16"/>
        <v>0.24040298473359395</v>
      </c>
      <c r="W75" s="17">
        <f t="shared" si="17"/>
        <v>2.6821690178668162E-2</v>
      </c>
      <c r="X75" s="21">
        <f t="shared" si="18"/>
        <v>-0.2844530339792819</v>
      </c>
      <c r="Y75" s="25">
        <v>1.040252</v>
      </c>
    </row>
    <row r="76" spans="12:25" x14ac:dyDescent="0.25">
      <c r="L76">
        <f t="shared" si="19"/>
        <v>73</v>
      </c>
      <c r="M76">
        <f>'Data Hamburguesa'!B74</f>
        <v>5.71</v>
      </c>
      <c r="N76">
        <f>'Data Hamburguesa'!C74</f>
        <v>0.7</v>
      </c>
      <c r="O76">
        <f>'Data Hamburguesa'!A74</f>
        <v>75.400000000000006</v>
      </c>
      <c r="P76">
        <v>75.063571182434259</v>
      </c>
      <c r="Q76">
        <f t="shared" si="12"/>
        <v>0.33642881756574639</v>
      </c>
      <c r="R76" s="17">
        <v>3.8989253563486238E-2</v>
      </c>
      <c r="S76">
        <f t="shared" si="13"/>
        <v>6.8853925848903333E-2</v>
      </c>
      <c r="T76">
        <f t="shared" si="14"/>
        <v>24.208805077911428</v>
      </c>
      <c r="U76" s="21">
        <f t="shared" si="15"/>
        <v>6.9749707432829447E-2</v>
      </c>
      <c r="V76">
        <f t="shared" si="16"/>
        <v>0.94458623928354335</v>
      </c>
      <c r="W76" s="17">
        <f t="shared" si="17"/>
        <v>6.6715169351622976E-5</v>
      </c>
      <c r="X76" s="21">
        <f t="shared" si="18"/>
        <v>1.4049171972502768E-2</v>
      </c>
      <c r="Y76" s="25">
        <v>1.084938</v>
      </c>
    </row>
    <row r="77" spans="12:25" x14ac:dyDescent="0.25">
      <c r="L77">
        <f t="shared" si="19"/>
        <v>74</v>
      </c>
      <c r="M77">
        <f>'Data Hamburguesa'!B75</f>
        <v>5.45</v>
      </c>
      <c r="N77">
        <f>'Data Hamburguesa'!C75</f>
        <v>2</v>
      </c>
      <c r="O77">
        <f>'Data Hamburguesa'!A75</f>
        <v>81.3</v>
      </c>
      <c r="P77">
        <v>79.540972859274532</v>
      </c>
      <c r="Q77">
        <f t="shared" si="12"/>
        <v>1.7590271407254647</v>
      </c>
      <c r="R77" s="17">
        <v>1.6701159692281461E-2</v>
      </c>
      <c r="S77">
        <f t="shared" si="13"/>
        <v>0.36000460718574023</v>
      </c>
      <c r="T77">
        <f t="shared" si="14"/>
        <v>24.166143751584745</v>
      </c>
      <c r="U77" s="21">
        <f t="shared" si="15"/>
        <v>0.36084949317921705</v>
      </c>
      <c r="V77">
        <f t="shared" si="16"/>
        <v>0.71926855806823853</v>
      </c>
      <c r="W77" s="17">
        <f t="shared" si="17"/>
        <v>7.4622610447898222E-4</v>
      </c>
      <c r="X77" s="21">
        <f t="shared" si="18"/>
        <v>4.7028015266489309E-2</v>
      </c>
      <c r="Y77" s="25">
        <v>1.0547500000000001</v>
      </c>
    </row>
    <row r="78" spans="12:25" x14ac:dyDescent="0.25">
      <c r="L78" s="4">
        <f t="shared" si="19"/>
        <v>75</v>
      </c>
      <c r="M78" s="4">
        <f>'Data Hamburguesa'!B76</f>
        <v>6.05</v>
      </c>
      <c r="N78" s="4">
        <f>'Data Hamburguesa'!C76</f>
        <v>2.2000000000000002</v>
      </c>
      <c r="O78" s="4">
        <f>'Data Hamburguesa'!A76</f>
        <v>75</v>
      </c>
      <c r="P78" s="4">
        <v>75.168777117122929</v>
      </c>
      <c r="Q78" s="4">
        <f t="shared" si="12"/>
        <v>-0.16877711712292864</v>
      </c>
      <c r="R78" s="19">
        <v>2.2219985545653062E-2</v>
      </c>
      <c r="S78" s="4">
        <f t="shared" si="13"/>
        <v>-3.4542127489131581E-2</v>
      </c>
      <c r="T78" s="4">
        <f t="shared" si="14"/>
        <v>24.2100535752421</v>
      </c>
      <c r="U78" s="23">
        <f t="shared" si="15"/>
        <v>-3.4689266042021411E-2</v>
      </c>
      <c r="V78" s="4">
        <f t="shared" si="16"/>
        <v>0.97242351230954682</v>
      </c>
      <c r="W78" s="19">
        <f t="shared" si="17"/>
        <v>9.2435409714129677E-6</v>
      </c>
      <c r="X78" s="23">
        <f t="shared" si="18"/>
        <v>-5.2293344547082862E-3</v>
      </c>
      <c r="Y78" s="25">
        <v>1.0664960000000001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75"/>
  <sheetViews>
    <sheetView showGridLines="0" topLeftCell="D1" workbookViewId="0">
      <selection activeCell="O29" sqref="O29"/>
    </sheetView>
  </sheetViews>
  <sheetFormatPr baseColWidth="10" defaultRowHeight="15" x14ac:dyDescent="0.25"/>
  <cols>
    <col min="7" max="7" width="18.5703125" bestFit="1" customWidth="1"/>
    <col min="8" max="8" width="9.5703125" bestFit="1" customWidth="1"/>
    <col min="9" max="9" width="10.5703125" bestFit="1" customWidth="1"/>
    <col min="10" max="10" width="10.42578125" style="79" bestFit="1" customWidth="1"/>
    <col min="12" max="12" width="12" bestFit="1" customWidth="1"/>
    <col min="13" max="13" width="9.5703125" bestFit="1" customWidth="1"/>
    <col min="14" max="14" width="7.5703125" bestFit="1" customWidth="1"/>
    <col min="18" max="18" width="15.28515625" bestFit="1" customWidth="1"/>
    <col min="19" max="19" width="24.7109375" bestFit="1" customWidth="1"/>
  </cols>
  <sheetData>
    <row r="1" spans="1:36" ht="15.75" thickTop="1" x14ac:dyDescent="0.25">
      <c r="A1" s="6" t="s">
        <v>41</v>
      </c>
      <c r="B1" s="6" t="s">
        <v>1</v>
      </c>
      <c r="C1" s="6" t="s">
        <v>2</v>
      </c>
      <c r="D1" s="6" t="s">
        <v>0</v>
      </c>
    </row>
    <row r="2" spans="1:36" x14ac:dyDescent="0.25">
      <c r="A2">
        <v>1</v>
      </c>
      <c r="B2">
        <v>5.69</v>
      </c>
      <c r="C2">
        <v>1.3</v>
      </c>
      <c r="D2">
        <v>73.2</v>
      </c>
      <c r="G2" t="s">
        <v>9</v>
      </c>
      <c r="U2" t="s">
        <v>40</v>
      </c>
    </row>
    <row r="3" spans="1:36" ht="15.75" thickBot="1" x14ac:dyDescent="0.3">
      <c r="A3">
        <v>2</v>
      </c>
      <c r="B3">
        <v>6.49</v>
      </c>
      <c r="C3">
        <v>2.9</v>
      </c>
      <c r="D3">
        <v>71.8</v>
      </c>
    </row>
    <row r="4" spans="1:36" ht="16.5" thickTop="1" thickBot="1" x14ac:dyDescent="0.3">
      <c r="A4">
        <v>4</v>
      </c>
      <c r="B4">
        <v>6.22</v>
      </c>
      <c r="C4">
        <v>0.7</v>
      </c>
      <c r="D4">
        <v>67.400000000000006</v>
      </c>
      <c r="G4" s="3" t="s">
        <v>10</v>
      </c>
      <c r="H4" s="3"/>
      <c r="J4" s="80"/>
      <c r="K4" s="3"/>
      <c r="U4" s="6" t="s">
        <v>41</v>
      </c>
      <c r="V4" s="6" t="str">
        <f t="shared" ref="V4:V35" si="0">D1</f>
        <v>sales</v>
      </c>
      <c r="W4" s="6" t="str">
        <f t="shared" ref="W4:W35" si="1">B1</f>
        <v>price</v>
      </c>
      <c r="X4" s="6" t="str">
        <f t="shared" ref="X4:X35" si="2">C1</f>
        <v>advert</v>
      </c>
      <c r="Y4" s="6" t="s">
        <v>42</v>
      </c>
      <c r="Z4" s="6" t="s">
        <v>28</v>
      </c>
      <c r="AA4" s="6" t="s">
        <v>43</v>
      </c>
      <c r="AB4" s="6" t="s">
        <v>44</v>
      </c>
      <c r="AC4" s="6" t="s">
        <v>45</v>
      </c>
      <c r="AD4" s="6" t="s">
        <v>46</v>
      </c>
      <c r="AE4" s="6" t="s">
        <v>47</v>
      </c>
      <c r="AF4" s="6" t="s">
        <v>40</v>
      </c>
      <c r="AG4" s="6" t="s">
        <v>48</v>
      </c>
    </row>
    <row r="5" spans="1:36" ht="15.75" thickTop="1" x14ac:dyDescent="0.25">
      <c r="A5">
        <v>5</v>
      </c>
      <c r="B5">
        <v>5.0199999999999996</v>
      </c>
      <c r="C5">
        <v>1.5</v>
      </c>
      <c r="D5">
        <v>89.3</v>
      </c>
      <c r="G5" t="s">
        <v>11</v>
      </c>
      <c r="H5" s="66">
        <f>SQRT(H6)</f>
        <v>0.75176608887982399</v>
      </c>
      <c r="J5" s="79" t="s">
        <v>16</v>
      </c>
      <c r="K5" s="66">
        <f>H9*LN(I14/H9)+2*(H13+1)</f>
        <v>205.12268835279261</v>
      </c>
      <c r="U5">
        <v>1</v>
      </c>
      <c r="V5">
        <f t="shared" si="0"/>
        <v>73.2</v>
      </c>
      <c r="W5">
        <f t="shared" si="1"/>
        <v>5.69</v>
      </c>
      <c r="X5">
        <f t="shared" si="2"/>
        <v>1.3</v>
      </c>
      <c r="Y5">
        <f t="array" ref="Y5:Y75">TREND(B2:B72,C2:D72)</f>
        <v>5.8664344272704358</v>
      </c>
      <c r="Z5">
        <f>W5-Y5</f>
        <v>-0.17643442727043546</v>
      </c>
      <c r="AA5">
        <f t="array" ref="AA5:AA75">[1]!LEVERAGE(C2:D72)</f>
        <v>2.5185524499761663E-2</v>
      </c>
      <c r="AB5">
        <f>Z5/SQRT($AJ$7)</f>
        <v>-0.48690548824329483</v>
      </c>
      <c r="AC5">
        <f>($AJ$7-Z5^2/((1-AA5)*$AJ$6))*$AJ$6/($AJ$6-1)</f>
        <v>0.13278694984523393</v>
      </c>
      <c r="AD5">
        <f>Z5/SQRT(AC5*(1-AA5))</f>
        <v>-0.49039343734327595</v>
      </c>
      <c r="AE5">
        <f>_xlfn.T.DIST.2T(ABS(AD5),$AJ$6)</f>
        <v>0.62543420031140839</v>
      </c>
      <c r="AF5">
        <f>(Z5^2/$AJ$7)*(AA5/(1-AA5)^2)/($AJ$8+1)</f>
        <v>2.0944748283355406E-3</v>
      </c>
      <c r="AG5">
        <f>AD5*SQRT(AA5/(1-AA5))</f>
        <v>-7.8824126119489718E-2</v>
      </c>
      <c r="AI5" t="s">
        <v>49</v>
      </c>
      <c r="AJ5" s="7">
        <f>DEVSQ(Z5:Z75)</f>
        <v>8.9286590053208723</v>
      </c>
    </row>
    <row r="6" spans="1:36" x14ac:dyDescent="0.25">
      <c r="A6">
        <v>6</v>
      </c>
      <c r="B6">
        <v>6.41</v>
      </c>
      <c r="C6">
        <v>1.3</v>
      </c>
      <c r="D6">
        <v>70.3</v>
      </c>
      <c r="G6" t="s">
        <v>12</v>
      </c>
      <c r="H6" s="75">
        <f>I13/I15</f>
        <v>0.56515225238966738</v>
      </c>
      <c r="J6" s="79" t="s">
        <v>17</v>
      </c>
      <c r="K6" s="66">
        <f>K5+2*(H13+2)*(H13+3)/(H9-H13-3)</f>
        <v>205.7287489588532</v>
      </c>
      <c r="U6">
        <f>U5+1</f>
        <v>2</v>
      </c>
      <c r="V6">
        <f t="shared" si="0"/>
        <v>71.8</v>
      </c>
      <c r="W6">
        <f t="shared" si="1"/>
        <v>6.49</v>
      </c>
      <c r="X6">
        <f t="shared" si="2"/>
        <v>2.9</v>
      </c>
      <c r="Y6">
        <v>6.1947931113068426</v>
      </c>
      <c r="Z6">
        <f t="shared" ref="Z6:Z69" si="3">W6-Y6</f>
        <v>0.29520688869315759</v>
      </c>
      <c r="AA6">
        <v>6.0243792001180602E-2</v>
      </c>
      <c r="AB6">
        <f t="shared" ref="AB6:AB69" si="4">Z6/SQRT($AJ$7)</f>
        <v>0.81468144565463485</v>
      </c>
      <c r="AC6">
        <f t="shared" ref="AC6:AC69" si="5">($AJ$7-Z6^2/((1-AA6)*$AJ$6))*$AJ$6/($AJ$6-1)</f>
        <v>0.13187948158345286</v>
      </c>
      <c r="AD6">
        <f t="shared" ref="AD6:AD69" si="6">Z6/SQRT(AC6*(1-AA6))</f>
        <v>0.83855252362940935</v>
      </c>
      <c r="AE6">
        <f t="shared" ref="AE6:AE69" si="7">_xlfn.T.DIST.2T(ABS(AD6),$AJ$6)</f>
        <v>0.40465853857069733</v>
      </c>
      <c r="AF6">
        <f t="shared" ref="AF6:AF69" si="8">(Z6^2/$AJ$7)*(AA6/(1-AA6)^2)/($AJ$8+1)</f>
        <v>1.509163488837461E-2</v>
      </c>
      <c r="AG6">
        <f t="shared" ref="AG6:AG69" si="9">AD6*SQRT(AA6/(1-AA6))</f>
        <v>0.21231409108006807</v>
      </c>
      <c r="AI6" t="s">
        <v>50</v>
      </c>
      <c r="AJ6" s="8">
        <f>COUNT(B2:B72)-AJ8-1</f>
        <v>68</v>
      </c>
    </row>
    <row r="7" spans="1:36" x14ac:dyDescent="0.25">
      <c r="A7">
        <v>7</v>
      </c>
      <c r="B7">
        <v>5.85</v>
      </c>
      <c r="C7">
        <v>1.8</v>
      </c>
      <c r="D7">
        <v>73.2</v>
      </c>
      <c r="G7" t="s">
        <v>13</v>
      </c>
      <c r="H7" s="66">
        <f>1-(1-H6)*(H9-1)/(H9-H13-1)</f>
        <v>0.55236261275406928</v>
      </c>
      <c r="J7" s="81" t="s">
        <v>18</v>
      </c>
      <c r="K7" s="77">
        <f>H9*LN(I14/H9)+(H13+1)*LN(H9)</f>
        <v>211.91072798391656</v>
      </c>
      <c r="U7">
        <f t="shared" ref="U7:U70" si="10">U6+1</f>
        <v>3</v>
      </c>
      <c r="V7">
        <f t="shared" si="0"/>
        <v>67.400000000000006</v>
      </c>
      <c r="W7">
        <f t="shared" si="1"/>
        <v>6.22</v>
      </c>
      <c r="X7">
        <f t="shared" si="2"/>
        <v>0.7</v>
      </c>
      <c r="Y7">
        <v>6.147277944288394</v>
      </c>
      <c r="Z7">
        <f t="shared" si="3"/>
        <v>7.2722055711605726E-2</v>
      </c>
      <c r="AA7">
        <v>6.7879863476476343E-2</v>
      </c>
      <c r="AB7">
        <f t="shared" si="4"/>
        <v>0.20069080955522112</v>
      </c>
      <c r="AC7">
        <f t="shared" si="5"/>
        <v>0.13317888631704186</v>
      </c>
      <c r="AD7">
        <f t="shared" si="6"/>
        <v>0.20640134003315413</v>
      </c>
      <c r="AE7">
        <f t="shared" si="7"/>
        <v>0.83709417965955257</v>
      </c>
      <c r="AF7">
        <f t="shared" si="8"/>
        <v>1.0488922944002057E-3</v>
      </c>
      <c r="AG7">
        <f t="shared" si="9"/>
        <v>5.5698955050277783E-2</v>
      </c>
      <c r="AI7" t="s">
        <v>51</v>
      </c>
      <c r="AJ7" s="8">
        <f>AJ5/AJ6</f>
        <v>0.13130380890177754</v>
      </c>
    </row>
    <row r="8" spans="1:36" x14ac:dyDescent="0.25">
      <c r="A8">
        <v>8</v>
      </c>
      <c r="B8">
        <v>5.41</v>
      </c>
      <c r="C8">
        <v>2.4</v>
      </c>
      <c r="D8">
        <v>86.1</v>
      </c>
      <c r="G8" t="s">
        <v>14</v>
      </c>
      <c r="H8" s="66">
        <f>SQRT(J14)</f>
        <v>4.1531145183638749</v>
      </c>
      <c r="U8">
        <f t="shared" si="10"/>
        <v>4</v>
      </c>
      <c r="V8">
        <f t="shared" si="0"/>
        <v>89.3</v>
      </c>
      <c r="W8">
        <f t="shared" si="1"/>
        <v>5.0199999999999996</v>
      </c>
      <c r="X8">
        <f t="shared" si="2"/>
        <v>1.5</v>
      </c>
      <c r="Y8">
        <v>4.8679943089446374</v>
      </c>
      <c r="Z8">
        <f t="shared" si="3"/>
        <v>0.15200569105536221</v>
      </c>
      <c r="AA8">
        <v>7.7682854616678398E-2</v>
      </c>
      <c r="AB8">
        <f t="shared" si="4"/>
        <v>0.41948958808150127</v>
      </c>
      <c r="AC8">
        <f t="shared" si="5"/>
        <v>0.13288965936905642</v>
      </c>
      <c r="AD8">
        <f t="shared" si="6"/>
        <v>0.4341842975946944</v>
      </c>
      <c r="AE8">
        <f t="shared" si="7"/>
        <v>0.66552918546144291</v>
      </c>
      <c r="AF8">
        <f t="shared" si="8"/>
        <v>5.3565569833390163E-3</v>
      </c>
      <c r="AG8">
        <f t="shared" si="9"/>
        <v>0.1260075478486658</v>
      </c>
      <c r="AI8" t="s">
        <v>52</v>
      </c>
      <c r="AJ8" s="9">
        <f>COUNT(C2:D2)</f>
        <v>2</v>
      </c>
    </row>
    <row r="9" spans="1:36" x14ac:dyDescent="0.25">
      <c r="A9">
        <v>10</v>
      </c>
      <c r="B9">
        <v>6.2</v>
      </c>
      <c r="C9">
        <v>3</v>
      </c>
      <c r="D9">
        <v>76.400000000000006</v>
      </c>
      <c r="G9" s="4" t="s">
        <v>15</v>
      </c>
      <c r="H9" s="4">
        <f>COUNT(V5:V75)</f>
        <v>71</v>
      </c>
      <c r="R9" s="83" t="s">
        <v>104</v>
      </c>
      <c r="S9" s="83" t="s">
        <v>105</v>
      </c>
      <c r="U9">
        <f t="shared" si="10"/>
        <v>5</v>
      </c>
      <c r="V9">
        <f t="shared" si="0"/>
        <v>70.3</v>
      </c>
      <c r="W9">
        <f t="shared" si="1"/>
        <v>6.41</v>
      </c>
      <c r="X9">
        <f t="shared" si="2"/>
        <v>1.3</v>
      </c>
      <c r="Y9">
        <v>6.051657552684139</v>
      </c>
      <c r="Z9">
        <f t="shared" si="3"/>
        <v>0.35834244731586118</v>
      </c>
      <c r="AA9">
        <v>3.6151780680520718E-2</v>
      </c>
      <c r="AB9">
        <f t="shared" si="4"/>
        <v>0.98891643183214162</v>
      </c>
      <c r="AC9">
        <f t="shared" si="5"/>
        <v>0.13127512464390514</v>
      </c>
      <c r="AD9">
        <f t="shared" si="6"/>
        <v>1.0074017734463254</v>
      </c>
      <c r="AE9">
        <f t="shared" si="7"/>
        <v>0.31731309810582842</v>
      </c>
      <c r="AF9">
        <f t="shared" si="8"/>
        <v>1.2685579944163465E-2</v>
      </c>
      <c r="AG9">
        <f t="shared" si="9"/>
        <v>0.19510267916302385</v>
      </c>
    </row>
    <row r="10" spans="1:36" x14ac:dyDescent="0.25">
      <c r="A10">
        <v>11</v>
      </c>
      <c r="B10">
        <v>5.48</v>
      </c>
      <c r="C10">
        <v>2.8</v>
      </c>
      <c r="D10">
        <v>76.599999999999994</v>
      </c>
      <c r="Q10" s="83" t="s">
        <v>100</v>
      </c>
      <c r="R10" s="63">
        <v>0.44825999999999999</v>
      </c>
      <c r="S10" s="63">
        <v>0.56515000000000004</v>
      </c>
      <c r="U10">
        <f t="shared" si="10"/>
        <v>6</v>
      </c>
      <c r="V10">
        <f t="shared" si="0"/>
        <v>73.2</v>
      </c>
      <c r="W10">
        <f t="shared" si="1"/>
        <v>5.85</v>
      </c>
      <c r="X10">
        <f t="shared" si="2"/>
        <v>1.8</v>
      </c>
      <c r="Y10">
        <v>5.941103372111642</v>
      </c>
      <c r="Z10">
        <f t="shared" si="3"/>
        <v>-9.1103372111642322E-2</v>
      </c>
      <c r="AA10">
        <v>2.1398670919153401E-2</v>
      </c>
      <c r="AB10">
        <f t="shared" si="4"/>
        <v>-0.25141766584271857</v>
      </c>
      <c r="AC10">
        <f t="shared" si="5"/>
        <v>0.13313698047880224</v>
      </c>
      <c r="AD10">
        <f t="shared" si="6"/>
        <v>-0.25239584441488533</v>
      </c>
      <c r="AE10">
        <f t="shared" si="7"/>
        <v>0.80149647018775116</v>
      </c>
      <c r="AF10">
        <f t="shared" si="8"/>
        <v>4.7080983113209331E-4</v>
      </c>
      <c r="AG10">
        <f t="shared" si="9"/>
        <v>-3.7322669540143912E-2</v>
      </c>
    </row>
    <row r="11" spans="1:36" ht="15.75" thickBot="1" x14ac:dyDescent="0.3">
      <c r="A11">
        <v>12</v>
      </c>
      <c r="B11">
        <v>6.14</v>
      </c>
      <c r="C11">
        <v>2.7</v>
      </c>
      <c r="D11">
        <v>82.2</v>
      </c>
      <c r="G11" t="s">
        <v>19</v>
      </c>
      <c r="K11" s="5" t="s">
        <v>20</v>
      </c>
      <c r="L11" s="5">
        <v>0.05</v>
      </c>
      <c r="Q11" s="83" t="s">
        <v>101</v>
      </c>
      <c r="R11" s="63">
        <v>29.24785</v>
      </c>
      <c r="S11" s="63">
        <v>44.188290000000002</v>
      </c>
      <c r="U11">
        <f t="shared" si="10"/>
        <v>7</v>
      </c>
      <c r="V11">
        <f t="shared" si="0"/>
        <v>86.1</v>
      </c>
      <c r="W11">
        <f t="shared" si="1"/>
        <v>5.41</v>
      </c>
      <c r="X11">
        <f t="shared" si="2"/>
        <v>2.4</v>
      </c>
      <c r="Y11">
        <v>5.206782548046343</v>
      </c>
      <c r="Z11">
        <f t="shared" si="3"/>
        <v>0.20321745195365715</v>
      </c>
      <c r="AA11">
        <v>4.2284160445468455E-2</v>
      </c>
      <c r="AB11">
        <f t="shared" si="4"/>
        <v>0.56081851027514329</v>
      </c>
      <c r="AC11">
        <f t="shared" si="5"/>
        <v>0.13261997540171966</v>
      </c>
      <c r="AD11">
        <f t="shared" si="6"/>
        <v>0.57021441889361046</v>
      </c>
      <c r="AE11">
        <f t="shared" si="7"/>
        <v>0.57041159107107031</v>
      </c>
      <c r="AF11">
        <f t="shared" si="8"/>
        <v>4.8331224209967371E-3</v>
      </c>
      <c r="AG11">
        <f t="shared" si="9"/>
        <v>0.11981431687384586</v>
      </c>
    </row>
    <row r="12" spans="1:36" ht="15.75" thickTop="1" x14ac:dyDescent="0.25">
      <c r="A12">
        <v>13</v>
      </c>
      <c r="B12">
        <v>5.37</v>
      </c>
      <c r="C12">
        <v>2.8</v>
      </c>
      <c r="D12">
        <v>82.1</v>
      </c>
      <c r="G12" s="6"/>
      <c r="H12" s="6" t="s">
        <v>21</v>
      </c>
      <c r="I12" s="6" t="s">
        <v>22</v>
      </c>
      <c r="J12" s="82" t="s">
        <v>23</v>
      </c>
      <c r="K12" s="6" t="s">
        <v>24</v>
      </c>
      <c r="L12" s="6" t="s">
        <v>25</v>
      </c>
      <c r="M12" s="6" t="s">
        <v>26</v>
      </c>
      <c r="Q12" s="84" t="s">
        <v>102</v>
      </c>
      <c r="R12" s="63">
        <v>-7.9078499999999998</v>
      </c>
      <c r="S12" s="63">
        <v>-8.39011</v>
      </c>
      <c r="U12">
        <f t="shared" si="10"/>
        <v>8</v>
      </c>
      <c r="V12">
        <f t="shared" si="0"/>
        <v>76.400000000000006</v>
      </c>
      <c r="W12">
        <f t="shared" si="1"/>
        <v>6.2</v>
      </c>
      <c r="X12">
        <f t="shared" si="2"/>
        <v>3</v>
      </c>
      <c r="Y12">
        <v>5.9159247013430027</v>
      </c>
      <c r="Z12">
        <f t="shared" si="3"/>
        <v>0.28407529865699743</v>
      </c>
      <c r="AA12">
        <v>4.543291903520702E-2</v>
      </c>
      <c r="AB12">
        <f t="shared" si="4"/>
        <v>0.78396163453085099</v>
      </c>
      <c r="AC12">
        <f t="shared" si="5"/>
        <v>0.13200178129165985</v>
      </c>
      <c r="AD12">
        <f t="shared" si="6"/>
        <v>0.80027702572543846</v>
      </c>
      <c r="AE12">
        <f t="shared" si="7"/>
        <v>0.42633738595400861</v>
      </c>
      <c r="AF12">
        <f t="shared" si="8"/>
        <v>1.0214711356507511E-2</v>
      </c>
      <c r="AG12">
        <f t="shared" si="9"/>
        <v>0.17459123746439803</v>
      </c>
    </row>
    <row r="13" spans="1:36" x14ac:dyDescent="0.25">
      <c r="A13">
        <v>14</v>
      </c>
      <c r="B13">
        <v>6.45</v>
      </c>
      <c r="C13">
        <v>2.8</v>
      </c>
      <c r="D13">
        <v>68.599999999999994</v>
      </c>
      <c r="G13" t="s">
        <v>27</v>
      </c>
      <c r="H13">
        <f>COUNT(W5:X5)</f>
        <v>2</v>
      </c>
      <c r="I13" s="66">
        <f>DEVSQ(MMULT([1]!DESIGN(W5:X75),H18:H20))</f>
        <v>1524.3509428398706</v>
      </c>
      <c r="J13" s="79">
        <f>I13/H13</f>
        <v>762.17547141993532</v>
      </c>
      <c r="K13" s="75">
        <f>J13/J14</f>
        <v>44.188285869810741</v>
      </c>
      <c r="L13">
        <f>_xlfn.F.DIST.RT(K13,H13,H14)</f>
        <v>5.0520268071294879E-13</v>
      </c>
      <c r="M13" s="5" t="str">
        <f>IF(L13&lt;L11,"yes","no")</f>
        <v>yes</v>
      </c>
      <c r="Q13" s="84" t="s">
        <v>103</v>
      </c>
      <c r="R13" s="63">
        <v>1.8625799999999999</v>
      </c>
      <c r="S13" s="63">
        <v>2.1293199999999999</v>
      </c>
      <c r="U13">
        <f t="shared" si="10"/>
        <v>9</v>
      </c>
      <c r="V13">
        <f t="shared" si="0"/>
        <v>76.599999999999994</v>
      </c>
      <c r="W13">
        <f t="shared" si="1"/>
        <v>5.48</v>
      </c>
      <c r="X13">
        <f t="shared" si="2"/>
        <v>2.8</v>
      </c>
      <c r="Y13">
        <v>5.8732831147573004</v>
      </c>
      <c r="Z13">
        <f t="shared" si="3"/>
        <v>-0.39328311475729993</v>
      </c>
      <c r="AA13">
        <v>3.537316985907546E-2</v>
      </c>
      <c r="AB13">
        <f t="shared" si="4"/>
        <v>-1.0853420728100411</v>
      </c>
      <c r="AC13">
        <f t="shared" si="5"/>
        <v>0.13087038119918351</v>
      </c>
      <c r="AD13">
        <f t="shared" si="6"/>
        <v>-1.1068912349734503</v>
      </c>
      <c r="AE13">
        <f t="shared" si="7"/>
        <v>0.27224129258622137</v>
      </c>
      <c r="AF13">
        <f t="shared" si="8"/>
        <v>1.492682109111503E-2</v>
      </c>
      <c r="AG13">
        <f t="shared" si="9"/>
        <v>-0.21196407958688496</v>
      </c>
    </row>
    <row r="14" spans="1:36" x14ac:dyDescent="0.25">
      <c r="A14">
        <v>15</v>
      </c>
      <c r="B14">
        <v>5.35</v>
      </c>
      <c r="C14">
        <v>2.2999999999999998</v>
      </c>
      <c r="D14">
        <v>76.5</v>
      </c>
      <c r="G14" t="s">
        <v>28</v>
      </c>
      <c r="H14">
        <f>H15-H13</f>
        <v>68</v>
      </c>
      <c r="I14" s="66">
        <f>I15-I13</f>
        <v>1172.8884937798466</v>
      </c>
      <c r="J14" s="79">
        <f>I14/H14</f>
        <v>17.248360202644804</v>
      </c>
      <c r="U14">
        <f t="shared" si="10"/>
        <v>10</v>
      </c>
      <c r="V14">
        <f t="shared" si="0"/>
        <v>82.2</v>
      </c>
      <c r="W14">
        <f t="shared" si="1"/>
        <v>6.14</v>
      </c>
      <c r="X14">
        <f t="shared" si="2"/>
        <v>2.7</v>
      </c>
      <c r="Y14">
        <v>5.5006770836108725</v>
      </c>
      <c r="Z14">
        <f t="shared" si="3"/>
        <v>0.63932291638912719</v>
      </c>
      <c r="AA14">
        <v>3.2282923066411381E-2</v>
      </c>
      <c r="AB14">
        <f t="shared" si="4"/>
        <v>1.764337275697536</v>
      </c>
      <c r="AC14">
        <f t="shared" si="5"/>
        <v>0.1269595508167202</v>
      </c>
      <c r="AD14">
        <f t="shared" si="6"/>
        <v>1.8239518982918739</v>
      </c>
      <c r="AE14">
        <f t="shared" si="7"/>
        <v>7.255356785432325E-2</v>
      </c>
      <c r="AF14">
        <f t="shared" si="8"/>
        <v>3.5769923053631456E-2</v>
      </c>
      <c r="AG14">
        <f t="shared" si="9"/>
        <v>0.33313909677505915</v>
      </c>
    </row>
    <row r="15" spans="1:36" x14ac:dyDescent="0.25">
      <c r="A15">
        <v>16</v>
      </c>
      <c r="B15">
        <v>5.22</v>
      </c>
      <c r="C15">
        <v>1.7</v>
      </c>
      <c r="D15">
        <v>80.3</v>
      </c>
      <c r="G15" s="4" t="s">
        <v>29</v>
      </c>
      <c r="H15" s="4">
        <f>H9-1</f>
        <v>70</v>
      </c>
      <c r="I15" s="77">
        <f>DEVSQ(V5:V75)</f>
        <v>2697.2394366197173</v>
      </c>
      <c r="J15" s="81"/>
      <c r="K15" s="4"/>
      <c r="L15" s="4"/>
      <c r="M15" s="4"/>
      <c r="U15">
        <f t="shared" si="10"/>
        <v>11</v>
      </c>
      <c r="V15">
        <f t="shared" si="0"/>
        <v>82.1</v>
      </c>
      <c r="W15">
        <f t="shared" si="1"/>
        <v>5.37</v>
      </c>
      <c r="X15">
        <f t="shared" si="2"/>
        <v>2.8</v>
      </c>
      <c r="Y15">
        <v>5.5219978769037255</v>
      </c>
      <c r="Z15">
        <f t="shared" si="3"/>
        <v>-0.15199787690372535</v>
      </c>
      <c r="AA15">
        <v>3.5327906609291498E-2</v>
      </c>
      <c r="AB15">
        <f t="shared" si="4"/>
        <v>-0.41946802339383338</v>
      </c>
      <c r="AC15">
        <f t="shared" si="5"/>
        <v>0.13290611294366036</v>
      </c>
      <c r="AD15">
        <f t="shared" si="6"/>
        <v>-0.42449754793696443</v>
      </c>
      <c r="AE15">
        <f t="shared" si="7"/>
        <v>0.67254307478156927</v>
      </c>
      <c r="AF15">
        <f t="shared" si="8"/>
        <v>2.226562742840704E-3</v>
      </c>
      <c r="AG15">
        <f t="shared" si="9"/>
        <v>-8.1235204887697268E-2</v>
      </c>
    </row>
    <row r="16" spans="1:36" ht="15.75" thickBot="1" x14ac:dyDescent="0.3">
      <c r="A16">
        <v>17</v>
      </c>
      <c r="B16">
        <v>5.89</v>
      </c>
      <c r="C16">
        <v>1.5</v>
      </c>
      <c r="D16">
        <v>70.7</v>
      </c>
      <c r="I16" s="66"/>
      <c r="U16">
        <f t="shared" si="10"/>
        <v>12</v>
      </c>
      <c r="V16">
        <f t="shared" si="0"/>
        <v>68.599999999999994</v>
      </c>
      <c r="W16">
        <f t="shared" si="1"/>
        <v>6.45</v>
      </c>
      <c r="X16">
        <f t="shared" si="2"/>
        <v>2.8</v>
      </c>
      <c r="Y16">
        <v>6.384243460726136</v>
      </c>
      <c r="Z16">
        <f t="shared" si="3"/>
        <v>6.5756539273864156E-2</v>
      </c>
      <c r="AA16">
        <v>7.8175645980729125E-2</v>
      </c>
      <c r="AB16">
        <f t="shared" si="4"/>
        <v>0.18146809755703069</v>
      </c>
      <c r="AC16">
        <f t="shared" si="5"/>
        <v>0.13319355807558242</v>
      </c>
      <c r="AD16">
        <f t="shared" si="6"/>
        <v>0.18766066427927397</v>
      </c>
      <c r="AE16">
        <f t="shared" si="7"/>
        <v>0.85170151711064257</v>
      </c>
      <c r="AF16">
        <f t="shared" si="8"/>
        <v>1.0098443522899032E-3</v>
      </c>
      <c r="AG16">
        <f t="shared" si="9"/>
        <v>5.4649337280930993E-2</v>
      </c>
    </row>
    <row r="17" spans="1:33" ht="15.75" thickTop="1" x14ac:dyDescent="0.25">
      <c r="A17">
        <v>18</v>
      </c>
      <c r="B17">
        <v>5.21</v>
      </c>
      <c r="C17">
        <v>0.8</v>
      </c>
      <c r="D17">
        <v>75</v>
      </c>
      <c r="G17" s="6"/>
      <c r="H17" s="6" t="s">
        <v>30</v>
      </c>
      <c r="I17" s="78" t="s">
        <v>31</v>
      </c>
      <c r="J17" s="82" t="s">
        <v>32</v>
      </c>
      <c r="K17" s="6" t="s">
        <v>25</v>
      </c>
      <c r="L17" s="6" t="s">
        <v>33</v>
      </c>
      <c r="M17" s="6" t="s">
        <v>34</v>
      </c>
      <c r="N17" s="6" t="s">
        <v>35</v>
      </c>
      <c r="U17">
        <f t="shared" si="10"/>
        <v>13</v>
      </c>
      <c r="V17">
        <f t="shared" si="0"/>
        <v>76.5</v>
      </c>
      <c r="W17">
        <f t="shared" si="1"/>
        <v>5.35</v>
      </c>
      <c r="X17">
        <f t="shared" si="2"/>
        <v>2.2999999999999998</v>
      </c>
      <c r="Y17">
        <v>5.8050011742407044</v>
      </c>
      <c r="Z17">
        <f t="shared" si="3"/>
        <v>-0.45500117424070474</v>
      </c>
      <c r="AA17">
        <v>1.9481240138941022E-2</v>
      </c>
      <c r="AB17">
        <f t="shared" si="4"/>
        <v>-1.255665191438893</v>
      </c>
      <c r="AC17">
        <f t="shared" si="5"/>
        <v>0.13011223404295835</v>
      </c>
      <c r="AD17">
        <f t="shared" si="6"/>
        <v>-1.2738711349846461</v>
      </c>
      <c r="AE17">
        <f t="shared" si="7"/>
        <v>0.20704593591651724</v>
      </c>
      <c r="AF17">
        <f t="shared" si="8"/>
        <v>1.064954961088304E-2</v>
      </c>
      <c r="AG17">
        <f t="shared" si="9"/>
        <v>-0.17955844809493998</v>
      </c>
    </row>
    <row r="18" spans="1:33" x14ac:dyDescent="0.25">
      <c r="A18">
        <v>19</v>
      </c>
      <c r="B18">
        <v>6</v>
      </c>
      <c r="C18">
        <v>2.9</v>
      </c>
      <c r="D18">
        <v>73.7</v>
      </c>
      <c r="G18" t="s">
        <v>36</v>
      </c>
      <c r="H18" s="66">
        <f t="array" ref="H18:I20">[1]!RegCoeff(W5:X75,V5:V75)</f>
        <v>121.19655584784518</v>
      </c>
      <c r="I18" s="66">
        <v>5.4575587577844091</v>
      </c>
      <c r="J18" s="79">
        <f>H18/I18</f>
        <v>22.20710050532686</v>
      </c>
      <c r="K18">
        <f>_xlfn.T.DIST.2T(ABS(J18),$H$14)</f>
        <v>7.0431278209177171E-33</v>
      </c>
      <c r="L18" s="66">
        <f>H18-_xlfn.T.INV.2T(L$11,$H$14)*I18</f>
        <v>110.30616690523354</v>
      </c>
      <c r="M18" s="66">
        <f>H18+_xlfn.T.INV.2T(L$11,$H$14)*I18</f>
        <v>132.08694479045681</v>
      </c>
      <c r="N18" s="66"/>
      <c r="U18">
        <f t="shared" si="10"/>
        <v>14</v>
      </c>
      <c r="V18">
        <f t="shared" si="0"/>
        <v>80.3</v>
      </c>
      <c r="W18">
        <f t="shared" si="1"/>
        <v>5.22</v>
      </c>
      <c r="X18">
        <f t="shared" si="2"/>
        <v>1.7</v>
      </c>
      <c r="Y18">
        <v>5.4726922760960592</v>
      </c>
      <c r="Z18">
        <f t="shared" si="3"/>
        <v>-0.25269227609605949</v>
      </c>
      <c r="AA18">
        <v>1.8264329934877505E-2</v>
      </c>
      <c r="AB18">
        <f t="shared" si="4"/>
        <v>-0.69735401401718522</v>
      </c>
      <c r="AC18">
        <f t="shared" si="5"/>
        <v>0.13229280123503556</v>
      </c>
      <c r="AD18">
        <f t="shared" si="6"/>
        <v>-0.70117524613699367</v>
      </c>
      <c r="AE18">
        <f t="shared" si="7"/>
        <v>0.48558631677893394</v>
      </c>
      <c r="AF18">
        <f t="shared" si="8"/>
        <v>3.0718496648744747E-3</v>
      </c>
      <c r="AG18">
        <f t="shared" si="9"/>
        <v>-9.5638149009797974E-2</v>
      </c>
    </row>
    <row r="19" spans="1:33" x14ac:dyDescent="0.25">
      <c r="A19">
        <v>20</v>
      </c>
      <c r="B19">
        <v>6.37</v>
      </c>
      <c r="C19">
        <v>0.5</v>
      </c>
      <c r="D19">
        <v>71.2</v>
      </c>
      <c r="G19" t="str">
        <f t="array" ref="G19:G20">TRANSPOSE(W4:X4)</f>
        <v>price</v>
      </c>
      <c r="H19" s="75">
        <v>-8.3901108526974078</v>
      </c>
      <c r="I19" s="66">
        <v>0.94688547279261182</v>
      </c>
      <c r="J19" s="79">
        <f t="shared" ref="J19:J20" si="11">H19/I19</f>
        <v>-8.8607451415985778</v>
      </c>
      <c r="K19">
        <f t="shared" ref="K19:K20" si="12">_xlfn.T.DIST.2T(ABS(J19),$H$14)</f>
        <v>6.0237711141880078E-13</v>
      </c>
      <c r="L19" s="66">
        <f t="shared" ref="L19:L20" si="13">H19-_xlfn.T.INV.2T(L$11,$H$14)*I19</f>
        <v>-10.279591395277322</v>
      </c>
      <c r="M19" s="66">
        <f t="shared" ref="M19:M20" si="14">H19+_xlfn.T.INV.2T(L$11,$H$14)*I19</f>
        <v>-6.5006303101174936</v>
      </c>
      <c r="N19" s="66">
        <f>[1]!VIF(W5:X75,1)</f>
        <v>1.0020485470955192</v>
      </c>
      <c r="U19">
        <f t="shared" si="10"/>
        <v>15</v>
      </c>
      <c r="V19">
        <f t="shared" si="0"/>
        <v>70.7</v>
      </c>
      <c r="W19">
        <f t="shared" si="1"/>
        <v>5.89</v>
      </c>
      <c r="X19">
        <f t="shared" si="2"/>
        <v>1.5</v>
      </c>
      <c r="Y19">
        <v>6.0559771133221796</v>
      </c>
      <c r="Z19">
        <f t="shared" si="3"/>
        <v>-0.1659771133221799</v>
      </c>
      <c r="AA19">
        <v>3.2133910908723057E-2</v>
      </c>
      <c r="AB19">
        <f t="shared" si="4"/>
        <v>-0.45804647454363695</v>
      </c>
      <c r="AC19">
        <f t="shared" si="5"/>
        <v>0.13283874589079722</v>
      </c>
      <c r="AD19">
        <f t="shared" si="6"/>
        <v>-0.46289041362096678</v>
      </c>
      <c r="AE19">
        <f t="shared" si="7"/>
        <v>0.64492089257744512</v>
      </c>
      <c r="AF19">
        <f t="shared" si="8"/>
        <v>2.3990034501338311E-3</v>
      </c>
      <c r="AG19">
        <f t="shared" si="9"/>
        <v>-8.4343640502987538E-2</v>
      </c>
    </row>
    <row r="20" spans="1:33" x14ac:dyDescent="0.25">
      <c r="A20">
        <v>21</v>
      </c>
      <c r="B20">
        <v>5.33</v>
      </c>
      <c r="C20">
        <v>2.1</v>
      </c>
      <c r="D20">
        <v>84.7</v>
      </c>
      <c r="G20" s="85" t="str">
        <v>advert</v>
      </c>
      <c r="H20" s="86">
        <v>2.1293234859012506</v>
      </c>
      <c r="I20" s="87">
        <v>0.60182912014034351</v>
      </c>
      <c r="J20" s="88">
        <f t="shared" si="11"/>
        <v>3.5380865010398685</v>
      </c>
      <c r="K20" s="85">
        <f t="shared" si="12"/>
        <v>7.3158817995320222E-4</v>
      </c>
      <c r="L20" s="87">
        <f t="shared" si="13"/>
        <v>0.92839217463143719</v>
      </c>
      <c r="M20" s="87">
        <f t="shared" si="14"/>
        <v>3.3302547971710643</v>
      </c>
      <c r="N20" s="87">
        <f>[1]!VIF(W5:X75,2)</f>
        <v>1.0020485470955192</v>
      </c>
      <c r="U20">
        <f t="shared" si="10"/>
        <v>16</v>
      </c>
      <c r="V20">
        <f t="shared" si="0"/>
        <v>75</v>
      </c>
      <c r="W20">
        <f t="shared" si="1"/>
        <v>5.21</v>
      </c>
      <c r="X20">
        <f t="shared" si="2"/>
        <v>0.8</v>
      </c>
      <c r="Y20">
        <v>5.6767994045862418</v>
      </c>
      <c r="Z20">
        <f t="shared" si="3"/>
        <v>-0.46679940458624181</v>
      </c>
      <c r="AA20">
        <v>3.8041821951058916E-2</v>
      </c>
      <c r="AB20">
        <f t="shared" si="4"/>
        <v>-1.2882247275547971</v>
      </c>
      <c r="AC20">
        <f t="shared" si="5"/>
        <v>0.12988268851483714</v>
      </c>
      <c r="AD20">
        <f t="shared" si="6"/>
        <v>-1.3206160252161159</v>
      </c>
      <c r="AE20">
        <f t="shared" si="7"/>
        <v>0.19105693621030601</v>
      </c>
      <c r="AF20">
        <f t="shared" si="8"/>
        <v>2.2741072043572289E-2</v>
      </c>
      <c r="AG20">
        <f t="shared" si="9"/>
        <v>-0.26262080106391256</v>
      </c>
    </row>
    <row r="21" spans="1:33" x14ac:dyDescent="0.25">
      <c r="A21">
        <v>22</v>
      </c>
      <c r="B21">
        <v>5.23</v>
      </c>
      <c r="C21">
        <v>0.8</v>
      </c>
      <c r="D21">
        <v>73.599999999999994</v>
      </c>
      <c r="U21">
        <f t="shared" si="10"/>
        <v>17</v>
      </c>
      <c r="V21">
        <f t="shared" si="0"/>
        <v>73.7</v>
      </c>
      <c r="W21">
        <f t="shared" si="1"/>
        <v>6</v>
      </c>
      <c r="X21">
        <f t="shared" si="2"/>
        <v>2.9</v>
      </c>
      <c r="Y21">
        <v>6.0734400291392436</v>
      </c>
      <c r="Z21">
        <f t="shared" si="3"/>
        <v>-7.3440029139243634E-2</v>
      </c>
      <c r="AA21">
        <v>5.0019828963442675E-2</v>
      </c>
      <c r="AB21">
        <f t="shared" si="4"/>
        <v>-0.20267219837903558</v>
      </c>
      <c r="AC21">
        <f t="shared" si="5"/>
        <v>0.1331788296087584</v>
      </c>
      <c r="AD21">
        <f t="shared" si="6"/>
        <v>-0.20647048282657568</v>
      </c>
      <c r="AE21">
        <f t="shared" si="7"/>
        <v>0.83704038943917836</v>
      </c>
      <c r="AF21">
        <f t="shared" si="8"/>
        <v>7.5889243496962417E-4</v>
      </c>
      <c r="AG21">
        <f t="shared" si="9"/>
        <v>-4.7377463356666948E-2</v>
      </c>
    </row>
    <row r="22" spans="1:33" x14ac:dyDescent="0.25">
      <c r="A22">
        <v>23</v>
      </c>
      <c r="B22">
        <v>5.88</v>
      </c>
      <c r="C22">
        <v>1.1000000000000001</v>
      </c>
      <c r="D22">
        <v>73.7</v>
      </c>
      <c r="U22">
        <f t="shared" si="10"/>
        <v>18</v>
      </c>
      <c r="V22">
        <f t="shared" si="0"/>
        <v>71.2</v>
      </c>
      <c r="W22">
        <f t="shared" si="1"/>
        <v>6.37</v>
      </c>
      <c r="X22">
        <f t="shared" si="2"/>
        <v>0.5</v>
      </c>
      <c r="Y22">
        <v>5.8747042020167139</v>
      </c>
      <c r="Z22">
        <f t="shared" si="3"/>
        <v>0.49529579798328616</v>
      </c>
      <c r="AA22">
        <v>5.8965746410849215E-2</v>
      </c>
      <c r="AB22">
        <f t="shared" si="4"/>
        <v>1.366866127392786</v>
      </c>
      <c r="AC22">
        <f t="shared" si="5"/>
        <v>0.12937267635358646</v>
      </c>
      <c r="AD22">
        <f t="shared" si="6"/>
        <v>1.419517157741975</v>
      </c>
      <c r="AE22">
        <f t="shared" si="7"/>
        <v>0.16031641104101826</v>
      </c>
      <c r="AF22">
        <f t="shared" si="8"/>
        <v>4.1468625839613901E-2</v>
      </c>
      <c r="AG22">
        <f t="shared" si="9"/>
        <v>0.35533487188137652</v>
      </c>
    </row>
    <row r="23" spans="1:33" x14ac:dyDescent="0.25">
      <c r="A23">
        <v>24</v>
      </c>
      <c r="B23">
        <v>6.24</v>
      </c>
      <c r="C23">
        <v>1.9</v>
      </c>
      <c r="D23">
        <v>78.099999999999994</v>
      </c>
      <c r="U23">
        <f t="shared" si="10"/>
        <v>19</v>
      </c>
      <c r="V23">
        <f t="shared" si="0"/>
        <v>84.7</v>
      </c>
      <c r="W23">
        <f t="shared" si="1"/>
        <v>5.33</v>
      </c>
      <c r="X23">
        <f t="shared" si="2"/>
        <v>2.1</v>
      </c>
      <c r="Y23">
        <v>5.2513992416861646</v>
      </c>
      <c r="Z23">
        <f t="shared" si="3"/>
        <v>7.8600758313835506E-2</v>
      </c>
      <c r="AA23">
        <v>3.2789088650275883E-2</v>
      </c>
      <c r="AB23">
        <f t="shared" si="4"/>
        <v>0.21691424511175467</v>
      </c>
      <c r="AC23">
        <f t="shared" si="5"/>
        <v>0.13316823112161441</v>
      </c>
      <c r="AD23">
        <f t="shared" si="6"/>
        <v>0.21901094889876169</v>
      </c>
      <c r="AE23">
        <f t="shared" si="7"/>
        <v>0.82729755361318513</v>
      </c>
      <c r="AF23">
        <f t="shared" si="8"/>
        <v>5.4972041315629256E-4</v>
      </c>
      <c r="AG23">
        <f t="shared" si="9"/>
        <v>4.0324584964781029E-2</v>
      </c>
    </row>
    <row r="24" spans="1:33" x14ac:dyDescent="0.25">
      <c r="A24">
        <v>25</v>
      </c>
      <c r="B24">
        <v>5.59</v>
      </c>
      <c r="C24">
        <v>2.1</v>
      </c>
      <c r="D24">
        <v>75.7</v>
      </c>
      <c r="U24">
        <f t="shared" si="10"/>
        <v>20</v>
      </c>
      <c r="V24">
        <f t="shared" si="0"/>
        <v>73.599999999999994</v>
      </c>
      <c r="W24">
        <f t="shared" si="1"/>
        <v>5.23</v>
      </c>
      <c r="X24">
        <f t="shared" si="2"/>
        <v>0.8</v>
      </c>
      <c r="Y24">
        <v>5.7662174651307883</v>
      </c>
      <c r="Z24">
        <f t="shared" si="3"/>
        <v>-0.53621746513078783</v>
      </c>
      <c r="AA24">
        <v>3.9464454157390978E-2</v>
      </c>
      <c r="AB24">
        <f t="shared" si="4"/>
        <v>-1.4797975128963829</v>
      </c>
      <c r="AC24">
        <f t="shared" si="5"/>
        <v>0.12879576783054469</v>
      </c>
      <c r="AD24">
        <f t="shared" si="6"/>
        <v>-1.5245210961015843</v>
      </c>
      <c r="AE24">
        <f t="shared" si="7"/>
        <v>0.13201624048151919</v>
      </c>
      <c r="AF24">
        <f t="shared" si="8"/>
        <v>3.1222131571181033E-2</v>
      </c>
      <c r="AG24">
        <f t="shared" si="9"/>
        <v>-0.30901514721180179</v>
      </c>
    </row>
    <row r="25" spans="1:33" x14ac:dyDescent="0.25">
      <c r="A25">
        <v>26</v>
      </c>
      <c r="B25">
        <v>6.22</v>
      </c>
      <c r="C25">
        <v>1.3</v>
      </c>
      <c r="D25">
        <v>74.400000000000006</v>
      </c>
      <c r="U25">
        <f t="shared" si="10"/>
        <v>21</v>
      </c>
      <c r="V25">
        <f t="shared" si="0"/>
        <v>73.7</v>
      </c>
      <c r="W25">
        <f t="shared" si="1"/>
        <v>5.88</v>
      </c>
      <c r="X25">
        <f t="shared" si="2"/>
        <v>1.1000000000000001</v>
      </c>
      <c r="Y25">
        <v>5.8046318277109012</v>
      </c>
      <c r="Z25">
        <f t="shared" si="3"/>
        <v>7.5368172289098645E-2</v>
      </c>
      <c r="AA25">
        <v>2.8763041941786749E-2</v>
      </c>
      <c r="AB25">
        <f t="shared" si="4"/>
        <v>0.20799328846506571</v>
      </c>
      <c r="AC25">
        <f t="shared" si="5"/>
        <v>0.13317627493800188</v>
      </c>
      <c r="AD25">
        <f t="shared" si="6"/>
        <v>0.20956171887674446</v>
      </c>
      <c r="AE25">
        <f t="shared" si="7"/>
        <v>0.834636335588675</v>
      </c>
      <c r="AF25">
        <f t="shared" si="8"/>
        <v>4.3970540326460761E-4</v>
      </c>
      <c r="AG25">
        <f t="shared" si="9"/>
        <v>3.6063407499858778E-2</v>
      </c>
    </row>
    <row r="26" spans="1:33" x14ac:dyDescent="0.25">
      <c r="A26">
        <v>27</v>
      </c>
      <c r="B26">
        <v>6.41</v>
      </c>
      <c r="C26">
        <v>1.1000000000000001</v>
      </c>
      <c r="D26">
        <v>68.7</v>
      </c>
      <c r="U26">
        <f t="shared" si="10"/>
        <v>22</v>
      </c>
      <c r="V26">
        <f t="shared" si="0"/>
        <v>78.099999999999994</v>
      </c>
      <c r="W26">
        <f t="shared" si="1"/>
        <v>6.24</v>
      </c>
      <c r="X26">
        <f t="shared" si="2"/>
        <v>1.9</v>
      </c>
      <c r="Y26">
        <v>5.6430739491739725</v>
      </c>
      <c r="Z26">
        <f t="shared" si="3"/>
        <v>0.59692605082602768</v>
      </c>
      <c r="AA26">
        <v>1.4184710196109325E-2</v>
      </c>
      <c r="AB26">
        <f t="shared" si="4"/>
        <v>1.6473347901489264</v>
      </c>
      <c r="AC26">
        <f t="shared" si="5"/>
        <v>0.12786882483134607</v>
      </c>
      <c r="AD26">
        <f t="shared" si="6"/>
        <v>1.6812814481922893</v>
      </c>
      <c r="AE26">
        <f t="shared" si="7"/>
        <v>9.7296125657410762E-2</v>
      </c>
      <c r="AF26">
        <f t="shared" si="8"/>
        <v>1.3202976612774774E-2</v>
      </c>
      <c r="AG26">
        <f t="shared" si="9"/>
        <v>0.20167537801411239</v>
      </c>
    </row>
    <row r="27" spans="1:33" x14ac:dyDescent="0.25">
      <c r="A27">
        <v>28</v>
      </c>
      <c r="B27">
        <v>4.96</v>
      </c>
      <c r="C27">
        <v>1.1000000000000001</v>
      </c>
      <c r="D27">
        <v>83.9</v>
      </c>
      <c r="U27">
        <f t="shared" si="10"/>
        <v>23</v>
      </c>
      <c r="V27">
        <f t="shared" si="0"/>
        <v>75.7</v>
      </c>
      <c r="W27">
        <f t="shared" si="1"/>
        <v>5.59</v>
      </c>
      <c r="X27">
        <f t="shared" si="2"/>
        <v>2.1</v>
      </c>
      <c r="Y27">
        <v>5.8262296309011044</v>
      </c>
      <c r="Z27">
        <f t="shared" si="3"/>
        <v>-0.23622963090110449</v>
      </c>
      <c r="AA27">
        <v>1.739429613426649E-2</v>
      </c>
      <c r="AB27">
        <f t="shared" si="4"/>
        <v>-0.65192210812197526</v>
      </c>
      <c r="AC27">
        <f t="shared" si="5"/>
        <v>0.13241592096582436</v>
      </c>
      <c r="AD27">
        <f t="shared" si="6"/>
        <v>-0.65489945386782999</v>
      </c>
      <c r="AE27">
        <f t="shared" si="7"/>
        <v>0.51474175469585015</v>
      </c>
      <c r="AF27">
        <f t="shared" si="8"/>
        <v>2.5522220801493935E-3</v>
      </c>
      <c r="AG27">
        <f t="shared" si="9"/>
        <v>-8.7134153744817311E-2</v>
      </c>
    </row>
    <row r="28" spans="1:33" x14ac:dyDescent="0.25">
      <c r="A28" s="28">
        <v>29</v>
      </c>
      <c r="B28">
        <v>4.83</v>
      </c>
      <c r="C28">
        <v>2.9</v>
      </c>
      <c r="D28">
        <v>86.1</v>
      </c>
      <c r="U28">
        <f t="shared" si="10"/>
        <v>24</v>
      </c>
      <c r="V28">
        <f t="shared" si="0"/>
        <v>74.400000000000006</v>
      </c>
      <c r="W28">
        <f t="shared" si="1"/>
        <v>6.22</v>
      </c>
      <c r="X28">
        <f t="shared" si="2"/>
        <v>1.3</v>
      </c>
      <c r="Y28">
        <v>5.7897903753751097</v>
      </c>
      <c r="Z28">
        <f t="shared" si="3"/>
        <v>0.4302096246248901</v>
      </c>
      <c r="AA28">
        <v>2.2594654638587897E-2</v>
      </c>
      <c r="AB28">
        <f t="shared" si="4"/>
        <v>1.1872480363703208</v>
      </c>
      <c r="AC28">
        <f t="shared" si="5"/>
        <v>0.13043731622538096</v>
      </c>
      <c r="AD28">
        <f t="shared" si="6"/>
        <v>1.2048745747396243</v>
      </c>
      <c r="AE28">
        <f t="shared" si="7"/>
        <v>0.23242832028901089</v>
      </c>
      <c r="AF28">
        <f t="shared" si="8"/>
        <v>1.1112658107661452E-2</v>
      </c>
      <c r="AG28">
        <f t="shared" si="9"/>
        <v>0.18319235210318566</v>
      </c>
    </row>
    <row r="29" spans="1:33" x14ac:dyDescent="0.25">
      <c r="A29">
        <v>30</v>
      </c>
      <c r="B29">
        <v>6.35</v>
      </c>
      <c r="C29">
        <v>1.4</v>
      </c>
      <c r="D29">
        <v>73.7</v>
      </c>
      <c r="U29">
        <f t="shared" si="10"/>
        <v>25</v>
      </c>
      <c r="V29">
        <f t="shared" si="0"/>
        <v>68.7</v>
      </c>
      <c r="W29">
        <f t="shared" si="1"/>
        <v>6.41</v>
      </c>
      <c r="X29">
        <f t="shared" si="2"/>
        <v>1.1000000000000001</v>
      </c>
      <c r="Y29">
        <v>6.1239820439414236</v>
      </c>
      <c r="Z29">
        <f t="shared" si="3"/>
        <v>0.28601795605857649</v>
      </c>
      <c r="AA29">
        <v>4.835241760219916E-2</v>
      </c>
      <c r="AB29">
        <f t="shared" si="4"/>
        <v>0.78932277954794827</v>
      </c>
      <c r="AC29">
        <f t="shared" si="5"/>
        <v>0.13198054068545328</v>
      </c>
      <c r="AD29">
        <f t="shared" si="6"/>
        <v>0.80704968593615312</v>
      </c>
      <c r="AE29">
        <f t="shared" si="7"/>
        <v>0.42245175424436709</v>
      </c>
      <c r="AF29">
        <f t="shared" si="8"/>
        <v>1.1088017804380722E-2</v>
      </c>
      <c r="AG29">
        <f t="shared" si="9"/>
        <v>0.18191616636725075</v>
      </c>
    </row>
    <row r="30" spans="1:33" x14ac:dyDescent="0.25">
      <c r="A30">
        <v>31</v>
      </c>
      <c r="B30">
        <v>6.47</v>
      </c>
      <c r="C30">
        <v>2.5</v>
      </c>
      <c r="D30">
        <v>75.7</v>
      </c>
      <c r="U30">
        <f t="shared" si="10"/>
        <v>26</v>
      </c>
      <c r="V30">
        <f t="shared" si="0"/>
        <v>83.9</v>
      </c>
      <c r="W30">
        <f t="shared" si="1"/>
        <v>4.96</v>
      </c>
      <c r="X30">
        <f t="shared" si="2"/>
        <v>1.1000000000000001</v>
      </c>
      <c r="Y30">
        <v>5.1531573866006353</v>
      </c>
      <c r="Z30">
        <f t="shared" si="3"/>
        <v>-0.19315738660063531</v>
      </c>
      <c r="AA30">
        <v>5.0151534659334807E-2</v>
      </c>
      <c r="AB30">
        <f t="shared" si="4"/>
        <v>-0.53305578217126526</v>
      </c>
      <c r="AC30">
        <f t="shared" si="5"/>
        <v>0.1326773028565337</v>
      </c>
      <c r="AD30">
        <f t="shared" si="6"/>
        <v>-0.54410891406066075</v>
      </c>
      <c r="AE30">
        <f t="shared" si="7"/>
        <v>0.5881462412942855</v>
      </c>
      <c r="AF30">
        <f t="shared" si="8"/>
        <v>5.2650153159259222E-3</v>
      </c>
      <c r="AG30">
        <f t="shared" si="9"/>
        <v>-0.12502613098017562</v>
      </c>
    </row>
    <row r="31" spans="1:33" x14ac:dyDescent="0.25">
      <c r="A31">
        <v>32</v>
      </c>
      <c r="B31">
        <v>5.69</v>
      </c>
      <c r="C31">
        <v>3</v>
      </c>
      <c r="D31">
        <v>78.8</v>
      </c>
      <c r="U31">
        <f t="shared" si="10"/>
        <v>27</v>
      </c>
      <c r="V31">
        <f t="shared" si="0"/>
        <v>86.1</v>
      </c>
      <c r="W31">
        <f t="shared" si="1"/>
        <v>4.83</v>
      </c>
      <c r="X31">
        <f t="shared" si="2"/>
        <v>2.9</v>
      </c>
      <c r="Y31">
        <v>5.2814514928875491</v>
      </c>
      <c r="Z31">
        <f t="shared" si="3"/>
        <v>-0.45145149288754904</v>
      </c>
      <c r="AA31">
        <v>5.3462246897287347E-2</v>
      </c>
      <c r="AB31">
        <f t="shared" si="4"/>
        <v>-1.2458691478939607</v>
      </c>
      <c r="AC31">
        <f t="shared" si="5"/>
        <v>0.13004983682382931</v>
      </c>
      <c r="AD31">
        <f t="shared" si="6"/>
        <v>-1.2867293800285751</v>
      </c>
      <c r="AE31">
        <f t="shared" si="7"/>
        <v>0.20255190386197053</v>
      </c>
      <c r="AF31">
        <f t="shared" si="8"/>
        <v>3.0874144591222643E-2</v>
      </c>
      <c r="AG31">
        <f t="shared" si="9"/>
        <v>-0.30580307675229901</v>
      </c>
    </row>
    <row r="32" spans="1:33" x14ac:dyDescent="0.25">
      <c r="A32">
        <v>33</v>
      </c>
      <c r="B32">
        <v>5.56</v>
      </c>
      <c r="C32">
        <v>1</v>
      </c>
      <c r="D32">
        <v>73.7</v>
      </c>
      <c r="U32">
        <f t="shared" si="10"/>
        <v>28</v>
      </c>
      <c r="V32">
        <f t="shared" si="0"/>
        <v>73.7</v>
      </c>
      <c r="W32">
        <f t="shared" si="1"/>
        <v>6.35</v>
      </c>
      <c r="X32">
        <f t="shared" si="2"/>
        <v>1.4</v>
      </c>
      <c r="Y32">
        <v>5.8494331946156244</v>
      </c>
      <c r="Z32">
        <f t="shared" si="3"/>
        <v>0.50056680538437526</v>
      </c>
      <c r="AA32">
        <v>2.2240731767206021E-2</v>
      </c>
      <c r="AB32">
        <f t="shared" si="4"/>
        <v>1.3814125085717124</v>
      </c>
      <c r="AC32">
        <f t="shared" si="5"/>
        <v>0.12943869134418512</v>
      </c>
      <c r="AD32">
        <f t="shared" si="6"/>
        <v>1.4070645420866132</v>
      </c>
      <c r="AE32">
        <f t="shared" si="7"/>
        <v>0.16396261053489547</v>
      </c>
      <c r="AF32">
        <f t="shared" si="8"/>
        <v>1.4798261699358412E-2</v>
      </c>
      <c r="AG32">
        <f t="shared" si="9"/>
        <v>0.21221329297794825</v>
      </c>
    </row>
    <row r="33" spans="1:33" x14ac:dyDescent="0.25">
      <c r="A33">
        <v>34</v>
      </c>
      <c r="B33">
        <v>6.41</v>
      </c>
      <c r="C33">
        <v>3.1</v>
      </c>
      <c r="D33">
        <v>80.2</v>
      </c>
      <c r="U33">
        <f t="shared" si="10"/>
        <v>29</v>
      </c>
      <c r="V33">
        <f t="shared" si="0"/>
        <v>75.7</v>
      </c>
      <c r="W33">
        <f t="shared" si="1"/>
        <v>6.47</v>
      </c>
      <c r="X33">
        <f t="shared" si="2"/>
        <v>2.5</v>
      </c>
      <c r="Y33">
        <v>5.8859647867740694</v>
      </c>
      <c r="Z33">
        <f t="shared" si="3"/>
        <v>0.58403521322593033</v>
      </c>
      <c r="AA33">
        <v>2.6290591807768562E-2</v>
      </c>
      <c r="AB33">
        <f t="shared" si="4"/>
        <v>1.6117599895125418</v>
      </c>
      <c r="AC33">
        <f t="shared" si="5"/>
        <v>0.12803510595754597</v>
      </c>
      <c r="AD33">
        <f t="shared" si="6"/>
        <v>1.6540925936764734</v>
      </c>
      <c r="AE33">
        <f t="shared" si="7"/>
        <v>0.10271802107221323</v>
      </c>
      <c r="AF33">
        <f t="shared" si="8"/>
        <v>2.40116008972239E-2</v>
      </c>
      <c r="AG33">
        <f t="shared" si="9"/>
        <v>0.27179741069979269</v>
      </c>
    </row>
    <row r="34" spans="1:33" x14ac:dyDescent="0.25">
      <c r="A34">
        <v>35</v>
      </c>
      <c r="B34">
        <v>5.54</v>
      </c>
      <c r="C34">
        <v>0.5</v>
      </c>
      <c r="D34">
        <v>69.900000000000006</v>
      </c>
      <c r="U34">
        <f t="shared" si="10"/>
        <v>30</v>
      </c>
      <c r="V34">
        <f t="shared" si="0"/>
        <v>78.8</v>
      </c>
      <c r="W34">
        <f t="shared" si="1"/>
        <v>5.69</v>
      </c>
      <c r="X34">
        <f t="shared" si="2"/>
        <v>3</v>
      </c>
      <c r="Y34">
        <v>5.7626365975523521</v>
      </c>
      <c r="Z34">
        <f t="shared" si="3"/>
        <v>-7.2636597552351745E-2</v>
      </c>
      <c r="AA34">
        <v>4.1371911584553202E-2</v>
      </c>
      <c r="AB34">
        <f t="shared" si="4"/>
        <v>-0.2004549709640818</v>
      </c>
      <c r="AC34">
        <f t="shared" si="5"/>
        <v>0.13318142131698563</v>
      </c>
      <c r="AD34">
        <f t="shared" si="6"/>
        <v>-0.20328652641291603</v>
      </c>
      <c r="AE34">
        <f t="shared" si="7"/>
        <v>0.8395181788759708</v>
      </c>
      <c r="AF34">
        <f t="shared" si="8"/>
        <v>6.0300053066183123E-4</v>
      </c>
      <c r="AG34">
        <f t="shared" si="9"/>
        <v>-4.2231481217981599E-2</v>
      </c>
    </row>
    <row r="35" spans="1:33" x14ac:dyDescent="0.25">
      <c r="A35">
        <v>36</v>
      </c>
      <c r="B35">
        <v>6.47</v>
      </c>
      <c r="C35">
        <v>2.7</v>
      </c>
      <c r="D35">
        <v>69.099999999999994</v>
      </c>
      <c r="U35">
        <f t="shared" si="10"/>
        <v>31</v>
      </c>
      <c r="V35">
        <f t="shared" si="0"/>
        <v>73.7</v>
      </c>
      <c r="W35">
        <f t="shared" si="1"/>
        <v>5.56</v>
      </c>
      <c r="X35">
        <f t="shared" si="2"/>
        <v>1</v>
      </c>
      <c r="Y35">
        <v>5.7896980387426593</v>
      </c>
      <c r="Z35">
        <f t="shared" si="3"/>
        <v>-0.2296980387426597</v>
      </c>
      <c r="AA35">
        <v>3.1831821601004465E-2</v>
      </c>
      <c r="AB35">
        <f t="shared" si="4"/>
        <v>-0.63389689548000616</v>
      </c>
      <c r="AC35">
        <f t="shared" si="5"/>
        <v>0.13245019571327768</v>
      </c>
      <c r="AD35">
        <f t="shared" si="6"/>
        <v>-0.64143932624787625</v>
      </c>
      <c r="AE35">
        <f t="shared" si="7"/>
        <v>0.52339353099395147</v>
      </c>
      <c r="AF35">
        <f t="shared" si="8"/>
        <v>4.5485804315604115E-3</v>
      </c>
      <c r="AG35">
        <f t="shared" si="9"/>
        <v>-0.11630835857813429</v>
      </c>
    </row>
    <row r="36" spans="1:33" x14ac:dyDescent="0.25">
      <c r="A36">
        <v>37</v>
      </c>
      <c r="B36">
        <v>4.9400000000000004</v>
      </c>
      <c r="C36">
        <v>0.9</v>
      </c>
      <c r="D36">
        <v>83.8</v>
      </c>
      <c r="U36">
        <f t="shared" si="10"/>
        <v>32</v>
      </c>
      <c r="V36">
        <f t="shared" ref="V36:V67" si="15">D33</f>
        <v>80.2</v>
      </c>
      <c r="W36">
        <f t="shared" ref="W36:W67" si="16">B33</f>
        <v>6.41</v>
      </c>
      <c r="X36">
        <f t="shared" ref="X36:X67" si="17">C33</f>
        <v>3.1</v>
      </c>
      <c r="Y36">
        <v>5.6881523259760467</v>
      </c>
      <c r="Z36">
        <f t="shared" si="3"/>
        <v>0.72184767402395345</v>
      </c>
      <c r="AA36">
        <v>4.6014811193056955E-2</v>
      </c>
      <c r="AB36">
        <f t="shared" si="4"/>
        <v>1.9920805683756411</v>
      </c>
      <c r="AC36">
        <f t="shared" si="5"/>
        <v>0.12511136982930862</v>
      </c>
      <c r="AD36">
        <f t="shared" si="6"/>
        <v>2.0894229266690432</v>
      </c>
      <c r="AE36">
        <f t="shared" si="7"/>
        <v>4.041362511119876E-2</v>
      </c>
      <c r="AF36">
        <f t="shared" si="8"/>
        <v>6.6881641545430817E-2</v>
      </c>
      <c r="AG36">
        <f t="shared" si="9"/>
        <v>0.45888552852636383</v>
      </c>
    </row>
    <row r="37" spans="1:33" x14ac:dyDescent="0.25">
      <c r="A37">
        <v>40</v>
      </c>
      <c r="B37">
        <v>5.2</v>
      </c>
      <c r="C37">
        <v>2.2999999999999998</v>
      </c>
      <c r="D37">
        <v>84.3</v>
      </c>
      <c r="U37">
        <f t="shared" si="10"/>
        <v>33</v>
      </c>
      <c r="V37">
        <f t="shared" si="15"/>
        <v>69.900000000000006</v>
      </c>
      <c r="W37">
        <f t="shared" si="16"/>
        <v>5.54</v>
      </c>
      <c r="X37">
        <f t="shared" si="17"/>
        <v>0.5</v>
      </c>
      <c r="Y37">
        <v>5.9577352582366503</v>
      </c>
      <c r="Z37">
        <f t="shared" si="3"/>
        <v>-0.41773525823665025</v>
      </c>
      <c r="AA37">
        <v>6.3562128263424861E-2</v>
      </c>
      <c r="AB37">
        <f t="shared" si="4"/>
        <v>-1.1528225699193668</v>
      </c>
      <c r="AC37">
        <f t="shared" si="5"/>
        <v>0.13048226303192592</v>
      </c>
      <c r="AD37">
        <f t="shared" si="6"/>
        <v>-1.1950495368486636</v>
      </c>
      <c r="AE37">
        <f t="shared" si="7"/>
        <v>0.2362190303635075</v>
      </c>
      <c r="AF37">
        <f t="shared" si="8"/>
        <v>3.2110286319650051E-2</v>
      </c>
      <c r="AG37">
        <f t="shared" si="9"/>
        <v>-0.31134768323647216</v>
      </c>
    </row>
    <row r="38" spans="1:33" x14ac:dyDescent="0.25">
      <c r="A38">
        <v>41</v>
      </c>
      <c r="B38">
        <v>5.62</v>
      </c>
      <c r="C38">
        <v>1.2</v>
      </c>
      <c r="D38">
        <v>79.5</v>
      </c>
      <c r="U38">
        <f t="shared" si="10"/>
        <v>34</v>
      </c>
      <c r="V38">
        <f t="shared" si="15"/>
        <v>69.099999999999994</v>
      </c>
      <c r="W38">
        <f t="shared" si="16"/>
        <v>6.47</v>
      </c>
      <c r="X38">
        <f t="shared" si="17"/>
        <v>2.7</v>
      </c>
      <c r="Y38">
        <v>6.3373746501348425</v>
      </c>
      <c r="Z38">
        <f t="shared" si="3"/>
        <v>0.13262534986515728</v>
      </c>
      <c r="AA38">
        <v>6.879320342253642E-2</v>
      </c>
      <c r="AB38">
        <f t="shared" si="4"/>
        <v>0.36600572648189161</v>
      </c>
      <c r="AC38">
        <f t="shared" si="5"/>
        <v>0.13298164318080818</v>
      </c>
      <c r="AD38">
        <f t="shared" si="6"/>
        <v>0.37688393575361562</v>
      </c>
      <c r="AE38">
        <f t="shared" si="7"/>
        <v>0.70743342559594913</v>
      </c>
      <c r="AF38">
        <f t="shared" si="8"/>
        <v>3.5424829209153648E-3</v>
      </c>
      <c r="AG38">
        <f t="shared" si="9"/>
        <v>0.10243711168884223</v>
      </c>
    </row>
    <row r="39" spans="1:33" x14ac:dyDescent="0.25">
      <c r="A39">
        <v>42</v>
      </c>
      <c r="B39">
        <v>5.28</v>
      </c>
      <c r="C39">
        <v>3.1</v>
      </c>
      <c r="D39">
        <v>80.2</v>
      </c>
      <c r="U39">
        <f t="shared" si="10"/>
        <v>35</v>
      </c>
      <c r="V39">
        <f t="shared" si="15"/>
        <v>83.8</v>
      </c>
      <c r="W39">
        <f t="shared" si="16"/>
        <v>4.9400000000000004</v>
      </c>
      <c r="X39">
        <f t="shared" si="17"/>
        <v>0.9</v>
      </c>
      <c r="Y39">
        <v>5.1296768129887633</v>
      </c>
      <c r="Z39">
        <f t="shared" si="3"/>
        <v>-0.18967681298876293</v>
      </c>
      <c r="AA39">
        <v>5.9145692557376783E-2</v>
      </c>
      <c r="AB39">
        <f t="shared" si="4"/>
        <v>-0.52345045502466581</v>
      </c>
      <c r="AC39">
        <f t="shared" si="5"/>
        <v>0.13269283644723784</v>
      </c>
      <c r="AD39">
        <f t="shared" si="6"/>
        <v>-0.536820776912314</v>
      </c>
      <c r="AE39">
        <f t="shared" si="7"/>
        <v>0.59314353841154954</v>
      </c>
      <c r="AF39">
        <f t="shared" si="8"/>
        <v>6.1025068414996232E-3</v>
      </c>
      <c r="AG39">
        <f t="shared" si="9"/>
        <v>-0.13459523597359718</v>
      </c>
    </row>
    <row r="40" spans="1:33" x14ac:dyDescent="0.25">
      <c r="A40">
        <v>43</v>
      </c>
      <c r="B40">
        <v>5.46</v>
      </c>
      <c r="C40">
        <v>1</v>
      </c>
      <c r="D40">
        <v>67.599999999999994</v>
      </c>
      <c r="U40">
        <f t="shared" si="10"/>
        <v>36</v>
      </c>
      <c r="V40">
        <f t="shared" si="15"/>
        <v>84.3</v>
      </c>
      <c r="W40">
        <f t="shared" si="16"/>
        <v>5.2</v>
      </c>
      <c r="X40">
        <f t="shared" si="17"/>
        <v>2.2999999999999998</v>
      </c>
      <c r="Y40">
        <v>5.3068148369210899</v>
      </c>
      <c r="Z40">
        <f t="shared" si="3"/>
        <v>-0.10681483692108973</v>
      </c>
      <c r="AA40">
        <v>3.1726797514057076E-2</v>
      </c>
      <c r="AB40">
        <f t="shared" si="4"/>
        <v>-0.29477654178553869</v>
      </c>
      <c r="AC40">
        <f t="shared" si="5"/>
        <v>0.13308769777628124</v>
      </c>
      <c r="AD40">
        <f t="shared" si="6"/>
        <v>-0.29755254501115508</v>
      </c>
      <c r="AE40">
        <f t="shared" si="7"/>
        <v>0.76695185757506579</v>
      </c>
      <c r="AF40">
        <f t="shared" si="8"/>
        <v>9.8015553312330909E-4</v>
      </c>
      <c r="AG40">
        <f t="shared" si="9"/>
        <v>-5.3861424012083207E-2</v>
      </c>
    </row>
    <row r="41" spans="1:33" x14ac:dyDescent="0.25">
      <c r="A41">
        <v>44</v>
      </c>
      <c r="B41">
        <v>5.1100000000000003</v>
      </c>
      <c r="C41">
        <v>2.5</v>
      </c>
      <c r="D41">
        <v>86.5</v>
      </c>
      <c r="U41">
        <f t="shared" si="10"/>
        <v>37</v>
      </c>
      <c r="V41">
        <f t="shared" si="15"/>
        <v>79.5</v>
      </c>
      <c r="W41">
        <f t="shared" si="16"/>
        <v>5.62</v>
      </c>
      <c r="X41">
        <f t="shared" si="17"/>
        <v>1.2</v>
      </c>
      <c r="Y41">
        <v>5.449119365851737</v>
      </c>
      <c r="Z41">
        <f t="shared" si="3"/>
        <v>0.17088063414826316</v>
      </c>
      <c r="AA41">
        <v>2.7338443100563298E-2</v>
      </c>
      <c r="AB41">
        <f t="shared" si="4"/>
        <v>0.47157870427267751</v>
      </c>
      <c r="AC41">
        <f t="shared" si="5"/>
        <v>0.1328154938669191</v>
      </c>
      <c r="AD41">
        <f t="shared" si="6"/>
        <v>0.47543111448060266</v>
      </c>
      <c r="AE41">
        <f t="shared" si="7"/>
        <v>0.63600341971335839</v>
      </c>
      <c r="AF41">
        <f t="shared" si="8"/>
        <v>2.1420884057398227E-3</v>
      </c>
      <c r="AG41">
        <f t="shared" si="9"/>
        <v>7.9706477038727658E-2</v>
      </c>
    </row>
    <row r="42" spans="1:33" x14ac:dyDescent="0.25">
      <c r="A42">
        <v>45</v>
      </c>
      <c r="B42">
        <v>5.04</v>
      </c>
      <c r="C42">
        <v>2.1</v>
      </c>
      <c r="D42">
        <v>87.6</v>
      </c>
      <c r="U42">
        <f t="shared" si="10"/>
        <v>38</v>
      </c>
      <c r="V42">
        <f t="shared" si="15"/>
        <v>80.2</v>
      </c>
      <c r="W42">
        <f t="shared" si="16"/>
        <v>5.28</v>
      </c>
      <c r="X42">
        <f t="shared" si="17"/>
        <v>3.1</v>
      </c>
      <c r="Y42">
        <v>5.6881523259760467</v>
      </c>
      <c r="Z42">
        <f t="shared" si="3"/>
        <v>-0.40815232597604645</v>
      </c>
      <c r="AA42">
        <v>4.6014811193056955E-2</v>
      </c>
      <c r="AB42">
        <f t="shared" si="4"/>
        <v>-1.1263765843861706</v>
      </c>
      <c r="AC42">
        <f t="shared" si="5"/>
        <v>0.13065724496218137</v>
      </c>
      <c r="AD42">
        <f t="shared" si="6"/>
        <v>-1.1560715443403304</v>
      </c>
      <c r="AE42">
        <f t="shared" si="7"/>
        <v>0.2516975356743627</v>
      </c>
      <c r="AF42">
        <f t="shared" si="8"/>
        <v>2.1382592167346236E-2</v>
      </c>
      <c r="AG42">
        <f t="shared" si="9"/>
        <v>-0.25390000983890426</v>
      </c>
    </row>
    <row r="43" spans="1:33" x14ac:dyDescent="0.25">
      <c r="A43">
        <v>46</v>
      </c>
      <c r="B43">
        <v>5.08</v>
      </c>
      <c r="C43">
        <v>2.8</v>
      </c>
      <c r="D43">
        <v>84.2</v>
      </c>
      <c r="U43">
        <f t="shared" si="10"/>
        <v>39</v>
      </c>
      <c r="V43">
        <f t="shared" si="15"/>
        <v>67.599999999999994</v>
      </c>
      <c r="W43">
        <f t="shared" si="16"/>
        <v>5.46</v>
      </c>
      <c r="X43">
        <f t="shared" si="17"/>
        <v>1</v>
      </c>
      <c r="Y43">
        <v>6.1793053025438969</v>
      </c>
      <c r="Z43">
        <f t="shared" si="3"/>
        <v>-0.71930530254389691</v>
      </c>
      <c r="AA43">
        <v>5.7474508497530691E-2</v>
      </c>
      <c r="AB43">
        <f t="shared" si="4"/>
        <v>-1.9850643944579773</v>
      </c>
      <c r="AC43">
        <f t="shared" si="5"/>
        <v>0.12507027178950411</v>
      </c>
      <c r="AD43">
        <f t="shared" si="6"/>
        <v>-2.0950271841273151</v>
      </c>
      <c r="AE43">
        <f t="shared" si="7"/>
        <v>3.989587895492986E-2</v>
      </c>
      <c r="AF43">
        <f t="shared" si="8"/>
        <v>8.4980053591822702E-2</v>
      </c>
      <c r="AG43">
        <f t="shared" si="9"/>
        <v>-0.51734558010604015</v>
      </c>
    </row>
    <row r="44" spans="1:33" x14ac:dyDescent="0.25">
      <c r="A44">
        <v>47</v>
      </c>
      <c r="B44">
        <v>5.86</v>
      </c>
      <c r="C44">
        <v>3.1</v>
      </c>
      <c r="D44">
        <v>75.2</v>
      </c>
      <c r="U44">
        <f t="shared" si="10"/>
        <v>40</v>
      </c>
      <c r="V44">
        <f t="shared" si="15"/>
        <v>86.5</v>
      </c>
      <c r="W44">
        <f t="shared" si="16"/>
        <v>5.1100000000000003</v>
      </c>
      <c r="X44">
        <f t="shared" si="17"/>
        <v>2.5</v>
      </c>
      <c r="Y44">
        <v>5.1961683197161417</v>
      </c>
      <c r="Z44">
        <f t="shared" si="3"/>
        <v>-8.6168319716141362E-2</v>
      </c>
      <c r="AA44">
        <v>4.6001278924852645E-2</v>
      </c>
      <c r="AB44">
        <f t="shared" si="4"/>
        <v>-0.23779841854890946</v>
      </c>
      <c r="AC44">
        <f t="shared" si="5"/>
        <v>0.13314740295064814</v>
      </c>
      <c r="AD44">
        <f t="shared" si="6"/>
        <v>-0.24177276544939758</v>
      </c>
      <c r="AE44">
        <f t="shared" si="7"/>
        <v>0.80968387036220046</v>
      </c>
      <c r="AF44">
        <f t="shared" si="8"/>
        <v>9.5273252239352077E-4</v>
      </c>
      <c r="AG44">
        <f t="shared" si="9"/>
        <v>-5.3090697961419617E-2</v>
      </c>
    </row>
    <row r="45" spans="1:33" x14ac:dyDescent="0.25">
      <c r="A45" s="28">
        <v>48</v>
      </c>
      <c r="B45">
        <v>4.8899999999999997</v>
      </c>
      <c r="C45">
        <v>3.1</v>
      </c>
      <c r="D45">
        <v>84.7</v>
      </c>
      <c r="U45">
        <f t="shared" si="10"/>
        <v>41</v>
      </c>
      <c r="V45">
        <f t="shared" si="15"/>
        <v>87.6</v>
      </c>
      <c r="W45">
        <f t="shared" si="16"/>
        <v>5.04</v>
      </c>
      <c r="X45">
        <f t="shared" si="17"/>
        <v>2.1</v>
      </c>
      <c r="Y45">
        <v>5.0661761162724623</v>
      </c>
      <c r="Z45">
        <f t="shared" si="3"/>
        <v>-2.6176116272462302E-2</v>
      </c>
      <c r="AA45">
        <v>5.1405571798145755E-2</v>
      </c>
      <c r="AB45">
        <f t="shared" si="4"/>
        <v>-7.223813895697781E-2</v>
      </c>
      <c r="AC45">
        <f t="shared" si="5"/>
        <v>0.13325278634279028</v>
      </c>
      <c r="AD45">
        <f t="shared" si="6"/>
        <v>-7.3625249057346548E-2</v>
      </c>
      <c r="AE45">
        <f t="shared" si="7"/>
        <v>0.94152472824647304</v>
      </c>
      <c r="AF45">
        <f t="shared" si="8"/>
        <v>9.9371283334128452E-5</v>
      </c>
      <c r="AG45">
        <f t="shared" si="9"/>
        <v>-1.7139241149864839E-2</v>
      </c>
    </row>
    <row r="46" spans="1:33" x14ac:dyDescent="0.25">
      <c r="A46">
        <v>49</v>
      </c>
      <c r="B46">
        <v>5.68</v>
      </c>
      <c r="C46">
        <v>0.9</v>
      </c>
      <c r="D46">
        <v>73.7</v>
      </c>
      <c r="U46">
        <f t="shared" si="10"/>
        <v>42</v>
      </c>
      <c r="V46">
        <f t="shared" si="15"/>
        <v>84.2</v>
      </c>
      <c r="W46">
        <f t="shared" si="16"/>
        <v>5.08</v>
      </c>
      <c r="X46">
        <f t="shared" si="17"/>
        <v>2.8</v>
      </c>
      <c r="Y46">
        <v>5.3878707860869062</v>
      </c>
      <c r="Z46">
        <f t="shared" si="3"/>
        <v>-0.3078707860869061</v>
      </c>
      <c r="AA46">
        <v>4.1626149769520102E-2</v>
      </c>
      <c r="AB46">
        <f t="shared" si="4"/>
        <v>-0.84962996017620718</v>
      </c>
      <c r="AC46">
        <f t="shared" si="5"/>
        <v>0.13178742841812721</v>
      </c>
      <c r="AD46">
        <f t="shared" si="6"/>
        <v>-0.86629141621015882</v>
      </c>
      <c r="AE46">
        <f t="shared" si="7"/>
        <v>0.38937676139522803</v>
      </c>
      <c r="AF46">
        <f t="shared" si="8"/>
        <v>1.0905227096804257E-2</v>
      </c>
      <c r="AG46">
        <f t="shared" si="9"/>
        <v>-0.18054258432788112</v>
      </c>
    </row>
    <row r="47" spans="1:33" x14ac:dyDescent="0.25">
      <c r="A47">
        <v>50</v>
      </c>
      <c r="B47">
        <v>5.83</v>
      </c>
      <c r="C47">
        <v>1.8</v>
      </c>
      <c r="D47">
        <v>81.2</v>
      </c>
      <c r="U47">
        <f t="shared" si="10"/>
        <v>43</v>
      </c>
      <c r="V47">
        <f t="shared" si="15"/>
        <v>75.2</v>
      </c>
      <c r="W47">
        <f t="shared" si="16"/>
        <v>5.86</v>
      </c>
      <c r="X47">
        <f t="shared" si="17"/>
        <v>3.1</v>
      </c>
      <c r="Y47">
        <v>6.00750254220657</v>
      </c>
      <c r="Z47">
        <f t="shared" si="3"/>
        <v>-0.14750254220656966</v>
      </c>
      <c r="AA47">
        <v>5.4826716503315776E-2</v>
      </c>
      <c r="AB47">
        <f t="shared" si="4"/>
        <v>-0.40706226353506925</v>
      </c>
      <c r="AC47">
        <f t="shared" si="5"/>
        <v>0.13291999919282835</v>
      </c>
      <c r="AD47">
        <f t="shared" si="6"/>
        <v>-0.41614877622184421</v>
      </c>
      <c r="AE47">
        <f t="shared" si="7"/>
        <v>0.67861166146876495</v>
      </c>
      <c r="AF47">
        <f t="shared" si="8"/>
        <v>3.3897665875460697E-3</v>
      </c>
      <c r="AG47">
        <f t="shared" si="9"/>
        <v>-0.10022799020791166</v>
      </c>
    </row>
    <row r="48" spans="1:33" x14ac:dyDescent="0.25">
      <c r="A48">
        <v>51</v>
      </c>
      <c r="B48">
        <v>6.33</v>
      </c>
      <c r="C48">
        <v>3.1</v>
      </c>
      <c r="D48">
        <v>69</v>
      </c>
      <c r="U48">
        <f t="shared" si="10"/>
        <v>44</v>
      </c>
      <c r="V48">
        <f t="shared" si="15"/>
        <v>84.7</v>
      </c>
      <c r="W48">
        <f t="shared" si="16"/>
        <v>4.8899999999999997</v>
      </c>
      <c r="X48">
        <f t="shared" si="17"/>
        <v>3.1</v>
      </c>
      <c r="Y48">
        <v>5.4007371313685777</v>
      </c>
      <c r="Z48">
        <f t="shared" si="3"/>
        <v>-0.51073713136857801</v>
      </c>
      <c r="AA48">
        <v>5.5000682553012187E-2</v>
      </c>
      <c r="AB48">
        <f t="shared" si="4"/>
        <v>-1.4094795225640631</v>
      </c>
      <c r="AC48">
        <f t="shared" si="5"/>
        <v>0.12914364928155159</v>
      </c>
      <c r="AD48">
        <f t="shared" si="6"/>
        <v>-1.4619925457475609</v>
      </c>
      <c r="AE48">
        <f t="shared" si="7"/>
        <v>0.14834953017778915</v>
      </c>
      <c r="AF48">
        <f t="shared" si="8"/>
        <v>4.0785085401613526E-2</v>
      </c>
      <c r="AG48">
        <f t="shared" si="9"/>
        <v>-0.35270648952257089</v>
      </c>
    </row>
    <row r="49" spans="1:33" x14ac:dyDescent="0.25">
      <c r="A49">
        <v>52</v>
      </c>
      <c r="B49">
        <v>6.47</v>
      </c>
      <c r="C49">
        <v>1.9</v>
      </c>
      <c r="D49">
        <v>69.7</v>
      </c>
      <c r="U49">
        <f t="shared" si="10"/>
        <v>45</v>
      </c>
      <c r="V49">
        <f t="shared" si="15"/>
        <v>73.7</v>
      </c>
      <c r="W49">
        <f t="shared" si="16"/>
        <v>5.68</v>
      </c>
      <c r="X49">
        <f t="shared" si="17"/>
        <v>0.9</v>
      </c>
      <c r="Y49">
        <v>5.7747642497744183</v>
      </c>
      <c r="Z49">
        <f t="shared" si="3"/>
        <v>-9.4764249774418552E-2</v>
      </c>
      <c r="AA49">
        <v>3.5347939394067635E-2</v>
      </c>
      <c r="AB49">
        <f t="shared" si="4"/>
        <v>-0.26152057746472784</v>
      </c>
      <c r="AC49">
        <f t="shared" si="5"/>
        <v>0.13312462204032441</v>
      </c>
      <c r="AD49">
        <f t="shared" si="6"/>
        <v>-0.26444172818021017</v>
      </c>
      <c r="AE49">
        <f t="shared" si="7"/>
        <v>0.79223942343550235</v>
      </c>
      <c r="AF49">
        <f t="shared" si="8"/>
        <v>8.6599061882182296E-4</v>
      </c>
      <c r="AG49">
        <f t="shared" si="9"/>
        <v>-5.0620530168400686E-2</v>
      </c>
    </row>
    <row r="50" spans="1:33" x14ac:dyDescent="0.25">
      <c r="A50">
        <v>53</v>
      </c>
      <c r="B50">
        <v>5.7</v>
      </c>
      <c r="C50">
        <v>0.7</v>
      </c>
      <c r="D50">
        <v>78.099999999999994</v>
      </c>
      <c r="U50">
        <f t="shared" si="10"/>
        <v>46</v>
      </c>
      <c r="V50">
        <f t="shared" si="15"/>
        <v>81.2</v>
      </c>
      <c r="W50">
        <f t="shared" si="16"/>
        <v>5.83</v>
      </c>
      <c r="X50">
        <f t="shared" si="17"/>
        <v>1.8</v>
      </c>
      <c r="Y50">
        <v>5.4301430261428063</v>
      </c>
      <c r="Z50">
        <f t="shared" si="3"/>
        <v>0.39985697385719376</v>
      </c>
      <c r="AA50">
        <v>1.9675346449120598E-2</v>
      </c>
      <c r="AB50">
        <f t="shared" si="4"/>
        <v>1.1034839293864236</v>
      </c>
      <c r="AC50">
        <f t="shared" si="5"/>
        <v>0.13082932036086101</v>
      </c>
      <c r="AD50">
        <f t="shared" si="6"/>
        <v>1.1165217046371745</v>
      </c>
      <c r="AE50">
        <f t="shared" si="7"/>
        <v>0.26812866446439287</v>
      </c>
      <c r="AF50">
        <f t="shared" si="8"/>
        <v>8.3098523982072705E-3</v>
      </c>
      <c r="AG50">
        <f t="shared" si="9"/>
        <v>0.15817702455041174</v>
      </c>
    </row>
    <row r="51" spans="1:33" x14ac:dyDescent="0.25">
      <c r="A51">
        <v>54</v>
      </c>
      <c r="B51">
        <v>5.22</v>
      </c>
      <c r="C51">
        <v>1.6</v>
      </c>
      <c r="D51">
        <v>88</v>
      </c>
      <c r="U51">
        <f t="shared" si="10"/>
        <v>47</v>
      </c>
      <c r="V51">
        <f t="shared" si="15"/>
        <v>69</v>
      </c>
      <c r="W51">
        <f t="shared" si="16"/>
        <v>6.33</v>
      </c>
      <c r="X51">
        <f t="shared" si="17"/>
        <v>3.1</v>
      </c>
      <c r="Y51">
        <v>6.4034968103324168</v>
      </c>
      <c r="Z51">
        <f t="shared" si="3"/>
        <v>-7.3496810332416729E-2</v>
      </c>
      <c r="AA51">
        <v>9.323155491272006E-2</v>
      </c>
      <c r="AB51">
        <f t="shared" si="4"/>
        <v>-0.20282889724451611</v>
      </c>
      <c r="AC51">
        <f t="shared" si="5"/>
        <v>0.133174654137523</v>
      </c>
      <c r="AD51">
        <f t="shared" si="6"/>
        <v>-0.21149957723204552</v>
      </c>
      <c r="AE51">
        <f t="shared" si="7"/>
        <v>0.83313006705330828</v>
      </c>
      <c r="AF51">
        <f t="shared" si="8"/>
        <v>1.5549217358166968E-3</v>
      </c>
      <c r="AG51">
        <f t="shared" si="9"/>
        <v>-6.781765490121329E-2</v>
      </c>
    </row>
    <row r="52" spans="1:33" x14ac:dyDescent="0.25">
      <c r="A52">
        <v>55</v>
      </c>
      <c r="B52">
        <v>5.05</v>
      </c>
      <c r="C52">
        <v>2.9</v>
      </c>
      <c r="D52">
        <v>80.400000000000006</v>
      </c>
      <c r="U52">
        <f t="shared" si="10"/>
        <v>48</v>
      </c>
      <c r="V52">
        <f t="shared" si="15"/>
        <v>69.7</v>
      </c>
      <c r="W52">
        <f t="shared" si="16"/>
        <v>6.47</v>
      </c>
      <c r="X52">
        <f t="shared" si="17"/>
        <v>1.9</v>
      </c>
      <c r="Y52">
        <v>6.1795823124412497</v>
      </c>
      <c r="Z52">
        <f t="shared" si="3"/>
        <v>0.29041768755875008</v>
      </c>
      <c r="AA52">
        <v>3.918760907325039E-2</v>
      </c>
      <c r="AB52">
        <f t="shared" si="4"/>
        <v>0.80146470358949495</v>
      </c>
      <c r="AC52">
        <f t="shared" si="5"/>
        <v>0.13195338192629918</v>
      </c>
      <c r="AD52">
        <f t="shared" si="6"/>
        <v>0.81563058466169291</v>
      </c>
      <c r="AE52">
        <f t="shared" si="7"/>
        <v>0.41755927342057619</v>
      </c>
      <c r="AF52">
        <f t="shared" si="8"/>
        <v>9.0890632044617805E-3</v>
      </c>
      <c r="AG52">
        <f t="shared" si="9"/>
        <v>0.16472085525584768</v>
      </c>
    </row>
    <row r="53" spans="1:33" x14ac:dyDescent="0.25">
      <c r="A53">
        <v>56</v>
      </c>
      <c r="B53">
        <v>5.76</v>
      </c>
      <c r="C53">
        <v>2.2999999999999998</v>
      </c>
      <c r="D53">
        <v>79.7</v>
      </c>
      <c r="U53">
        <f t="shared" si="10"/>
        <v>49</v>
      </c>
      <c r="V53">
        <f t="shared" si="15"/>
        <v>78.099999999999994</v>
      </c>
      <c r="W53">
        <f t="shared" si="16"/>
        <v>5.7</v>
      </c>
      <c r="X53">
        <f t="shared" si="17"/>
        <v>0.7</v>
      </c>
      <c r="Y53">
        <v>5.4638684815550773</v>
      </c>
      <c r="Z53">
        <f t="shared" si="3"/>
        <v>0.23613151844492286</v>
      </c>
      <c r="AA53">
        <v>4.548017181190285E-2</v>
      </c>
      <c r="AB53">
        <f t="shared" si="4"/>
        <v>0.65165134751068798</v>
      </c>
      <c r="AC53">
        <f t="shared" si="5"/>
        <v>0.13239170441405596</v>
      </c>
      <c r="AD53">
        <f t="shared" si="6"/>
        <v>0.66424928559852547</v>
      </c>
      <c r="AE53">
        <f t="shared" si="7"/>
        <v>0.50877696562976871</v>
      </c>
      <c r="AF53">
        <f t="shared" si="8"/>
        <v>7.0658030591963543E-3</v>
      </c>
      <c r="AG53">
        <f t="shared" si="9"/>
        <v>0.14499387849968001</v>
      </c>
    </row>
    <row r="54" spans="1:33" x14ac:dyDescent="0.25">
      <c r="A54">
        <v>57</v>
      </c>
      <c r="B54">
        <v>6.25</v>
      </c>
      <c r="C54">
        <v>1.7</v>
      </c>
      <c r="D54">
        <v>73.2</v>
      </c>
      <c r="U54">
        <f t="shared" si="10"/>
        <v>50</v>
      </c>
      <c r="V54">
        <f t="shared" si="15"/>
        <v>88</v>
      </c>
      <c r="W54">
        <f t="shared" si="16"/>
        <v>5.22</v>
      </c>
      <c r="X54">
        <f t="shared" si="17"/>
        <v>1.6</v>
      </c>
      <c r="Y54">
        <v>4.9659591541328139</v>
      </c>
      <c r="Z54">
        <f t="shared" si="3"/>
        <v>0.25404084586718589</v>
      </c>
      <c r="AA54">
        <v>6.2630785377492726E-2</v>
      </c>
      <c r="AB54">
        <f t="shared" si="4"/>
        <v>0.70107565742317424</v>
      </c>
      <c r="AC54">
        <f t="shared" si="5"/>
        <v>0.13223597312162863</v>
      </c>
      <c r="AD54">
        <f t="shared" si="6"/>
        <v>0.72156157733028892</v>
      </c>
      <c r="AE54">
        <f t="shared" si="7"/>
        <v>0.47303788333844643</v>
      </c>
      <c r="AF54">
        <f t="shared" si="8"/>
        <v>1.167817573873311E-2</v>
      </c>
      <c r="AG54">
        <f t="shared" si="9"/>
        <v>0.18651423573505554</v>
      </c>
    </row>
    <row r="55" spans="1:33" x14ac:dyDescent="0.25">
      <c r="A55">
        <v>58</v>
      </c>
      <c r="B55">
        <v>5.34</v>
      </c>
      <c r="C55">
        <v>1.8</v>
      </c>
      <c r="D55">
        <v>85.9</v>
      </c>
      <c r="U55">
        <f t="shared" si="10"/>
        <v>51</v>
      </c>
      <c r="V55">
        <f t="shared" si="15"/>
        <v>80.400000000000006</v>
      </c>
      <c r="W55">
        <f t="shared" si="16"/>
        <v>5.05</v>
      </c>
      <c r="X55">
        <f t="shared" si="17"/>
        <v>2.9</v>
      </c>
      <c r="Y55">
        <v>5.6455107393903434</v>
      </c>
      <c r="Z55">
        <f t="shared" si="3"/>
        <v>-0.5955107393903436</v>
      </c>
      <c r="AA55">
        <v>3.6767694820775021E-2</v>
      </c>
      <c r="AB55">
        <f t="shared" si="4"/>
        <v>-1.6434289599984888</v>
      </c>
      <c r="AC55">
        <f t="shared" si="5"/>
        <v>0.12776849567032553</v>
      </c>
      <c r="AD55">
        <f t="shared" si="6"/>
        <v>-1.6975093979128151</v>
      </c>
      <c r="AE55">
        <f t="shared" si="7"/>
        <v>9.4172993790057363E-2</v>
      </c>
      <c r="AF55">
        <f t="shared" si="8"/>
        <v>3.5676721621182503E-2</v>
      </c>
      <c r="AG55">
        <f t="shared" si="9"/>
        <v>-0.33164989845235748</v>
      </c>
    </row>
    <row r="56" spans="1:33" x14ac:dyDescent="0.25">
      <c r="A56">
        <v>59</v>
      </c>
      <c r="B56">
        <v>4.9800000000000004</v>
      </c>
      <c r="C56">
        <v>0.6</v>
      </c>
      <c r="D56">
        <v>83.3</v>
      </c>
      <c r="U56">
        <f t="shared" si="10"/>
        <v>52</v>
      </c>
      <c r="V56">
        <f t="shared" si="15"/>
        <v>79.7</v>
      </c>
      <c r="W56">
        <f t="shared" si="16"/>
        <v>5.76</v>
      </c>
      <c r="X56">
        <f t="shared" si="17"/>
        <v>2.2999999999999998</v>
      </c>
      <c r="Y56">
        <v>5.6006170358531691</v>
      </c>
      <c r="Z56">
        <f t="shared" si="3"/>
        <v>0.15938296414683073</v>
      </c>
      <c r="AA56">
        <v>1.8680212982722114E-2</v>
      </c>
      <c r="AB56">
        <f t="shared" si="4"/>
        <v>0.43984862351510062</v>
      </c>
      <c r="AC56">
        <f t="shared" si="5"/>
        <v>0.13287720165418179</v>
      </c>
      <c r="AD56">
        <f t="shared" si="6"/>
        <v>0.441378713755254</v>
      </c>
      <c r="AE56">
        <f t="shared" si="7"/>
        <v>0.66033916837787743</v>
      </c>
      <c r="AF56">
        <f t="shared" si="8"/>
        <v>1.2509672249075351E-3</v>
      </c>
      <c r="AG56">
        <f t="shared" si="9"/>
        <v>6.089715708377573E-2</v>
      </c>
    </row>
    <row r="57" spans="1:33" x14ac:dyDescent="0.25">
      <c r="A57">
        <v>60</v>
      </c>
      <c r="B57">
        <v>6.39</v>
      </c>
      <c r="C57">
        <v>3.1</v>
      </c>
      <c r="D57">
        <v>73.599999999999994</v>
      </c>
      <c r="U57">
        <f t="shared" si="10"/>
        <v>53</v>
      </c>
      <c r="V57">
        <f t="shared" si="15"/>
        <v>73.2</v>
      </c>
      <c r="W57">
        <f t="shared" si="16"/>
        <v>6.25</v>
      </c>
      <c r="X57">
        <f t="shared" si="17"/>
        <v>1.7</v>
      </c>
      <c r="Y57">
        <v>5.9261695831434009</v>
      </c>
      <c r="Z57">
        <f t="shared" si="3"/>
        <v>0.32383041685659908</v>
      </c>
      <c r="AA57">
        <v>2.1261365367584023E-2</v>
      </c>
      <c r="AB57">
        <f t="shared" si="4"/>
        <v>0.89367369887460235</v>
      </c>
      <c r="AC57">
        <f t="shared" si="5"/>
        <v>0.13166440052371711</v>
      </c>
      <c r="AD57">
        <f t="shared" si="6"/>
        <v>0.90209045974009017</v>
      </c>
      <c r="AE57">
        <f t="shared" si="7"/>
        <v>0.37019306758476489</v>
      </c>
      <c r="AF57">
        <f t="shared" si="8"/>
        <v>5.9087332673534469E-3</v>
      </c>
      <c r="AG57">
        <f t="shared" si="9"/>
        <v>0.13295733430393961</v>
      </c>
    </row>
    <row r="58" spans="1:33" x14ac:dyDescent="0.25">
      <c r="A58">
        <v>61</v>
      </c>
      <c r="B58">
        <v>6.22</v>
      </c>
      <c r="C58">
        <v>1.2</v>
      </c>
      <c r="D58">
        <v>79.2</v>
      </c>
      <c r="U58">
        <f t="shared" si="10"/>
        <v>54</v>
      </c>
      <c r="V58">
        <f t="shared" si="15"/>
        <v>85.9</v>
      </c>
      <c r="W58">
        <f t="shared" si="16"/>
        <v>5.34</v>
      </c>
      <c r="X58">
        <f t="shared" si="17"/>
        <v>1.8</v>
      </c>
      <c r="Y58">
        <v>5.1299538228861152</v>
      </c>
      <c r="Z58">
        <f t="shared" si="3"/>
        <v>0.21004617711388462</v>
      </c>
      <c r="AA58">
        <v>4.2282800379073365E-2</v>
      </c>
      <c r="AB58">
        <f t="shared" si="4"/>
        <v>0.57966371985050258</v>
      </c>
      <c r="AC58">
        <f t="shared" si="5"/>
        <v>0.13257599636590242</v>
      </c>
      <c r="AD58">
        <f t="shared" si="6"/>
        <v>0.58947268879916115</v>
      </c>
      <c r="AE58">
        <f t="shared" si="7"/>
        <v>0.55749772546232124</v>
      </c>
      <c r="AF58">
        <f t="shared" si="8"/>
        <v>5.1632143263165E-3</v>
      </c>
      <c r="AG58">
        <f t="shared" si="9"/>
        <v>0.12385881374870955</v>
      </c>
    </row>
    <row r="59" spans="1:33" x14ac:dyDescent="0.25">
      <c r="A59">
        <v>62</v>
      </c>
      <c r="B59">
        <v>5.0999999999999996</v>
      </c>
      <c r="C59">
        <v>2.1</v>
      </c>
      <c r="D59">
        <v>88.1</v>
      </c>
      <c r="U59">
        <f t="shared" si="10"/>
        <v>55</v>
      </c>
      <c r="V59">
        <f t="shared" si="15"/>
        <v>83.3</v>
      </c>
      <c r="W59">
        <f t="shared" si="16"/>
        <v>4.9800000000000004</v>
      </c>
      <c r="X59">
        <f t="shared" si="17"/>
        <v>0.6</v>
      </c>
      <c r="Y59">
        <v>5.1168104677070918</v>
      </c>
      <c r="Z59">
        <f t="shared" si="3"/>
        <v>-0.13681046770709138</v>
      </c>
      <c r="AA59">
        <v>7.3604334559241424E-2</v>
      </c>
      <c r="AB59">
        <f t="shared" si="4"/>
        <v>-0.37755538194147609</v>
      </c>
      <c r="AC59">
        <f t="shared" si="5"/>
        <v>0.13296201168507568</v>
      </c>
      <c r="AD59">
        <f t="shared" si="6"/>
        <v>-0.38981386467610513</v>
      </c>
      <c r="AE59">
        <f t="shared" si="7"/>
        <v>0.69789247875749894</v>
      </c>
      <c r="AF59">
        <f t="shared" si="8"/>
        <v>4.0752141732254632E-3</v>
      </c>
      <c r="AG59">
        <f t="shared" si="9"/>
        <v>-0.10987799346671563</v>
      </c>
    </row>
    <row r="60" spans="1:33" x14ac:dyDescent="0.25">
      <c r="A60" s="28">
        <v>63</v>
      </c>
      <c r="B60">
        <v>6.49</v>
      </c>
      <c r="C60">
        <v>0.5</v>
      </c>
      <c r="D60">
        <v>64.5</v>
      </c>
      <c r="U60">
        <f t="shared" si="10"/>
        <v>56</v>
      </c>
      <c r="V60">
        <f t="shared" si="15"/>
        <v>73.599999999999994</v>
      </c>
      <c r="W60">
        <f t="shared" si="16"/>
        <v>6.39</v>
      </c>
      <c r="X60">
        <f t="shared" si="17"/>
        <v>3.1</v>
      </c>
      <c r="Y60">
        <v>6.1096946114003376</v>
      </c>
      <c r="Z60">
        <f t="shared" si="3"/>
        <v>0.28030538859966203</v>
      </c>
      <c r="AA60">
        <v>6.182521976119093E-2</v>
      </c>
      <c r="AB60">
        <f t="shared" si="4"/>
        <v>0.77355782658079231</v>
      </c>
      <c r="AC60">
        <f t="shared" si="5"/>
        <v>0.13201358358155887</v>
      </c>
      <c r="AD60">
        <f t="shared" si="6"/>
        <v>0.79648987507582625</v>
      </c>
      <c r="AE60">
        <f t="shared" si="7"/>
        <v>0.42851941978465802</v>
      </c>
      <c r="AF60">
        <f t="shared" si="8"/>
        <v>1.4010785193075135E-2</v>
      </c>
      <c r="AG60">
        <f t="shared" si="9"/>
        <v>0.20446605453732797</v>
      </c>
    </row>
    <row r="61" spans="1:33" x14ac:dyDescent="0.25">
      <c r="A61">
        <v>64</v>
      </c>
      <c r="B61">
        <v>4.8600000000000003</v>
      </c>
      <c r="C61">
        <v>2.9</v>
      </c>
      <c r="D61">
        <v>84.1</v>
      </c>
      <c r="U61">
        <f t="shared" si="10"/>
        <v>57</v>
      </c>
      <c r="V61">
        <f t="shared" si="15"/>
        <v>79.2</v>
      </c>
      <c r="W61">
        <f t="shared" si="16"/>
        <v>6.22</v>
      </c>
      <c r="X61">
        <f t="shared" si="17"/>
        <v>1.2</v>
      </c>
      <c r="Y61">
        <v>5.4682803788255674</v>
      </c>
      <c r="Z61">
        <f t="shared" si="3"/>
        <v>0.75171962117443236</v>
      </c>
      <c r="AA61">
        <v>2.6623616575956285E-2</v>
      </c>
      <c r="AB61">
        <f t="shared" si="4"/>
        <v>2.0745180792237239</v>
      </c>
      <c r="AC61">
        <f t="shared" si="5"/>
        <v>0.12459881468848971</v>
      </c>
      <c r="AD61">
        <f t="shared" si="6"/>
        <v>2.1585321833925408</v>
      </c>
      <c r="AE61">
        <f t="shared" si="7"/>
        <v>3.4419500896210119E-2</v>
      </c>
      <c r="AF61">
        <f t="shared" si="8"/>
        <v>4.0310541624878876E-2</v>
      </c>
      <c r="AG61">
        <f t="shared" si="9"/>
        <v>0.3569863832596053</v>
      </c>
    </row>
    <row r="62" spans="1:33" x14ac:dyDescent="0.25">
      <c r="A62">
        <v>65</v>
      </c>
      <c r="B62">
        <v>5.0999999999999996</v>
      </c>
      <c r="C62">
        <v>1.6</v>
      </c>
      <c r="D62">
        <v>91.2</v>
      </c>
      <c r="U62">
        <f t="shared" si="10"/>
        <v>58</v>
      </c>
      <c r="V62">
        <f t="shared" si="15"/>
        <v>88.1</v>
      </c>
      <c r="W62">
        <f t="shared" si="16"/>
        <v>5.0999999999999996</v>
      </c>
      <c r="X62">
        <f t="shared" si="17"/>
        <v>2.1</v>
      </c>
      <c r="Y62">
        <v>5.0342410946494098</v>
      </c>
      <c r="Z62">
        <f t="shared" si="3"/>
        <v>6.5758905350589814E-2</v>
      </c>
      <c r="AA62">
        <v>5.5288016621310998E-2</v>
      </c>
      <c r="AB62">
        <f t="shared" si="4"/>
        <v>0.18147462721091487</v>
      </c>
      <c r="AC62">
        <f t="shared" si="5"/>
        <v>0.13319524927830337</v>
      </c>
      <c r="AD62">
        <f t="shared" si="6"/>
        <v>0.18537898310947798</v>
      </c>
      <c r="AE62">
        <f t="shared" si="7"/>
        <v>0.85348362791829613</v>
      </c>
      <c r="AF62">
        <f t="shared" si="8"/>
        <v>6.8005295663775686E-4</v>
      </c>
      <c r="AG62">
        <f t="shared" si="9"/>
        <v>4.4846266008453262E-2</v>
      </c>
    </row>
    <row r="63" spans="1:33" x14ac:dyDescent="0.25">
      <c r="A63">
        <v>66</v>
      </c>
      <c r="B63">
        <v>5.98</v>
      </c>
      <c r="C63">
        <v>1.5</v>
      </c>
      <c r="D63">
        <v>71.8</v>
      </c>
      <c r="U63">
        <f t="shared" si="10"/>
        <v>59</v>
      </c>
      <c r="V63">
        <f t="shared" si="15"/>
        <v>64.5</v>
      </c>
      <c r="W63">
        <f t="shared" si="16"/>
        <v>6.49</v>
      </c>
      <c r="X63">
        <f t="shared" si="17"/>
        <v>0.5</v>
      </c>
      <c r="Y63">
        <v>6.3026334917656142</v>
      </c>
      <c r="Z63">
        <f t="shared" si="3"/>
        <v>0.18736650823438605</v>
      </c>
      <c r="AA63">
        <v>9.6971565296942397E-2</v>
      </c>
      <c r="AB63">
        <f t="shared" si="4"/>
        <v>0.51707471485975764</v>
      </c>
      <c r="AC63">
        <f t="shared" si="5"/>
        <v>0.13268332719833853</v>
      </c>
      <c r="AD63">
        <f t="shared" si="6"/>
        <v>0.54129382628951361</v>
      </c>
      <c r="AE63">
        <f t="shared" si="7"/>
        <v>0.59007411980319191</v>
      </c>
      <c r="AF63">
        <f t="shared" si="8"/>
        <v>1.059807289172014E-2</v>
      </c>
      <c r="AG63">
        <f t="shared" si="9"/>
        <v>0.17737996462049263</v>
      </c>
    </row>
    <row r="64" spans="1:33" x14ac:dyDescent="0.25">
      <c r="A64">
        <v>67</v>
      </c>
      <c r="B64">
        <v>5.0199999999999996</v>
      </c>
      <c r="C64">
        <v>2</v>
      </c>
      <c r="D64">
        <v>80.599999999999994</v>
      </c>
      <c r="U64">
        <f t="shared" si="10"/>
        <v>60</v>
      </c>
      <c r="V64">
        <f t="shared" si="15"/>
        <v>84.1</v>
      </c>
      <c r="W64">
        <f t="shared" si="16"/>
        <v>4.8600000000000003</v>
      </c>
      <c r="X64">
        <f t="shared" si="17"/>
        <v>2.9</v>
      </c>
      <c r="Y64">
        <v>5.4091915793797583</v>
      </c>
      <c r="Z64">
        <f t="shared" si="3"/>
        <v>-0.54919157937975793</v>
      </c>
      <c r="AA64">
        <v>4.4676258158628329E-2</v>
      </c>
      <c r="AB64">
        <f t="shared" si="4"/>
        <v>-1.5156021318171351</v>
      </c>
      <c r="AC64">
        <f t="shared" si="5"/>
        <v>0.12855138188379578</v>
      </c>
      <c r="AD64">
        <f t="shared" si="6"/>
        <v>-1.5671487095627921</v>
      </c>
      <c r="AE64">
        <f t="shared" si="7"/>
        <v>0.12172202934909905</v>
      </c>
      <c r="AF64">
        <f t="shared" si="8"/>
        <v>3.7482177242179372E-2</v>
      </c>
      <c r="AG64">
        <f t="shared" si="9"/>
        <v>-0.33890136636122437</v>
      </c>
    </row>
    <row r="65" spans="1:33" x14ac:dyDescent="0.25">
      <c r="A65">
        <v>68</v>
      </c>
      <c r="B65">
        <v>5.08</v>
      </c>
      <c r="C65">
        <v>1.3</v>
      </c>
      <c r="D65">
        <v>73.099999999999994</v>
      </c>
      <c r="U65">
        <f t="shared" si="10"/>
        <v>61</v>
      </c>
      <c r="V65">
        <f t="shared" si="15"/>
        <v>91.2</v>
      </c>
      <c r="W65">
        <f t="shared" si="16"/>
        <v>5.0999999999999996</v>
      </c>
      <c r="X65">
        <f t="shared" si="17"/>
        <v>1.6</v>
      </c>
      <c r="Y65">
        <v>4.7615750157452794</v>
      </c>
      <c r="Z65">
        <f t="shared" si="3"/>
        <v>0.33842498425472023</v>
      </c>
      <c r="AA65">
        <v>9.430136472321099E-2</v>
      </c>
      <c r="AB65">
        <f t="shared" si="4"/>
        <v>0.9339502768340141</v>
      </c>
      <c r="AC65">
        <f t="shared" si="5"/>
        <v>0.13137615695245536</v>
      </c>
      <c r="AD65">
        <f t="shared" si="6"/>
        <v>0.98109775941939625</v>
      </c>
      <c r="AE65">
        <f t="shared" si="7"/>
        <v>0.33002234663007979</v>
      </c>
      <c r="AF65">
        <f t="shared" si="8"/>
        <v>3.3425414904756361E-2</v>
      </c>
      <c r="AG65">
        <f t="shared" si="9"/>
        <v>0.31657704148615817</v>
      </c>
    </row>
    <row r="66" spans="1:33" x14ac:dyDescent="0.25">
      <c r="A66">
        <v>69</v>
      </c>
      <c r="B66">
        <v>5.23</v>
      </c>
      <c r="C66">
        <v>1.1000000000000001</v>
      </c>
      <c r="D66">
        <v>81</v>
      </c>
      <c r="U66">
        <f t="shared" si="10"/>
        <v>62</v>
      </c>
      <c r="V66">
        <f t="shared" si="15"/>
        <v>71.8</v>
      </c>
      <c r="W66">
        <f t="shared" si="16"/>
        <v>5.98</v>
      </c>
      <c r="X66">
        <f t="shared" si="17"/>
        <v>1.5</v>
      </c>
      <c r="Y66">
        <v>5.9857200657514653</v>
      </c>
      <c r="Z66">
        <f t="shared" si="3"/>
        <v>-5.7200657514648867E-3</v>
      </c>
      <c r="AA66">
        <v>2.7210255511288473E-2</v>
      </c>
      <c r="AB66">
        <f t="shared" si="4"/>
        <v>-1.5785645979578357E-2</v>
      </c>
      <c r="AC66">
        <f t="shared" si="5"/>
        <v>0.13326306523834885</v>
      </c>
      <c r="AD66">
        <f t="shared" si="6"/>
        <v>-1.5886807382877344E-2</v>
      </c>
      <c r="AE66">
        <f t="shared" si="7"/>
        <v>0.98737121582633358</v>
      </c>
      <c r="AF66">
        <f t="shared" si="8"/>
        <v>2.3883507983765471E-6</v>
      </c>
      <c r="AG66">
        <f t="shared" si="9"/>
        <v>-2.6570115866434386E-3</v>
      </c>
    </row>
    <row r="67" spans="1:33" x14ac:dyDescent="0.25">
      <c r="A67">
        <v>70</v>
      </c>
      <c r="B67">
        <v>6.02</v>
      </c>
      <c r="C67">
        <v>2.2000000000000002</v>
      </c>
      <c r="D67">
        <v>73.7</v>
      </c>
      <c r="U67">
        <f t="shared" si="10"/>
        <v>63</v>
      </c>
      <c r="V67">
        <f t="shared" si="15"/>
        <v>80.599999999999994</v>
      </c>
      <c r="W67">
        <f t="shared" si="16"/>
        <v>5.0199999999999996</v>
      </c>
      <c r="X67">
        <f t="shared" si="17"/>
        <v>2</v>
      </c>
      <c r="Y67">
        <v>5.4983326300269519</v>
      </c>
      <c r="Z67">
        <f t="shared" si="3"/>
        <v>-0.47833263002695237</v>
      </c>
      <c r="AA67">
        <v>1.7452609681759823E-2</v>
      </c>
      <c r="AB67">
        <f t="shared" si="4"/>
        <v>-1.3200529305370965</v>
      </c>
      <c r="AC67">
        <f t="shared" si="5"/>
        <v>0.1297879518952402</v>
      </c>
      <c r="AD67">
        <f t="shared" si="6"/>
        <v>-1.3394794803280161</v>
      </c>
      <c r="AE67">
        <f t="shared" si="7"/>
        <v>0.18487441975365651</v>
      </c>
      <c r="AF67">
        <f t="shared" si="8"/>
        <v>1.050061654589997E-2</v>
      </c>
      <c r="AG67">
        <f t="shared" si="9"/>
        <v>-0.17852107762437952</v>
      </c>
    </row>
    <row r="68" spans="1:33" x14ac:dyDescent="0.25">
      <c r="A68">
        <v>71</v>
      </c>
      <c r="B68">
        <v>5.73</v>
      </c>
      <c r="C68">
        <v>1.7</v>
      </c>
      <c r="D68">
        <v>82.2</v>
      </c>
      <c r="U68">
        <f t="shared" si="10"/>
        <v>64</v>
      </c>
      <c r="V68">
        <f t="shared" ref="V68:V75" si="18">D65</f>
        <v>73.099999999999994</v>
      </c>
      <c r="W68">
        <f t="shared" ref="W68:W75" si="19">B65</f>
        <v>5.08</v>
      </c>
      <c r="X68">
        <f t="shared" ref="X68:X75" si="20">C65</f>
        <v>1.3</v>
      </c>
      <c r="Y68">
        <v>5.8728214315950469</v>
      </c>
      <c r="Z68">
        <f t="shared" si="3"/>
        <v>-0.79282143159504681</v>
      </c>
      <c r="AA68">
        <v>2.545287257177381E-2</v>
      </c>
      <c r="AB68">
        <f t="shared" si="4"/>
        <v>-2.1879466055048082</v>
      </c>
      <c r="AC68">
        <f t="shared" si="5"/>
        <v>0.12363696307565716</v>
      </c>
      <c r="AD68">
        <f t="shared" si="6"/>
        <v>-2.2840194307131898</v>
      </c>
      <c r="AE68">
        <f t="shared" si="7"/>
        <v>2.5498269788091513E-2</v>
      </c>
      <c r="AF68">
        <f t="shared" si="8"/>
        <v>4.2764489864949184E-2</v>
      </c>
      <c r="AG68">
        <f t="shared" si="9"/>
        <v>-0.36911931651547586</v>
      </c>
    </row>
    <row r="69" spans="1:33" x14ac:dyDescent="0.25">
      <c r="A69">
        <v>72</v>
      </c>
      <c r="B69">
        <v>5.1100000000000003</v>
      </c>
      <c r="C69">
        <v>0.7</v>
      </c>
      <c r="D69">
        <v>74.2</v>
      </c>
      <c r="U69">
        <f t="shared" si="10"/>
        <v>65</v>
      </c>
      <c r="V69">
        <f t="shared" si="18"/>
        <v>81</v>
      </c>
      <c r="W69">
        <f t="shared" si="19"/>
        <v>5.23</v>
      </c>
      <c r="X69">
        <f t="shared" si="20"/>
        <v>1.1000000000000001</v>
      </c>
      <c r="Y69">
        <v>5.3383805120143393</v>
      </c>
      <c r="Z69">
        <f t="shared" si="3"/>
        <v>-0.10838051201433885</v>
      </c>
      <c r="AA69">
        <v>3.5693320014138871E-2</v>
      </c>
      <c r="AB69">
        <f t="shared" si="4"/>
        <v>-0.29909733000982519</v>
      </c>
      <c r="AC69">
        <f t="shared" si="5"/>
        <v>0.13308175948241996</v>
      </c>
      <c r="AD69">
        <f t="shared" si="6"/>
        <v>-0.30254107362079685</v>
      </c>
      <c r="AE69">
        <f t="shared" si="7"/>
        <v>0.76316314394444895</v>
      </c>
      <c r="AF69">
        <f t="shared" si="8"/>
        <v>1.1446175826776996E-3</v>
      </c>
      <c r="AG69">
        <f t="shared" si="9"/>
        <v>-5.8206331579196191E-2</v>
      </c>
    </row>
    <row r="70" spans="1:33" x14ac:dyDescent="0.25">
      <c r="A70">
        <v>73</v>
      </c>
      <c r="B70">
        <v>5.71</v>
      </c>
      <c r="C70">
        <v>0.7</v>
      </c>
      <c r="D70">
        <v>75.400000000000006</v>
      </c>
      <c r="U70">
        <f t="shared" si="10"/>
        <v>66</v>
      </c>
      <c r="V70">
        <f t="shared" si="18"/>
        <v>73.7</v>
      </c>
      <c r="W70">
        <f t="shared" si="19"/>
        <v>6.02</v>
      </c>
      <c r="X70">
        <f t="shared" si="20"/>
        <v>2.2000000000000002</v>
      </c>
      <c r="Y70">
        <v>5.9689035063615545</v>
      </c>
      <c r="Z70">
        <f t="shared" ref="Z70:Z75" si="21">W70-Y70</f>
        <v>5.109649363844504E-2</v>
      </c>
      <c r="AA70">
        <v>2.453078252419244E-2</v>
      </c>
      <c r="AB70">
        <f t="shared" ref="AB70:AB75" si="22">Z70/SQRT($AJ$7)</f>
        <v>0.14101081952907729</v>
      </c>
      <c r="AC70">
        <f t="shared" ref="AC70:AC75" si="23">($AJ$7-Z70^2/((1-AA70)*$AJ$6))*$AJ$6/($AJ$6-1)</f>
        <v>0.13322361935538116</v>
      </c>
      <c r="AD70">
        <f t="shared" ref="AD70:AD75" si="24">Z70/SQRT(AC70*(1-AA70))</f>
        <v>0.14174041507362087</v>
      </c>
      <c r="AE70">
        <f t="shared" ref="AE70:AE75" si="25">_xlfn.T.DIST.2T(ABS(AD70),$AJ$6)</f>
        <v>0.88770414919711071</v>
      </c>
      <c r="AF70">
        <f t="shared" ref="AF70:AF75" si="26">(Z70^2/$AJ$7)*(AA70/(1-AA70)^2)/($AJ$8+1)</f>
        <v>1.7087081177563602E-4</v>
      </c>
      <c r="AG70">
        <f t="shared" ref="AG70:AG75" si="27">AD70*SQRT(AA70/(1-AA70))</f>
        <v>2.2477221060087833E-2</v>
      </c>
    </row>
    <row r="71" spans="1:33" x14ac:dyDescent="0.25">
      <c r="A71">
        <v>74</v>
      </c>
      <c r="B71">
        <v>5.45</v>
      </c>
      <c r="C71">
        <v>2</v>
      </c>
      <c r="D71">
        <v>81.3</v>
      </c>
      <c r="U71">
        <f t="shared" ref="U71:U75" si="28">U70+1</f>
        <v>67</v>
      </c>
      <c r="V71">
        <f t="shared" si="18"/>
        <v>82.2</v>
      </c>
      <c r="W71">
        <f t="shared" si="19"/>
        <v>5.73</v>
      </c>
      <c r="X71">
        <f t="shared" si="20"/>
        <v>1.7</v>
      </c>
      <c r="Y71">
        <v>5.3513391939284602</v>
      </c>
      <c r="Z71">
        <f t="shared" si="21"/>
        <v>0.37866080607154018</v>
      </c>
      <c r="AA71">
        <v>2.4228940824054052E-2</v>
      </c>
      <c r="AB71">
        <f t="shared" si="22"/>
        <v>1.0449889373135821</v>
      </c>
      <c r="AC71">
        <f t="shared" si="23"/>
        <v>0.13107036857087651</v>
      </c>
      <c r="AD71">
        <f t="shared" si="24"/>
        <v>1.0588248568783571</v>
      </c>
      <c r="AE71">
        <f t="shared" si="25"/>
        <v>0.29342628786905939</v>
      </c>
      <c r="AF71">
        <f t="shared" si="26"/>
        <v>9.2627660273642016E-3</v>
      </c>
      <c r="AG71">
        <f t="shared" si="27"/>
        <v>0.16684660586888769</v>
      </c>
    </row>
    <row r="72" spans="1:33" x14ac:dyDescent="0.25">
      <c r="A72" s="4">
        <v>75</v>
      </c>
      <c r="B72" s="4">
        <v>6.05</v>
      </c>
      <c r="C72" s="4">
        <v>2.2000000000000002</v>
      </c>
      <c r="D72" s="4">
        <v>75</v>
      </c>
      <c r="U72">
        <f t="shared" si="28"/>
        <v>68</v>
      </c>
      <c r="V72">
        <f t="shared" si="18"/>
        <v>74.2</v>
      </c>
      <c r="W72">
        <f t="shared" si="19"/>
        <v>5.1100000000000003</v>
      </c>
      <c r="X72">
        <f t="shared" si="20"/>
        <v>0.7</v>
      </c>
      <c r="Y72">
        <v>5.7129616502148837</v>
      </c>
      <c r="Z72">
        <f t="shared" si="21"/>
        <v>-0.60296165021488335</v>
      </c>
      <c r="AA72">
        <v>4.3150326358714727E-2</v>
      </c>
      <c r="AB72">
        <f t="shared" si="22"/>
        <v>-1.6639912132333352</v>
      </c>
      <c r="AC72">
        <f t="shared" si="23"/>
        <v>0.1275925513303337</v>
      </c>
      <c r="AD72">
        <f t="shared" si="24"/>
        <v>-1.7256597656874568</v>
      </c>
      <c r="AE72">
        <f t="shared" si="25"/>
        <v>8.8950482725766514E-2</v>
      </c>
      <c r="AF72">
        <f t="shared" si="26"/>
        <v>4.3498818523372722E-2</v>
      </c>
      <c r="AG72">
        <f t="shared" si="27"/>
        <v>-0.366458972315305</v>
      </c>
    </row>
    <row r="73" spans="1:33" x14ac:dyDescent="0.25">
      <c r="U73">
        <f t="shared" si="28"/>
        <v>69</v>
      </c>
      <c r="V73">
        <f t="shared" si="18"/>
        <v>75.400000000000006</v>
      </c>
      <c r="W73">
        <f t="shared" si="19"/>
        <v>5.71</v>
      </c>
      <c r="X73">
        <f t="shared" si="20"/>
        <v>0.7</v>
      </c>
      <c r="Y73">
        <v>5.6363175983195584</v>
      </c>
      <c r="Z73">
        <f t="shared" si="21"/>
        <v>7.36824016804416E-2</v>
      </c>
      <c r="AA73">
        <v>4.2585102722749818E-2</v>
      </c>
      <c r="AB73">
        <f t="shared" si="22"/>
        <v>0.20334107305578944</v>
      </c>
      <c r="AC73">
        <f t="shared" si="23"/>
        <v>0.13317893174382403</v>
      </c>
      <c r="AD73">
        <f t="shared" si="24"/>
        <v>0.20634593578197083</v>
      </c>
      <c r="AE73">
        <f t="shared" si="25"/>
        <v>0.83713728242672536</v>
      </c>
      <c r="AF73">
        <f t="shared" si="26"/>
        <v>6.4030413287778014E-4</v>
      </c>
      <c r="AG73">
        <f t="shared" si="27"/>
        <v>4.3518576249273723E-2</v>
      </c>
    </row>
    <row r="74" spans="1:33" x14ac:dyDescent="0.25">
      <c r="U74">
        <f t="shared" si="28"/>
        <v>70</v>
      </c>
      <c r="V74">
        <f t="shared" si="18"/>
        <v>81.3</v>
      </c>
      <c r="W74">
        <f t="shared" si="19"/>
        <v>5.45</v>
      </c>
      <c r="X74">
        <f t="shared" si="20"/>
        <v>2</v>
      </c>
      <c r="Y74">
        <v>5.4536235997546791</v>
      </c>
      <c r="Z74">
        <f t="shared" si="21"/>
        <v>-3.6235997546789633E-3</v>
      </c>
      <c r="AA74">
        <v>1.917008311457713E-2</v>
      </c>
      <c r="AB74">
        <f t="shared" si="22"/>
        <v>-1.0000035905950938E-2</v>
      </c>
      <c r="AC74">
        <f t="shared" si="23"/>
        <v>0.13326336743602588</v>
      </c>
      <c r="AD74">
        <f t="shared" si="24"/>
        <v>-1.002277492788589E-2</v>
      </c>
      <c r="AE74">
        <f t="shared" si="25"/>
        <v>0.99203246375255638</v>
      </c>
      <c r="AF74">
        <f t="shared" si="26"/>
        <v>6.6422994661301704E-7</v>
      </c>
      <c r="AG74">
        <f t="shared" si="27"/>
        <v>-1.4012096635685758E-3</v>
      </c>
    </row>
    <row r="75" spans="1:33" x14ac:dyDescent="0.25">
      <c r="U75" s="4">
        <f t="shared" si="28"/>
        <v>71</v>
      </c>
      <c r="V75" s="4">
        <f t="shared" si="18"/>
        <v>75</v>
      </c>
      <c r="W75" s="4">
        <f t="shared" si="19"/>
        <v>6.05</v>
      </c>
      <c r="X75" s="4">
        <f t="shared" si="20"/>
        <v>2.2000000000000002</v>
      </c>
      <c r="Y75" s="4">
        <v>5.8858724501416191</v>
      </c>
      <c r="Z75" s="4">
        <f t="shared" si="21"/>
        <v>0.16412754985838074</v>
      </c>
      <c r="AA75" s="4">
        <v>2.0541463985450648E-2</v>
      </c>
      <c r="AB75" s="4">
        <f t="shared" si="22"/>
        <v>0.45294224054967991</v>
      </c>
      <c r="AC75" s="4">
        <f t="shared" si="23"/>
        <v>0.13285307768528815</v>
      </c>
      <c r="AD75" s="4">
        <f t="shared" si="24"/>
        <v>0.45499083501824367</v>
      </c>
      <c r="AE75" s="4">
        <f t="shared" si="25"/>
        <v>0.65056517379395284</v>
      </c>
      <c r="AF75" s="4">
        <f t="shared" si="26"/>
        <v>1.4642784636125013E-3</v>
      </c>
      <c r="AG75" s="4">
        <f t="shared" si="27"/>
        <v>6.5890881420416311E-2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78"/>
  <sheetViews>
    <sheetView showGridLines="0" workbookViewId="0">
      <selection sqref="A1:H19"/>
    </sheetView>
  </sheetViews>
  <sheetFormatPr baseColWidth="10" defaultRowHeight="15" x14ac:dyDescent="0.25"/>
  <cols>
    <col min="1" max="1" width="11" customWidth="1"/>
    <col min="2" max="2" width="10.28515625" customWidth="1"/>
    <col min="3" max="3" width="10.85546875" customWidth="1"/>
    <col min="4" max="4" width="10.7109375" customWidth="1"/>
    <col min="5" max="5" width="12.5703125" customWidth="1"/>
    <col min="6" max="6" width="12.42578125" customWidth="1"/>
    <col min="7" max="7" width="7.140625" customWidth="1"/>
    <col min="8" max="8" width="9.5703125" bestFit="1" customWidth="1"/>
    <col min="16" max="16" width="11.42578125" style="65"/>
    <col min="17" max="18" width="0" hidden="1" customWidth="1"/>
    <col min="19" max="23" width="11.42578125" style="65"/>
    <col min="26" max="26" width="5" bestFit="1" customWidth="1"/>
    <col min="27" max="27" width="5.7109375" bestFit="1" customWidth="1"/>
    <col min="28" max="28" width="7.28515625" bestFit="1" customWidth="1"/>
    <col min="29" max="29" width="5.85546875" bestFit="1" customWidth="1"/>
    <col min="30" max="30" width="7" bestFit="1" customWidth="1"/>
    <col min="31" max="31" width="8.85546875" bestFit="1" customWidth="1"/>
    <col min="32" max="32" width="10.28515625" bestFit="1" customWidth="1"/>
    <col min="33" max="33" width="10.42578125" bestFit="1" customWidth="1"/>
    <col min="34" max="34" width="7.7109375" bestFit="1" customWidth="1"/>
    <col min="35" max="35" width="9.85546875" bestFit="1" customWidth="1"/>
    <col min="36" max="36" width="8.28515625" bestFit="1" customWidth="1"/>
    <col min="37" max="37" width="5.7109375" bestFit="1" customWidth="1"/>
  </cols>
  <sheetData>
    <row r="1" spans="1:37" x14ac:dyDescent="0.25">
      <c r="A1" s="35" t="s">
        <v>9</v>
      </c>
      <c r="B1" s="35"/>
      <c r="C1" s="35"/>
      <c r="D1" s="35"/>
      <c r="E1" s="35"/>
      <c r="F1" s="35"/>
      <c r="G1" s="35"/>
      <c r="H1" s="35"/>
      <c r="J1" t="s">
        <v>40</v>
      </c>
      <c r="P1" s="64" t="s">
        <v>84</v>
      </c>
      <c r="S1" s="64" t="s">
        <v>84</v>
      </c>
      <c r="T1" s="64" t="s">
        <v>84</v>
      </c>
      <c r="U1" s="64" t="s">
        <v>84</v>
      </c>
      <c r="V1" s="64" t="s">
        <v>84</v>
      </c>
      <c r="W1" s="64" t="s">
        <v>84</v>
      </c>
      <c r="X1" s="16" t="s">
        <v>84</v>
      </c>
    </row>
    <row r="2" spans="1:37" ht="15.75" thickBot="1" x14ac:dyDescent="0.3">
      <c r="A2" s="35"/>
      <c r="B2" s="35"/>
      <c r="C2" s="35"/>
      <c r="D2" s="35"/>
      <c r="E2" s="35"/>
      <c r="F2" s="35"/>
      <c r="G2" s="35"/>
      <c r="H2" s="35"/>
      <c r="P2" s="64">
        <v>0.08</v>
      </c>
      <c r="S2" s="65">
        <v>3</v>
      </c>
      <c r="T2" s="65">
        <v>0.05</v>
      </c>
      <c r="U2" s="64">
        <v>5.3333333333333337E-2</v>
      </c>
      <c r="V2" s="65">
        <v>0.4</v>
      </c>
      <c r="W2" s="65">
        <v>1.1200000000000001</v>
      </c>
      <c r="X2" s="24">
        <v>0.88</v>
      </c>
    </row>
    <row r="3" spans="1:37" ht="16.5" thickTop="1" thickBot="1" x14ac:dyDescent="0.3">
      <c r="A3" s="50" t="s">
        <v>10</v>
      </c>
      <c r="B3" s="50"/>
      <c r="C3" s="35"/>
      <c r="D3" s="50"/>
      <c r="E3" s="50"/>
      <c r="F3" s="35"/>
      <c r="G3" s="35"/>
      <c r="H3" s="35"/>
      <c r="J3" s="6" t="s">
        <v>41</v>
      </c>
      <c r="K3" s="6" t="str">
        <f>'Data Hamburguesa'!E1</f>
        <v>ln price</v>
      </c>
      <c r="L3" s="6" t="str">
        <f>'Data Hamburguesa'!F1</f>
        <v>ln advert</v>
      </c>
      <c r="M3" s="6" t="str">
        <f>'Data Hamburguesa'!D1</f>
        <v>ln sales</v>
      </c>
      <c r="N3" s="6" t="s">
        <v>42</v>
      </c>
      <c r="O3" s="6" t="s">
        <v>28</v>
      </c>
      <c r="P3" s="72" t="s">
        <v>43</v>
      </c>
      <c r="Q3" s="6" t="s">
        <v>44</v>
      </c>
      <c r="R3" s="6" t="s">
        <v>45</v>
      </c>
      <c r="S3" s="72" t="s">
        <v>46</v>
      </c>
      <c r="T3" s="72" t="s">
        <v>47</v>
      </c>
      <c r="U3" s="72" t="s">
        <v>40</v>
      </c>
      <c r="V3" s="72" t="s">
        <v>48</v>
      </c>
      <c r="W3" s="72" t="s">
        <v>86</v>
      </c>
    </row>
    <row r="4" spans="1:37" ht="15.75" thickTop="1" x14ac:dyDescent="0.25">
      <c r="A4" s="35" t="s">
        <v>11</v>
      </c>
      <c r="B4" s="45">
        <f>SQRT(B5)</f>
        <v>0.68491275789553607</v>
      </c>
      <c r="C4" s="35"/>
      <c r="D4" s="35" t="s">
        <v>16</v>
      </c>
      <c r="E4" s="45">
        <f>B8*LN(C13/B8)+2*(B12+1)</f>
        <v>-413.25330077667553</v>
      </c>
      <c r="F4" s="35"/>
      <c r="G4" s="35"/>
      <c r="H4" s="35"/>
      <c r="J4">
        <v>1</v>
      </c>
      <c r="K4">
        <f>'Data Hamburguesa'!E2</f>
        <v>1.7387102481382397</v>
      </c>
      <c r="L4">
        <f>'Data Hamburguesa'!F2</f>
        <v>0.26236426446749106</v>
      </c>
      <c r="M4">
        <f>'Data Hamburguesa'!D2</f>
        <v>4.2931954209672663</v>
      </c>
      <c r="N4">
        <f t="array" ref="N4:N78">TREND('Data Hamburguesa'!D2:D76,'Data Hamburguesa'!E2:F76)</f>
        <v>4.3322234503919592</v>
      </c>
      <c r="O4">
        <f>M4-N4</f>
        <v>-3.9028029424692967E-2</v>
      </c>
      <c r="P4" s="65">
        <f t="array" ref="P4:P78">[1]!LEVERAGE('Data Hamburguesa'!E2:F76)</f>
        <v>1.5825711434213581E-2</v>
      </c>
      <c r="Q4">
        <f>O4/SQRT($Y$6)</f>
        <v>-0.62571256173988088</v>
      </c>
      <c r="R4">
        <f>($Y$6-O4^2/((1-P4)*$Y$5))*$Y$5/($Y$5-1)</f>
        <v>3.9234800198406075E-3</v>
      </c>
      <c r="S4" s="65">
        <f>O4/SQRT(R4*(1-P4))</f>
        <v>-0.6280654357841744</v>
      </c>
      <c r="T4" s="65">
        <f>_xlfn.T.DIST.2T(ABS(S4),$Y$5)</f>
        <v>0.53194823748892761</v>
      </c>
      <c r="U4" s="65">
        <f>(O4^2/$Y$6)*(P4/(1-P4)^2)/($Y$7+1)</f>
        <v>2.1322970483957124E-3</v>
      </c>
      <c r="V4" s="65">
        <f>S4*SQRT(P4/(1-P4))</f>
        <v>-7.9643531211526425E-2</v>
      </c>
      <c r="W4" s="65">
        <v>1.042154</v>
      </c>
      <c r="X4" t="s">
        <v>49</v>
      </c>
      <c r="Y4" s="7">
        <f>DEVSQ(O4:O78)</f>
        <v>0.28011476163003335</v>
      </c>
    </row>
    <row r="5" spans="1:37" x14ac:dyDescent="0.25">
      <c r="A5" s="35" t="s">
        <v>12</v>
      </c>
      <c r="B5" s="45">
        <f>C12/C14</f>
        <v>0.46910548592806922</v>
      </c>
      <c r="C5" s="35"/>
      <c r="D5" s="35" t="s">
        <v>17</v>
      </c>
      <c r="E5" s="45">
        <f>E4+2*(B12+2)*(B12+3)/(B8-B12-3)</f>
        <v>-412.68187220524698</v>
      </c>
      <c r="F5" s="35"/>
      <c r="G5" s="35"/>
      <c r="H5" s="35"/>
      <c r="J5">
        <f>J4+1</f>
        <v>2</v>
      </c>
      <c r="K5">
        <f>'Data Hamburguesa'!E3</f>
        <v>1.8702625307159986</v>
      </c>
      <c r="L5">
        <f>'Data Hamburguesa'!F3</f>
        <v>1.0647107369924282</v>
      </c>
      <c r="M5">
        <f>'Data Hamburguesa'!D3</f>
        <v>4.2738844760541781</v>
      </c>
      <c r="N5">
        <v>4.2930482161044266</v>
      </c>
      <c r="O5">
        <f t="shared" ref="O5:O68" si="0">M5-N5</f>
        <v>-1.9163740050248457E-2</v>
      </c>
      <c r="P5" s="65">
        <v>5.9280698600399501E-2</v>
      </c>
      <c r="Q5">
        <f t="shared" ref="Q5:Q68" si="1">O5/SQRT($Y$6)</f>
        <v>-0.30724054112174659</v>
      </c>
      <c r="R5">
        <f t="shared" ref="R5:R68" si="2">($Y$6-O5^2/((1-P5)*$Y$5))*$Y$5/($Y$5-1)</f>
        <v>3.9397798592861405E-3</v>
      </c>
      <c r="S5" s="65">
        <f t="shared" ref="S5:S68" si="3">O5/SQRT(R5*(1-P5))</f>
        <v>-0.31478517144445245</v>
      </c>
      <c r="T5" s="65">
        <f t="shared" ref="T5:T68" si="4">_xlfn.T.DIST.2T(ABS(S5),$Y$5)</f>
        <v>0.75383521005630405</v>
      </c>
      <c r="U5" s="65">
        <f t="shared" ref="U5:U68" si="5">(O5^2/$Y$6)*(P5/(1-P5)^2)/($Y$7+1)</f>
        <v>2.1077980153667011E-3</v>
      </c>
      <c r="V5" s="65">
        <f t="shared" ref="V5:V68" si="6">S5*SQRT(P5/(1-P5))</f>
        <v>-7.9020704083595045E-2</v>
      </c>
      <c r="W5" s="65">
        <v>1.1039399999999999</v>
      </c>
      <c r="X5" t="s">
        <v>50</v>
      </c>
      <c r="Y5" s="8">
        <f>COUNT('Data Hamburguesa'!D2:D76)-Y7-1</f>
        <v>72</v>
      </c>
    </row>
    <row r="6" spans="1:37" x14ac:dyDescent="0.25">
      <c r="A6" s="35" t="s">
        <v>13</v>
      </c>
      <c r="B6" s="45">
        <f>1-(1-B5)*(B8-1)/(B8-B12-1)</f>
        <v>0.45435841609273775</v>
      </c>
      <c r="C6" s="35"/>
      <c r="D6" s="40" t="s">
        <v>18</v>
      </c>
      <c r="E6" s="46">
        <f>B8*LN(C13/B8)+(B12+1)*LN(B8)</f>
        <v>-406.30083643606662</v>
      </c>
      <c r="F6" s="35"/>
      <c r="G6" s="35"/>
      <c r="H6" s="35"/>
      <c r="J6" s="31">
        <f t="shared" ref="J6:J69" si="7">J5+1</f>
        <v>3</v>
      </c>
      <c r="K6">
        <f>'Data Hamburguesa'!E4</f>
        <v>1.728109442151599</v>
      </c>
      <c r="L6">
        <f>'Data Hamburguesa'!F4</f>
        <v>-0.22314355131420971</v>
      </c>
      <c r="M6">
        <f>'Data Hamburguesa'!D4</f>
        <v>4.133565275375382</v>
      </c>
      <c r="N6">
        <v>4.3162565855387127</v>
      </c>
      <c r="O6">
        <f t="shared" si="0"/>
        <v>-0.18269131016333073</v>
      </c>
      <c r="P6" s="65">
        <v>3.7698287693722916E-2</v>
      </c>
      <c r="Q6">
        <f t="shared" si="1"/>
        <v>-2.9289782080974773</v>
      </c>
      <c r="R6">
        <f t="shared" si="2"/>
        <v>3.4567765271346826E-3</v>
      </c>
      <c r="S6" s="65">
        <f t="shared" si="3"/>
        <v>-3.1675728283515419</v>
      </c>
      <c r="T6" s="71">
        <f t="shared" si="4"/>
        <v>2.2556089796500639E-3</v>
      </c>
      <c r="U6" s="71">
        <f t="shared" si="5"/>
        <v>0.11641531927070098</v>
      </c>
      <c r="V6" s="65">
        <f t="shared" si="6"/>
        <v>-0.62694839054273954</v>
      </c>
      <c r="W6" s="71">
        <v>0.72894150000000002</v>
      </c>
      <c r="X6" t="s">
        <v>51</v>
      </c>
      <c r="Y6" s="8">
        <f>Y4/Y5</f>
        <v>3.8904828004171299E-3</v>
      </c>
    </row>
    <row r="7" spans="1:37" x14ac:dyDescent="0.25">
      <c r="A7" s="35" t="s">
        <v>14</v>
      </c>
      <c r="B7" s="45">
        <f>SQRT(D13)</f>
        <v>6.2373734860252938E-2</v>
      </c>
      <c r="C7" s="35"/>
      <c r="D7" s="35"/>
      <c r="E7" s="35"/>
      <c r="F7" s="35"/>
      <c r="G7" s="35"/>
      <c r="H7" s="35"/>
      <c r="J7">
        <f t="shared" si="7"/>
        <v>4</v>
      </c>
      <c r="K7">
        <f>'Data Hamburguesa'!E5</f>
        <v>1.827769906751088</v>
      </c>
      <c r="L7">
        <f>'Data Hamburguesa'!F5</f>
        <v>-0.35667494393873245</v>
      </c>
      <c r="M7">
        <f>'Data Hamburguesa'!D5</f>
        <v>4.2106450179182611</v>
      </c>
      <c r="N7">
        <v>4.2528904789313717</v>
      </c>
      <c r="O7">
        <f t="shared" si="0"/>
        <v>-4.2245461013110663E-2</v>
      </c>
      <c r="P7" s="65">
        <v>6.176258297650334E-2</v>
      </c>
      <c r="Q7">
        <f t="shared" si="1"/>
        <v>-0.67729567754377318</v>
      </c>
      <c r="R7">
        <f t="shared" si="2"/>
        <v>3.9184873275211439E-3</v>
      </c>
      <c r="S7" s="65">
        <f t="shared" si="3"/>
        <v>-0.69672991219073566</v>
      </c>
      <c r="T7" s="65">
        <f t="shared" si="4"/>
        <v>0.48821522993088962</v>
      </c>
      <c r="U7" s="65">
        <f t="shared" si="5"/>
        <v>1.0728408615741416E-2</v>
      </c>
      <c r="V7" s="65">
        <f t="shared" si="6"/>
        <v>-0.17876018976664862</v>
      </c>
      <c r="W7" s="65">
        <v>1.089011</v>
      </c>
      <c r="X7" t="s">
        <v>52</v>
      </c>
      <c r="Y7" s="9">
        <f>COUNT('Data Hamburguesa'!E2:F2)</f>
        <v>2</v>
      </c>
    </row>
    <row r="8" spans="1:37" x14ac:dyDescent="0.25">
      <c r="A8" s="40" t="s">
        <v>15</v>
      </c>
      <c r="B8" s="40">
        <f>COUNT('Data Hamburguesa'!D2:D76)</f>
        <v>75</v>
      </c>
      <c r="C8" s="35"/>
      <c r="D8" s="35"/>
      <c r="E8" s="35"/>
      <c r="F8" s="35"/>
      <c r="G8" s="35"/>
      <c r="H8" s="35"/>
      <c r="J8">
        <f t="shared" si="7"/>
        <v>5</v>
      </c>
      <c r="K8">
        <f>'Data Hamburguesa'!E6</f>
        <v>1.6134299337036377</v>
      </c>
      <c r="L8">
        <f>'Data Hamburguesa'!F6</f>
        <v>0.40546510810816438</v>
      </c>
      <c r="M8">
        <f>'Data Hamburguesa'!D6</f>
        <v>4.4920014878824537</v>
      </c>
      <c r="N8">
        <v>4.4107541710884153</v>
      </c>
      <c r="O8">
        <f t="shared" si="0"/>
        <v>8.1247316794038404E-2</v>
      </c>
      <c r="P8" s="65">
        <v>3.7238112443927947E-2</v>
      </c>
      <c r="Q8">
        <f t="shared" si="1"/>
        <v>1.302588613237148</v>
      </c>
      <c r="R8">
        <f t="shared" si="2"/>
        <v>3.8487086475360666E-3</v>
      </c>
      <c r="S8" s="65">
        <f t="shared" si="3"/>
        <v>1.3347258282007448</v>
      </c>
      <c r="T8" s="65">
        <f t="shared" si="4"/>
        <v>0.18617155416635972</v>
      </c>
      <c r="U8" s="65">
        <f t="shared" si="5"/>
        <v>2.2721823378818184E-2</v>
      </c>
      <c r="V8" s="65">
        <f t="shared" si="6"/>
        <v>0.26249827221822408</v>
      </c>
      <c r="W8" s="65">
        <v>1.0055780000000001</v>
      </c>
    </row>
    <row r="9" spans="1:37" x14ac:dyDescent="0.25">
      <c r="A9" s="35"/>
      <c r="B9" s="35"/>
      <c r="C9" s="35"/>
      <c r="D9" s="35"/>
      <c r="E9" s="35"/>
      <c r="F9" s="35"/>
      <c r="G9" s="35"/>
      <c r="H9" s="35"/>
      <c r="J9">
        <f t="shared" si="7"/>
        <v>6</v>
      </c>
      <c r="K9">
        <f>'Data Hamburguesa'!E7</f>
        <v>1.8578592709325787</v>
      </c>
      <c r="L9">
        <f>'Data Hamburguesa'!F7</f>
        <v>0.26236426446749106</v>
      </c>
      <c r="M9">
        <f>'Data Hamburguesa'!D7</f>
        <v>4.2527717988166192</v>
      </c>
      <c r="N9">
        <v>4.2637203841005462</v>
      </c>
      <c r="O9">
        <f t="shared" si="0"/>
        <v>-1.0948585283927059E-2</v>
      </c>
      <c r="P9" s="65">
        <v>4.0559928628300282E-2</v>
      </c>
      <c r="Q9">
        <f t="shared" si="1"/>
        <v>-0.1755319816659551</v>
      </c>
      <c r="R9">
        <f t="shared" si="2"/>
        <v>3.9435186280541131E-3</v>
      </c>
      <c r="S9" s="65">
        <f t="shared" si="3"/>
        <v>-0.17799472457544513</v>
      </c>
      <c r="T9" s="65">
        <f t="shared" si="4"/>
        <v>0.85922696496632245</v>
      </c>
      <c r="U9" s="65">
        <f t="shared" si="5"/>
        <v>4.52535582474218E-4</v>
      </c>
      <c r="V9" s="65">
        <f t="shared" si="6"/>
        <v>-3.6597110338563742E-2</v>
      </c>
      <c r="W9" s="65">
        <v>1.0854839999999999</v>
      </c>
      <c r="Z9" s="69" t="s">
        <v>41</v>
      </c>
      <c r="AA9" s="69" t="s">
        <v>1</v>
      </c>
      <c r="AB9" s="69" t="s">
        <v>2</v>
      </c>
      <c r="AC9" s="69" t="s">
        <v>0</v>
      </c>
      <c r="AD9" s="69" t="s">
        <v>42</v>
      </c>
      <c r="AE9" s="69" t="s">
        <v>28</v>
      </c>
      <c r="AF9" s="57" t="s">
        <v>43</v>
      </c>
      <c r="AG9" s="58" t="s">
        <v>46</v>
      </c>
      <c r="AH9" s="57" t="s">
        <v>47</v>
      </c>
      <c r="AI9" s="57" t="s">
        <v>40</v>
      </c>
      <c r="AJ9" s="58" t="s">
        <v>48</v>
      </c>
      <c r="AK9" s="60" t="s">
        <v>83</v>
      </c>
    </row>
    <row r="10" spans="1:37" ht="15.75" thickBot="1" x14ac:dyDescent="0.3">
      <c r="A10" s="35" t="s">
        <v>88</v>
      </c>
      <c r="B10" s="35"/>
      <c r="C10" s="35"/>
      <c r="D10" s="35"/>
      <c r="E10" s="39" t="s">
        <v>20</v>
      </c>
      <c r="F10" s="39">
        <v>0.05</v>
      </c>
      <c r="G10" s="35"/>
      <c r="H10" s="35"/>
      <c r="J10">
        <f t="shared" si="7"/>
        <v>7</v>
      </c>
      <c r="K10">
        <f>'Data Hamburguesa'!E8</f>
        <v>1.766441661243765</v>
      </c>
      <c r="L10">
        <f>'Data Hamburguesa'!F8</f>
        <v>0.58778666490211906</v>
      </c>
      <c r="M10">
        <f>'Data Hamburguesa'!D8</f>
        <v>4.2931954209672663</v>
      </c>
      <c r="N10">
        <v>4.3310669729912421</v>
      </c>
      <c r="O10">
        <f t="shared" si="0"/>
        <v>-3.7871552023975852E-2</v>
      </c>
      <c r="P10" s="65">
        <v>1.549696350248465E-2</v>
      </c>
      <c r="Q10">
        <f t="shared" si="1"/>
        <v>-0.60717146582333559</v>
      </c>
      <c r="R10">
        <f t="shared" si="2"/>
        <v>3.924759587632623E-3</v>
      </c>
      <c r="S10" s="65">
        <f t="shared" si="3"/>
        <v>-0.60925351562786578</v>
      </c>
      <c r="T10" s="65">
        <f t="shared" si="4"/>
        <v>0.54427415899661014</v>
      </c>
      <c r="U10" s="65">
        <f t="shared" si="5"/>
        <v>1.964780063545426E-3</v>
      </c>
      <c r="V10" s="65">
        <f t="shared" si="6"/>
        <v>-7.6438616691634681E-2</v>
      </c>
      <c r="W10" s="65">
        <v>1.0428249999999999</v>
      </c>
      <c r="Z10" s="63">
        <v>3</v>
      </c>
      <c r="AA10" s="63">
        <v>1.728109442151599</v>
      </c>
      <c r="AB10" s="63">
        <v>-0.22314355131420971</v>
      </c>
      <c r="AC10" s="63">
        <v>4.133565275375382</v>
      </c>
      <c r="AD10" s="67">
        <v>4.3162565855387127</v>
      </c>
      <c r="AE10" s="67">
        <v>-0.18269131016333073</v>
      </c>
      <c r="AF10" s="67">
        <v>3.7698287693722916E-2</v>
      </c>
      <c r="AG10" s="67">
        <v>-3.1675728283515419</v>
      </c>
      <c r="AH10" s="68">
        <v>2.2556089796500639E-3</v>
      </c>
      <c r="AI10" s="68">
        <v>0.11641531927070098</v>
      </c>
      <c r="AJ10" s="67">
        <v>-0.62694839054273954</v>
      </c>
      <c r="AK10" s="68">
        <v>0.72894150000000002</v>
      </c>
    </row>
    <row r="11" spans="1:37" ht="15.75" thickTop="1" x14ac:dyDescent="0.25">
      <c r="A11" s="41"/>
      <c r="B11" s="41" t="s">
        <v>21</v>
      </c>
      <c r="C11" s="41" t="s">
        <v>22</v>
      </c>
      <c r="D11" s="41" t="s">
        <v>23</v>
      </c>
      <c r="E11" s="41" t="s">
        <v>24</v>
      </c>
      <c r="F11" s="41" t="s">
        <v>25</v>
      </c>
      <c r="G11" s="41" t="s">
        <v>26</v>
      </c>
      <c r="H11" s="35"/>
      <c r="J11">
        <f t="shared" si="7"/>
        <v>8</v>
      </c>
      <c r="K11">
        <f>'Data Hamburguesa'!E9</f>
        <v>1.6882490928583902</v>
      </c>
      <c r="L11">
        <f>'Data Hamburguesa'!F9</f>
        <v>0.87546873735389985</v>
      </c>
      <c r="M11">
        <f>'Data Hamburguesa'!D9</f>
        <v>4.4555094114336846</v>
      </c>
      <c r="N11">
        <v>4.3890950750129996</v>
      </c>
      <c r="O11">
        <f t="shared" si="0"/>
        <v>6.6414336420685061E-2</v>
      </c>
      <c r="P11" s="65">
        <v>2.3895348813100452E-2</v>
      </c>
      <c r="Q11">
        <f t="shared" si="1"/>
        <v>1.0647804972635522</v>
      </c>
      <c r="R11">
        <f t="shared" si="2"/>
        <v>3.8816326508173652E-3</v>
      </c>
      <c r="S11" s="65">
        <f t="shared" si="3"/>
        <v>1.078962698016934</v>
      </c>
      <c r="T11" s="65">
        <f t="shared" si="4"/>
        <v>0.28420572375201236</v>
      </c>
      <c r="U11" s="65">
        <f t="shared" si="5"/>
        <v>9.4780616930805316E-3</v>
      </c>
      <c r="V11" s="65">
        <f t="shared" si="6"/>
        <v>0.16881651346994409</v>
      </c>
      <c r="W11" s="65">
        <v>1.0175050000000001</v>
      </c>
      <c r="Z11" s="63">
        <v>9</v>
      </c>
      <c r="AA11" s="63">
        <v>1.8309801823813363</v>
      </c>
      <c r="AB11" s="63">
        <v>-0.35667494393873245</v>
      </c>
      <c r="AC11" s="63">
        <v>4.3944491546724391</v>
      </c>
      <c r="AD11" s="67">
        <v>4.2510447758013328</v>
      </c>
      <c r="AE11" s="67">
        <v>0.14340437887110635</v>
      </c>
      <c r="AF11" s="67">
        <v>6.2750933165193992E-2</v>
      </c>
      <c r="AG11" s="67">
        <v>2.4564537776749229</v>
      </c>
      <c r="AH11" s="68">
        <v>1.6443898464589855E-2</v>
      </c>
      <c r="AI11" s="68">
        <v>0.12586652043438865</v>
      </c>
      <c r="AJ11" s="68">
        <v>0.63561067497756618</v>
      </c>
      <c r="AK11" s="68">
        <v>0.87114860000000005</v>
      </c>
    </row>
    <row r="12" spans="1:37" x14ac:dyDescent="0.25">
      <c r="A12" s="35" t="s">
        <v>27</v>
      </c>
      <c r="B12" s="35">
        <f>COUNT('Data Hamburguesa'!E2:F2)</f>
        <v>2</v>
      </c>
      <c r="C12" s="45">
        <f>DEVSQ(MMULT([1]!DESIGN('Data Hamburguesa'!E2:F76),B17:B19))</f>
        <v>0.24751314599622767</v>
      </c>
      <c r="D12" s="45">
        <f>C12/B12</f>
        <v>0.12375657299811384</v>
      </c>
      <c r="E12" s="52">
        <f>D12/D13</f>
        <v>31.810080996848207</v>
      </c>
      <c r="F12" s="51">
        <f>_xlfn.F.DIST.RT(E12,B12,B13)</f>
        <v>1.2597853540278361E-10</v>
      </c>
      <c r="G12" s="39" t="str">
        <f>IF(F12&lt;F10,"yes","no")</f>
        <v>yes</v>
      </c>
      <c r="H12" s="35"/>
      <c r="J12" s="31">
        <f t="shared" si="7"/>
        <v>9</v>
      </c>
      <c r="K12">
        <f>'Data Hamburguesa'!E10</f>
        <v>1.8309801823813363</v>
      </c>
      <c r="L12">
        <f>'Data Hamburguesa'!F10</f>
        <v>-0.35667494393873245</v>
      </c>
      <c r="M12">
        <f>'Data Hamburguesa'!D10</f>
        <v>4.3944491546724391</v>
      </c>
      <c r="N12">
        <v>4.2510447758013328</v>
      </c>
      <c r="O12">
        <f t="shared" si="0"/>
        <v>0.14340437887110635</v>
      </c>
      <c r="P12" s="65">
        <v>6.2750933165193992E-2</v>
      </c>
      <c r="Q12">
        <f t="shared" si="1"/>
        <v>2.2991148308242395</v>
      </c>
      <c r="R12">
        <f t="shared" si="2"/>
        <v>3.6362406348078866E-3</v>
      </c>
      <c r="S12" s="65">
        <f t="shared" si="3"/>
        <v>2.4564537776749229</v>
      </c>
      <c r="T12" s="71">
        <f t="shared" si="4"/>
        <v>1.6443898464589855E-2</v>
      </c>
      <c r="U12" s="71">
        <f t="shared" si="5"/>
        <v>0.12586652043438865</v>
      </c>
      <c r="V12" s="71">
        <f t="shared" si="6"/>
        <v>0.63561067497756618</v>
      </c>
      <c r="W12" s="71">
        <v>0.87114860000000005</v>
      </c>
      <c r="Z12" s="63">
        <v>20</v>
      </c>
      <c r="AA12" s="63">
        <v>1.8515994695840721</v>
      </c>
      <c r="AB12" s="63">
        <v>-0.69314718055994529</v>
      </c>
      <c r="AC12" s="63">
        <v>4.2654928184179299</v>
      </c>
      <c r="AD12" s="67">
        <v>4.2239005849193854</v>
      </c>
      <c r="AE12" s="67">
        <v>4.1592233498544573E-2</v>
      </c>
      <c r="AF12" s="68">
        <v>0.10258237079555896</v>
      </c>
      <c r="AG12" s="67">
        <v>0.70141592483079995</v>
      </c>
      <c r="AH12" s="70">
        <v>0.48530448254827585</v>
      </c>
      <c r="AI12" s="70">
        <v>1.8879186172291212E-2</v>
      </c>
      <c r="AJ12" s="70">
        <v>0.23714539153393382</v>
      </c>
      <c r="AK12" s="68">
        <v>1.1382319999999999</v>
      </c>
    </row>
    <row r="13" spans="1:37" x14ac:dyDescent="0.25">
      <c r="A13" s="35" t="s">
        <v>28</v>
      </c>
      <c r="B13" s="35">
        <f>B14-B12</f>
        <v>72</v>
      </c>
      <c r="C13" s="45">
        <f>C14-C12</f>
        <v>0.28011476163003357</v>
      </c>
      <c r="D13" s="45">
        <f>C13/B13</f>
        <v>3.890482800417133E-3</v>
      </c>
      <c r="E13" s="45"/>
      <c r="F13" s="35"/>
      <c r="G13" s="35"/>
      <c r="H13" s="35"/>
      <c r="J13">
        <f t="shared" si="7"/>
        <v>10</v>
      </c>
      <c r="K13">
        <f>'Data Hamburguesa'!E11</f>
        <v>1.824549292051046</v>
      </c>
      <c r="L13">
        <f>'Data Hamburguesa'!F11</f>
        <v>1.0986122886681098</v>
      </c>
      <c r="M13">
        <f>'Data Hamburguesa'!D11</f>
        <v>4.3359826961724748</v>
      </c>
      <c r="N13">
        <v>4.320870902847231</v>
      </c>
      <c r="O13">
        <f t="shared" si="0"/>
        <v>1.5111793325243816E-2</v>
      </c>
      <c r="P13" s="65">
        <v>4.4432287328208031E-2</v>
      </c>
      <c r="Q13">
        <f t="shared" si="1"/>
        <v>0.24227815376298184</v>
      </c>
      <c r="R13">
        <f t="shared" si="2"/>
        <v>3.9419123476728676E-3</v>
      </c>
      <c r="S13" s="65">
        <f t="shared" si="3"/>
        <v>0.24622479825396071</v>
      </c>
      <c r="T13" s="65">
        <f t="shared" si="4"/>
        <v>0.80620882827484819</v>
      </c>
      <c r="U13" s="65">
        <f t="shared" si="5"/>
        <v>9.521009379420503E-4</v>
      </c>
      <c r="V13" s="65">
        <f t="shared" si="6"/>
        <v>5.3094604750007705E-2</v>
      </c>
      <c r="W13" s="65">
        <v>1.088551</v>
      </c>
      <c r="Z13" s="63">
        <v>38</v>
      </c>
      <c r="AA13" s="63">
        <v>1.8180767775454285</v>
      </c>
      <c r="AB13" s="63">
        <v>0.40546510810816438</v>
      </c>
      <c r="AC13" s="63">
        <v>4.4343818650078095</v>
      </c>
      <c r="AD13" s="67">
        <v>4.2930953268843774</v>
      </c>
      <c r="AE13" s="67">
        <v>0.14128653812343206</v>
      </c>
      <c r="AF13" s="67">
        <v>2.5073035363759131E-2</v>
      </c>
      <c r="AG13" s="67">
        <v>2.3662386079526763</v>
      </c>
      <c r="AH13" s="68">
        <v>2.0663347316660981E-2</v>
      </c>
      <c r="AI13" s="70">
        <v>4.5116932269836575E-2</v>
      </c>
      <c r="AJ13" s="70">
        <v>0.37946869307808895</v>
      </c>
      <c r="AK13" s="68">
        <v>0.85183330000000002</v>
      </c>
    </row>
    <row r="14" spans="1:37" x14ac:dyDescent="0.25">
      <c r="A14" s="40" t="s">
        <v>29</v>
      </c>
      <c r="B14" s="40">
        <f>B8-1</f>
        <v>74</v>
      </c>
      <c r="C14" s="46">
        <f>DEVSQ('Data Hamburguesa'!D2:D76)</f>
        <v>0.52762790762626122</v>
      </c>
      <c r="D14" s="46"/>
      <c r="E14" s="46"/>
      <c r="F14" s="40"/>
      <c r="G14" s="40"/>
      <c r="H14" s="35"/>
      <c r="J14">
        <f t="shared" si="7"/>
        <v>11</v>
      </c>
      <c r="K14">
        <f>'Data Hamburguesa'!E12</f>
        <v>1.7011051009599243</v>
      </c>
      <c r="L14">
        <f>'Data Hamburguesa'!F12</f>
        <v>1.0296194171811581</v>
      </c>
      <c r="M14">
        <f>'Data Hamburguesa'!D12</f>
        <v>4.3385970767465452</v>
      </c>
      <c r="N14">
        <v>4.3887083552003388</v>
      </c>
      <c r="O14">
        <f t="shared" si="0"/>
        <v>-5.0111278453793595E-2</v>
      </c>
      <c r="P14" s="65">
        <v>2.9110173911437453E-2</v>
      </c>
      <c r="Q14">
        <f t="shared" si="1"/>
        <v>-0.80340352499440504</v>
      </c>
      <c r="R14">
        <f t="shared" si="2"/>
        <v>3.9088497172537554E-3</v>
      </c>
      <c r="S14" s="65">
        <f t="shared" si="3"/>
        <v>-0.81344092968101001</v>
      </c>
      <c r="T14" s="65">
        <f t="shared" si="4"/>
        <v>0.4186472137630507</v>
      </c>
      <c r="U14" s="65">
        <f t="shared" si="5"/>
        <v>6.6443287245327729E-3</v>
      </c>
      <c r="V14" s="65">
        <f t="shared" si="6"/>
        <v>-0.14085213874084021</v>
      </c>
      <c r="W14" s="65">
        <v>1.04464</v>
      </c>
      <c r="Z14" s="63">
        <v>39</v>
      </c>
      <c r="AA14" s="63">
        <v>1.780024213009634</v>
      </c>
      <c r="AB14" s="63">
        <v>1.0296194171811581</v>
      </c>
      <c r="AC14" s="63">
        <v>4.1896547420264252</v>
      </c>
      <c r="AD14" s="67">
        <v>4.343334914129553</v>
      </c>
      <c r="AE14" s="67">
        <v>-0.15368017210312779</v>
      </c>
      <c r="AF14" s="67">
        <v>3.07836436005559E-2</v>
      </c>
      <c r="AG14" s="67">
        <v>-2.6009460149498942</v>
      </c>
      <c r="AH14" s="68">
        <v>1.1275910893262993E-2</v>
      </c>
      <c r="AI14" s="68">
        <v>6.6311595138403331E-2</v>
      </c>
      <c r="AJ14" s="67">
        <v>-0.46353334572881855</v>
      </c>
      <c r="AK14" s="68">
        <v>0.81889049999999997</v>
      </c>
    </row>
    <row r="15" spans="1:37" ht="15.75" thickBot="1" x14ac:dyDescent="0.3">
      <c r="A15" s="35"/>
      <c r="B15" s="35"/>
      <c r="C15" s="35"/>
      <c r="D15" s="35"/>
      <c r="E15" s="35"/>
      <c r="F15" s="35"/>
      <c r="G15" s="35"/>
      <c r="H15" s="35"/>
      <c r="J15">
        <f t="shared" si="7"/>
        <v>12</v>
      </c>
      <c r="K15">
        <f>'Data Hamburguesa'!E13</f>
        <v>1.8148247421590511</v>
      </c>
      <c r="L15">
        <f>'Data Hamburguesa'!F13</f>
        <v>0.99325177301028345</v>
      </c>
      <c r="M15">
        <f>'Data Hamburguesa'!D13</f>
        <v>4.4091553020621346</v>
      </c>
      <c r="N15">
        <v>4.3216742771536669</v>
      </c>
      <c r="O15">
        <f t="shared" si="0"/>
        <v>8.7481024908467653E-2</v>
      </c>
      <c r="P15" s="65">
        <v>3.6101465953907258E-2</v>
      </c>
      <c r="Q15">
        <f t="shared" si="1"/>
        <v>1.4025298485727544</v>
      </c>
      <c r="R15">
        <f t="shared" si="2"/>
        <v>3.8334535517699519E-3</v>
      </c>
      <c r="S15" s="65">
        <f t="shared" si="3"/>
        <v>1.4391401841577671</v>
      </c>
      <c r="T15" s="65">
        <f t="shared" si="4"/>
        <v>0.15444420061881581</v>
      </c>
      <c r="U15" s="65">
        <f t="shared" si="5"/>
        <v>2.5477990333308862E-2</v>
      </c>
      <c r="V15" s="65">
        <f t="shared" si="6"/>
        <v>0.27851581365052586</v>
      </c>
      <c r="W15" s="65">
        <v>0.99249600000000004</v>
      </c>
      <c r="Z15" s="63">
        <v>63</v>
      </c>
      <c r="AA15" s="63">
        <v>1.8702625307159986</v>
      </c>
      <c r="AB15" s="63">
        <v>-0.69314718055994529</v>
      </c>
      <c r="AC15" s="63">
        <v>4.1666652238017265</v>
      </c>
      <c r="AD15" s="67">
        <v>4.2131705186214194</v>
      </c>
      <c r="AE15" s="67">
        <v>-4.6505294819692899E-2</v>
      </c>
      <c r="AF15" s="67">
        <v>0.11023077756877295</v>
      </c>
      <c r="AG15" s="67">
        <v>-0.78834695215626871</v>
      </c>
      <c r="AH15" s="70">
        <v>0.43308177562580052</v>
      </c>
      <c r="AI15" s="68">
        <v>2.580050234957397E-2</v>
      </c>
      <c r="AJ15" s="67">
        <v>-0.27747901156989785</v>
      </c>
      <c r="AK15" s="68">
        <v>1.1417999999999999</v>
      </c>
    </row>
    <row r="16" spans="1:37" ht="15.75" thickTop="1" x14ac:dyDescent="0.25">
      <c r="A16" s="41"/>
      <c r="B16" s="41" t="s">
        <v>30</v>
      </c>
      <c r="C16" s="41" t="s">
        <v>31</v>
      </c>
      <c r="D16" s="41" t="s">
        <v>32</v>
      </c>
      <c r="E16" s="41" t="s">
        <v>25</v>
      </c>
      <c r="F16" s="41" t="s">
        <v>33</v>
      </c>
      <c r="G16" s="41" t="s">
        <v>34</v>
      </c>
      <c r="H16" s="41" t="s">
        <v>35</v>
      </c>
      <c r="J16">
        <f t="shared" si="7"/>
        <v>13</v>
      </c>
      <c r="K16">
        <f>'Data Hamburguesa'!E14</f>
        <v>1.6808279085207734</v>
      </c>
      <c r="L16">
        <f>'Data Hamburguesa'!F14</f>
        <v>1.0296194171811581</v>
      </c>
      <c r="M16">
        <f>'Data Hamburguesa'!D14</f>
        <v>4.4079380164583828</v>
      </c>
      <c r="N16">
        <v>4.4003664437459786</v>
      </c>
      <c r="O16">
        <f t="shared" si="0"/>
        <v>7.5715727124041621E-3</v>
      </c>
      <c r="P16" s="65">
        <v>3.1935201332867251E-2</v>
      </c>
      <c r="Q16">
        <f t="shared" si="1"/>
        <v>0.12139040141444338</v>
      </c>
      <c r="R16">
        <f t="shared" si="2"/>
        <v>3.9444442495330072E-3</v>
      </c>
      <c r="S16" s="65">
        <f t="shared" si="3"/>
        <v>0.12252958769389012</v>
      </c>
      <c r="T16" s="65">
        <f t="shared" si="4"/>
        <v>0.90282098453835569</v>
      </c>
      <c r="U16" s="65">
        <f t="shared" si="5"/>
        <v>1.6738180319216984E-4</v>
      </c>
      <c r="V16" s="65">
        <f t="shared" si="6"/>
        <v>2.225479443974088E-2</v>
      </c>
      <c r="W16" s="65">
        <v>1.0765709999999999</v>
      </c>
    </row>
    <row r="17" spans="1:39" hidden="1" x14ac:dyDescent="0.25">
      <c r="A17" s="35" t="s">
        <v>36</v>
      </c>
      <c r="B17" s="45">
        <f t="array" ref="B17:C19">[1]!RegCoeff('Data Hamburguesa'!E2:F76,'Data Hamburguesa'!D2:D76)</f>
        <v>5.31994869317161</v>
      </c>
      <c r="C17" s="45">
        <v>0.13795125432747368</v>
      </c>
      <c r="D17" s="45">
        <f>B17/C17</f>
        <v>38.563974783026786</v>
      </c>
      <c r="E17" s="35">
        <f>_xlfn.T.DIST.2T(ABS(D17),$B$13)</f>
        <v>7.9698791043710525E-50</v>
      </c>
      <c r="F17" s="45">
        <f>B17-_xlfn.T.INV.2T(F$10,$B$13)*C17</f>
        <v>5.0449478936944852</v>
      </c>
      <c r="G17" s="45">
        <f>B17+_xlfn.T.INV.2T(F$10,$B$13)*C17</f>
        <v>5.5949494926487349</v>
      </c>
      <c r="H17" s="45"/>
      <c r="J17">
        <f t="shared" si="7"/>
        <v>14</v>
      </c>
      <c r="K17">
        <f>'Data Hamburguesa'!E15</f>
        <v>1.8640801308076811</v>
      </c>
      <c r="L17">
        <f>'Data Hamburguesa'!F15</f>
        <v>1.0296194171811581</v>
      </c>
      <c r="M17">
        <f>'Data Hamburguesa'!D15</f>
        <v>4.2282925347318399</v>
      </c>
      <c r="N17">
        <v>4.295008138348571</v>
      </c>
      <c r="O17">
        <f t="shared" si="0"/>
        <v>-6.6715603616731123E-2</v>
      </c>
      <c r="P17" s="65">
        <v>5.4734594363812221E-2</v>
      </c>
      <c r="Q17">
        <f t="shared" si="1"/>
        <v>-1.069610530236903</v>
      </c>
      <c r="R17">
        <f t="shared" si="2"/>
        <v>3.8789586063061395E-3</v>
      </c>
      <c r="S17" s="65">
        <f t="shared" si="3"/>
        <v>-1.1017751303501742</v>
      </c>
      <c r="T17" s="65">
        <f t="shared" si="4"/>
        <v>0.27422894289423999</v>
      </c>
      <c r="U17" s="65">
        <f t="shared" si="5"/>
        <v>2.3360625153296764E-2</v>
      </c>
      <c r="V17" s="65">
        <f t="shared" si="6"/>
        <v>-0.26512277390793393</v>
      </c>
      <c r="W17" s="65">
        <v>1.0485310000000001</v>
      </c>
    </row>
    <row r="18" spans="1:39" x14ac:dyDescent="0.25">
      <c r="A18" s="35" t="str">
        <f t="array" ref="A18:A19">TRANSPOSE('Data Hamburguesa'!E1:F1)</f>
        <v>ln price</v>
      </c>
      <c r="B18" s="45">
        <v>-0.57493603123925319</v>
      </c>
      <c r="C18" s="45">
        <v>7.9346133431750732E-2</v>
      </c>
      <c r="D18" s="45">
        <f t="shared" ref="D18:D19" si="8">B18/C18</f>
        <v>-7.2459237315424092</v>
      </c>
      <c r="E18" s="51">
        <f t="shared" ref="E18:E19" si="9">_xlfn.T.DIST.2T(ABS(D18),$B$13)</f>
        <v>3.8814388095591399E-10</v>
      </c>
      <c r="F18" s="45">
        <f t="shared" ref="F18:F19" si="10">B18-_xlfn.T.INV.2T(F$10,$B$13)*C18</f>
        <v>-0.73310965739093981</v>
      </c>
      <c r="G18" s="45">
        <f t="shared" ref="G18:G19" si="11">B18+_xlfn.T.INV.2T(F$10,$B$13)*C18</f>
        <v>-0.41676240508756657</v>
      </c>
      <c r="H18" s="42">
        <f>[1]!VIF('Data Hamburguesa'!E2:F76,1)</f>
        <v>1.0000009952004401</v>
      </c>
      <c r="J18">
        <f t="shared" si="7"/>
        <v>15</v>
      </c>
      <c r="K18">
        <f>'Data Hamburguesa'!E16</f>
        <v>1.6770965609079151</v>
      </c>
      <c r="L18">
        <f>'Data Hamburguesa'!F16</f>
        <v>0.83290912293510388</v>
      </c>
      <c r="M18">
        <f>'Data Hamburguesa'!D16</f>
        <v>4.3372907408324899</v>
      </c>
      <c r="N18">
        <v>4.3935731432489034</v>
      </c>
      <c r="O18">
        <f t="shared" si="0"/>
        <v>-5.6282402416413468E-2</v>
      </c>
      <c r="P18" s="65">
        <v>2.4259491994551109E-2</v>
      </c>
      <c r="Q18">
        <f t="shared" si="1"/>
        <v>-0.90234138684356557</v>
      </c>
      <c r="R18">
        <f t="shared" si="2"/>
        <v>3.8995534532598633E-3</v>
      </c>
      <c r="S18" s="65">
        <f t="shared" si="3"/>
        <v>-0.9124267738576779</v>
      </c>
      <c r="T18" s="65">
        <f t="shared" si="4"/>
        <v>0.36458917220524256</v>
      </c>
      <c r="U18" s="65">
        <f t="shared" si="5"/>
        <v>6.9156583770760482E-3</v>
      </c>
      <c r="V18" s="65">
        <f t="shared" si="6"/>
        <v>-0.14387048382533624</v>
      </c>
      <c r="W18" s="65">
        <v>1.0320480000000001</v>
      </c>
    </row>
    <row r="19" spans="1:39" x14ac:dyDescent="0.25">
      <c r="A19" s="40" t="str">
        <v>ln advert</v>
      </c>
      <c r="B19" s="46">
        <v>4.5440360500937201E-2</v>
      </c>
      <c r="C19" s="46">
        <v>1.3658267501406588E-2</v>
      </c>
      <c r="D19" s="46">
        <f t="shared" si="8"/>
        <v>3.3269490802005124</v>
      </c>
      <c r="E19" s="54">
        <f t="shared" si="9"/>
        <v>1.3850167622906845E-3</v>
      </c>
      <c r="F19" s="46">
        <f t="shared" si="10"/>
        <v>1.8213101853161291E-2</v>
      </c>
      <c r="G19" s="46">
        <f t="shared" si="11"/>
        <v>7.2667619148713114E-2</v>
      </c>
      <c r="H19" s="48">
        <f>[1]!VIF('Data Hamburguesa'!E2:F76,2)</f>
        <v>1.0000009952004401</v>
      </c>
      <c r="J19">
        <f t="shared" si="7"/>
        <v>16</v>
      </c>
      <c r="K19">
        <f>'Data Hamburguesa'!E17</f>
        <v>1.6524974018945473</v>
      </c>
      <c r="L19">
        <f>'Data Hamburguesa'!F17</f>
        <v>0.53062825106217038</v>
      </c>
      <c r="M19">
        <f>'Data Hamburguesa'!D17</f>
        <v>4.3857696209527157</v>
      </c>
      <c r="N19">
        <v>4.3939803343134285</v>
      </c>
      <c r="O19">
        <f t="shared" si="0"/>
        <v>-8.2107133607127736E-3</v>
      </c>
      <c r="P19" s="65">
        <v>2.4192795411600521E-2</v>
      </c>
      <c r="Q19">
        <f t="shared" si="1"/>
        <v>-0.13163735311199032</v>
      </c>
      <c r="R19">
        <f t="shared" si="2"/>
        <v>3.9443052732815809E-3</v>
      </c>
      <c r="S19" s="65">
        <f t="shared" si="3"/>
        <v>-0.13234685356039025</v>
      </c>
      <c r="T19" s="65">
        <f t="shared" si="4"/>
        <v>0.89507911585313327</v>
      </c>
      <c r="U19" s="65">
        <f t="shared" si="5"/>
        <v>1.4675572081559305E-4</v>
      </c>
      <c r="V19" s="65">
        <f t="shared" si="6"/>
        <v>-2.0838892630494706E-2</v>
      </c>
      <c r="W19" s="65">
        <v>1.0679160000000001</v>
      </c>
    </row>
    <row r="20" spans="1:39" x14ac:dyDescent="0.25">
      <c r="J20">
        <f t="shared" si="7"/>
        <v>17</v>
      </c>
      <c r="K20">
        <f>'Data Hamburguesa'!E18</f>
        <v>1.7732559976634952</v>
      </c>
      <c r="L20">
        <f>'Data Hamburguesa'!F18</f>
        <v>0.40546510810816438</v>
      </c>
      <c r="M20">
        <f>'Data Hamburguesa'!D18</f>
        <v>4.2584455729025272</v>
      </c>
      <c r="N20">
        <v>4.3188644081867444</v>
      </c>
      <c r="O20">
        <f t="shared" si="0"/>
        <v>-6.0418835284217209E-2</v>
      </c>
      <c r="P20" s="65">
        <v>1.6144927614729295E-2</v>
      </c>
      <c r="Q20">
        <f t="shared" si="1"/>
        <v>-0.96865828893498807</v>
      </c>
      <c r="R20">
        <f t="shared" si="2"/>
        <v>3.8930200397386074E-3</v>
      </c>
      <c r="S20" s="65">
        <f t="shared" si="3"/>
        <v>-0.97625543525180114</v>
      </c>
      <c r="T20" s="65">
        <f t="shared" si="4"/>
        <v>0.33220665565164131</v>
      </c>
      <c r="U20" s="65">
        <f t="shared" si="5"/>
        <v>5.2166750815638534E-3</v>
      </c>
      <c r="V20" s="65">
        <f t="shared" si="6"/>
        <v>-0.12505928788949106</v>
      </c>
      <c r="W20" s="65">
        <v>1.0184</v>
      </c>
    </row>
    <row r="21" spans="1:39" x14ac:dyDescent="0.25">
      <c r="A21" t="s">
        <v>53</v>
      </c>
      <c r="J21">
        <f t="shared" si="7"/>
        <v>18</v>
      </c>
      <c r="K21">
        <f>'Data Hamburguesa'!E19</f>
        <v>1.6505798557652755</v>
      </c>
      <c r="L21">
        <f>'Data Hamburguesa'!F19</f>
        <v>-0.22314355131420971</v>
      </c>
      <c r="M21">
        <f>'Data Hamburguesa'!D19</f>
        <v>4.3174881135363101</v>
      </c>
      <c r="N21">
        <v>4.3608311382392868</v>
      </c>
      <c r="O21">
        <f t="shared" si="0"/>
        <v>-4.3343024702976685E-2</v>
      </c>
      <c r="P21" s="65">
        <v>4.8960690399058357E-2</v>
      </c>
      <c r="Q21">
        <f t="shared" si="1"/>
        <v>-0.6948922459122554</v>
      </c>
      <c r="R21">
        <f t="shared" si="2"/>
        <v>3.9174567641066796E-3</v>
      </c>
      <c r="S21" s="65">
        <f t="shared" si="3"/>
        <v>-0.71009732287279892</v>
      </c>
      <c r="T21" s="65">
        <f t="shared" si="4"/>
        <v>0.47993741432282477</v>
      </c>
      <c r="U21" s="65">
        <f t="shared" si="5"/>
        <v>8.7129309710339432E-3</v>
      </c>
      <c r="V21" s="65">
        <f t="shared" si="6"/>
        <v>-0.16111738624915761</v>
      </c>
      <c r="W21" s="65">
        <v>1.073504</v>
      </c>
      <c r="AM21">
        <v>1.1417999999999999</v>
      </c>
    </row>
    <row r="22" spans="1:39" x14ac:dyDescent="0.25">
      <c r="A22" s="10"/>
      <c r="B22" s="10" t="str">
        <f>'Data Hamburguesa'!M34</f>
        <v>Residuos</v>
      </c>
      <c r="J22">
        <f t="shared" si="7"/>
        <v>19</v>
      </c>
      <c r="K22">
        <f>'Data Hamburguesa'!E20</f>
        <v>1.791759469228055</v>
      </c>
      <c r="L22">
        <f>'Data Hamburguesa'!F20</f>
        <v>1.0647107369924282</v>
      </c>
      <c r="M22">
        <f>'Data Hamburguesa'!D20</f>
        <v>4.3000027991952914</v>
      </c>
      <c r="N22">
        <v>4.3381824547164358</v>
      </c>
      <c r="O22">
        <f t="shared" si="0"/>
        <v>-3.817965552114444E-2</v>
      </c>
      <c r="P22" s="65">
        <v>3.4634223116109572E-2</v>
      </c>
      <c r="Q22">
        <f t="shared" si="1"/>
        <v>-0.61211110103772337</v>
      </c>
      <c r="R22">
        <f t="shared" si="2"/>
        <v>3.9240109639380434E-3</v>
      </c>
      <c r="S22" s="65">
        <f t="shared" si="3"/>
        <v>-0.62032737966488039</v>
      </c>
      <c r="T22" s="65">
        <f t="shared" si="4"/>
        <v>0.53700083143965716</v>
      </c>
      <c r="U22" s="65">
        <f t="shared" si="5"/>
        <v>4.6415273088485781E-3</v>
      </c>
      <c r="V22" s="65">
        <f t="shared" si="6"/>
        <v>-0.11749725648479512</v>
      </c>
      <c r="W22" s="65">
        <v>1.0628899999999999</v>
      </c>
    </row>
    <row r="23" spans="1:39" x14ac:dyDescent="0.25">
      <c r="A23" t="s">
        <v>54</v>
      </c>
      <c r="B23">
        <f>[1]!SHAPIRO('Data Hamburguesa'!M35:M109)</f>
        <v>0.98021183964539649</v>
      </c>
      <c r="J23" s="31">
        <f t="shared" si="7"/>
        <v>20</v>
      </c>
      <c r="K23">
        <f>'Data Hamburguesa'!E21</f>
        <v>1.8515994695840721</v>
      </c>
      <c r="L23">
        <f>'Data Hamburguesa'!F21</f>
        <v>-0.69314718055994529</v>
      </c>
      <c r="M23">
        <f>'Data Hamburguesa'!D21</f>
        <v>4.2654928184179299</v>
      </c>
      <c r="N23">
        <v>4.2239005849193854</v>
      </c>
      <c r="O23">
        <f t="shared" si="0"/>
        <v>4.1592233498544573E-2</v>
      </c>
      <c r="P23" s="71">
        <v>0.10258237079555896</v>
      </c>
      <c r="Q23">
        <f t="shared" si="1"/>
        <v>0.66682287972222798</v>
      </c>
      <c r="R23">
        <f t="shared" si="2"/>
        <v>3.9181282261818006E-3</v>
      </c>
      <c r="S23" s="65">
        <f t="shared" si="3"/>
        <v>0.70141592483079995</v>
      </c>
      <c r="T23" s="65">
        <f t="shared" si="4"/>
        <v>0.48530448254827585</v>
      </c>
      <c r="U23" s="65">
        <f t="shared" si="5"/>
        <v>1.8879186172291212E-2</v>
      </c>
      <c r="V23" s="65">
        <f t="shared" si="6"/>
        <v>0.23714539153393382</v>
      </c>
      <c r="W23" s="71">
        <v>1.1382319999999999</v>
      </c>
    </row>
    <row r="24" spans="1:39" x14ac:dyDescent="0.25">
      <c r="A24" t="s">
        <v>25</v>
      </c>
      <c r="B24">
        <f>[1]!SWTEST('Data Hamburguesa'!M35:M109)</f>
        <v>0.29007800244759718</v>
      </c>
      <c r="J24">
        <f t="shared" si="7"/>
        <v>21</v>
      </c>
      <c r="K24">
        <f>'Data Hamburguesa'!E22</f>
        <v>1.6733512381777531</v>
      </c>
      <c r="L24">
        <f>'Data Hamburguesa'!F22</f>
        <v>0.74193734472937733</v>
      </c>
      <c r="M24">
        <f>'Data Hamburguesa'!D22</f>
        <v>4.4391156016580089</v>
      </c>
      <c r="N24">
        <v>4.3915926738380131</v>
      </c>
      <c r="O24">
        <f t="shared" si="0"/>
        <v>4.7522927819995786E-2</v>
      </c>
      <c r="P24" s="65">
        <v>2.2370403175772477E-2</v>
      </c>
      <c r="Q24">
        <f t="shared" si="1"/>
        <v>0.76190607996250248</v>
      </c>
      <c r="R24">
        <f t="shared" si="2"/>
        <v>3.9127416189224211E-3</v>
      </c>
      <c r="S24" s="65">
        <f t="shared" si="3"/>
        <v>0.76837890567256095</v>
      </c>
      <c r="T24" s="65">
        <f t="shared" si="4"/>
        <v>0.4447750856485132</v>
      </c>
      <c r="U24" s="65">
        <f t="shared" si="5"/>
        <v>4.529046223950845E-3</v>
      </c>
      <c r="V24" s="65">
        <f t="shared" si="6"/>
        <v>0.11623185496591566</v>
      </c>
      <c r="W24" s="65">
        <v>1.04054</v>
      </c>
    </row>
    <row r="25" spans="1:39" x14ac:dyDescent="0.25">
      <c r="A25" t="s">
        <v>55</v>
      </c>
      <c r="B25">
        <v>0.05</v>
      </c>
      <c r="J25">
        <f t="shared" si="7"/>
        <v>22</v>
      </c>
      <c r="K25">
        <f>'Data Hamburguesa'!E23</f>
        <v>1.6544112780768316</v>
      </c>
      <c r="L25">
        <f>'Data Hamburguesa'!F23</f>
        <v>-0.22314355131420971</v>
      </c>
      <c r="M25">
        <f>'Data Hamburguesa'!D23</f>
        <v>4.2986450257348308</v>
      </c>
      <c r="N25">
        <v>4.3586283155014787</v>
      </c>
      <c r="O25">
        <f t="shared" si="0"/>
        <v>-5.9983289766647907E-2</v>
      </c>
      <c r="P25" s="65">
        <v>4.7947169667038547E-2</v>
      </c>
      <c r="Q25">
        <f t="shared" si="1"/>
        <v>-0.96167545363507967</v>
      </c>
      <c r="R25">
        <f t="shared" si="2"/>
        <v>3.8920502082611798E-3</v>
      </c>
      <c r="S25" s="65">
        <f t="shared" si="3"/>
        <v>-0.98539542032309491</v>
      </c>
      <c r="T25" s="65">
        <f t="shared" si="4"/>
        <v>0.32772973849650211</v>
      </c>
      <c r="U25" s="65">
        <f t="shared" si="5"/>
        <v>1.6307098184881196E-2</v>
      </c>
      <c r="V25" s="65">
        <f t="shared" si="6"/>
        <v>-0.22113704563799808</v>
      </c>
      <c r="W25" s="65">
        <v>1.0516319999999999</v>
      </c>
    </row>
    <row r="26" spans="1:39" x14ac:dyDescent="0.25">
      <c r="A26" s="4" t="s">
        <v>56</v>
      </c>
      <c r="B26" s="56" t="str">
        <f>IF(B24&lt;B25,"no","yes")</f>
        <v>yes</v>
      </c>
      <c r="J26">
        <f t="shared" si="7"/>
        <v>23</v>
      </c>
      <c r="K26">
        <f>'Data Hamburguesa'!E24</f>
        <v>1.7715567619105355</v>
      </c>
      <c r="L26">
        <f>'Data Hamburguesa'!F24</f>
        <v>9.5310179804324935E-2</v>
      </c>
      <c r="M26">
        <f>'Data Hamburguesa'!D24</f>
        <v>4.3000027991952914</v>
      </c>
      <c r="N26">
        <v>4.3057478082934217</v>
      </c>
      <c r="O26">
        <f t="shared" si="0"/>
        <v>-5.7450090981303603E-3</v>
      </c>
      <c r="P26" s="65">
        <v>2.301934675055697E-2</v>
      </c>
      <c r="Q26">
        <f t="shared" si="1"/>
        <v>-9.210622245087513E-2</v>
      </c>
      <c r="R26">
        <f t="shared" si="2"/>
        <v>3.9448025189127087E-3</v>
      </c>
      <c r="S26" s="65">
        <f t="shared" si="3"/>
        <v>-9.2541195477088653E-2</v>
      </c>
      <c r="T26" s="65">
        <f t="shared" si="4"/>
        <v>0.9265250749887699</v>
      </c>
      <c r="U26" s="65">
        <f t="shared" si="5"/>
        <v>6.8198960458962539E-5</v>
      </c>
      <c r="V26" s="65">
        <f t="shared" si="6"/>
        <v>-1.4204914407540023E-2</v>
      </c>
      <c r="W26" s="65">
        <v>1.067037</v>
      </c>
    </row>
    <row r="27" spans="1:39" x14ac:dyDescent="0.25">
      <c r="J27">
        <f t="shared" si="7"/>
        <v>24</v>
      </c>
      <c r="K27">
        <f>'Data Hamburguesa'!E25</f>
        <v>1.8309801823813363</v>
      </c>
      <c r="L27">
        <f>'Data Hamburguesa'!F25</f>
        <v>0.64185388617239469</v>
      </c>
      <c r="M27">
        <f>'Data Hamburguesa'!D25</f>
        <v>4.3579900568456402</v>
      </c>
      <c r="N27">
        <v>4.2964182858121616</v>
      </c>
      <c r="O27">
        <f t="shared" si="0"/>
        <v>6.1571771033478662E-2</v>
      </c>
      <c r="P27" s="65">
        <v>2.9651548616597891E-2</v>
      </c>
      <c r="Q27">
        <f t="shared" si="1"/>
        <v>0.98714260371659579</v>
      </c>
      <c r="R27">
        <f t="shared" si="2"/>
        <v>3.8902511567870147E-3</v>
      </c>
      <c r="S27" s="65">
        <f t="shared" si="3"/>
        <v>1.002141314661499</v>
      </c>
      <c r="T27" s="65">
        <f t="shared" si="4"/>
        <v>0.31963150208872937</v>
      </c>
      <c r="U27" s="65">
        <f t="shared" si="5"/>
        <v>1.022893651243709E-2</v>
      </c>
      <c r="V27" s="65">
        <f t="shared" si="6"/>
        <v>0.17518172499589924</v>
      </c>
      <c r="W27" s="65">
        <v>1.030373</v>
      </c>
    </row>
    <row r="28" spans="1:39" x14ac:dyDescent="0.25">
      <c r="A28" t="s">
        <v>57</v>
      </c>
      <c r="J28">
        <f t="shared" si="7"/>
        <v>25</v>
      </c>
      <c r="K28">
        <f>'Data Hamburguesa'!E26</f>
        <v>1.7209792871670078</v>
      </c>
      <c r="L28">
        <f>'Data Hamburguesa'!F26</f>
        <v>0.74193734472937733</v>
      </c>
      <c r="M28">
        <f>'Data Hamburguesa'!D26</f>
        <v>4.3267781604434035</v>
      </c>
      <c r="N28">
        <v>4.3642095923764623</v>
      </c>
      <c r="O28">
        <f t="shared" si="0"/>
        <v>-3.7431431933058867E-2</v>
      </c>
      <c r="P28" s="65">
        <v>1.6682759752250094E-2</v>
      </c>
      <c r="Q28">
        <f t="shared" si="1"/>
        <v>-0.60011528918258994</v>
      </c>
      <c r="R28">
        <f t="shared" si="2"/>
        <v>3.9252095570619467E-3</v>
      </c>
      <c r="S28" s="65">
        <f t="shared" si="3"/>
        <v>-0.60250158077076699</v>
      </c>
      <c r="T28" s="65">
        <f t="shared" si="4"/>
        <v>0.54873324682962443</v>
      </c>
      <c r="U28" s="65">
        <f t="shared" si="5"/>
        <v>2.071231853895291E-3</v>
      </c>
      <c r="V28" s="65">
        <f t="shared" si="6"/>
        <v>-7.8477527484007575E-2</v>
      </c>
      <c r="W28" s="65">
        <v>1.0444420000000001</v>
      </c>
    </row>
    <row r="29" spans="1:39" x14ac:dyDescent="0.25">
      <c r="J29">
        <f t="shared" si="7"/>
        <v>26</v>
      </c>
      <c r="K29">
        <f>'Data Hamburguesa'!E27</f>
        <v>1.827769906751088</v>
      </c>
      <c r="L29">
        <f>'Data Hamburguesa'!F27</f>
        <v>0.26236426446749106</v>
      </c>
      <c r="M29">
        <f>'Data Hamburguesa'!D27</f>
        <v>4.3094559418390466</v>
      </c>
      <c r="N29">
        <v>4.2810198437255655</v>
      </c>
      <c r="O29">
        <f t="shared" si="0"/>
        <v>2.8436098113481023E-2</v>
      </c>
      <c r="P29" s="65">
        <v>2.997713225931423E-2</v>
      </c>
      <c r="Q29">
        <f t="shared" si="1"/>
        <v>0.45589859541346245</v>
      </c>
      <c r="R29">
        <f t="shared" si="2"/>
        <v>3.933537478840946E-3</v>
      </c>
      <c r="S29" s="65">
        <f t="shared" si="3"/>
        <v>0.46034917740247988</v>
      </c>
      <c r="T29" s="65">
        <f t="shared" si="4"/>
        <v>0.64665293283227487</v>
      </c>
      <c r="U29" s="65">
        <f t="shared" si="5"/>
        <v>2.2071985003731093E-3</v>
      </c>
      <c r="V29" s="65">
        <f t="shared" si="6"/>
        <v>8.0926624699429128E-2</v>
      </c>
      <c r="W29" s="65">
        <v>1.06551</v>
      </c>
    </row>
    <row r="30" spans="1:39" x14ac:dyDescent="0.25">
      <c r="A30" s="11" t="s">
        <v>58</v>
      </c>
      <c r="B30" s="11">
        <f>[1]!DAGOSTINO('Data Hamburguesa'!M35:M109)</f>
        <v>1.8342917112193571</v>
      </c>
      <c r="J30">
        <f t="shared" si="7"/>
        <v>27</v>
      </c>
      <c r="K30">
        <f>'Data Hamburguesa'!E28</f>
        <v>1.8578592709325787</v>
      </c>
      <c r="L30">
        <f>'Data Hamburguesa'!F28</f>
        <v>9.5310179804324935E-2</v>
      </c>
      <c r="M30">
        <f>'Data Hamburguesa'!D28</f>
        <v>4.2297491992283041</v>
      </c>
      <c r="N30">
        <v>4.2561293862702989</v>
      </c>
      <c r="O30">
        <f t="shared" si="0"/>
        <v>-2.6380187041994851E-2</v>
      </c>
      <c r="P30" s="65">
        <v>4.5514261639028206E-2</v>
      </c>
      <c r="Q30">
        <f t="shared" si="1"/>
        <v>-0.42293742872860063</v>
      </c>
      <c r="R30">
        <f t="shared" si="2"/>
        <v>3.935009337671878E-3</v>
      </c>
      <c r="S30" s="65">
        <f t="shared" si="3"/>
        <v>-0.43044757451835858</v>
      </c>
      <c r="T30" s="65">
        <f t="shared" si="4"/>
        <v>0.66815586953580797</v>
      </c>
      <c r="U30" s="65">
        <f t="shared" si="5"/>
        <v>2.9787880363769943E-3</v>
      </c>
      <c r="V30" s="65">
        <f t="shared" si="6"/>
        <v>-9.3995982995925181E-2</v>
      </c>
      <c r="W30" s="65">
        <v>1.0840700000000001</v>
      </c>
    </row>
    <row r="31" spans="1:39" x14ac:dyDescent="0.25">
      <c r="A31" t="s">
        <v>25</v>
      </c>
      <c r="B31">
        <f>[1]!DPTEST('Data Hamburguesa'!M35:M109)</f>
        <v>0.3996580967114336</v>
      </c>
      <c r="J31">
        <f t="shared" si="7"/>
        <v>28</v>
      </c>
      <c r="K31">
        <f>'Data Hamburguesa'!E29</f>
        <v>1.6014057407368361</v>
      </c>
      <c r="L31">
        <f>'Data Hamburguesa'!F29</f>
        <v>9.5310179804324935E-2</v>
      </c>
      <c r="M31">
        <f>'Data Hamburguesa'!D29</f>
        <v>4.4296256134731609</v>
      </c>
      <c r="N31">
        <v>4.4035737611183343</v>
      </c>
      <c r="O31">
        <f t="shared" si="0"/>
        <v>2.6051852354826543E-2</v>
      </c>
      <c r="P31" s="65">
        <v>4.9283231617801695E-2</v>
      </c>
      <c r="Q31">
        <f t="shared" si="1"/>
        <v>0.41767343919993227</v>
      </c>
      <c r="R31">
        <f t="shared" si="2"/>
        <v>3.9352236653080099E-3</v>
      </c>
      <c r="S31" s="65">
        <f t="shared" si="3"/>
        <v>0.42592028129105275</v>
      </c>
      <c r="T31" s="65">
        <f t="shared" si="4"/>
        <v>0.67143649557678708</v>
      </c>
      <c r="U31" s="65">
        <f t="shared" si="5"/>
        <v>3.1706575053022119E-3</v>
      </c>
      <c r="V31" s="65">
        <f t="shared" si="6"/>
        <v>9.6973335206536518E-2</v>
      </c>
      <c r="W31" s="65">
        <v>1.088546</v>
      </c>
    </row>
    <row r="32" spans="1:39" x14ac:dyDescent="0.25">
      <c r="A32" t="s">
        <v>55</v>
      </c>
      <c r="B32" s="32">
        <v>0.05</v>
      </c>
      <c r="J32">
        <f t="shared" si="7"/>
        <v>29</v>
      </c>
      <c r="K32">
        <f>'Data Hamburguesa'!E30</f>
        <v>1.5748464676644813</v>
      </c>
      <c r="L32">
        <f>'Data Hamburguesa'!F30</f>
        <v>1.0647107369924282</v>
      </c>
      <c r="M32">
        <f>'Data Hamburguesa'!D30</f>
        <v>4.4555094114336846</v>
      </c>
      <c r="N32">
        <v>4.4628935549595905</v>
      </c>
      <c r="O32">
        <f t="shared" si="0"/>
        <v>-7.3841435259058841E-3</v>
      </c>
      <c r="P32" s="65">
        <v>7.0230538802449588E-2</v>
      </c>
      <c r="Q32">
        <f t="shared" si="1"/>
        <v>-0.11838546372844126</v>
      </c>
      <c r="R32">
        <f t="shared" si="2"/>
        <v>3.9444523583304384E-3</v>
      </c>
      <c r="S32" s="65">
        <f t="shared" si="3"/>
        <v>-0.12193240314022853</v>
      </c>
      <c r="T32" s="65">
        <f t="shared" si="4"/>
        <v>0.90329223491939992</v>
      </c>
      <c r="U32" s="65">
        <f t="shared" si="5"/>
        <v>3.7953422934080275E-4</v>
      </c>
      <c r="V32" s="65">
        <f t="shared" si="6"/>
        <v>-3.3511548390382118E-2</v>
      </c>
      <c r="W32" s="71">
        <v>1.120919</v>
      </c>
    </row>
    <row r="33" spans="1:23" x14ac:dyDescent="0.25">
      <c r="A33" s="4" t="s">
        <v>56</v>
      </c>
      <c r="B33" s="56" t="str">
        <f>IF(B31&lt;B32,"no","yes")</f>
        <v>yes</v>
      </c>
      <c r="J33">
        <f t="shared" si="7"/>
        <v>30</v>
      </c>
      <c r="K33">
        <f>'Data Hamburguesa'!E31</f>
        <v>1.8484548129046001</v>
      </c>
      <c r="L33">
        <f>'Data Hamburguesa'!F31</f>
        <v>0.33647223662121289</v>
      </c>
      <c r="M33">
        <f>'Data Hamburguesa'!D31</f>
        <v>4.3000027991952914</v>
      </c>
      <c r="N33">
        <v>4.272494838845768</v>
      </c>
      <c r="O33">
        <f t="shared" si="0"/>
        <v>2.7507960349523408E-2</v>
      </c>
      <c r="P33" s="65">
        <v>3.5596215793632952E-2</v>
      </c>
      <c r="Q33">
        <f t="shared" si="1"/>
        <v>0.44101832944835567</v>
      </c>
      <c r="R33">
        <f t="shared" si="2"/>
        <v>3.9342273850860631E-3</v>
      </c>
      <c r="S33" s="65">
        <f t="shared" si="3"/>
        <v>0.44657993711735861</v>
      </c>
      <c r="T33" s="65">
        <f t="shared" si="4"/>
        <v>0.65651872000886979</v>
      </c>
      <c r="U33" s="65">
        <f t="shared" si="5"/>
        <v>2.4812929648983235E-3</v>
      </c>
      <c r="V33" s="65">
        <f t="shared" si="6"/>
        <v>8.5796914716347761E-2</v>
      </c>
      <c r="W33" s="65">
        <v>1.072282</v>
      </c>
    </row>
    <row r="34" spans="1:23" x14ac:dyDescent="0.25">
      <c r="J34">
        <f t="shared" si="7"/>
        <v>31</v>
      </c>
      <c r="K34">
        <f>'Data Hamburguesa'!E32</f>
        <v>1.8671761085128091</v>
      </c>
      <c r="L34">
        <f>'Data Hamburguesa'!F32</f>
        <v>0.91629073187415511</v>
      </c>
      <c r="M34">
        <f>'Data Hamburguesa'!D32</f>
        <v>4.3267781604434035</v>
      </c>
      <c r="N34">
        <v>4.2880784528985316</v>
      </c>
      <c r="O34">
        <f t="shared" si="0"/>
        <v>3.8699707544871842E-2</v>
      </c>
      <c r="P34" s="65">
        <v>5.0783181620624042E-2</v>
      </c>
      <c r="Q34">
        <f t="shared" si="1"/>
        <v>0.62044877754358863</v>
      </c>
      <c r="R34">
        <f t="shared" si="2"/>
        <v>3.9230559004630322E-3</v>
      </c>
      <c r="S34" s="65">
        <f t="shared" si="3"/>
        <v>0.63418026412498429</v>
      </c>
      <c r="T34" s="65">
        <f t="shared" si="4"/>
        <v>0.52797299921697805</v>
      </c>
      <c r="U34" s="65">
        <f t="shared" si="5"/>
        <v>7.2323538969936881E-3</v>
      </c>
      <c r="V34" s="65">
        <f t="shared" si="6"/>
        <v>0.14668643826476044</v>
      </c>
      <c r="W34" s="65">
        <v>1.080184</v>
      </c>
    </row>
    <row r="35" spans="1:23" x14ac:dyDescent="0.25">
      <c r="J35">
        <f t="shared" si="7"/>
        <v>32</v>
      </c>
      <c r="K35">
        <f>'Data Hamburguesa'!E33</f>
        <v>1.7387102481382397</v>
      </c>
      <c r="L35">
        <f>'Data Hamburguesa'!F33</f>
        <v>1.0986122886681098</v>
      </c>
      <c r="M35">
        <f>'Data Hamburguesa'!D33</f>
        <v>4.3669129968638334</v>
      </c>
      <c r="N35">
        <v>4.3702228620798316</v>
      </c>
      <c r="O35">
        <f t="shared" si="0"/>
        <v>-3.3098652159981867E-3</v>
      </c>
      <c r="P35" s="65">
        <v>3.1200095990127574E-2</v>
      </c>
      <c r="Q35">
        <f t="shared" si="1"/>
        <v>-5.306504770660074E-2</v>
      </c>
      <c r="R35">
        <f t="shared" si="2"/>
        <v>3.9451190649437496E-3</v>
      </c>
      <c r="S35" s="65">
        <f t="shared" si="3"/>
        <v>-5.3538131223934832E-2</v>
      </c>
      <c r="T35" s="65">
        <f t="shared" si="4"/>
        <v>0.95745142295128716</v>
      </c>
      <c r="U35" s="65">
        <f t="shared" si="5"/>
        <v>3.1202085261522564E-5</v>
      </c>
      <c r="V35" s="65">
        <f t="shared" si="6"/>
        <v>-9.6078038790692495E-3</v>
      </c>
      <c r="W35" s="65">
        <v>1.076306</v>
      </c>
    </row>
    <row r="36" spans="1:23" x14ac:dyDescent="0.25">
      <c r="J36">
        <f t="shared" si="7"/>
        <v>33</v>
      </c>
      <c r="K36">
        <f>'Data Hamburguesa'!E34</f>
        <v>1.7155981082624909</v>
      </c>
      <c r="L36">
        <f>'Data Hamburguesa'!F34</f>
        <v>0</v>
      </c>
      <c r="M36">
        <f>'Data Hamburguesa'!D34</f>
        <v>4.3000027991952914</v>
      </c>
      <c r="N36">
        <v>4.3335895256056025</v>
      </c>
      <c r="O36">
        <f t="shared" si="0"/>
        <v>-3.358672641031113E-2</v>
      </c>
      <c r="P36" s="65">
        <v>2.5349350549589221E-2</v>
      </c>
      <c r="Q36">
        <f t="shared" si="1"/>
        <v>-0.53847547345948588</v>
      </c>
      <c r="R36">
        <f t="shared" si="2"/>
        <v>3.9289768155622469E-3</v>
      </c>
      <c r="S36" s="65">
        <f t="shared" si="3"/>
        <v>-0.54275452802323332</v>
      </c>
      <c r="T36" s="65">
        <f t="shared" si="4"/>
        <v>0.58897504262944178</v>
      </c>
      <c r="U36" s="65">
        <f t="shared" si="5"/>
        <v>2.5791671162937999E-3</v>
      </c>
      <c r="V36" s="65">
        <f t="shared" si="6"/>
        <v>-8.7531099877023122E-2</v>
      </c>
      <c r="W36" s="65">
        <v>1.0567660000000001</v>
      </c>
    </row>
    <row r="37" spans="1:23" x14ac:dyDescent="0.25">
      <c r="J37">
        <f t="shared" si="7"/>
        <v>34</v>
      </c>
      <c r="K37">
        <f>'Data Hamburguesa'!E35</f>
        <v>1.8578592709325787</v>
      </c>
      <c r="L37">
        <f>'Data Hamburguesa'!F35</f>
        <v>1.1314021114911006</v>
      </c>
      <c r="M37">
        <f>'Data Hamburguesa'!D35</f>
        <v>4.3845235148724688</v>
      </c>
      <c r="N37">
        <v>4.3032097771582576</v>
      </c>
      <c r="O37">
        <f t="shared" si="0"/>
        <v>8.1313737714211243E-2</v>
      </c>
      <c r="P37" s="65">
        <v>5.7961062040057784E-2</v>
      </c>
      <c r="Q37">
        <f t="shared" si="1"/>
        <v>1.3036534992876891</v>
      </c>
      <c r="R37">
        <f t="shared" si="2"/>
        <v>3.8464228762559766E-3</v>
      </c>
      <c r="S37" s="65">
        <f t="shared" si="3"/>
        <v>1.350830889208618</v>
      </c>
      <c r="T37" s="65">
        <f t="shared" si="4"/>
        <v>0.18097971310303626</v>
      </c>
      <c r="U37" s="65">
        <f t="shared" si="5"/>
        <v>3.6999999737863672E-2</v>
      </c>
      <c r="V37" s="65">
        <f t="shared" si="6"/>
        <v>0.33506936547314814</v>
      </c>
      <c r="W37" s="65">
        <v>1.0258689999999999</v>
      </c>
    </row>
    <row r="38" spans="1:23" x14ac:dyDescent="0.25">
      <c r="J38">
        <f t="shared" si="7"/>
        <v>35</v>
      </c>
      <c r="K38">
        <f>'Data Hamburguesa'!E36</f>
        <v>1.7119945007591924</v>
      </c>
      <c r="L38">
        <f>'Data Hamburguesa'!F36</f>
        <v>-0.69314718055994529</v>
      </c>
      <c r="M38">
        <f>'Data Hamburguesa'!D36</f>
        <v>4.2470656492397643</v>
      </c>
      <c r="N38">
        <v>4.3041645116368414</v>
      </c>
      <c r="O38">
        <f t="shared" si="0"/>
        <v>-5.7098862397077177E-2</v>
      </c>
      <c r="P38" s="71">
        <v>8.1125566334538962E-2</v>
      </c>
      <c r="Q38">
        <f t="shared" si="1"/>
        <v>-0.91543119110962357</v>
      </c>
      <c r="R38">
        <f t="shared" si="2"/>
        <v>3.8953047606259425E-3</v>
      </c>
      <c r="S38" s="65">
        <f t="shared" si="3"/>
        <v>-0.9543960887111077</v>
      </c>
      <c r="T38" s="65">
        <f t="shared" si="4"/>
        <v>0.34307655060218356</v>
      </c>
      <c r="U38" s="65">
        <f t="shared" si="5"/>
        <v>2.6839570544552483E-2</v>
      </c>
      <c r="V38" s="65">
        <f t="shared" si="6"/>
        <v>-0.28358250703596216</v>
      </c>
      <c r="W38" s="65">
        <v>1.0923389999999999</v>
      </c>
    </row>
    <row r="39" spans="1:23" x14ac:dyDescent="0.25">
      <c r="J39">
        <f t="shared" si="7"/>
        <v>36</v>
      </c>
      <c r="K39">
        <f>'Data Hamburguesa'!E37</f>
        <v>1.8671761085128091</v>
      </c>
      <c r="L39">
        <f>'Data Hamburguesa'!F37</f>
        <v>0.99325177301028345</v>
      </c>
      <c r="M39">
        <f>'Data Hamburguesa'!D37</f>
        <v>4.2355547307736243</v>
      </c>
      <c r="N39">
        <v>4.2915755903522843</v>
      </c>
      <c r="O39">
        <f t="shared" si="0"/>
        <v>-5.6020859578659987E-2</v>
      </c>
      <c r="P39" s="65">
        <v>5.4227960930517877E-2</v>
      </c>
      <c r="Q39">
        <f t="shared" si="1"/>
        <v>-0.89814823024745238</v>
      </c>
      <c r="R39">
        <f t="shared" si="2"/>
        <v>3.8985419908259974E-3</v>
      </c>
      <c r="S39" s="65">
        <f t="shared" si="3"/>
        <v>-0.92258295151459735</v>
      </c>
      <c r="T39" s="65">
        <f t="shared" si="4"/>
        <v>0.35930592931866723</v>
      </c>
      <c r="U39" s="65">
        <f t="shared" si="5"/>
        <v>1.6301407953476021E-2</v>
      </c>
      <c r="V39" s="65">
        <f t="shared" si="6"/>
        <v>-0.22091429896747947</v>
      </c>
      <c r="W39" s="65">
        <v>1.063922</v>
      </c>
    </row>
    <row r="40" spans="1:23" x14ac:dyDescent="0.25">
      <c r="J40">
        <f t="shared" si="7"/>
        <v>37</v>
      </c>
      <c r="K40">
        <f>'Data Hamburguesa'!E38</f>
        <v>1.5973653311998313</v>
      </c>
      <c r="L40">
        <f>'Data Hamburguesa'!F38</f>
        <v>-0.10536051565782628</v>
      </c>
      <c r="M40">
        <f>'Data Hamburguesa'!D38</f>
        <v>4.4284330074880369</v>
      </c>
      <c r="N40">
        <v>4.3967781893983471</v>
      </c>
      <c r="O40">
        <f t="shared" si="0"/>
        <v>3.165481808968984E-2</v>
      </c>
      <c r="P40" s="65">
        <v>6.0564487529743763E-2</v>
      </c>
      <c r="Q40">
        <f t="shared" si="1"/>
        <v>0.50750236715200425</v>
      </c>
      <c r="R40">
        <f t="shared" si="2"/>
        <v>3.9302554139371273E-3</v>
      </c>
      <c r="S40" s="65">
        <f t="shared" si="3"/>
        <v>0.52094988697354117</v>
      </c>
      <c r="T40" s="65">
        <f t="shared" si="4"/>
        <v>0.60400023752355225</v>
      </c>
      <c r="U40" s="65">
        <f t="shared" si="5"/>
        <v>5.8916778206788327E-3</v>
      </c>
      <c r="V40" s="65">
        <f t="shared" si="6"/>
        <v>0.13227308565867579</v>
      </c>
      <c r="W40" s="65">
        <v>1.09745</v>
      </c>
    </row>
    <row r="41" spans="1:23" x14ac:dyDescent="0.25">
      <c r="J41" s="31">
        <f t="shared" si="7"/>
        <v>38</v>
      </c>
      <c r="K41">
        <f>'Data Hamburguesa'!E39</f>
        <v>1.8180767775454285</v>
      </c>
      <c r="L41">
        <f>'Data Hamburguesa'!F39</f>
        <v>0.40546510810816438</v>
      </c>
      <c r="M41">
        <f>'Data Hamburguesa'!D39</f>
        <v>4.4343818650078095</v>
      </c>
      <c r="N41">
        <v>4.2930953268843774</v>
      </c>
      <c r="O41">
        <f t="shared" si="0"/>
        <v>0.14128653812343206</v>
      </c>
      <c r="P41" s="65">
        <v>2.5073035363759131E-2</v>
      </c>
      <c r="Q41">
        <f t="shared" si="1"/>
        <v>2.2651607834608858</v>
      </c>
      <c r="R41">
        <f t="shared" si="2"/>
        <v>3.6568943490951048E-3</v>
      </c>
      <c r="S41" s="65">
        <f t="shared" si="3"/>
        <v>2.3662386079526763</v>
      </c>
      <c r="T41" s="71">
        <f t="shared" si="4"/>
        <v>2.0663347316660981E-2</v>
      </c>
      <c r="U41" s="74">
        <f t="shared" si="5"/>
        <v>4.5116932269836575E-2</v>
      </c>
      <c r="V41" s="74">
        <f t="shared" si="6"/>
        <v>0.37946869307808895</v>
      </c>
      <c r="W41" s="71">
        <v>0.85183330000000002</v>
      </c>
    </row>
    <row r="42" spans="1:23" x14ac:dyDescent="0.25">
      <c r="J42" s="31">
        <f t="shared" si="7"/>
        <v>39</v>
      </c>
      <c r="K42">
        <f>'Data Hamburguesa'!E40</f>
        <v>1.780024213009634</v>
      </c>
      <c r="L42">
        <f>'Data Hamburguesa'!F40</f>
        <v>1.0296194171811581</v>
      </c>
      <c r="M42">
        <f>'Data Hamburguesa'!D40</f>
        <v>4.1896547420264252</v>
      </c>
      <c r="N42">
        <v>4.343334914129553</v>
      </c>
      <c r="O42">
        <f t="shared" si="0"/>
        <v>-0.15368017210312779</v>
      </c>
      <c r="P42" s="65">
        <v>3.07836436005559E-2</v>
      </c>
      <c r="Q42">
        <f t="shared" si="1"/>
        <v>-2.4638603483893515</v>
      </c>
      <c r="R42">
        <f t="shared" si="2"/>
        <v>3.6020709724643744E-3</v>
      </c>
      <c r="S42" s="65">
        <f t="shared" si="3"/>
        <v>-2.6009460149498942</v>
      </c>
      <c r="T42" s="71">
        <f t="shared" si="4"/>
        <v>1.1275910893262993E-2</v>
      </c>
      <c r="U42" s="71">
        <f t="shared" si="5"/>
        <v>6.6311595138403331E-2</v>
      </c>
      <c r="V42" s="65">
        <f t="shared" si="6"/>
        <v>-0.46353334572881855</v>
      </c>
      <c r="W42" s="71">
        <v>0.81889049999999997</v>
      </c>
    </row>
    <row r="43" spans="1:23" x14ac:dyDescent="0.25">
      <c r="J43">
        <f t="shared" si="7"/>
        <v>40</v>
      </c>
      <c r="K43">
        <f>'Data Hamburguesa'!E41</f>
        <v>1.6486586255873816</v>
      </c>
      <c r="L43">
        <f>'Data Hamburguesa'!F41</f>
        <v>0.83290912293510388</v>
      </c>
      <c r="M43">
        <f>'Data Hamburguesa'!D41</f>
        <v>4.4343818650078095</v>
      </c>
      <c r="N43">
        <v>4.4099231369187297</v>
      </c>
      <c r="O43">
        <f t="shared" si="0"/>
        <v>2.4458728089079784E-2</v>
      </c>
      <c r="P43" s="65">
        <v>3.0809887123344336E-2</v>
      </c>
      <c r="Q43">
        <f t="shared" si="1"/>
        <v>0.39213185075222873</v>
      </c>
      <c r="R43">
        <f t="shared" si="2"/>
        <v>3.9365847176021278E-3</v>
      </c>
      <c r="S43" s="65">
        <f t="shared" si="3"/>
        <v>0.39597665292180273</v>
      </c>
      <c r="T43" s="65">
        <f t="shared" si="4"/>
        <v>0.69329325208934067</v>
      </c>
      <c r="U43" s="65">
        <f t="shared" si="5"/>
        <v>1.6811835838469987E-3</v>
      </c>
      <c r="V43" s="65">
        <f t="shared" si="6"/>
        <v>7.0600885220006251E-2</v>
      </c>
      <c r="W43" s="65">
        <v>1.068905</v>
      </c>
    </row>
    <row r="44" spans="1:23" x14ac:dyDescent="0.25">
      <c r="J44">
        <f t="shared" si="7"/>
        <v>41</v>
      </c>
      <c r="K44">
        <f>'Data Hamburguesa'!E42</f>
        <v>1.7263316639055997</v>
      </c>
      <c r="L44">
        <f>'Data Hamburguesa'!F42</f>
        <v>0.18232155679395459</v>
      </c>
      <c r="M44">
        <f>'Data Hamburguesa'!D42</f>
        <v>4.3757570216602861</v>
      </c>
      <c r="N44">
        <v>4.3357031749908774</v>
      </c>
      <c r="O44">
        <f t="shared" si="0"/>
        <v>4.0053846669408699E-2</v>
      </c>
      <c r="P44" s="65">
        <v>1.7936491970277319E-2</v>
      </c>
      <c r="Q44">
        <f t="shared" si="1"/>
        <v>0.64215886316810311</v>
      </c>
      <c r="R44">
        <f t="shared" si="2"/>
        <v>3.9222697145111923E-3</v>
      </c>
      <c r="S44" s="65">
        <f t="shared" si="3"/>
        <v>0.64536545797079548</v>
      </c>
      <c r="T44" s="65">
        <f t="shared" si="4"/>
        <v>0.52074172745285596</v>
      </c>
      <c r="U44" s="65">
        <f t="shared" si="5"/>
        <v>2.5563603196384157E-3</v>
      </c>
      <c r="V44" s="65">
        <f t="shared" si="6"/>
        <v>8.7217710837650494E-2</v>
      </c>
      <c r="W44" s="65">
        <v>1.0434270000000001</v>
      </c>
    </row>
    <row r="45" spans="1:23" x14ac:dyDescent="0.25">
      <c r="J45">
        <f t="shared" si="7"/>
        <v>42</v>
      </c>
      <c r="K45">
        <f>'Data Hamburguesa'!E43</f>
        <v>1.6639260977181702</v>
      </c>
      <c r="L45">
        <f>'Data Hamburguesa'!F43</f>
        <v>1.1314021114911006</v>
      </c>
      <c r="M45">
        <f>'Data Hamburguesa'!D43</f>
        <v>4.3845235148724688</v>
      </c>
      <c r="N45">
        <v>4.4147089460917845</v>
      </c>
      <c r="O45">
        <f t="shared" si="0"/>
        <v>-3.0185431219315717E-2</v>
      </c>
      <c r="P45" s="65">
        <v>4.107850669049852E-2</v>
      </c>
      <c r="Q45">
        <f t="shared" si="1"/>
        <v>-0.48394458479912356</v>
      </c>
      <c r="R45">
        <f t="shared" si="2"/>
        <v>3.9318953362337122E-3</v>
      </c>
      <c r="S45" s="65">
        <f t="shared" si="3"/>
        <v>-0.49159208695150441</v>
      </c>
      <c r="T45" s="65">
        <f t="shared" si="4"/>
        <v>0.624503085810451</v>
      </c>
      <c r="U45" s="65">
        <f t="shared" si="5"/>
        <v>3.4875348483505279E-3</v>
      </c>
      <c r="V45" s="65">
        <f t="shared" si="6"/>
        <v>-0.10174678160338455</v>
      </c>
      <c r="W45" s="65">
        <v>1.0764959999999999</v>
      </c>
    </row>
    <row r="46" spans="1:23" x14ac:dyDescent="0.25">
      <c r="J46">
        <f t="shared" si="7"/>
        <v>43</v>
      </c>
      <c r="K46">
        <f>'Data Hamburguesa'!E44</f>
        <v>1.6974487897568136</v>
      </c>
      <c r="L46">
        <f>'Data Hamburguesa'!F44</f>
        <v>0</v>
      </c>
      <c r="M46">
        <f>'Data Hamburguesa'!D44</f>
        <v>4.2136079830489184</v>
      </c>
      <c r="N46">
        <v>4.3440242227569543</v>
      </c>
      <c r="O46">
        <f t="shared" si="0"/>
        <v>-0.13041623970803595</v>
      </c>
      <c r="P46" s="65">
        <v>2.6974483242954692E-2</v>
      </c>
      <c r="Q46">
        <f t="shared" si="1"/>
        <v>-2.0908839273490818</v>
      </c>
      <c r="R46">
        <f t="shared" si="2"/>
        <v>3.6990824590272518E-3</v>
      </c>
      <c r="S46" s="65">
        <f t="shared" si="3"/>
        <v>-2.1738148589950446</v>
      </c>
      <c r="T46" s="71">
        <f t="shared" si="4"/>
        <v>3.300799664362504E-2</v>
      </c>
      <c r="U46" s="65">
        <f t="shared" si="5"/>
        <v>4.1518654267142234E-2</v>
      </c>
      <c r="V46" s="65">
        <f t="shared" si="6"/>
        <v>-0.36194035255455431</v>
      </c>
      <c r="W46" s="74">
        <v>0.88337900000000003</v>
      </c>
    </row>
    <row r="47" spans="1:23" x14ac:dyDescent="0.25">
      <c r="J47">
        <f t="shared" si="7"/>
        <v>44</v>
      </c>
      <c r="K47">
        <f>'Data Hamburguesa'!E45</f>
        <v>1.631199404215613</v>
      </c>
      <c r="L47">
        <f>'Data Hamburguesa'!F45</f>
        <v>0.91629073187415511</v>
      </c>
      <c r="M47">
        <f>'Data Hamburguesa'!D45</f>
        <v>4.4601444139378339</v>
      </c>
      <c r="N47">
        <v>4.4237499627320807</v>
      </c>
      <c r="O47">
        <f t="shared" si="0"/>
        <v>3.6394451205753242E-2</v>
      </c>
      <c r="P47" s="65">
        <v>3.9208358345183644E-2</v>
      </c>
      <c r="Q47">
        <f t="shared" si="1"/>
        <v>0.58349001045543081</v>
      </c>
      <c r="R47">
        <f t="shared" si="2"/>
        <v>3.9258613035597911E-3</v>
      </c>
      <c r="S47" s="65">
        <f t="shared" si="3"/>
        <v>0.59258832470973988</v>
      </c>
      <c r="T47" s="65">
        <f t="shared" si="4"/>
        <v>0.55531331150006724</v>
      </c>
      <c r="U47" s="65">
        <f t="shared" si="5"/>
        <v>4.8202084732131495E-3</v>
      </c>
      <c r="V47" s="65">
        <f t="shared" si="6"/>
        <v>0.11970927812354155</v>
      </c>
      <c r="W47" s="65">
        <v>1.069461</v>
      </c>
    </row>
    <row r="48" spans="1:23" x14ac:dyDescent="0.25">
      <c r="J48">
        <f t="shared" si="7"/>
        <v>45</v>
      </c>
      <c r="K48">
        <f>'Data Hamburguesa'!E46</f>
        <v>1.6174060820832772</v>
      </c>
      <c r="L48">
        <f>'Data Hamburguesa'!F46</f>
        <v>0.74193734472937733</v>
      </c>
      <c r="M48">
        <f>'Data Hamburguesa'!D46</f>
        <v>4.4727809979423458</v>
      </c>
      <c r="N48">
        <v>4.4237575598500314</v>
      </c>
      <c r="O48">
        <f t="shared" si="0"/>
        <v>4.9023438092314464E-2</v>
      </c>
      <c r="P48" s="65">
        <v>3.8428129409386794E-2</v>
      </c>
      <c r="Q48">
        <f t="shared" si="1"/>
        <v>0.78596284481201062</v>
      </c>
      <c r="R48">
        <f t="shared" si="2"/>
        <v>3.9100763251977274E-3</v>
      </c>
      <c r="S48" s="65">
        <f t="shared" si="3"/>
        <v>0.79950332304245719</v>
      </c>
      <c r="T48" s="65">
        <f t="shared" si="4"/>
        <v>0.42662842011222246</v>
      </c>
      <c r="U48" s="65">
        <f t="shared" si="5"/>
        <v>8.557925890962572E-3</v>
      </c>
      <c r="V48" s="65">
        <f t="shared" si="6"/>
        <v>0.15982842520709842</v>
      </c>
      <c r="W48" s="65">
        <v>1.055755</v>
      </c>
    </row>
    <row r="49" spans="10:23" x14ac:dyDescent="0.25">
      <c r="J49">
        <f t="shared" si="7"/>
        <v>46</v>
      </c>
      <c r="K49">
        <f>'Data Hamburguesa'!E47</f>
        <v>1.6253112615903906</v>
      </c>
      <c r="L49">
        <f>'Data Hamburguesa'!F47</f>
        <v>1.0296194171811581</v>
      </c>
      <c r="M49">
        <f>'Data Hamburguesa'!D47</f>
        <v>4.4331949212482815</v>
      </c>
      <c r="N49">
        <v>4.4322849643998437</v>
      </c>
      <c r="O49">
        <f t="shared" si="0"/>
        <v>9.0995684843786506E-4</v>
      </c>
      <c r="P49" s="65">
        <v>4.6479147529328246E-2</v>
      </c>
      <c r="Q49">
        <f t="shared" si="1"/>
        <v>1.4588782449481417E-2</v>
      </c>
      <c r="R49">
        <f t="shared" si="2"/>
        <v>3.9452661020684164E-3</v>
      </c>
      <c r="S49" s="65">
        <f t="shared" si="3"/>
        <v>1.4836024773934238E-2</v>
      </c>
      <c r="T49" s="65">
        <f t="shared" si="4"/>
        <v>0.98820403324415573</v>
      </c>
      <c r="U49" s="65">
        <f t="shared" si="5"/>
        <v>3.6267248279389554E-6</v>
      </c>
      <c r="V49" s="65">
        <f t="shared" si="6"/>
        <v>3.2755296076453825E-3</v>
      </c>
      <c r="W49" s="65">
        <v>1.093675</v>
      </c>
    </row>
    <row r="50" spans="10:23" x14ac:dyDescent="0.25">
      <c r="J50">
        <f t="shared" si="7"/>
        <v>47</v>
      </c>
      <c r="K50">
        <f>'Data Hamburguesa'!E48</f>
        <v>1.7681496035889213</v>
      </c>
      <c r="L50">
        <f>'Data Hamburguesa'!F48</f>
        <v>1.1314021114911006</v>
      </c>
      <c r="M50">
        <f>'Data Hamburguesa'!D48</f>
        <v>4.3201512309557941</v>
      </c>
      <c r="N50">
        <v>4.3547870972646141</v>
      </c>
      <c r="O50">
        <f t="shared" si="0"/>
        <v>-3.4635866308819985E-2</v>
      </c>
      <c r="P50" s="65">
        <v>3.5021035466355099E-2</v>
      </c>
      <c r="Q50">
        <f t="shared" si="1"/>
        <v>-0.55529569275306245</v>
      </c>
      <c r="R50">
        <f t="shared" si="2"/>
        <v>3.9277687453423875E-3</v>
      </c>
      <c r="S50" s="65">
        <f t="shared" si="3"/>
        <v>-0.56259280865725714</v>
      </c>
      <c r="T50" s="65">
        <f t="shared" si="4"/>
        <v>0.57545976218737904</v>
      </c>
      <c r="U50" s="65">
        <f t="shared" si="5"/>
        <v>3.8656332215723393E-3</v>
      </c>
      <c r="V50" s="65">
        <f t="shared" si="6"/>
        <v>-0.10717654300386097</v>
      </c>
      <c r="W50" s="65">
        <v>1.0663739999999999</v>
      </c>
    </row>
    <row r="51" spans="10:23" x14ac:dyDescent="0.25">
      <c r="J51">
        <f t="shared" si="7"/>
        <v>48</v>
      </c>
      <c r="K51">
        <f>'Data Hamburguesa'!E49</f>
        <v>1.5871923034867805</v>
      </c>
      <c r="L51">
        <f>'Data Hamburguesa'!F49</f>
        <v>1.1314021114911006</v>
      </c>
      <c r="M51">
        <f>'Data Hamburguesa'!D49</f>
        <v>4.4391156016580089</v>
      </c>
      <c r="N51">
        <v>4.4588259692091095</v>
      </c>
      <c r="O51">
        <f t="shared" si="0"/>
        <v>-1.971036755110056E-2</v>
      </c>
      <c r="P51" s="65">
        <v>6.8008676343411373E-2</v>
      </c>
      <c r="Q51">
        <f t="shared" si="1"/>
        <v>-0.31600428602297487</v>
      </c>
      <c r="R51">
        <f t="shared" si="2"/>
        <v>3.9394072361947103E-3</v>
      </c>
      <c r="S51" s="65">
        <f t="shared" si="3"/>
        <v>-0.32529197483441985</v>
      </c>
      <c r="T51" s="65">
        <f t="shared" si="4"/>
        <v>0.74590350016232665</v>
      </c>
      <c r="U51" s="65">
        <f t="shared" si="5"/>
        <v>2.6061852049604067E-3</v>
      </c>
      <c r="V51" s="65">
        <f t="shared" si="6"/>
        <v>-8.7871810681326962E-2</v>
      </c>
      <c r="W51" s="65">
        <v>1.1139619999999999</v>
      </c>
    </row>
    <row r="52" spans="10:23" x14ac:dyDescent="0.25">
      <c r="J52">
        <f t="shared" si="7"/>
        <v>49</v>
      </c>
      <c r="K52">
        <f>'Data Hamburguesa'!E50</f>
        <v>1.7369512327330598</v>
      </c>
      <c r="L52">
        <f>'Data Hamburguesa'!F50</f>
        <v>-0.10536051565782628</v>
      </c>
      <c r="M52">
        <f>'Data Hamburguesa'!D50</f>
        <v>4.3000027991952914</v>
      </c>
      <c r="N52">
        <v>4.3165252251538799</v>
      </c>
      <c r="O52">
        <f t="shared" si="0"/>
        <v>-1.6522425958588549E-2</v>
      </c>
      <c r="P52" s="65">
        <v>3.0273372003213918E-2</v>
      </c>
      <c r="Q52">
        <f t="shared" si="1"/>
        <v>-0.26489396531419368</v>
      </c>
      <c r="R52">
        <f t="shared" si="2"/>
        <v>3.9413133623323465E-3</v>
      </c>
      <c r="S52" s="65">
        <f t="shared" si="3"/>
        <v>-0.26725674266049304</v>
      </c>
      <c r="T52" s="65">
        <f t="shared" si="4"/>
        <v>0.79003553662379178</v>
      </c>
      <c r="U52" s="65">
        <f t="shared" si="5"/>
        <v>7.5298275422305426E-4</v>
      </c>
      <c r="V52" s="65">
        <f t="shared" si="6"/>
        <v>-4.7220916190731314E-2</v>
      </c>
      <c r="W52" s="65">
        <v>1.072168</v>
      </c>
    </row>
    <row r="53" spans="10:23" x14ac:dyDescent="0.25">
      <c r="J53">
        <f t="shared" si="7"/>
        <v>50</v>
      </c>
      <c r="K53">
        <f>'Data Hamburguesa'!E51</f>
        <v>1.7630170003624011</v>
      </c>
      <c r="L53">
        <f>'Data Hamburguesa'!F51</f>
        <v>0.58778666490211906</v>
      </c>
      <c r="M53">
        <f>'Data Hamburguesa'!D51</f>
        <v>4.396915247167632</v>
      </c>
      <c r="N53">
        <v>4.3330359339267144</v>
      </c>
      <c r="O53">
        <f t="shared" si="0"/>
        <v>6.3879313240917668E-2</v>
      </c>
      <c r="P53" s="65">
        <v>1.5157344289550456E-2</v>
      </c>
      <c r="Q53">
        <f t="shared" si="1"/>
        <v>1.0241380187355777</v>
      </c>
      <c r="R53">
        <f t="shared" si="2"/>
        <v>3.886921021090714E-3</v>
      </c>
      <c r="S53" s="65">
        <f t="shared" si="3"/>
        <v>1.0324617116793782</v>
      </c>
      <c r="T53" s="65">
        <f t="shared" si="4"/>
        <v>0.30531151411974944</v>
      </c>
      <c r="U53" s="65">
        <f t="shared" si="5"/>
        <v>5.4636785076204878E-3</v>
      </c>
      <c r="V53" s="65">
        <f t="shared" si="6"/>
        <v>0.12808612510765871</v>
      </c>
      <c r="W53" s="65">
        <v>1.0126040000000001</v>
      </c>
    </row>
    <row r="54" spans="10:23" x14ac:dyDescent="0.25">
      <c r="J54">
        <f t="shared" si="7"/>
        <v>51</v>
      </c>
      <c r="K54">
        <f>'Data Hamburguesa'!E52</f>
        <v>1.8453002361560848</v>
      </c>
      <c r="L54">
        <f>'Data Hamburguesa'!F52</f>
        <v>1.1314021114911006</v>
      </c>
      <c r="M54">
        <f>'Data Hamburguesa'!D52</f>
        <v>4.2341065045972597</v>
      </c>
      <c r="N54">
        <v>4.3104304187688509</v>
      </c>
      <c r="O54">
        <f t="shared" si="0"/>
        <v>-7.6323914171591234E-2</v>
      </c>
      <c r="P54" s="65">
        <v>5.3181547989114016E-2</v>
      </c>
      <c r="Q54">
        <f t="shared" si="1"/>
        <v>-1.2236547056640654</v>
      </c>
      <c r="R54">
        <f t="shared" si="2"/>
        <v>3.858622817907123E-3</v>
      </c>
      <c r="S54" s="65">
        <f t="shared" si="3"/>
        <v>-1.262731788999482</v>
      </c>
      <c r="T54" s="65">
        <f t="shared" si="4"/>
        <v>0.21075992184286846</v>
      </c>
      <c r="U54" s="65">
        <f t="shared" si="5"/>
        <v>2.9609022017892585E-2</v>
      </c>
      <c r="V54" s="65">
        <f t="shared" si="6"/>
        <v>-0.29926659653935456</v>
      </c>
      <c r="W54" s="65">
        <v>1.0304329999999999</v>
      </c>
    </row>
    <row r="55" spans="10:23" x14ac:dyDescent="0.25">
      <c r="J55">
        <f t="shared" si="7"/>
        <v>52</v>
      </c>
      <c r="K55">
        <f>'Data Hamburguesa'!E53</f>
        <v>1.8671761085128091</v>
      </c>
      <c r="L55">
        <f>'Data Hamburguesa'!F53</f>
        <v>0.64185388617239469</v>
      </c>
      <c r="M55">
        <f>'Data Hamburguesa'!D53</f>
        <v>4.2442003177664782</v>
      </c>
      <c r="N55">
        <v>4.2756079436951033</v>
      </c>
      <c r="O55">
        <f t="shared" si="0"/>
        <v>-3.1407625928625116E-2</v>
      </c>
      <c r="P55" s="65">
        <v>4.3123499424622999E-2</v>
      </c>
      <c r="Q55">
        <f t="shared" si="1"/>
        <v>-0.50353928619142752</v>
      </c>
      <c r="R55">
        <f t="shared" si="2"/>
        <v>3.9307586883682907E-3</v>
      </c>
      <c r="S55" s="65">
        <f t="shared" si="3"/>
        <v>-0.51211674171386623</v>
      </c>
      <c r="T55" s="65">
        <f t="shared" si="4"/>
        <v>0.61013664302066317</v>
      </c>
      <c r="U55" s="65">
        <f t="shared" si="5"/>
        <v>3.980592157520545E-3</v>
      </c>
      <c r="V55" s="65">
        <f t="shared" si="6"/>
        <v>-0.10871714205579697</v>
      </c>
      <c r="W55" s="65">
        <v>1.077861</v>
      </c>
    </row>
    <row r="56" spans="10:23" x14ac:dyDescent="0.25">
      <c r="J56">
        <f t="shared" si="7"/>
        <v>53</v>
      </c>
      <c r="K56">
        <f>'Data Hamburguesa'!E54</f>
        <v>1.7404661748405046</v>
      </c>
      <c r="L56">
        <f>'Data Hamburguesa'!F54</f>
        <v>-0.35667494393873245</v>
      </c>
      <c r="M56">
        <f>'Data Hamburguesa'!D54</f>
        <v>4.3579900568456402</v>
      </c>
      <c r="N56">
        <v>4.3030845400684186</v>
      </c>
      <c r="O56">
        <f t="shared" si="0"/>
        <v>5.4905516777221663E-2</v>
      </c>
      <c r="P56" s="65">
        <v>4.7672135172412422E-2</v>
      </c>
      <c r="Q56">
        <f t="shared" si="1"/>
        <v>0.88026662024065672</v>
      </c>
      <c r="R56">
        <f t="shared" si="2"/>
        <v>3.9006935016403579E-3</v>
      </c>
      <c r="S56" s="65">
        <f t="shared" si="3"/>
        <v>0.90084863371638679</v>
      </c>
      <c r="T56" s="65">
        <f t="shared" si="4"/>
        <v>0.37067225131307058</v>
      </c>
      <c r="U56" s="65">
        <f t="shared" si="5"/>
        <v>1.3576844153579985E-2</v>
      </c>
      <c r="V56" s="65">
        <f t="shared" si="6"/>
        <v>0.20155374878968582</v>
      </c>
      <c r="W56" s="65">
        <v>1.0583480000000001</v>
      </c>
    </row>
    <row r="57" spans="10:23" x14ac:dyDescent="0.25">
      <c r="J57">
        <f t="shared" si="7"/>
        <v>54</v>
      </c>
      <c r="K57">
        <f>'Data Hamburguesa'!E55</f>
        <v>1.6524974018945473</v>
      </c>
      <c r="L57">
        <f>'Data Hamburguesa'!F55</f>
        <v>0.47000362924573563</v>
      </c>
      <c r="M57">
        <f>'Data Hamburguesa'!D55</f>
        <v>4.4773368144782069</v>
      </c>
      <c r="N57">
        <v>4.3912255296428571</v>
      </c>
      <c r="O57">
        <f t="shared" si="0"/>
        <v>8.6111284835349799E-2</v>
      </c>
      <c r="P57" s="65">
        <v>2.4128621195077058E-2</v>
      </c>
      <c r="Q57">
        <f t="shared" si="1"/>
        <v>1.3805696424669835</v>
      </c>
      <c r="R57">
        <f t="shared" si="2"/>
        <v>3.8382572824905482E-3</v>
      </c>
      <c r="S57" s="65">
        <f t="shared" si="3"/>
        <v>1.4070085532015773</v>
      </c>
      <c r="T57" s="65">
        <f t="shared" si="4"/>
        <v>0.16372698158100882</v>
      </c>
      <c r="U57" s="65">
        <f t="shared" si="5"/>
        <v>1.6096917852958137E-2</v>
      </c>
      <c r="V57" s="65">
        <f t="shared" si="6"/>
        <v>0.22124155372992313</v>
      </c>
      <c r="W57" s="65">
        <v>0.98400909999999997</v>
      </c>
    </row>
    <row r="58" spans="10:23" x14ac:dyDescent="0.25">
      <c r="J58">
        <f t="shared" si="7"/>
        <v>55</v>
      </c>
      <c r="K58">
        <f>'Data Hamburguesa'!E56</f>
        <v>1.6193882432872684</v>
      </c>
      <c r="L58">
        <f>'Data Hamburguesa'!F56</f>
        <v>1.0647107369924282</v>
      </c>
      <c r="M58">
        <f>'Data Hamburguesa'!D56</f>
        <v>4.3870141761849206</v>
      </c>
      <c r="N58">
        <v>4.437284883258676</v>
      </c>
      <c r="O58">
        <f t="shared" si="0"/>
        <v>-5.0270707073755361E-2</v>
      </c>
      <c r="P58" s="65">
        <v>5.0496509813091436E-2</v>
      </c>
      <c r="Q58">
        <f t="shared" si="1"/>
        <v>-0.80595954669679237</v>
      </c>
      <c r="R58">
        <f t="shared" si="2"/>
        <v>3.9077918172989862E-3</v>
      </c>
      <c r="S58" s="65">
        <f t="shared" si="3"/>
        <v>-0.825279393797133</v>
      </c>
      <c r="T58" s="65">
        <f t="shared" si="4"/>
        <v>0.41193903258623032</v>
      </c>
      <c r="U58" s="65">
        <f t="shared" si="5"/>
        <v>1.2127560897694451E-2</v>
      </c>
      <c r="V58" s="65">
        <f t="shared" si="6"/>
        <v>-0.19031954889756186</v>
      </c>
      <c r="W58" s="65">
        <v>1.067302</v>
      </c>
    </row>
    <row r="59" spans="10:23" x14ac:dyDescent="0.25">
      <c r="J59">
        <f t="shared" si="7"/>
        <v>56</v>
      </c>
      <c r="K59">
        <f>'Data Hamburguesa'!E57</f>
        <v>1.7509374747077999</v>
      </c>
      <c r="L59">
        <f>'Data Hamburguesa'!F57</f>
        <v>0.83290912293510388</v>
      </c>
      <c r="M59">
        <f>'Data Hamburguesa'!D57</f>
        <v>4.3782695857961693</v>
      </c>
      <c r="N59">
        <v>4.3511193413257176</v>
      </c>
      <c r="O59">
        <f t="shared" si="0"/>
        <v>2.7150244470451668E-2</v>
      </c>
      <c r="P59" s="65">
        <v>1.947265369804756E-2</v>
      </c>
      <c r="Q59">
        <f t="shared" si="1"/>
        <v>0.43528328921269888</v>
      </c>
      <c r="R59">
        <f t="shared" si="2"/>
        <v>3.9346899549913992E-3</v>
      </c>
      <c r="S59" s="65">
        <f t="shared" si="3"/>
        <v>0.43710787513134935</v>
      </c>
      <c r="T59" s="65">
        <f t="shared" si="4"/>
        <v>0.6633413520285627</v>
      </c>
      <c r="U59" s="65">
        <f t="shared" si="5"/>
        <v>1.2791705560071043E-3</v>
      </c>
      <c r="V59" s="65">
        <f t="shared" si="6"/>
        <v>6.1598671528276784E-2</v>
      </c>
      <c r="W59" s="65">
        <v>1.0550219999999999</v>
      </c>
    </row>
    <row r="60" spans="10:23" x14ac:dyDescent="0.25">
      <c r="J60">
        <f t="shared" si="7"/>
        <v>57</v>
      </c>
      <c r="K60">
        <f>'Data Hamburguesa'!E58</f>
        <v>1.8325814637483102</v>
      </c>
      <c r="L60">
        <f>'Data Hamburguesa'!F58</f>
        <v>0.53062825106217038</v>
      </c>
      <c r="M60">
        <f>'Data Hamburguesa'!D58</f>
        <v>4.2931954209672663</v>
      </c>
      <c r="N60">
        <v>4.2904435185017817</v>
      </c>
      <c r="O60">
        <f t="shared" si="0"/>
        <v>2.7519024654845126E-3</v>
      </c>
      <c r="P60" s="65">
        <v>2.9112501191256752E-2</v>
      </c>
      <c r="Q60">
        <f t="shared" si="1"/>
        <v>4.4119571669871849E-2</v>
      </c>
      <c r="R60">
        <f t="shared" si="2"/>
        <v>3.9451684730141476E-3</v>
      </c>
      <c r="S60" s="65">
        <f t="shared" si="3"/>
        <v>4.4464744977319934E-2</v>
      </c>
      <c r="T60" s="65">
        <f t="shared" si="4"/>
        <v>0.96465704371553562</v>
      </c>
      <c r="U60" s="65">
        <f t="shared" si="5"/>
        <v>2.0039321887504633E-5</v>
      </c>
      <c r="V60" s="65">
        <f t="shared" si="6"/>
        <v>7.6996522487154783E-3</v>
      </c>
      <c r="W60" s="65">
        <v>1.0740320000000001</v>
      </c>
    </row>
    <row r="61" spans="10:23" x14ac:dyDescent="0.25">
      <c r="J61">
        <f t="shared" si="7"/>
        <v>58</v>
      </c>
      <c r="K61">
        <f>'Data Hamburguesa'!E59</f>
        <v>1.6752256529721035</v>
      </c>
      <c r="L61">
        <f>'Data Hamburguesa'!F59</f>
        <v>0.58778666490211906</v>
      </c>
      <c r="M61">
        <f>'Data Hamburguesa'!D59</f>
        <v>4.4531838289902099</v>
      </c>
      <c r="N61">
        <v>4.3835103427724382</v>
      </c>
      <c r="O61">
        <f t="shared" si="0"/>
        <v>6.9673486217771696E-2</v>
      </c>
      <c r="P61" s="65">
        <v>1.941016917815671E-2</v>
      </c>
      <c r="Q61">
        <f t="shared" si="1"/>
        <v>1.1170324556301419</v>
      </c>
      <c r="R61">
        <f t="shared" si="2"/>
        <v>3.8755532001148278E-3</v>
      </c>
      <c r="S61" s="65">
        <f t="shared" si="3"/>
        <v>1.1302044102950775</v>
      </c>
      <c r="T61" s="65">
        <f t="shared" si="4"/>
        <v>0.26214112255268973</v>
      </c>
      <c r="U61" s="65">
        <f t="shared" si="5"/>
        <v>8.3958540316112686E-3</v>
      </c>
      <c r="V61" s="65">
        <f t="shared" si="6"/>
        <v>0.15901129168735068</v>
      </c>
      <c r="W61" s="65">
        <v>1.0080990000000001</v>
      </c>
    </row>
    <row r="62" spans="10:23" x14ac:dyDescent="0.25">
      <c r="J62">
        <f t="shared" si="7"/>
        <v>59</v>
      </c>
      <c r="K62">
        <f>'Data Hamburguesa'!E60</f>
        <v>1.6054298910365616</v>
      </c>
      <c r="L62">
        <f>'Data Hamburguesa'!F60</f>
        <v>-0.51082562376599072</v>
      </c>
      <c r="M62">
        <f>'Data Hamburguesa'!D60</f>
        <v>4.4224485491727972</v>
      </c>
      <c r="N62">
        <v>4.3737171026891399</v>
      </c>
      <c r="O62">
        <f t="shared" si="0"/>
        <v>4.8731446483657237E-2</v>
      </c>
      <c r="P62" s="71">
        <v>8.8113593718956038E-2</v>
      </c>
      <c r="Q62">
        <f t="shared" si="1"/>
        <v>0.78128152166675691</v>
      </c>
      <c r="R62">
        <f t="shared" si="2"/>
        <v>3.9085991615244956E-3</v>
      </c>
      <c r="S62" s="65">
        <f t="shared" si="3"/>
        <v>0.81625971751175896</v>
      </c>
      <c r="T62" s="65">
        <f t="shared" si="4"/>
        <v>0.4170440412943589</v>
      </c>
      <c r="U62" s="65">
        <f t="shared" si="5"/>
        <v>2.15603239502614E-2</v>
      </c>
      <c r="V62" s="65">
        <f t="shared" si="6"/>
        <v>0.25373445859828847</v>
      </c>
      <c r="W62" s="65">
        <v>1.1120190000000001</v>
      </c>
    </row>
    <row r="63" spans="10:23" x14ac:dyDescent="0.25">
      <c r="J63">
        <f t="shared" si="7"/>
        <v>60</v>
      </c>
      <c r="K63">
        <f>'Data Hamburguesa'!E61</f>
        <v>1.8547342683894434</v>
      </c>
      <c r="L63">
        <f>'Data Hamburguesa'!F61</f>
        <v>1.1314021114911006</v>
      </c>
      <c r="M63">
        <f>'Data Hamburguesa'!D61</f>
        <v>4.2986450257348308</v>
      </c>
      <c r="N63">
        <v>4.3050064537180202</v>
      </c>
      <c r="O63">
        <f t="shared" si="0"/>
        <v>-6.3614279831893938E-3</v>
      </c>
      <c r="P63" s="65">
        <v>5.6724090683661806E-2</v>
      </c>
      <c r="Q63">
        <f t="shared" si="1"/>
        <v>-0.10198888999419457</v>
      </c>
      <c r="R63">
        <f t="shared" si="2"/>
        <v>3.9446740891073652E-3</v>
      </c>
      <c r="S63" s="65">
        <f t="shared" si="3"/>
        <v>-0.10428688122764669</v>
      </c>
      <c r="T63" s="65">
        <f t="shared" si="4"/>
        <v>0.91723164980498795</v>
      </c>
      <c r="U63" s="65">
        <f t="shared" si="5"/>
        <v>2.2104186298417951E-4</v>
      </c>
      <c r="V63" s="65">
        <f t="shared" si="6"/>
        <v>-2.5573730229730699E-2</v>
      </c>
      <c r="W63" s="65">
        <v>1.105056</v>
      </c>
    </row>
    <row r="64" spans="10:23" x14ac:dyDescent="0.25">
      <c r="J64">
        <f t="shared" si="7"/>
        <v>61</v>
      </c>
      <c r="K64">
        <f>'Data Hamburguesa'!E62</f>
        <v>1.827769906751088</v>
      </c>
      <c r="L64">
        <f>'Data Hamburguesa'!F62</f>
        <v>0.18232155679395459</v>
      </c>
      <c r="M64">
        <f>'Data Hamburguesa'!D62</f>
        <v>4.3719762988203801</v>
      </c>
      <c r="N64">
        <v>4.2773826742334089</v>
      </c>
      <c r="O64">
        <f t="shared" si="0"/>
        <v>9.4593624586971181E-2</v>
      </c>
      <c r="P64" s="65">
        <v>3.2018349054156126E-2</v>
      </c>
      <c r="Q64">
        <f t="shared" si="1"/>
        <v>1.5165618156248983</v>
      </c>
      <c r="R64">
        <f t="shared" si="2"/>
        <v>3.8150821474219332E-3</v>
      </c>
      <c r="S64" s="65">
        <f t="shared" si="3"/>
        <v>1.5565976036398899</v>
      </c>
      <c r="T64" s="65">
        <f t="shared" si="4"/>
        <v>0.1239510325491667</v>
      </c>
      <c r="U64" s="65">
        <f t="shared" si="5"/>
        <v>2.6197730148951711E-2</v>
      </c>
      <c r="V64" s="65">
        <f t="shared" si="6"/>
        <v>0.28310155999705294</v>
      </c>
      <c r="W64" s="65">
        <v>0.97416840000000005</v>
      </c>
    </row>
    <row r="65" spans="10:23" x14ac:dyDescent="0.25">
      <c r="J65">
        <f t="shared" si="7"/>
        <v>62</v>
      </c>
      <c r="K65">
        <f>'Data Hamburguesa'!E63</f>
        <v>1.62924053973028</v>
      </c>
      <c r="L65">
        <f>'Data Hamburguesa'!F63</f>
        <v>0.74193734472937733</v>
      </c>
      <c r="M65">
        <f>'Data Hamburguesa'!D63</f>
        <v>4.478472532942134</v>
      </c>
      <c r="N65">
        <v>4.4169535037385952</v>
      </c>
      <c r="O65">
        <f t="shared" si="0"/>
        <v>6.15190292035388E-2</v>
      </c>
      <c r="P65" s="65">
        <v>3.4186556264207732E-2</v>
      </c>
      <c r="Q65">
        <f t="shared" si="1"/>
        <v>0.98629702616607662</v>
      </c>
      <c r="R65">
        <f t="shared" si="2"/>
        <v>3.8900874486031958E-3</v>
      </c>
      <c r="S65" s="65">
        <f t="shared" si="3"/>
        <v>1.0036520319363498</v>
      </c>
      <c r="T65" s="65">
        <f t="shared" si="4"/>
        <v>0.31890755423673195</v>
      </c>
      <c r="U65" s="65">
        <f t="shared" si="5"/>
        <v>1.1884011268259888E-2</v>
      </c>
      <c r="V65" s="65">
        <f t="shared" si="6"/>
        <v>0.18882705616881562</v>
      </c>
      <c r="W65" s="65">
        <v>1.0350809999999999</v>
      </c>
    </row>
    <row r="66" spans="10:23" x14ac:dyDescent="0.25">
      <c r="J66" s="31">
        <f t="shared" si="7"/>
        <v>63</v>
      </c>
      <c r="K66">
        <f>'Data Hamburguesa'!E64</f>
        <v>1.8702625307159986</v>
      </c>
      <c r="L66">
        <f>'Data Hamburguesa'!F64</f>
        <v>-0.69314718055994529</v>
      </c>
      <c r="M66">
        <f>'Data Hamburguesa'!D64</f>
        <v>4.1666652238017265</v>
      </c>
      <c r="N66">
        <v>4.2131705186214194</v>
      </c>
      <c r="O66">
        <f t="shared" si="0"/>
        <v>-4.6505294819692899E-2</v>
      </c>
      <c r="P66" s="71">
        <v>0.11023077756877295</v>
      </c>
      <c r="Q66">
        <f t="shared" si="1"/>
        <v>-0.74559099152691533</v>
      </c>
      <c r="R66">
        <f t="shared" si="2"/>
        <v>3.9110434318485685E-3</v>
      </c>
      <c r="S66" s="65">
        <f t="shared" si="3"/>
        <v>-0.78834695215626871</v>
      </c>
      <c r="T66" s="65">
        <f t="shared" si="4"/>
        <v>0.43308177562580052</v>
      </c>
      <c r="U66" s="65">
        <f t="shared" si="5"/>
        <v>2.580050234957397E-2</v>
      </c>
      <c r="V66" s="65">
        <f t="shared" si="6"/>
        <v>-0.27747901156989785</v>
      </c>
      <c r="W66" s="71">
        <v>1.1417999999999999</v>
      </c>
    </row>
    <row r="67" spans="10:23" x14ac:dyDescent="0.25">
      <c r="J67">
        <f t="shared" si="7"/>
        <v>64</v>
      </c>
      <c r="K67">
        <f>'Data Hamburguesa'!E65</f>
        <v>1.5810384379124025</v>
      </c>
      <c r="L67">
        <f>'Data Hamburguesa'!F65</f>
        <v>1.0647107369924282</v>
      </c>
      <c r="M67">
        <f>'Data Hamburguesa'!D65</f>
        <v>4.4320065669789024</v>
      </c>
      <c r="N67">
        <v>4.4593335681596997</v>
      </c>
      <c r="O67">
        <f t="shared" si="0"/>
        <v>-2.7327001180797339E-2</v>
      </c>
      <c r="P67" s="65">
        <v>6.71029416713846E-2</v>
      </c>
      <c r="Q67">
        <f t="shared" si="1"/>
        <v>-0.43811712160612043</v>
      </c>
      <c r="R67">
        <f t="shared" si="2"/>
        <v>3.9340039733192283E-3</v>
      </c>
      <c r="S67" s="65">
        <f t="shared" si="3"/>
        <v>-0.451084305094064</v>
      </c>
      <c r="T67" s="65">
        <f t="shared" si="4"/>
        <v>0.65328445418866332</v>
      </c>
      <c r="U67" s="65">
        <f t="shared" si="5"/>
        <v>4.9332520921607738E-3</v>
      </c>
      <c r="V67" s="65">
        <f t="shared" si="6"/>
        <v>-0.12097945798900546</v>
      </c>
      <c r="W67" s="65">
        <v>1.1083069999999999</v>
      </c>
    </row>
    <row r="68" spans="10:23" x14ac:dyDescent="0.25">
      <c r="J68">
        <f t="shared" si="7"/>
        <v>65</v>
      </c>
      <c r="K68">
        <f>'Data Hamburguesa'!E66</f>
        <v>1.62924053973028</v>
      </c>
      <c r="L68">
        <f>'Data Hamburguesa'!F66</f>
        <v>0.47000362924573563</v>
      </c>
      <c r="M68">
        <f>'Data Hamburguesa'!D66</f>
        <v>4.513054897080286</v>
      </c>
      <c r="N68">
        <v>4.4045967376746589</v>
      </c>
      <c r="O68">
        <f t="shared" si="0"/>
        <v>0.10845815940562709</v>
      </c>
      <c r="P68" s="65">
        <v>3.1146915148910086E-2</v>
      </c>
      <c r="Q68">
        <f t="shared" si="1"/>
        <v>1.7388434354400195</v>
      </c>
      <c r="R68">
        <f t="shared" si="2"/>
        <v>3.7742735785611919E-3</v>
      </c>
      <c r="S68" s="65">
        <f t="shared" si="3"/>
        <v>1.7935627612218958</v>
      </c>
      <c r="T68" s="65">
        <f t="shared" si="4"/>
        <v>7.7082032078792231E-2</v>
      </c>
      <c r="U68" s="65">
        <f t="shared" si="5"/>
        <v>3.3442512067368632E-2</v>
      </c>
      <c r="V68" s="65">
        <f t="shared" si="6"/>
        <v>0.32158451992347215</v>
      </c>
      <c r="W68" s="65">
        <v>0.94239249999999997</v>
      </c>
    </row>
    <row r="69" spans="10:23" x14ac:dyDescent="0.25">
      <c r="J69">
        <f t="shared" si="7"/>
        <v>66</v>
      </c>
      <c r="K69">
        <f>'Data Hamburguesa'!E67</f>
        <v>1.7884205679625405</v>
      </c>
      <c r="L69">
        <f>'Data Hamburguesa'!F67</f>
        <v>0.40546510810816438</v>
      </c>
      <c r="M69">
        <f>'Data Hamburguesa'!D67</f>
        <v>4.2738844760541781</v>
      </c>
      <c r="N69">
        <v>4.3101457503235627</v>
      </c>
      <c r="O69">
        <f t="shared" ref="O69:O78" si="12">M69-N69</f>
        <v>-3.6261274269384636E-2</v>
      </c>
      <c r="P69" s="65">
        <v>1.8437875797201554E-2</v>
      </c>
      <c r="Q69">
        <f t="shared" ref="Q69:Q78" si="13">O69/SQRT($Y$6)</f>
        <v>-0.58135486596445252</v>
      </c>
      <c r="R69">
        <f t="shared" ref="R69:R78" si="14">($Y$6-O69^2/((1-P69)*$Y$5))*$Y$5/($Y$5-1)</f>
        <v>3.9264110229171485E-3</v>
      </c>
      <c r="S69" s="65">
        <f t="shared" ref="S69:S78" si="15">O69/SQRT(R69*(1-P69))</f>
        <v>-0.58409876189227794</v>
      </c>
      <c r="T69" s="65">
        <f t="shared" ref="T69:T78" si="16">_xlfn.T.DIST.2T(ABS(S69),$Y$5)</f>
        <v>0.56097948882906179</v>
      </c>
      <c r="U69" s="65">
        <f t="shared" ref="U69:U78" si="17">(O69^2/$Y$6)*(P69/(1-P69)^2)/($Y$7+1)</f>
        <v>2.1559400015704264E-3</v>
      </c>
      <c r="V69" s="65">
        <f t="shared" ref="V69:V78" si="18">S69*SQRT(P69/(1-P69))</f>
        <v>-8.0053962295694378E-2</v>
      </c>
      <c r="W69" s="65">
        <v>1.0472710000000001</v>
      </c>
    </row>
    <row r="70" spans="10:23" x14ac:dyDescent="0.25">
      <c r="J70">
        <f t="shared" ref="J70:J78" si="19">J69+1</f>
        <v>67</v>
      </c>
      <c r="K70">
        <f>'Data Hamburguesa'!E68</f>
        <v>1.6134299337036377</v>
      </c>
      <c r="L70">
        <f>'Data Hamburguesa'!F68</f>
        <v>0.69314718055994529</v>
      </c>
      <c r="M70">
        <f>'Data Hamburguesa'!D68</f>
        <v>4.389498649512583</v>
      </c>
      <c r="N70">
        <v>4.4238265481702808</v>
      </c>
      <c r="O70">
        <f t="shared" si="12"/>
        <v>-3.4327898657697808E-2</v>
      </c>
      <c r="P70" s="65">
        <v>3.8887965819523786E-2</v>
      </c>
      <c r="Q70">
        <f t="shared" si="13"/>
        <v>-0.55035823547537699</v>
      </c>
      <c r="R70">
        <f t="shared" si="14"/>
        <v>3.9280095361871855E-3</v>
      </c>
      <c r="S70" s="65">
        <f t="shared" si="15"/>
        <v>-0.55869391992664297</v>
      </c>
      <c r="T70" s="65">
        <f t="shared" si="16"/>
        <v>0.57810412783287268</v>
      </c>
      <c r="U70" s="65">
        <f t="shared" si="17"/>
        <v>4.250469268525044E-3</v>
      </c>
      <c r="V70" s="65">
        <f t="shared" si="18"/>
        <v>-0.11238142915441485</v>
      </c>
      <c r="W70" s="65">
        <v>1.0708610000000001</v>
      </c>
    </row>
    <row r="71" spans="10:23" x14ac:dyDescent="0.25">
      <c r="J71">
        <f t="shared" si="19"/>
        <v>68</v>
      </c>
      <c r="K71">
        <f>'Data Hamburguesa'!E69</f>
        <v>1.6253112615903906</v>
      </c>
      <c r="L71">
        <f>'Data Hamburguesa'!F69</f>
        <v>0.26236426446749106</v>
      </c>
      <c r="M71">
        <f>'Data Hamburguesa'!D69</f>
        <v>4.2918283667557331</v>
      </c>
      <c r="N71">
        <v>4.397420613664333</v>
      </c>
      <c r="O71">
        <f t="shared" si="12"/>
        <v>-0.10559224690859992</v>
      </c>
      <c r="P71" s="65">
        <v>3.4959784791019147E-2</v>
      </c>
      <c r="Q71">
        <f t="shared" si="13"/>
        <v>-1.6928960105592072</v>
      </c>
      <c r="R71">
        <f t="shared" si="14"/>
        <v>3.7825510763720327E-3</v>
      </c>
      <c r="S71" s="65">
        <f t="shared" si="15"/>
        <v>-1.7477001560106389</v>
      </c>
      <c r="T71" s="65">
        <f t="shared" si="16"/>
        <v>8.4779244387872779E-2</v>
      </c>
      <c r="U71" s="65">
        <f t="shared" si="17"/>
        <v>3.5860573896273354E-2</v>
      </c>
      <c r="V71" s="65">
        <f t="shared" si="18"/>
        <v>-0.33264315751710516</v>
      </c>
      <c r="W71" s="65">
        <v>0.95235380000000003</v>
      </c>
    </row>
    <row r="72" spans="10:23" x14ac:dyDescent="0.25">
      <c r="J72">
        <f t="shared" si="19"/>
        <v>69</v>
      </c>
      <c r="K72">
        <f>'Data Hamburguesa'!E70</f>
        <v>1.6544112780768316</v>
      </c>
      <c r="L72">
        <f>'Data Hamburguesa'!F70</f>
        <v>9.5310179804324935E-2</v>
      </c>
      <c r="M72">
        <f>'Data Hamburguesa'!D70</f>
        <v>4.3944491546724391</v>
      </c>
      <c r="N72">
        <v>4.3730989678463734</v>
      </c>
      <c r="O72">
        <f t="shared" si="12"/>
        <v>2.1350186826065709E-2</v>
      </c>
      <c r="P72" s="65">
        <v>3.1053140388305062E-2</v>
      </c>
      <c r="Q72">
        <f t="shared" si="13"/>
        <v>0.34229450703730291</v>
      </c>
      <c r="R72">
        <f t="shared" si="14"/>
        <v>3.9386524301614646E-3</v>
      </c>
      <c r="S72" s="65">
        <f t="shared" si="15"/>
        <v>0.34560329232188713</v>
      </c>
      <c r="T72" s="65">
        <f t="shared" si="16"/>
        <v>0.7306486123817173</v>
      </c>
      <c r="U72" s="65">
        <f t="shared" si="17"/>
        <v>1.2917670804334532E-3</v>
      </c>
      <c r="V72" s="65">
        <f t="shared" si="18"/>
        <v>6.1870076734691477E-2</v>
      </c>
      <c r="W72" s="65">
        <v>1.0708599999999999</v>
      </c>
    </row>
    <row r="73" spans="10:23" x14ac:dyDescent="0.25">
      <c r="J73">
        <f t="shared" si="19"/>
        <v>70</v>
      </c>
      <c r="K73">
        <f>'Data Hamburguesa'!E71</f>
        <v>1.7950872593207297</v>
      </c>
      <c r="L73">
        <f>'Data Hamburguesa'!F71</f>
        <v>0.78845736036427028</v>
      </c>
      <c r="M73">
        <f>'Data Hamburguesa'!D71</f>
        <v>4.3000027991952914</v>
      </c>
      <c r="N73">
        <v>4.3237161352641715</v>
      </c>
      <c r="O73">
        <f t="shared" si="12"/>
        <v>-2.3713336068880153E-2</v>
      </c>
      <c r="P73" s="65">
        <v>2.3666875114870707E-2</v>
      </c>
      <c r="Q73">
        <f t="shared" si="13"/>
        <v>-0.38018143569580048</v>
      </c>
      <c r="R73">
        <f t="shared" si="14"/>
        <v>3.9371663141852548E-3</v>
      </c>
      <c r="S73" s="65">
        <f t="shared" si="15"/>
        <v>-0.38247386433097941</v>
      </c>
      <c r="T73" s="65">
        <f t="shared" si="16"/>
        <v>0.70323662970969525</v>
      </c>
      <c r="U73" s="65">
        <f t="shared" si="17"/>
        <v>1.1962044913199771E-3</v>
      </c>
      <c r="V73" s="65">
        <f t="shared" si="18"/>
        <v>-5.95488270109902E-2</v>
      </c>
      <c r="W73" s="65">
        <v>1.0615559999999999</v>
      </c>
    </row>
    <row r="74" spans="10:23" x14ac:dyDescent="0.25">
      <c r="J74">
        <f t="shared" si="19"/>
        <v>71</v>
      </c>
      <c r="K74">
        <f>'Data Hamburguesa'!E72</f>
        <v>1.7457155307266483</v>
      </c>
      <c r="L74">
        <f>'Data Hamburguesa'!F72</f>
        <v>0.53062825106217038</v>
      </c>
      <c r="M74">
        <f>'Data Hamburguesa'!D72</f>
        <v>4.4091553020621346</v>
      </c>
      <c r="N74">
        <v>4.3403858732831511</v>
      </c>
      <c r="O74">
        <f t="shared" si="12"/>
        <v>6.876942877898351E-2</v>
      </c>
      <c r="P74" s="65">
        <v>1.3635596296167847E-2</v>
      </c>
      <c r="Q74">
        <f t="shared" si="13"/>
        <v>1.1025382548128633</v>
      </c>
      <c r="R74">
        <f t="shared" si="14"/>
        <v>3.8777485902193533E-3</v>
      </c>
      <c r="S74" s="65">
        <f t="shared" si="15"/>
        <v>1.1119541939643673</v>
      </c>
      <c r="T74" s="65">
        <f t="shared" si="16"/>
        <v>0.2698569761794859</v>
      </c>
      <c r="U74" s="65">
        <f t="shared" si="17"/>
        <v>5.6789158391143636E-3</v>
      </c>
      <c r="V74" s="65">
        <f t="shared" si="18"/>
        <v>0.13073903321922511</v>
      </c>
      <c r="W74" s="65">
        <v>1.0039009999999999</v>
      </c>
    </row>
    <row r="75" spans="10:23" x14ac:dyDescent="0.25">
      <c r="J75">
        <f t="shared" si="19"/>
        <v>72</v>
      </c>
      <c r="K75">
        <f>'Data Hamburguesa'!E73</f>
        <v>1.631199404215613</v>
      </c>
      <c r="L75">
        <f>'Data Hamburguesa'!F73</f>
        <v>-0.35667494393873245</v>
      </c>
      <c r="M75">
        <f>'Data Hamburguesa'!D73</f>
        <v>4.3067641501733345</v>
      </c>
      <c r="N75">
        <v>4.3659059435178236</v>
      </c>
      <c r="O75">
        <f t="shared" si="12"/>
        <v>-5.9141793344489102E-2</v>
      </c>
      <c r="P75" s="65">
        <v>6.4794924221096395E-2</v>
      </c>
      <c r="Q75">
        <f t="shared" si="13"/>
        <v>-0.94818425539203455</v>
      </c>
      <c r="R75">
        <f t="shared" si="14"/>
        <v>3.8926010003174426E-3</v>
      </c>
      <c r="S75" s="65">
        <f t="shared" si="15"/>
        <v>-0.98021448694537328</v>
      </c>
      <c r="T75" s="65">
        <f t="shared" si="16"/>
        <v>0.33026251641882021</v>
      </c>
      <c r="U75" s="65">
        <f t="shared" si="17"/>
        <v>2.2201969422071758E-2</v>
      </c>
      <c r="V75" s="65">
        <f t="shared" si="18"/>
        <v>-0.25801097643037618</v>
      </c>
      <c r="W75" s="65">
        <v>1.071032</v>
      </c>
    </row>
    <row r="76" spans="10:23" x14ac:dyDescent="0.25">
      <c r="J76">
        <f t="shared" si="19"/>
        <v>73</v>
      </c>
      <c r="K76">
        <f>'Data Hamburguesa'!E74</f>
        <v>1.7422190236679189</v>
      </c>
      <c r="L76">
        <f>'Data Hamburguesa'!F74</f>
        <v>-0.35667494393873245</v>
      </c>
      <c r="M76">
        <f>'Data Hamburguesa'!D74</f>
        <v>4.3228072750139104</v>
      </c>
      <c r="N76">
        <v>4.3020767641202227</v>
      </c>
      <c r="O76">
        <f t="shared" si="12"/>
        <v>2.0730510893687715E-2</v>
      </c>
      <c r="P76" s="65">
        <v>4.7712366947327396E-2</v>
      </c>
      <c r="Q76">
        <f t="shared" si="13"/>
        <v>0.33235962124336471</v>
      </c>
      <c r="R76">
        <f t="shared" si="14"/>
        <v>3.9389221918962273E-3</v>
      </c>
      <c r="S76" s="65">
        <f t="shared" si="15"/>
        <v>0.33848328876463263</v>
      </c>
      <c r="T76" s="65">
        <f t="shared" si="16"/>
        <v>0.73598410787207247</v>
      </c>
      <c r="U76" s="65">
        <f t="shared" si="17"/>
        <v>1.9372690007708211E-3</v>
      </c>
      <c r="V76" s="65">
        <f t="shared" si="18"/>
        <v>7.5765002303979312E-2</v>
      </c>
      <c r="W76" s="65">
        <v>1.089817</v>
      </c>
    </row>
    <row r="77" spans="10:23" x14ac:dyDescent="0.25">
      <c r="J77">
        <f t="shared" si="19"/>
        <v>74</v>
      </c>
      <c r="K77">
        <f>'Data Hamburguesa'!E75</f>
        <v>1.6956156086751528</v>
      </c>
      <c r="L77">
        <f>'Data Hamburguesa'!F75</f>
        <v>0.69314718055994529</v>
      </c>
      <c r="M77">
        <f>'Data Hamburguesa'!D75</f>
        <v>4.3981460165537651</v>
      </c>
      <c r="N77">
        <v>4.3765750423774392</v>
      </c>
      <c r="O77">
        <f t="shared" si="12"/>
        <v>2.1570974176325919E-2</v>
      </c>
      <c r="P77" s="65">
        <v>1.7728585916904599E-2</v>
      </c>
      <c r="Q77">
        <f t="shared" si="13"/>
        <v>0.34583425579140398</v>
      </c>
      <c r="R77">
        <f t="shared" si="14"/>
        <v>3.9386064307391951E-3</v>
      </c>
      <c r="S77" s="65">
        <f t="shared" si="15"/>
        <v>0.34680289434677802</v>
      </c>
      <c r="T77" s="65">
        <f t="shared" si="16"/>
        <v>0.72975097021804514</v>
      </c>
      <c r="U77" s="65">
        <f t="shared" si="17"/>
        <v>7.325307311194818E-4</v>
      </c>
      <c r="V77" s="65">
        <f t="shared" si="18"/>
        <v>4.6591212076822021E-2</v>
      </c>
      <c r="W77" s="65">
        <v>1.0562959999999999</v>
      </c>
    </row>
    <row r="78" spans="10:23" x14ac:dyDescent="0.25">
      <c r="J78" s="4">
        <f t="shared" si="19"/>
        <v>75</v>
      </c>
      <c r="K78" s="4">
        <f>'Data Hamburguesa'!E76</f>
        <v>1.80005827204275</v>
      </c>
      <c r="L78" s="4">
        <f>'Data Hamburguesa'!F76</f>
        <v>0.78845736036427028</v>
      </c>
      <c r="M78" s="4">
        <f>'Data Hamburguesa'!D76</f>
        <v>4.3174881135363101</v>
      </c>
      <c r="N78" s="4">
        <v>4.3208581209385333</v>
      </c>
      <c r="O78" s="4">
        <f t="shared" si="12"/>
        <v>-3.3700074022231519E-3</v>
      </c>
      <c r="P78" s="73">
        <v>2.4688809008571795E-2</v>
      </c>
      <c r="Q78" s="4">
        <f t="shared" si="13"/>
        <v>-5.4029270650115549E-2</v>
      </c>
      <c r="R78" s="4">
        <f t="shared" si="14"/>
        <v>3.9451143266599556E-3</v>
      </c>
      <c r="S78" s="73">
        <f t="shared" si="15"/>
        <v>-5.4328717670406555E-2</v>
      </c>
      <c r="T78" s="73">
        <f t="shared" si="16"/>
        <v>0.95682373889779371</v>
      </c>
      <c r="U78" s="73">
        <f t="shared" si="17"/>
        <v>2.5255192335454344E-5</v>
      </c>
      <c r="V78" s="73">
        <f t="shared" si="18"/>
        <v>-8.6438639105159663E-3</v>
      </c>
      <c r="W78" s="65">
        <v>1.0691170000000001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K73"/>
  <sheetViews>
    <sheetView showGridLines="0" topLeftCell="N1" workbookViewId="0">
      <selection activeCell="S27" sqref="S27"/>
    </sheetView>
  </sheetViews>
  <sheetFormatPr baseColWidth="10" defaultRowHeight="15" x14ac:dyDescent="0.25"/>
  <cols>
    <col min="1" max="1" width="3" customWidth="1"/>
    <col min="8" max="8" width="18.5703125" bestFit="1" customWidth="1"/>
    <col min="9" max="9" width="8.28515625" bestFit="1" customWidth="1"/>
    <col min="10" max="10" width="7.5703125" bestFit="1" customWidth="1"/>
    <col min="11" max="11" width="8.5703125" bestFit="1" customWidth="1"/>
    <col min="12" max="12" width="12" bestFit="1" customWidth="1"/>
    <col min="13" max="13" width="9" bestFit="1" customWidth="1"/>
    <col min="14" max="14" width="8.28515625" bestFit="1" customWidth="1"/>
    <col min="15" max="15" width="7.5703125" bestFit="1" customWidth="1"/>
    <col min="16" max="17" width="7.5703125" customWidth="1"/>
    <col min="18" max="18" width="7.140625" bestFit="1" customWidth="1"/>
    <col min="19" max="19" width="15.28515625" bestFit="1" customWidth="1"/>
    <col min="20" max="20" width="24.7109375" bestFit="1" customWidth="1"/>
  </cols>
  <sheetData>
    <row r="1" spans="2:37" ht="15.75" thickTop="1" x14ac:dyDescent="0.25">
      <c r="B1" s="6" t="s">
        <v>41</v>
      </c>
      <c r="C1" s="6" t="s">
        <v>38</v>
      </c>
      <c r="D1" s="6" t="s">
        <v>39</v>
      </c>
      <c r="E1" s="6" t="s">
        <v>37</v>
      </c>
    </row>
    <row r="2" spans="2:37" x14ac:dyDescent="0.25">
      <c r="B2">
        <v>1</v>
      </c>
      <c r="C2">
        <v>1.7387102481382397</v>
      </c>
      <c r="D2">
        <v>0.26236426446749106</v>
      </c>
      <c r="E2">
        <v>4.2931954209672663</v>
      </c>
      <c r="H2" t="s">
        <v>9</v>
      </c>
      <c r="V2" t="s">
        <v>40</v>
      </c>
    </row>
    <row r="3" spans="2:37" ht="15.75" thickBot="1" x14ac:dyDescent="0.3">
      <c r="B3">
        <v>2</v>
      </c>
      <c r="C3">
        <v>1.8702625307159986</v>
      </c>
      <c r="D3">
        <v>1.0647107369924282</v>
      </c>
      <c r="E3">
        <v>4.2738844760541781</v>
      </c>
    </row>
    <row r="4" spans="2:37" ht="16.5" thickTop="1" thickBot="1" x14ac:dyDescent="0.3">
      <c r="B4">
        <v>4</v>
      </c>
      <c r="C4">
        <v>1.827769906751088</v>
      </c>
      <c r="D4">
        <v>-0.35667494393873245</v>
      </c>
      <c r="E4">
        <v>4.2106450179182611</v>
      </c>
      <c r="H4" s="3" t="s">
        <v>10</v>
      </c>
      <c r="I4" s="3"/>
      <c r="K4" s="3"/>
      <c r="L4" s="3"/>
      <c r="V4" s="6" t="s">
        <v>41</v>
      </c>
      <c r="W4" s="6" t="str">
        <f t="shared" ref="W4:W35" si="0">E1</f>
        <v>ln sales</v>
      </c>
      <c r="X4" s="6" t="str">
        <f t="shared" ref="X4:X35" si="1">C1</f>
        <v>ln price</v>
      </c>
      <c r="Y4" s="6" t="str">
        <f t="shared" ref="Y4:Y35" si="2">D1</f>
        <v>ln advert</v>
      </c>
      <c r="Z4" s="6" t="s">
        <v>42</v>
      </c>
      <c r="AA4" s="6" t="s">
        <v>28</v>
      </c>
      <c r="AB4" s="6" t="s">
        <v>43</v>
      </c>
      <c r="AC4" s="6" t="s">
        <v>44</v>
      </c>
      <c r="AD4" s="6" t="s">
        <v>45</v>
      </c>
      <c r="AE4" s="6" t="s">
        <v>46</v>
      </c>
      <c r="AF4" s="6" t="s">
        <v>47</v>
      </c>
      <c r="AG4" s="6" t="s">
        <v>40</v>
      </c>
      <c r="AH4" s="6" t="s">
        <v>48</v>
      </c>
    </row>
    <row r="5" spans="2:37" ht="15.75" thickTop="1" x14ac:dyDescent="0.25">
      <c r="B5">
        <v>5</v>
      </c>
      <c r="C5">
        <v>1.6134299337036377</v>
      </c>
      <c r="D5">
        <v>0.40546510810816438</v>
      </c>
      <c r="E5">
        <v>4.4920014878824537</v>
      </c>
      <c r="H5" t="s">
        <v>11</v>
      </c>
      <c r="I5" s="66">
        <f>SQRT(I6)</f>
        <v>0.75052515130265207</v>
      </c>
      <c r="K5" t="s">
        <v>16</v>
      </c>
      <c r="L5" s="66">
        <f>I9*LN(J14/I9)+2*(I13+1)</f>
        <v>-405.40620404908634</v>
      </c>
      <c r="V5">
        <v>1</v>
      </c>
      <c r="W5">
        <f t="shared" si="0"/>
        <v>4.2931954209672663</v>
      </c>
      <c r="X5">
        <f t="shared" si="1"/>
        <v>1.7387102481382397</v>
      </c>
      <c r="Y5">
        <f t="shared" si="2"/>
        <v>0.26236426446749106</v>
      </c>
      <c r="Z5">
        <f t="array" ref="Z5:Z73">TREND(C2:C70,D2:E70)</f>
        <v>1.7638451927136014</v>
      </c>
      <c r="AA5">
        <f t="shared" ref="AA5:AA36" si="3">X5-Z5</f>
        <v>-2.5134944575361695E-2</v>
      </c>
      <c r="AB5">
        <f t="array" ref="AB5:AB73">[1]!LEVERAGE(D2:E70)</f>
        <v>2.537134496691551E-2</v>
      </c>
      <c r="AC5">
        <f>AA5/SQRT($AK$7)</f>
        <v>-0.40330892402199869</v>
      </c>
      <c r="AD5">
        <f>($AK$7-AA5^2/((1-AB5)*$AK$6))*$AK$6/($AK$6-1)</f>
        <v>3.9337902533743418E-3</v>
      </c>
      <c r="AE5">
        <f>AA5/SQRT(AD5*(1-AB5))</f>
        <v>-0.40593149102809334</v>
      </c>
      <c r="AF5">
        <f>_xlfn.T.DIST.2T(ABS(AE5),$AK$6)</f>
        <v>0.68610603048459395</v>
      </c>
      <c r="AG5">
        <f>(AA5^2/$AK$7)*(AB5/(1-AB5)^2)/($AK$8+1)</f>
        <v>1.4481700026940404E-3</v>
      </c>
      <c r="AH5">
        <f>AE5*SQRT(AB5/(1-AB5))</f>
        <v>-6.5494510586006555E-2</v>
      </c>
      <c r="AJ5" t="s">
        <v>49</v>
      </c>
      <c r="AK5" s="7">
        <f>DEVSQ(AA5:AA73)</f>
        <v>0.25634457790406068</v>
      </c>
    </row>
    <row r="6" spans="2:37" x14ac:dyDescent="0.25">
      <c r="B6">
        <v>6</v>
      </c>
      <c r="C6">
        <v>1.8578592709325787</v>
      </c>
      <c r="D6">
        <v>0.26236426446749106</v>
      </c>
      <c r="E6">
        <v>4.2527717988166192</v>
      </c>
      <c r="H6" t="s">
        <v>12</v>
      </c>
      <c r="I6" s="75">
        <f>J13/J15</f>
        <v>0.56328800273786872</v>
      </c>
      <c r="K6" t="s">
        <v>17</v>
      </c>
      <c r="L6" s="66">
        <f>L5+2*(I13+2)*(I13+3)/(I9-I13-3)</f>
        <v>-404.78120404908634</v>
      </c>
      <c r="V6">
        <f>V5+1</f>
        <v>2</v>
      </c>
      <c r="W6">
        <f t="shared" si="0"/>
        <v>4.2738844760541781</v>
      </c>
      <c r="X6">
        <f t="shared" si="1"/>
        <v>1.8702625307159986</v>
      </c>
      <c r="Y6">
        <f t="shared" si="2"/>
        <v>1.0647107369924282</v>
      </c>
      <c r="Z6">
        <v>1.8255267912760593</v>
      </c>
      <c r="AA6">
        <f t="shared" si="3"/>
        <v>4.4735739439939248E-2</v>
      </c>
      <c r="AB6">
        <v>5.6203039512468855E-2</v>
      </c>
      <c r="AC6">
        <f t="shared" ref="AC6:AC69" si="4">AA6/SQRT($AK$7)</f>
        <v>0.71781829017980858</v>
      </c>
      <c r="AD6">
        <f t="shared" ref="AD6:AD69" si="5">($AK$7-AA6^2/((1-AB6)*$AK$6))*$AK$6/($AK$6-1)</f>
        <v>3.9111402317544633E-3</v>
      </c>
      <c r="AE6">
        <f t="shared" ref="AE6:AE69" si="6">AA6/SQRT(AD6*(1-AB6))</f>
        <v>0.73631498532110429</v>
      </c>
      <c r="AF6">
        <f t="shared" ref="AF6:AF69" si="7">_xlfn.T.DIST.2T(ABS(AE6),$AK$6)</f>
        <v>0.46414814530383186</v>
      </c>
      <c r="AG6">
        <f t="shared" ref="AG6:AG69" si="8">(AA6^2/$AK$7)*(AB6/(1-AB6)^2)/($AK$8+1)</f>
        <v>1.0837034100459374E-2</v>
      </c>
      <c r="AH6">
        <f t="shared" ref="AH6:AH69" si="9">AE6*SQRT(AB6/(1-AB6))</f>
        <v>0.17968186789572876</v>
      </c>
      <c r="AJ6" t="s">
        <v>50</v>
      </c>
      <c r="AK6" s="8">
        <f>COUNT(C2:C70)-AK8-1</f>
        <v>66</v>
      </c>
    </row>
    <row r="7" spans="2:37" x14ac:dyDescent="0.25">
      <c r="B7">
        <v>7</v>
      </c>
      <c r="C7">
        <v>1.766441661243765</v>
      </c>
      <c r="D7">
        <v>0.58778666490211906</v>
      </c>
      <c r="E7">
        <v>4.2931954209672663</v>
      </c>
      <c r="H7" t="s">
        <v>13</v>
      </c>
      <c r="I7" s="66">
        <f>1-(1-I6)*(I9-1)/(I9-I13-1)</f>
        <v>0.55005430585113746</v>
      </c>
      <c r="K7" s="4" t="s">
        <v>18</v>
      </c>
      <c r="L7" s="77">
        <f>I9*LN(J14/I9)+(I13+1)*LN(I9)</f>
        <v>-398.70388453529455</v>
      </c>
      <c r="V7">
        <f t="shared" ref="V7:V70" si="10">V6+1</f>
        <v>3</v>
      </c>
      <c r="W7">
        <f t="shared" si="0"/>
        <v>4.2106450179182611</v>
      </c>
      <c r="X7">
        <f t="shared" si="1"/>
        <v>1.827769906751088</v>
      </c>
      <c r="Y7">
        <f t="shared" si="2"/>
        <v>-0.35667494393873245</v>
      </c>
      <c r="Z7">
        <v>1.8021389265510521</v>
      </c>
      <c r="AA7">
        <f t="shared" si="3"/>
        <v>2.5630980200035847E-2</v>
      </c>
      <c r="AB7">
        <v>9.4180376708457025E-2</v>
      </c>
      <c r="AC7">
        <f t="shared" si="4"/>
        <v>0.41126818541858096</v>
      </c>
      <c r="AD7">
        <f t="shared" si="5"/>
        <v>3.9326050198092198E-3</v>
      </c>
      <c r="AE7">
        <f t="shared" si="6"/>
        <v>0.42944167501784181</v>
      </c>
      <c r="AF7">
        <f t="shared" si="7"/>
        <v>0.66900053755815014</v>
      </c>
      <c r="AG7">
        <f t="shared" si="8"/>
        <v>6.4715148015142493E-3</v>
      </c>
      <c r="AH7">
        <f t="shared" si="9"/>
        <v>0.1384725013468146</v>
      </c>
      <c r="AJ7" t="s">
        <v>51</v>
      </c>
      <c r="AK7" s="8">
        <f>AK5/AK6</f>
        <v>3.8840087561221315E-3</v>
      </c>
    </row>
    <row r="8" spans="2:37" x14ac:dyDescent="0.25">
      <c r="B8">
        <v>8</v>
      </c>
      <c r="C8">
        <v>1.6882490928583902</v>
      </c>
      <c r="D8">
        <v>0.87546873735389985</v>
      </c>
      <c r="E8">
        <v>4.4555094114336846</v>
      </c>
      <c r="H8" t="s">
        <v>14</v>
      </c>
      <c r="I8" s="66">
        <f>SQRT(K14)</f>
        <v>5.1871877454982528E-2</v>
      </c>
      <c r="V8">
        <f t="shared" si="10"/>
        <v>4</v>
      </c>
      <c r="W8">
        <f t="shared" si="0"/>
        <v>4.4920014878824537</v>
      </c>
      <c r="X8">
        <f t="shared" si="1"/>
        <v>1.6134299337036377</v>
      </c>
      <c r="Y8">
        <f t="shared" si="2"/>
        <v>0.40546510810816438</v>
      </c>
      <c r="Z8">
        <v>1.5966009349652621</v>
      </c>
      <c r="AA8">
        <f t="shared" si="3"/>
        <v>1.6828998738375622E-2</v>
      </c>
      <c r="AB8">
        <v>7.0048954103373973E-2</v>
      </c>
      <c r="AC8">
        <f t="shared" si="4"/>
        <v>0.27003383091582472</v>
      </c>
      <c r="AD8">
        <f t="shared" si="5"/>
        <v>3.9390773754068038E-3</v>
      </c>
      <c r="AE8">
        <f t="shared" si="6"/>
        <v>0.27805517248350026</v>
      </c>
      <c r="AF8">
        <f t="shared" si="7"/>
        <v>0.78183923373334518</v>
      </c>
      <c r="AG8">
        <f t="shared" si="8"/>
        <v>1.9687772466817069E-3</v>
      </c>
      <c r="AH8">
        <f t="shared" si="9"/>
        <v>7.6313568558538325E-2</v>
      </c>
      <c r="AJ8" t="s">
        <v>52</v>
      </c>
      <c r="AK8" s="9">
        <f>COUNT(D2:E2)</f>
        <v>2</v>
      </c>
    </row>
    <row r="9" spans="2:37" x14ac:dyDescent="0.25">
      <c r="B9">
        <v>10</v>
      </c>
      <c r="C9">
        <v>1.824549292051046</v>
      </c>
      <c r="D9">
        <v>1.0986122886681098</v>
      </c>
      <c r="E9">
        <v>4.3359826961724748</v>
      </c>
      <c r="H9" s="4" t="s">
        <v>15</v>
      </c>
      <c r="I9" s="4">
        <f>COUNT(W5:W73)</f>
        <v>69</v>
      </c>
      <c r="V9">
        <f t="shared" si="10"/>
        <v>5</v>
      </c>
      <c r="W9">
        <f t="shared" si="0"/>
        <v>4.2527717988166192</v>
      </c>
      <c r="X9">
        <f t="shared" si="1"/>
        <v>1.8578592709325787</v>
      </c>
      <c r="Y9">
        <f t="shared" si="2"/>
        <v>0.26236426446749106</v>
      </c>
      <c r="Z9">
        <v>1.799470975301785</v>
      </c>
      <c r="AA9">
        <f t="shared" si="3"/>
        <v>5.838829563079373E-2</v>
      </c>
      <c r="AB9">
        <v>3.9890795442801386E-2</v>
      </c>
      <c r="AC9">
        <f t="shared" si="4"/>
        <v>0.93688373235630729</v>
      </c>
      <c r="AD9">
        <f t="shared" si="5"/>
        <v>3.8891344469393256E-3</v>
      </c>
      <c r="AE9">
        <f t="shared" si="6"/>
        <v>0.95551828707856867</v>
      </c>
      <c r="AF9">
        <f t="shared" si="7"/>
        <v>0.34280251521666649</v>
      </c>
      <c r="AG9">
        <f t="shared" si="8"/>
        <v>1.2661395396825363E-2</v>
      </c>
      <c r="AH9">
        <f t="shared" si="9"/>
        <v>0.19476684746890158</v>
      </c>
    </row>
    <row r="10" spans="2:37" x14ac:dyDescent="0.25">
      <c r="B10">
        <v>11</v>
      </c>
      <c r="C10">
        <v>1.7011051009599243</v>
      </c>
      <c r="D10">
        <v>1.0296194171811581</v>
      </c>
      <c r="E10">
        <v>4.3385970767465452</v>
      </c>
      <c r="V10">
        <f t="shared" si="10"/>
        <v>6</v>
      </c>
      <c r="W10">
        <f t="shared" si="0"/>
        <v>4.2931954209672663</v>
      </c>
      <c r="X10">
        <f t="shared" si="1"/>
        <v>1.766441661243765</v>
      </c>
      <c r="Y10">
        <f t="shared" si="2"/>
        <v>0.58778666490211906</v>
      </c>
      <c r="Z10">
        <v>1.7819598444755069</v>
      </c>
      <c r="AA10">
        <f t="shared" si="3"/>
        <v>-1.5518183231741922E-2</v>
      </c>
      <c r="AB10">
        <v>2.4258610310233797E-2</v>
      </c>
      <c r="AC10">
        <f t="shared" si="4"/>
        <v>-0.24900081888801995</v>
      </c>
      <c r="AD10">
        <f t="shared" si="5"/>
        <v>3.9399657975764538E-3</v>
      </c>
      <c r="AE10">
        <f t="shared" si="6"/>
        <v>-0.25028065669964639</v>
      </c>
      <c r="AF10">
        <f t="shared" si="7"/>
        <v>0.80314776014212397</v>
      </c>
      <c r="AG10">
        <f t="shared" si="8"/>
        <v>5.2659503357574877E-4</v>
      </c>
      <c r="AH10">
        <f t="shared" si="9"/>
        <v>-3.9463252935606936E-2</v>
      </c>
    </row>
    <row r="11" spans="2:37" ht="15.75" thickBot="1" x14ac:dyDescent="0.3">
      <c r="B11">
        <v>12</v>
      </c>
      <c r="C11">
        <v>1.8148247421590511</v>
      </c>
      <c r="D11">
        <v>0.99325177301028345</v>
      </c>
      <c r="E11">
        <v>4.4091553020621346</v>
      </c>
      <c r="H11" t="s">
        <v>19</v>
      </c>
      <c r="L11" s="5" t="s">
        <v>20</v>
      </c>
      <c r="M11" s="5">
        <v>0.05</v>
      </c>
      <c r="S11" s="83" t="s">
        <v>104</v>
      </c>
      <c r="T11" s="83" t="s">
        <v>105</v>
      </c>
      <c r="V11">
        <f t="shared" si="10"/>
        <v>7</v>
      </c>
      <c r="W11">
        <f t="shared" si="0"/>
        <v>4.4555094114336846</v>
      </c>
      <c r="X11">
        <f t="shared" si="1"/>
        <v>1.6882490928583902</v>
      </c>
      <c r="Y11">
        <f t="shared" si="2"/>
        <v>0.87546873735389985</v>
      </c>
      <c r="Z11">
        <v>1.6549245751193125</v>
      </c>
      <c r="AA11">
        <f t="shared" si="3"/>
        <v>3.3324517739077741E-2</v>
      </c>
      <c r="AB11">
        <v>4.2904500723653261E-2</v>
      </c>
      <c r="AC11">
        <f t="shared" si="4"/>
        <v>0.53471673082875881</v>
      </c>
      <c r="AD11">
        <f t="shared" si="5"/>
        <v>3.9259118781450131E-3</v>
      </c>
      <c r="AE11">
        <f t="shared" si="6"/>
        <v>0.54364570667187317</v>
      </c>
      <c r="AF11">
        <f t="shared" si="7"/>
        <v>0.5885170012816221</v>
      </c>
      <c r="AG11">
        <f t="shared" si="8"/>
        <v>4.4639425414144734E-3</v>
      </c>
      <c r="AH11">
        <f t="shared" si="9"/>
        <v>0.11510382394942856</v>
      </c>
    </row>
    <row r="12" spans="2:37" ht="15.75" thickTop="1" x14ac:dyDescent="0.25">
      <c r="B12">
        <v>13</v>
      </c>
      <c r="C12">
        <v>1.6808279085207734</v>
      </c>
      <c r="D12">
        <v>1.0296194171811581</v>
      </c>
      <c r="E12">
        <v>4.4079380164583828</v>
      </c>
      <c r="H12" s="6"/>
      <c r="I12" s="6" t="s">
        <v>21</v>
      </c>
      <c r="J12" s="6" t="s">
        <v>22</v>
      </c>
      <c r="K12" s="6" t="s">
        <v>23</v>
      </c>
      <c r="L12" s="6" t="s">
        <v>24</v>
      </c>
      <c r="M12" s="6" t="s">
        <v>25</v>
      </c>
      <c r="N12" s="6" t="s">
        <v>26</v>
      </c>
      <c r="R12" s="83" t="s">
        <v>100</v>
      </c>
      <c r="S12" s="63">
        <v>0.46910000000000002</v>
      </c>
      <c r="T12" s="63">
        <v>0.56328999999999996</v>
      </c>
      <c r="V12">
        <f t="shared" si="10"/>
        <v>8</v>
      </c>
      <c r="W12">
        <f t="shared" si="0"/>
        <v>4.3359826961724748</v>
      </c>
      <c r="X12">
        <f t="shared" si="1"/>
        <v>1.824549292051046</v>
      </c>
      <c r="Y12">
        <f t="shared" si="2"/>
        <v>1.0986122886681098</v>
      </c>
      <c r="Z12">
        <v>1.7726860785408167</v>
      </c>
      <c r="AA12">
        <f t="shared" si="3"/>
        <v>5.1863213510229267E-2</v>
      </c>
      <c r="AB12">
        <v>3.7157785086792627E-2</v>
      </c>
      <c r="AC12">
        <f t="shared" si="4"/>
        <v>0.83218392522883666</v>
      </c>
      <c r="AD12">
        <f t="shared" si="5"/>
        <v>3.9007843249155953E-3</v>
      </c>
      <c r="AE12">
        <f t="shared" si="6"/>
        <v>0.84626404926217658</v>
      </c>
      <c r="AF12">
        <f t="shared" si="7"/>
        <v>0.40046340161866312</v>
      </c>
      <c r="AG12">
        <f t="shared" si="8"/>
        <v>9.2524545918521248E-3</v>
      </c>
      <c r="AH12">
        <f t="shared" si="9"/>
        <v>0.16624677886664771</v>
      </c>
    </row>
    <row r="13" spans="2:37" x14ac:dyDescent="0.25">
      <c r="B13">
        <v>14</v>
      </c>
      <c r="C13">
        <v>1.8640801308076811</v>
      </c>
      <c r="D13">
        <v>1.0296194171811581</v>
      </c>
      <c r="E13">
        <v>4.2282925347318399</v>
      </c>
      <c r="H13" t="s">
        <v>27</v>
      </c>
      <c r="I13">
        <f>COUNT(X5:Y5)</f>
        <v>2</v>
      </c>
      <c r="J13" s="66">
        <f>DEVSQ(MMULT([1]!DESIGN(X5:Y73),I18:I20))</f>
        <v>0.22905683123123857</v>
      </c>
      <c r="K13" s="66">
        <f>J13/I13</f>
        <v>0.11452841561561929</v>
      </c>
      <c r="L13" s="76">
        <f>K13/K14</f>
        <v>42.564674675498182</v>
      </c>
      <c r="M13">
        <f>_xlfn.F.DIST.RT(L13,I13,I14)</f>
        <v>1.3379474520114194E-12</v>
      </c>
      <c r="N13" s="5" t="str">
        <f>IF(M13&lt;M11,"yes","no")</f>
        <v>yes</v>
      </c>
      <c r="R13" s="83" t="s">
        <v>101</v>
      </c>
      <c r="S13" s="63">
        <v>31.810099999999998</v>
      </c>
      <c r="T13" s="63">
        <v>42.564700000000002</v>
      </c>
      <c r="V13">
        <f t="shared" si="10"/>
        <v>9</v>
      </c>
      <c r="W13">
        <f t="shared" si="0"/>
        <v>4.3385970767465452</v>
      </c>
      <c r="X13">
        <f t="shared" si="1"/>
        <v>1.7011051009599243</v>
      </c>
      <c r="Y13">
        <f t="shared" si="2"/>
        <v>1.0296194171811581</v>
      </c>
      <c r="Z13">
        <v>1.7665415050744544</v>
      </c>
      <c r="AA13">
        <f t="shared" si="3"/>
        <v>-6.5436404114530111E-2</v>
      </c>
      <c r="AB13">
        <v>3.1811580897141811E-2</v>
      </c>
      <c r="AC13">
        <f t="shared" si="4"/>
        <v>-1.0499758874013772</v>
      </c>
      <c r="AD13">
        <f t="shared" si="5"/>
        <v>3.875722532303269E-3</v>
      </c>
      <c r="AE13">
        <f t="shared" si="6"/>
        <v>-1.0682260021633887</v>
      </c>
      <c r="AF13">
        <f t="shared" si="7"/>
        <v>0.28931020986835881</v>
      </c>
      <c r="AG13">
        <f t="shared" si="8"/>
        <v>1.2471046014543271E-2</v>
      </c>
      <c r="AH13">
        <f t="shared" si="9"/>
        <v>-0.19363141957807903</v>
      </c>
    </row>
    <row r="14" spans="2:37" x14ac:dyDescent="0.25">
      <c r="B14">
        <v>15</v>
      </c>
      <c r="C14">
        <v>1.6770965609079151</v>
      </c>
      <c r="D14">
        <v>0.83290912293510388</v>
      </c>
      <c r="E14">
        <v>4.3372907408324899</v>
      </c>
      <c r="H14" t="s">
        <v>28</v>
      </c>
      <c r="I14">
        <f>I15-I13</f>
        <v>66</v>
      </c>
      <c r="J14" s="66">
        <f>J15-J13</f>
        <v>0.17758565026651182</v>
      </c>
      <c r="K14" s="66">
        <f>J14/I14</f>
        <v>2.6906916707047247E-3</v>
      </c>
      <c r="R14" s="84" t="s">
        <v>102</v>
      </c>
      <c r="S14" s="63">
        <v>-0.57489999999999997</v>
      </c>
      <c r="T14" s="63">
        <v>-0.61050000000000004</v>
      </c>
      <c r="V14">
        <f t="shared" si="10"/>
        <v>10</v>
      </c>
      <c r="W14">
        <f t="shared" si="0"/>
        <v>4.4091553020621346</v>
      </c>
      <c r="X14">
        <f t="shared" si="1"/>
        <v>1.8148247421590511</v>
      </c>
      <c r="Y14">
        <f t="shared" si="2"/>
        <v>0.99325177301028345</v>
      </c>
      <c r="Z14">
        <v>1.7023333589802494</v>
      </c>
      <c r="AA14">
        <f t="shared" si="3"/>
        <v>0.1124913831788017</v>
      </c>
      <c r="AB14">
        <v>3.1306584120615266E-2</v>
      </c>
      <c r="AC14">
        <f t="shared" si="4"/>
        <v>1.8050081063660357</v>
      </c>
      <c r="AD14">
        <f t="shared" si="5"/>
        <v>3.7427892308643032E-3</v>
      </c>
      <c r="AE14">
        <f t="shared" si="6"/>
        <v>1.8682216356635319</v>
      </c>
      <c r="AF14">
        <f t="shared" si="7"/>
        <v>6.6170967413955062E-2</v>
      </c>
      <c r="AG14">
        <f t="shared" si="8"/>
        <v>3.6232645672199457E-2</v>
      </c>
      <c r="AH14">
        <f t="shared" si="9"/>
        <v>0.33585596450188826</v>
      </c>
    </row>
    <row r="15" spans="2:37" x14ac:dyDescent="0.25">
      <c r="B15">
        <v>16</v>
      </c>
      <c r="C15">
        <v>1.6524974018945473</v>
      </c>
      <c r="D15">
        <v>0.53062825106217038</v>
      </c>
      <c r="E15">
        <v>4.3857696209527157</v>
      </c>
      <c r="H15" s="4" t="s">
        <v>29</v>
      </c>
      <c r="I15" s="4">
        <f>I9-1</f>
        <v>68</v>
      </c>
      <c r="J15" s="77">
        <f>DEVSQ(W5:W73)</f>
        <v>0.4066424814977504</v>
      </c>
      <c r="K15" s="77"/>
      <c r="L15" s="4"/>
      <c r="M15" s="4"/>
      <c r="N15" s="4"/>
      <c r="R15" s="84" t="s">
        <v>103</v>
      </c>
      <c r="S15" s="63">
        <v>4.5400000000000003E-2</v>
      </c>
      <c r="T15" s="63">
        <v>5.0999999999999997E-2</v>
      </c>
      <c r="V15">
        <f t="shared" si="10"/>
        <v>11</v>
      </c>
      <c r="W15">
        <f t="shared" si="0"/>
        <v>4.4079380164583828</v>
      </c>
      <c r="X15">
        <f t="shared" si="1"/>
        <v>1.6808279085207734</v>
      </c>
      <c r="Y15">
        <f t="shared" si="2"/>
        <v>1.0296194171811581</v>
      </c>
      <c r="Z15">
        <v>1.7054305726244108</v>
      </c>
      <c r="AA15">
        <f t="shared" si="3"/>
        <v>-2.4602664103637428E-2</v>
      </c>
      <c r="AB15">
        <v>3.288836453482552E-2</v>
      </c>
      <c r="AC15">
        <f t="shared" si="4"/>
        <v>-0.39476808703366223</v>
      </c>
      <c r="AD15">
        <f t="shared" si="5"/>
        <v>3.9341338894612523E-3</v>
      </c>
      <c r="AE15">
        <f t="shared" si="6"/>
        <v>-0.39885887968299294</v>
      </c>
      <c r="AF15">
        <f t="shared" si="7"/>
        <v>0.69128477138104572</v>
      </c>
      <c r="AG15">
        <f t="shared" si="8"/>
        <v>1.8266354435383738E-3</v>
      </c>
      <c r="AH15">
        <f t="shared" si="9"/>
        <v>-7.3553289386573573E-2</v>
      </c>
    </row>
    <row r="16" spans="2:37" ht="15.75" thickBot="1" x14ac:dyDescent="0.3">
      <c r="B16">
        <v>17</v>
      </c>
      <c r="C16">
        <v>1.7732559976634952</v>
      </c>
      <c r="D16">
        <v>0.40546510810816438</v>
      </c>
      <c r="E16">
        <v>4.2584455729025272</v>
      </c>
      <c r="J16" s="66"/>
      <c r="K16" s="66"/>
      <c r="V16">
        <f t="shared" si="10"/>
        <v>12</v>
      </c>
      <c r="W16">
        <f t="shared" si="0"/>
        <v>4.2282925347318399</v>
      </c>
      <c r="X16">
        <f t="shared" si="1"/>
        <v>1.8640801308076811</v>
      </c>
      <c r="Y16">
        <f t="shared" si="2"/>
        <v>1.0296194171811581</v>
      </c>
      <c r="Z16">
        <v>1.8637541105569682</v>
      </c>
      <c r="AA16">
        <f t="shared" si="3"/>
        <v>3.2602025071293284E-4</v>
      </c>
      <c r="AB16">
        <v>8.1642205191186479E-2</v>
      </c>
      <c r="AC16">
        <f t="shared" si="4"/>
        <v>5.2312379734986173E-3</v>
      </c>
      <c r="AD16">
        <f t="shared" si="5"/>
        <v>3.9437609563957501E-3</v>
      </c>
      <c r="AE16">
        <f t="shared" si="6"/>
        <v>5.4173054953886128E-3</v>
      </c>
      <c r="AF16">
        <f t="shared" si="7"/>
        <v>0.99569397803942894</v>
      </c>
      <c r="AG16">
        <f t="shared" si="8"/>
        <v>8.830363726064476E-7</v>
      </c>
      <c r="AH16">
        <f t="shared" si="9"/>
        <v>1.6152313391031793E-3</v>
      </c>
    </row>
    <row r="17" spans="2:34" ht="15.75" thickTop="1" x14ac:dyDescent="0.25">
      <c r="B17">
        <v>18</v>
      </c>
      <c r="C17">
        <v>1.6505798557652755</v>
      </c>
      <c r="D17">
        <v>-0.22314355131420971</v>
      </c>
      <c r="E17">
        <v>4.3174881135363101</v>
      </c>
      <c r="H17" s="6"/>
      <c r="I17" s="6" t="s">
        <v>30</v>
      </c>
      <c r="J17" s="78" t="s">
        <v>31</v>
      </c>
      <c r="K17" s="78" t="s">
        <v>32</v>
      </c>
      <c r="L17" s="6" t="s">
        <v>25</v>
      </c>
      <c r="M17" s="6" t="s">
        <v>33</v>
      </c>
      <c r="N17" s="6" t="s">
        <v>34</v>
      </c>
      <c r="O17" s="6" t="s">
        <v>35</v>
      </c>
      <c r="P17" s="89"/>
      <c r="Q17" s="89"/>
      <c r="R17" s="89"/>
      <c r="V17">
        <f t="shared" si="10"/>
        <v>13</v>
      </c>
      <c r="W17">
        <f t="shared" si="0"/>
        <v>4.3372907408324899</v>
      </c>
      <c r="X17">
        <f t="shared" si="1"/>
        <v>1.6770965609079151</v>
      </c>
      <c r="Y17">
        <f t="shared" si="2"/>
        <v>0.83290912293510388</v>
      </c>
      <c r="Z17">
        <v>1.7567429063801829</v>
      </c>
      <c r="AA17">
        <f t="shared" si="3"/>
        <v>-7.9646345472267788E-2</v>
      </c>
      <c r="AB17">
        <v>2.149508575932213E-2</v>
      </c>
      <c r="AC17">
        <f t="shared" si="4"/>
        <v>-1.2779849901157965</v>
      </c>
      <c r="AD17">
        <f t="shared" si="5"/>
        <v>3.8440259579500869E-3</v>
      </c>
      <c r="AE17">
        <f t="shared" si="6"/>
        <v>-1.2986472249560077</v>
      </c>
      <c r="AF17">
        <f t="shared" si="7"/>
        <v>0.19858419048651071</v>
      </c>
      <c r="AG17">
        <f t="shared" si="8"/>
        <v>1.2222031857168143E-2</v>
      </c>
      <c r="AH17">
        <f t="shared" si="9"/>
        <v>-0.19247719338401076</v>
      </c>
    </row>
    <row r="18" spans="2:34" x14ac:dyDescent="0.25">
      <c r="B18">
        <v>19</v>
      </c>
      <c r="C18">
        <v>1.791759469228055</v>
      </c>
      <c r="D18">
        <v>1.0647107369924282</v>
      </c>
      <c r="E18">
        <v>4.3000027991952914</v>
      </c>
      <c r="H18" t="s">
        <v>36</v>
      </c>
      <c r="I18" s="66">
        <f t="array" ref="I18:J20">[1]!RegCoeff(X5:Y73,W5:W73)</f>
        <v>5.3792671409169266</v>
      </c>
      <c r="J18" s="66">
        <v>0.11976140560864404</v>
      </c>
      <c r="K18" s="66">
        <f>I18/J18</f>
        <v>44.916533114977618</v>
      </c>
      <c r="L18">
        <f>_xlfn.T.DIST.2T(ABS(K18),$I$14)</f>
        <v>3.3273875028261093E-51</v>
      </c>
      <c r="M18" s="66">
        <f>I18-_xlfn.T.INV.2T(M$11,$I$14)*J18</f>
        <v>5.1401557797149922</v>
      </c>
      <c r="N18" s="66">
        <f>I18+_xlfn.T.INV.2T(M$11,$I$14)*J18</f>
        <v>5.618378502118861</v>
      </c>
      <c r="O18" s="66"/>
      <c r="P18" s="66"/>
      <c r="Q18" s="66"/>
      <c r="R18" s="66"/>
      <c r="V18">
        <f t="shared" si="10"/>
        <v>14</v>
      </c>
      <c r="W18">
        <f t="shared" si="0"/>
        <v>4.3857696209527157</v>
      </c>
      <c r="X18">
        <f t="shared" si="1"/>
        <v>1.6524974018945473</v>
      </c>
      <c r="Y18">
        <f t="shared" si="2"/>
        <v>0.53062825106217038</v>
      </c>
      <c r="Z18">
        <v>1.6971914587997747</v>
      </c>
      <c r="AA18">
        <f t="shared" si="3"/>
        <v>-4.4694056905227431E-2</v>
      </c>
      <c r="AB18">
        <v>1.7479865790396065E-2</v>
      </c>
      <c r="AC18">
        <f t="shared" si="4"/>
        <v>-0.71714946283568104</v>
      </c>
      <c r="AD18">
        <f t="shared" si="5"/>
        <v>3.9124843218303817E-3</v>
      </c>
      <c r="AE18">
        <f t="shared" si="6"/>
        <v>-0.72086301351518878</v>
      </c>
      <c r="AF18">
        <f t="shared" si="7"/>
        <v>0.47353948852990191</v>
      </c>
      <c r="AG18">
        <f t="shared" si="8"/>
        <v>3.1042256007272804E-3</v>
      </c>
      <c r="AH18">
        <f t="shared" si="9"/>
        <v>-9.615039229682798E-2</v>
      </c>
    </row>
    <row r="19" spans="2:34" x14ac:dyDescent="0.25">
      <c r="B19">
        <v>21</v>
      </c>
      <c r="C19">
        <v>1.6733512381777531</v>
      </c>
      <c r="D19">
        <v>0.74193734472937733</v>
      </c>
      <c r="E19">
        <v>4.4391156016580089</v>
      </c>
      <c r="H19" t="str">
        <f t="array" ref="H19:H20">TRANSPOSE(X4:Y4)</f>
        <v>ln price</v>
      </c>
      <c r="I19" s="75">
        <v>-0.61053831176087381</v>
      </c>
      <c r="J19" s="66">
        <v>6.9631546981820405E-2</v>
      </c>
      <c r="K19" s="66">
        <f t="shared" ref="K19:K20" si="11">I19/J19</f>
        <v>-8.7681279279961259</v>
      </c>
      <c r="L19">
        <f t="shared" ref="L19:L20" si="12">_xlfn.T.DIST.2T(ABS(K19),$I$14)</f>
        <v>1.1237322091343743E-12</v>
      </c>
      <c r="M19" s="66">
        <f t="shared" ref="M19:M20" si="13">I19-_xlfn.T.INV.2T(M$11,$I$14)*J19</f>
        <v>-0.74956218090138271</v>
      </c>
      <c r="N19" s="66">
        <f t="shared" ref="N19:N20" si="14">I19+_xlfn.T.INV.2T(M$11,$I$14)*J19</f>
        <v>-0.4715144426203649</v>
      </c>
      <c r="O19" s="66">
        <f>[1]!VIF(X5:Y73,1)</f>
        <v>1.0158855341929489</v>
      </c>
      <c r="P19" s="66"/>
      <c r="Q19" s="66"/>
      <c r="R19" s="66"/>
      <c r="V19">
        <f t="shared" si="10"/>
        <v>15</v>
      </c>
      <c r="W19">
        <f t="shared" si="0"/>
        <v>4.2584455729025272</v>
      </c>
      <c r="X19">
        <f t="shared" si="1"/>
        <v>1.7732559976634952</v>
      </c>
      <c r="Y19">
        <f t="shared" si="2"/>
        <v>0.40546510810816438</v>
      </c>
      <c r="Z19">
        <v>1.8024363303746762</v>
      </c>
      <c r="AA19">
        <f t="shared" si="3"/>
        <v>-2.9180332711181034E-2</v>
      </c>
      <c r="AB19">
        <v>3.6117202792128822E-2</v>
      </c>
      <c r="AC19">
        <f t="shared" si="4"/>
        <v>-0.46822019253173552</v>
      </c>
      <c r="AD19">
        <f t="shared" si="5"/>
        <v>3.9301720036020709E-3</v>
      </c>
      <c r="AE19">
        <f t="shared" si="6"/>
        <v>-0.47410260968141726</v>
      </c>
      <c r="AF19">
        <f t="shared" si="7"/>
        <v>0.63699149346391726</v>
      </c>
      <c r="AG19">
        <f t="shared" si="8"/>
        <v>2.8408262528092439E-3</v>
      </c>
      <c r="AH19">
        <f t="shared" si="9"/>
        <v>-9.1773497927371994E-2</v>
      </c>
    </row>
    <row r="20" spans="2:34" x14ac:dyDescent="0.25">
      <c r="B20">
        <v>22</v>
      </c>
      <c r="C20">
        <v>1.6544112780768316</v>
      </c>
      <c r="D20">
        <v>-0.22314355131420971</v>
      </c>
      <c r="E20">
        <v>4.2986450257348308</v>
      </c>
      <c r="H20" s="85" t="str">
        <v>ln advert</v>
      </c>
      <c r="I20" s="86">
        <v>5.099703983528403E-2</v>
      </c>
      <c r="J20" s="87">
        <v>1.2923556579060289E-2</v>
      </c>
      <c r="K20" s="87">
        <f t="shared" si="11"/>
        <v>3.9460530484242429</v>
      </c>
      <c r="L20" s="85">
        <f t="shared" si="12"/>
        <v>1.9520457591905519E-4</v>
      </c>
      <c r="M20" s="87">
        <f t="shared" si="13"/>
        <v>2.5194326603215196E-2</v>
      </c>
      <c r="N20" s="87">
        <f t="shared" si="14"/>
        <v>7.6799753067352872E-2</v>
      </c>
      <c r="O20" s="87">
        <f>[1]!VIF(X5:Y73,2)</f>
        <v>1.0158855341929489</v>
      </c>
      <c r="P20" s="90"/>
      <c r="Q20" s="90"/>
      <c r="R20" s="90"/>
      <c r="V20">
        <f t="shared" si="10"/>
        <v>16</v>
      </c>
      <c r="W20">
        <f t="shared" si="0"/>
        <v>4.3174881135363101</v>
      </c>
      <c r="X20">
        <f t="shared" si="1"/>
        <v>1.6505798557652755</v>
      </c>
      <c r="Y20">
        <f t="shared" si="2"/>
        <v>-0.22314355131420971</v>
      </c>
      <c r="Z20">
        <v>1.715409962480591</v>
      </c>
      <c r="AA20">
        <f t="shared" si="3"/>
        <v>-6.4830106715315416E-2</v>
      </c>
      <c r="AB20">
        <v>5.0100496043165993E-2</v>
      </c>
      <c r="AC20">
        <f t="shared" si="4"/>
        <v>-1.0402473936312213</v>
      </c>
      <c r="AD20">
        <f t="shared" si="5"/>
        <v>3.8756916860810671E-3</v>
      </c>
      <c r="AE20">
        <f t="shared" si="6"/>
        <v>-1.0684723682928827</v>
      </c>
      <c r="AF20">
        <f t="shared" si="7"/>
        <v>0.28919994776822888</v>
      </c>
      <c r="AG20">
        <f t="shared" si="8"/>
        <v>2.0028052538785944E-2</v>
      </c>
      <c r="AH20">
        <f t="shared" si="9"/>
        <v>-0.24538356846215525</v>
      </c>
    </row>
    <row r="21" spans="2:34" x14ac:dyDescent="0.25">
      <c r="B21">
        <v>23</v>
      </c>
      <c r="C21">
        <v>1.7715567619105355</v>
      </c>
      <c r="D21">
        <v>9.5310179804324935E-2</v>
      </c>
      <c r="E21">
        <v>4.3000027991952914</v>
      </c>
      <c r="V21">
        <f t="shared" si="10"/>
        <v>17</v>
      </c>
      <c r="W21">
        <f t="shared" si="0"/>
        <v>4.3000027991952914</v>
      </c>
      <c r="X21">
        <f t="shared" si="1"/>
        <v>1.791759469228055</v>
      </c>
      <c r="Y21">
        <f t="shared" si="2"/>
        <v>1.0647107369924282</v>
      </c>
      <c r="Z21">
        <v>1.8025084259666473</v>
      </c>
      <c r="AA21">
        <f t="shared" si="3"/>
        <v>-1.074895673859233E-2</v>
      </c>
      <c r="AB21">
        <v>4.4703768376355701E-2</v>
      </c>
      <c r="AC21">
        <f t="shared" si="4"/>
        <v>-0.17247502430740097</v>
      </c>
      <c r="AD21">
        <f t="shared" si="5"/>
        <v>3.941902016201238E-3</v>
      </c>
      <c r="AE21">
        <f t="shared" si="6"/>
        <v>-0.17516380487233138</v>
      </c>
      <c r="AF21">
        <f t="shared" si="7"/>
        <v>0.86148719743875535</v>
      </c>
      <c r="AG21">
        <f t="shared" si="8"/>
        <v>4.8573475616422377E-4</v>
      </c>
      <c r="AH21">
        <f t="shared" si="9"/>
        <v>-3.7891989222128122E-2</v>
      </c>
    </row>
    <row r="22" spans="2:34" x14ac:dyDescent="0.25">
      <c r="B22">
        <v>24</v>
      </c>
      <c r="C22">
        <v>1.8309801823813363</v>
      </c>
      <c r="D22">
        <v>0.64185388617239469</v>
      </c>
      <c r="E22">
        <v>4.3579900568456402</v>
      </c>
      <c r="V22">
        <f t="shared" si="10"/>
        <v>18</v>
      </c>
      <c r="W22">
        <f t="shared" si="0"/>
        <v>4.4391156016580089</v>
      </c>
      <c r="X22">
        <f t="shared" si="1"/>
        <v>1.6733512381777531</v>
      </c>
      <c r="Y22">
        <f t="shared" si="2"/>
        <v>0.74193734472937733</v>
      </c>
      <c r="Z22">
        <v>1.661939589245649</v>
      </c>
      <c r="AA22">
        <f t="shared" si="3"/>
        <v>1.1411648932104113E-2</v>
      </c>
      <c r="AB22">
        <v>3.3418943040213978E-2</v>
      </c>
      <c r="AC22">
        <f t="shared" si="4"/>
        <v>0.18310841459484181</v>
      </c>
      <c r="AD22">
        <f t="shared" si="5"/>
        <v>3.9416899953612769E-3</v>
      </c>
      <c r="AE22">
        <f t="shared" si="6"/>
        <v>0.1848791902178866</v>
      </c>
      <c r="AF22">
        <f t="shared" si="7"/>
        <v>0.85389073660236425</v>
      </c>
      <c r="AG22">
        <f t="shared" si="8"/>
        <v>3.9977119741508096E-4</v>
      </c>
      <c r="AH22">
        <f t="shared" si="9"/>
        <v>3.43767840115086E-2</v>
      </c>
    </row>
    <row r="23" spans="2:34" x14ac:dyDescent="0.25">
      <c r="B23">
        <v>25</v>
      </c>
      <c r="C23">
        <v>1.7209792871670078</v>
      </c>
      <c r="D23">
        <v>0.74193734472937733</v>
      </c>
      <c r="E23">
        <v>4.3267781604434035</v>
      </c>
      <c r="V23">
        <f t="shared" si="10"/>
        <v>19</v>
      </c>
      <c r="W23">
        <f t="shared" si="0"/>
        <v>4.2986450257348308</v>
      </c>
      <c r="X23">
        <f t="shared" si="1"/>
        <v>1.6544112780768316</v>
      </c>
      <c r="Y23">
        <f t="shared" si="2"/>
        <v>-0.22314355131420971</v>
      </c>
      <c r="Z23">
        <v>1.7320165829067324</v>
      </c>
      <c r="AA23">
        <f t="shared" si="3"/>
        <v>-7.7605304829900801E-2</v>
      </c>
      <c r="AB23">
        <v>5.1676805098915535E-2</v>
      </c>
      <c r="AC23">
        <f t="shared" si="4"/>
        <v>-1.2452349713962365</v>
      </c>
      <c r="AD23">
        <f t="shared" si="5"/>
        <v>3.8460585694916642E-3</v>
      </c>
      <c r="AE23">
        <f t="shared" si="6"/>
        <v>-1.2850063560484792</v>
      </c>
      <c r="AF23">
        <f t="shared" si="7"/>
        <v>0.20328144219659761</v>
      </c>
      <c r="AG23">
        <f t="shared" si="8"/>
        <v>2.9700535033298548E-2</v>
      </c>
      <c r="AH23">
        <f t="shared" si="9"/>
        <v>-0.29996799285965703</v>
      </c>
    </row>
    <row r="24" spans="2:34" x14ac:dyDescent="0.25">
      <c r="B24">
        <v>26</v>
      </c>
      <c r="C24">
        <v>1.827769906751088</v>
      </c>
      <c r="D24">
        <v>0.26236426446749106</v>
      </c>
      <c r="E24">
        <v>4.3094559418390466</v>
      </c>
      <c r="H24" s="35" t="s">
        <v>9</v>
      </c>
      <c r="I24" s="35"/>
      <c r="J24" s="35"/>
      <c r="K24" s="35"/>
      <c r="L24" s="35"/>
      <c r="M24" s="35"/>
      <c r="N24" s="35"/>
      <c r="O24" s="35"/>
      <c r="P24" s="35"/>
      <c r="Q24" s="35"/>
      <c r="R24" s="35"/>
      <c r="V24">
        <f t="shared" si="10"/>
        <v>20</v>
      </c>
      <c r="W24">
        <f t="shared" si="0"/>
        <v>4.3000027991952914</v>
      </c>
      <c r="X24">
        <f t="shared" si="1"/>
        <v>1.7715567619105355</v>
      </c>
      <c r="Y24">
        <f t="shared" si="2"/>
        <v>9.5310179804324935E-2</v>
      </c>
      <c r="Z24">
        <v>1.7485467027177064</v>
      </c>
      <c r="AA24">
        <f t="shared" si="3"/>
        <v>2.3010059192829058E-2</v>
      </c>
      <c r="AB24">
        <v>2.986876503489494E-2</v>
      </c>
      <c r="AC24">
        <f t="shared" si="4"/>
        <v>0.36921355393952937</v>
      </c>
      <c r="AD24">
        <f t="shared" si="5"/>
        <v>3.9353663658400822E-3</v>
      </c>
      <c r="AE24">
        <f t="shared" si="6"/>
        <v>0.3724002014955296</v>
      </c>
      <c r="AF24">
        <f t="shared" si="7"/>
        <v>0.7107880658924699</v>
      </c>
      <c r="AG24">
        <f t="shared" si="8"/>
        <v>1.4420831684944175E-3</v>
      </c>
      <c r="AH24">
        <f t="shared" si="9"/>
        <v>6.53436359843549E-2</v>
      </c>
    </row>
    <row r="25" spans="2:34" x14ac:dyDescent="0.25">
      <c r="B25">
        <v>27</v>
      </c>
      <c r="C25">
        <v>1.8578592709325787</v>
      </c>
      <c r="D25">
        <v>9.5310179804324935E-2</v>
      </c>
      <c r="E25">
        <v>4.2297491992283041</v>
      </c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V25">
        <f t="shared" si="10"/>
        <v>21</v>
      </c>
      <c r="W25">
        <f t="shared" si="0"/>
        <v>4.3579900568456402</v>
      </c>
      <c r="X25">
        <f t="shared" si="1"/>
        <v>1.8309801823813363</v>
      </c>
      <c r="Y25">
        <f t="shared" si="2"/>
        <v>0.64185388617239469</v>
      </c>
      <c r="Z25">
        <v>1.7278652737442681</v>
      </c>
      <c r="AA25">
        <f t="shared" si="3"/>
        <v>0.10311490863706818</v>
      </c>
      <c r="AB25">
        <v>1.5149352770256228E-2</v>
      </c>
      <c r="AC25">
        <f t="shared" si="4"/>
        <v>1.654555582104132</v>
      </c>
      <c r="AD25">
        <f t="shared" si="5"/>
        <v>3.7776667302436709E-3</v>
      </c>
      <c r="AE25">
        <f t="shared" si="6"/>
        <v>1.6905361159831926</v>
      </c>
      <c r="AF25">
        <f t="shared" si="7"/>
        <v>9.5643453910337239E-2</v>
      </c>
      <c r="AG25">
        <f t="shared" si="8"/>
        <v>1.4252622979938666E-2</v>
      </c>
      <c r="AH25">
        <f t="shared" si="9"/>
        <v>0.2096700049065055</v>
      </c>
    </row>
    <row r="26" spans="2:34" ht="15.75" thickBot="1" x14ac:dyDescent="0.3">
      <c r="B26">
        <v>28</v>
      </c>
      <c r="C26">
        <v>1.6014057407368361</v>
      </c>
      <c r="D26">
        <v>9.5310179804324935E-2</v>
      </c>
      <c r="E26">
        <v>4.4296256134731609</v>
      </c>
      <c r="H26" s="50" t="s">
        <v>10</v>
      </c>
      <c r="I26" s="50"/>
      <c r="J26" s="35"/>
      <c r="K26" s="50"/>
      <c r="L26" s="50"/>
      <c r="M26" s="35"/>
      <c r="N26" s="35"/>
      <c r="O26" s="35"/>
      <c r="P26" s="35"/>
      <c r="Q26" s="35"/>
      <c r="R26" s="35"/>
      <c r="V26">
        <f t="shared" si="10"/>
        <v>22</v>
      </c>
      <c r="W26">
        <f t="shared" si="0"/>
        <v>4.3267781604434035</v>
      </c>
      <c r="X26">
        <f t="shared" si="1"/>
        <v>1.7209792871670078</v>
      </c>
      <c r="Y26">
        <f t="shared" si="2"/>
        <v>0.74193734472937733</v>
      </c>
      <c r="Z26">
        <v>1.7609438111411957</v>
      </c>
      <c r="AA26">
        <f t="shared" si="3"/>
        <v>-3.9964523974187927E-2</v>
      </c>
      <c r="AB26">
        <v>1.9826205919243001E-2</v>
      </c>
      <c r="AC26">
        <f t="shared" si="4"/>
        <v>-0.64126058105099926</v>
      </c>
      <c r="AD26">
        <f t="shared" si="5"/>
        <v>3.9186939774195862E-3</v>
      </c>
      <c r="AE26">
        <f t="shared" si="6"/>
        <v>-0.64484067828300395</v>
      </c>
      <c r="AF26">
        <f t="shared" si="7"/>
        <v>0.5212656253866399</v>
      </c>
      <c r="AG26">
        <f t="shared" si="8"/>
        <v>2.8286634064760979E-3</v>
      </c>
      <c r="AH26">
        <f t="shared" si="9"/>
        <v>-9.1710843719252616E-2</v>
      </c>
    </row>
    <row r="27" spans="2:34" ht="15.75" thickTop="1" x14ac:dyDescent="0.25">
      <c r="B27">
        <v>29</v>
      </c>
      <c r="C27">
        <v>1.5748464676644813</v>
      </c>
      <c r="D27">
        <v>1.0647107369924282</v>
      </c>
      <c r="E27">
        <v>4.4555094114336846</v>
      </c>
      <c r="H27" s="35" t="s">
        <v>11</v>
      </c>
      <c r="I27" s="45">
        <v>0.68491275789553607</v>
      </c>
      <c r="J27" s="35"/>
      <c r="K27" s="35" t="s">
        <v>16</v>
      </c>
      <c r="L27" s="45">
        <v>-413.25330077667553</v>
      </c>
      <c r="M27" s="35"/>
      <c r="N27" s="35"/>
      <c r="O27" s="35"/>
      <c r="P27" s="35"/>
      <c r="Q27" s="35"/>
      <c r="R27" s="35"/>
      <c r="V27">
        <f t="shared" si="10"/>
        <v>23</v>
      </c>
      <c r="W27">
        <f t="shared" si="0"/>
        <v>4.3094559418390466</v>
      </c>
      <c r="X27">
        <f t="shared" si="1"/>
        <v>1.827769906751088</v>
      </c>
      <c r="Y27">
        <f t="shared" si="2"/>
        <v>0.26236426446749106</v>
      </c>
      <c r="Z27">
        <v>1.7495146169133968</v>
      </c>
      <c r="AA27">
        <f t="shared" si="3"/>
        <v>7.8255289837691144E-2</v>
      </c>
      <c r="AB27">
        <v>2.1928363487974611E-2</v>
      </c>
      <c r="AC27">
        <f t="shared" si="4"/>
        <v>1.2556644654154641</v>
      </c>
      <c r="AD27">
        <f t="shared" si="5"/>
        <v>3.8474367678505471E-3</v>
      </c>
      <c r="AE27">
        <f t="shared" si="6"/>
        <v>1.2756825838523842</v>
      </c>
      <c r="AF27">
        <f t="shared" si="7"/>
        <v>0.20653938528336299</v>
      </c>
      <c r="AG27">
        <f t="shared" si="8"/>
        <v>1.2047331075854852E-2</v>
      </c>
      <c r="AH27">
        <f t="shared" si="9"/>
        <v>0.19101189129733609</v>
      </c>
    </row>
    <row r="28" spans="2:34" x14ac:dyDescent="0.25">
      <c r="B28">
        <v>30</v>
      </c>
      <c r="C28">
        <v>1.8484548129046001</v>
      </c>
      <c r="D28">
        <v>0.33647223662121289</v>
      </c>
      <c r="E28">
        <v>4.3000027991952914</v>
      </c>
      <c r="H28" s="35" t="s">
        <v>12</v>
      </c>
      <c r="I28" s="45">
        <v>0.46910548592806922</v>
      </c>
      <c r="J28" s="35"/>
      <c r="K28" s="35" t="s">
        <v>17</v>
      </c>
      <c r="L28" s="45">
        <v>-412.68187220524698</v>
      </c>
      <c r="M28" s="35"/>
      <c r="N28" s="35"/>
      <c r="O28" s="35"/>
      <c r="P28" s="35"/>
      <c r="Q28" s="35"/>
      <c r="R28" s="35"/>
      <c r="V28">
        <f t="shared" si="10"/>
        <v>24</v>
      </c>
      <c r="W28">
        <f t="shared" si="0"/>
        <v>4.2297491992283041</v>
      </c>
      <c r="X28">
        <f t="shared" si="1"/>
        <v>1.8578592709325787</v>
      </c>
      <c r="Y28">
        <f t="shared" si="2"/>
        <v>9.5310179804324935E-2</v>
      </c>
      <c r="Z28">
        <v>1.8104619726837123</v>
      </c>
      <c r="AA28">
        <f t="shared" si="3"/>
        <v>4.7397298248866404E-2</v>
      </c>
      <c r="AB28">
        <v>5.5817307743410316E-2</v>
      </c>
      <c r="AC28">
        <f t="shared" si="4"/>
        <v>0.76052498548328284</v>
      </c>
      <c r="AD28">
        <f t="shared" si="5"/>
        <v>3.9071579586336808E-3</v>
      </c>
      <c r="AE28">
        <f t="shared" si="6"/>
        <v>0.78036015161766037</v>
      </c>
      <c r="AF28">
        <f t="shared" si="7"/>
        <v>0.43796872981739032</v>
      </c>
      <c r="AG28">
        <f t="shared" si="8"/>
        <v>1.2071535978464895E-2</v>
      </c>
      <c r="AH28">
        <f t="shared" si="9"/>
        <v>0.18973677279147377</v>
      </c>
    </row>
    <row r="29" spans="2:34" x14ac:dyDescent="0.25">
      <c r="B29">
        <v>31</v>
      </c>
      <c r="C29">
        <v>1.8671761085128091</v>
      </c>
      <c r="D29">
        <v>0.91629073187415511</v>
      </c>
      <c r="E29">
        <v>4.3267781604434035</v>
      </c>
      <c r="H29" s="35" t="s">
        <v>13</v>
      </c>
      <c r="I29" s="45">
        <v>0.45435841609273775</v>
      </c>
      <c r="J29" s="35"/>
      <c r="K29" s="40" t="s">
        <v>18</v>
      </c>
      <c r="L29" s="46">
        <v>-406.30083643606662</v>
      </c>
      <c r="M29" s="35"/>
      <c r="N29" s="35"/>
      <c r="O29" s="35"/>
      <c r="P29" s="35"/>
      <c r="Q29" s="35"/>
      <c r="R29" s="35"/>
      <c r="V29">
        <f t="shared" si="10"/>
        <v>25</v>
      </c>
      <c r="W29">
        <f t="shared" si="0"/>
        <v>4.4296256134731609</v>
      </c>
      <c r="X29">
        <f t="shared" si="1"/>
        <v>1.6014057407368361</v>
      </c>
      <c r="Y29">
        <f t="shared" si="2"/>
        <v>9.5310179804324935E-2</v>
      </c>
      <c r="Z29">
        <v>1.6343086915191485</v>
      </c>
      <c r="AA29">
        <f t="shared" si="3"/>
        <v>-3.2902950782312423E-2</v>
      </c>
      <c r="AB29">
        <v>4.9383741358241418E-2</v>
      </c>
      <c r="AC29">
        <f t="shared" si="4"/>
        <v>-0.52795237472578538</v>
      </c>
      <c r="AD29">
        <f t="shared" si="5"/>
        <v>3.9262420511981541E-3</v>
      </c>
      <c r="AE29">
        <f t="shared" si="6"/>
        <v>-0.53857190429759294</v>
      </c>
      <c r="AF29">
        <f t="shared" si="7"/>
        <v>0.59199418196528819</v>
      </c>
      <c r="AG29">
        <f t="shared" si="8"/>
        <v>5.0774043910967624E-3</v>
      </c>
      <c r="AH29">
        <f t="shared" si="9"/>
        <v>-0.12275326986867552</v>
      </c>
    </row>
    <row r="30" spans="2:34" x14ac:dyDescent="0.25">
      <c r="B30">
        <v>32</v>
      </c>
      <c r="C30">
        <v>1.7387102481382397</v>
      </c>
      <c r="D30">
        <v>1.0986122886681098</v>
      </c>
      <c r="E30">
        <v>4.3669129968638334</v>
      </c>
      <c r="H30" s="35" t="s">
        <v>14</v>
      </c>
      <c r="I30" s="45">
        <v>6.2373734860252938E-2</v>
      </c>
      <c r="J30" s="35"/>
      <c r="K30" s="35"/>
      <c r="L30" s="35"/>
      <c r="M30" s="35"/>
      <c r="N30" s="35"/>
      <c r="O30" s="35"/>
      <c r="P30" s="35"/>
      <c r="Q30" s="35"/>
      <c r="R30" s="35"/>
      <c r="V30">
        <f t="shared" si="10"/>
        <v>26</v>
      </c>
      <c r="W30">
        <f t="shared" si="0"/>
        <v>4.4555094114336846</v>
      </c>
      <c r="X30">
        <f t="shared" si="1"/>
        <v>1.5748464676644813</v>
      </c>
      <c r="Y30">
        <f t="shared" si="2"/>
        <v>1.0647107369924282</v>
      </c>
      <c r="Z30">
        <v>1.6654587390785243</v>
      </c>
      <c r="AA30">
        <f t="shared" si="3"/>
        <v>-9.0612271414042933E-2</v>
      </c>
      <c r="AB30">
        <v>4.9704336268216576E-2</v>
      </c>
      <c r="AC30">
        <f t="shared" si="4"/>
        <v>-1.453941447040612</v>
      </c>
      <c r="AD30">
        <f t="shared" si="5"/>
        <v>3.8108391873971142E-3</v>
      </c>
      <c r="AE30">
        <f t="shared" si="6"/>
        <v>-1.5057307933878048</v>
      </c>
      <c r="AF30">
        <f t="shared" si="7"/>
        <v>0.13690754468333996</v>
      </c>
      <c r="AG30">
        <f t="shared" si="8"/>
        <v>3.8783711090238732E-2</v>
      </c>
      <c r="AH30">
        <f t="shared" si="9"/>
        <v>-0.34436190191940702</v>
      </c>
    </row>
    <row r="31" spans="2:34" x14ac:dyDescent="0.25">
      <c r="B31">
        <v>33</v>
      </c>
      <c r="C31">
        <v>1.7155981082624909</v>
      </c>
      <c r="D31">
        <v>0</v>
      </c>
      <c r="E31">
        <v>4.3000027991952914</v>
      </c>
      <c r="H31" s="40" t="s">
        <v>15</v>
      </c>
      <c r="I31" s="40">
        <v>75</v>
      </c>
      <c r="J31" s="35"/>
      <c r="K31" s="35"/>
      <c r="L31" s="35"/>
      <c r="M31" s="35"/>
      <c r="N31" s="35"/>
      <c r="O31" s="35"/>
      <c r="P31" s="35"/>
      <c r="Q31" s="35"/>
      <c r="R31" s="35"/>
      <c r="V31">
        <f t="shared" si="10"/>
        <v>27</v>
      </c>
      <c r="W31">
        <f t="shared" si="0"/>
        <v>4.3000027991952914</v>
      </c>
      <c r="X31">
        <f t="shared" si="1"/>
        <v>1.8484548129046001</v>
      </c>
      <c r="Y31">
        <f t="shared" si="2"/>
        <v>0.33647223662121289</v>
      </c>
      <c r="Z31">
        <v>1.7619709988681498</v>
      </c>
      <c r="AA31">
        <f t="shared" si="3"/>
        <v>8.6483814036450335E-2</v>
      </c>
      <c r="AB31">
        <v>2.2208829760068882E-2</v>
      </c>
      <c r="AC31">
        <f t="shared" si="4"/>
        <v>1.3876972706178123</v>
      </c>
      <c r="AD31">
        <f t="shared" si="5"/>
        <v>3.8260806935904103E-3</v>
      </c>
      <c r="AE31">
        <f t="shared" si="6"/>
        <v>1.4139521612715744</v>
      </c>
      <c r="AF31">
        <f t="shared" si="7"/>
        <v>0.16207580160313398</v>
      </c>
      <c r="AG31">
        <f t="shared" si="8"/>
        <v>1.4910824763861658E-2</v>
      </c>
      <c r="AH31">
        <f t="shared" si="9"/>
        <v>0.2130956076314712</v>
      </c>
    </row>
    <row r="32" spans="2:34" x14ac:dyDescent="0.25">
      <c r="B32">
        <v>34</v>
      </c>
      <c r="C32">
        <v>1.8578592709325787</v>
      </c>
      <c r="D32">
        <v>1.1314021114911006</v>
      </c>
      <c r="E32">
        <v>4.3845235148724688</v>
      </c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V32">
        <f t="shared" si="10"/>
        <v>28</v>
      </c>
      <c r="W32">
        <f t="shared" si="0"/>
        <v>4.3267781604434035</v>
      </c>
      <c r="X32">
        <f t="shared" si="1"/>
        <v>1.8671761085128091</v>
      </c>
      <c r="Y32">
        <f t="shared" si="2"/>
        <v>0.91629073187415511</v>
      </c>
      <c r="Z32">
        <v>1.7706491998526617</v>
      </c>
      <c r="AA32">
        <f t="shared" si="3"/>
        <v>9.6526908660147459E-2</v>
      </c>
      <c r="AB32">
        <v>2.7213998248129478E-2</v>
      </c>
      <c r="AC32">
        <f t="shared" si="4"/>
        <v>1.5488462110656398</v>
      </c>
      <c r="AD32">
        <f t="shared" si="5"/>
        <v>3.7964073129575135E-3</v>
      </c>
      <c r="AE32">
        <f t="shared" si="6"/>
        <v>1.5883760898485335</v>
      </c>
      <c r="AF32">
        <f t="shared" si="7"/>
        <v>0.11698080746494328</v>
      </c>
      <c r="AG32">
        <f t="shared" si="8"/>
        <v>2.2996040670222515E-2</v>
      </c>
      <c r="AH32">
        <f t="shared" si="9"/>
        <v>0.26566898767613606</v>
      </c>
    </row>
    <row r="33" spans="2:34" ht="15.75" thickBot="1" x14ac:dyDescent="0.3">
      <c r="B33">
        <v>35</v>
      </c>
      <c r="C33">
        <v>1.7119945007591924</v>
      </c>
      <c r="D33">
        <v>-0.69314718055994529</v>
      </c>
      <c r="E33">
        <v>4.2470656492397643</v>
      </c>
      <c r="H33" s="35" t="s">
        <v>88</v>
      </c>
      <c r="I33" s="35"/>
      <c r="J33" s="35"/>
      <c r="K33" s="35"/>
      <c r="L33" s="39" t="s">
        <v>20</v>
      </c>
      <c r="M33" s="39">
        <v>0.05</v>
      </c>
      <c r="N33" s="35"/>
      <c r="O33" s="35"/>
      <c r="P33" s="35"/>
      <c r="Q33" s="35"/>
      <c r="R33" s="35"/>
      <c r="V33">
        <f t="shared" si="10"/>
        <v>29</v>
      </c>
      <c r="W33">
        <f t="shared" si="0"/>
        <v>4.3669129968638334</v>
      </c>
      <c r="X33">
        <f t="shared" si="1"/>
        <v>1.7387102481382397</v>
      </c>
      <c r="Y33">
        <f t="shared" si="2"/>
        <v>1.0986122886681098</v>
      </c>
      <c r="Z33">
        <v>1.7454268645171211</v>
      </c>
      <c r="AA33">
        <f t="shared" si="3"/>
        <v>-6.7166163788814348E-3</v>
      </c>
      <c r="AB33">
        <v>3.3718287413778011E-2</v>
      </c>
      <c r="AC33">
        <f t="shared" si="4"/>
        <v>-0.10777311709254976</v>
      </c>
      <c r="AD33">
        <f t="shared" si="5"/>
        <v>3.9430444731979337E-3</v>
      </c>
      <c r="AE33">
        <f t="shared" si="6"/>
        <v>-0.10881351167691644</v>
      </c>
      <c r="AF33">
        <f t="shared" si="7"/>
        <v>0.91368055909439239</v>
      </c>
      <c r="AG33">
        <f t="shared" si="8"/>
        <v>1.3981624069293113E-4</v>
      </c>
      <c r="AH33">
        <f t="shared" si="9"/>
        <v>-2.032655129102386E-2</v>
      </c>
    </row>
    <row r="34" spans="2:34" ht="15.75" thickTop="1" x14ac:dyDescent="0.25">
      <c r="B34">
        <v>36</v>
      </c>
      <c r="C34">
        <v>1.8671761085128091</v>
      </c>
      <c r="D34">
        <v>0.99325177301028345</v>
      </c>
      <c r="E34">
        <v>4.2355547307736243</v>
      </c>
      <c r="H34" s="41"/>
      <c r="I34" s="41" t="s">
        <v>21</v>
      </c>
      <c r="J34" s="41" t="s">
        <v>22</v>
      </c>
      <c r="K34" s="41" t="s">
        <v>23</v>
      </c>
      <c r="L34" s="41" t="s">
        <v>24</v>
      </c>
      <c r="M34" s="41" t="s">
        <v>25</v>
      </c>
      <c r="N34" s="41" t="s">
        <v>26</v>
      </c>
      <c r="O34" s="35"/>
      <c r="P34" s="35"/>
      <c r="Q34" s="35"/>
      <c r="R34" s="35"/>
      <c r="V34">
        <f t="shared" si="10"/>
        <v>30</v>
      </c>
      <c r="W34">
        <f t="shared" si="0"/>
        <v>4.3000027991952914</v>
      </c>
      <c r="X34">
        <f t="shared" si="1"/>
        <v>1.7155981082624909</v>
      </c>
      <c r="Y34">
        <f t="shared" si="2"/>
        <v>0</v>
      </c>
      <c r="Z34">
        <v>1.7432412575049181</v>
      </c>
      <c r="AA34">
        <f t="shared" si="3"/>
        <v>-2.7643149242427167E-2</v>
      </c>
      <c r="AB34">
        <v>3.496869132060948E-2</v>
      </c>
      <c r="AC34">
        <f t="shared" si="4"/>
        <v>-0.44355493779251337</v>
      </c>
      <c r="AD34">
        <f t="shared" si="5"/>
        <v>3.9315806898146998E-3</v>
      </c>
      <c r="AE34">
        <f t="shared" si="6"/>
        <v>-0.44877971669079769</v>
      </c>
      <c r="AF34">
        <f t="shared" si="7"/>
        <v>0.65506063551465532</v>
      </c>
      <c r="AG34">
        <f t="shared" si="8"/>
        <v>2.4624654989664914E-3</v>
      </c>
      <c r="AH34">
        <f t="shared" si="9"/>
        <v>-8.5428387326942287E-2</v>
      </c>
    </row>
    <row r="35" spans="2:34" x14ac:dyDescent="0.25">
      <c r="B35">
        <v>37</v>
      </c>
      <c r="C35">
        <v>1.5973653311998313</v>
      </c>
      <c r="D35">
        <v>-0.10536051565782628</v>
      </c>
      <c r="E35">
        <v>4.4284330074880369</v>
      </c>
      <c r="H35" s="35" t="s">
        <v>27</v>
      </c>
      <c r="I35" s="35">
        <v>2</v>
      </c>
      <c r="J35" s="45">
        <v>0.24751314599622767</v>
      </c>
      <c r="K35" s="45">
        <v>0.12375657299811384</v>
      </c>
      <c r="L35" s="52">
        <v>31.810080996848207</v>
      </c>
      <c r="M35" s="51">
        <v>1.2597853540278361E-10</v>
      </c>
      <c r="N35" s="39" t="s">
        <v>99</v>
      </c>
      <c r="O35" s="35"/>
      <c r="P35" s="35"/>
      <c r="Q35" s="35"/>
      <c r="R35" s="35"/>
      <c r="V35">
        <f t="shared" si="10"/>
        <v>31</v>
      </c>
      <c r="W35">
        <f t="shared" si="0"/>
        <v>4.3845235148724688</v>
      </c>
      <c r="X35">
        <f t="shared" si="1"/>
        <v>1.8578592709325787</v>
      </c>
      <c r="Y35">
        <f t="shared" si="2"/>
        <v>1.1314021114911006</v>
      </c>
      <c r="Z35">
        <v>1.7317317682814997</v>
      </c>
      <c r="AA35">
        <f t="shared" si="3"/>
        <v>0.12612750265107908</v>
      </c>
      <c r="AB35">
        <v>3.6221860721780227E-2</v>
      </c>
      <c r="AC35">
        <f t="shared" si="4"/>
        <v>2.0238098091392542</v>
      </c>
      <c r="AD35">
        <f t="shared" si="5"/>
        <v>3.6898238770459229E-3</v>
      </c>
      <c r="AE35">
        <f t="shared" si="6"/>
        <v>2.1150393054680441</v>
      </c>
      <c r="AF35">
        <f t="shared" si="7"/>
        <v>3.8206056939131552E-2</v>
      </c>
      <c r="AG35">
        <f t="shared" si="8"/>
        <v>5.3239596110715152E-2</v>
      </c>
      <c r="AH35">
        <f t="shared" si="9"/>
        <v>0.41002967139418589</v>
      </c>
    </row>
    <row r="36" spans="2:34" x14ac:dyDescent="0.25">
      <c r="B36">
        <v>40</v>
      </c>
      <c r="C36">
        <v>1.6486586255873816</v>
      </c>
      <c r="D36">
        <v>0.83290912293510388</v>
      </c>
      <c r="E36">
        <v>4.4343818650078095</v>
      </c>
      <c r="H36" s="35" t="s">
        <v>28</v>
      </c>
      <c r="I36" s="35">
        <v>72</v>
      </c>
      <c r="J36" s="45">
        <v>0.28011476163003357</v>
      </c>
      <c r="K36" s="45">
        <v>3.890482800417133E-3</v>
      </c>
      <c r="L36" s="45"/>
      <c r="M36" s="35"/>
      <c r="N36" s="35"/>
      <c r="O36" s="35"/>
      <c r="P36" s="35"/>
      <c r="Q36" s="35"/>
      <c r="R36" s="35"/>
      <c r="V36">
        <f t="shared" si="10"/>
        <v>32</v>
      </c>
      <c r="W36">
        <f t="shared" ref="W36:W67" si="15">E33</f>
        <v>4.2470656492397643</v>
      </c>
      <c r="X36">
        <f t="shared" ref="X36:X67" si="16">C33</f>
        <v>1.7119945007591924</v>
      </c>
      <c r="Y36">
        <f t="shared" ref="Y36:Y67" si="17">D33</f>
        <v>-0.69314718055994529</v>
      </c>
      <c r="Z36">
        <v>1.7513112824232233</v>
      </c>
      <c r="AA36">
        <f t="shared" si="3"/>
        <v>-3.9316781664030964E-2</v>
      </c>
      <c r="AB36">
        <v>0.11655105230080953</v>
      </c>
      <c r="AC36">
        <f t="shared" si="4"/>
        <v>-0.63086707278724896</v>
      </c>
      <c r="AD36">
        <f t="shared" si="5"/>
        <v>3.9168436015736994E-3</v>
      </c>
      <c r="AE36">
        <f t="shared" si="6"/>
        <v>-0.66837333704646895</v>
      </c>
      <c r="AF36">
        <f t="shared" si="7"/>
        <v>0.50622618124409557</v>
      </c>
      <c r="AG36">
        <f t="shared" si="8"/>
        <v>1.9811061671187697E-2</v>
      </c>
      <c r="AH36">
        <f t="shared" si="9"/>
        <v>-0.24276523113898121</v>
      </c>
    </row>
    <row r="37" spans="2:34" x14ac:dyDescent="0.25">
      <c r="B37">
        <v>41</v>
      </c>
      <c r="C37">
        <v>1.7263316639055997</v>
      </c>
      <c r="D37">
        <v>0.18232155679395459</v>
      </c>
      <c r="E37">
        <v>4.3757570216602861</v>
      </c>
      <c r="H37" s="40" t="s">
        <v>29</v>
      </c>
      <c r="I37" s="40">
        <v>74</v>
      </c>
      <c r="J37" s="46">
        <v>0.52762790762626122</v>
      </c>
      <c r="K37" s="46"/>
      <c r="L37" s="46"/>
      <c r="M37" s="40"/>
      <c r="N37" s="40"/>
      <c r="O37" s="35"/>
      <c r="P37" s="35"/>
      <c r="Q37" s="35"/>
      <c r="R37" s="35"/>
      <c r="V37">
        <f t="shared" si="10"/>
        <v>33</v>
      </c>
      <c r="W37">
        <f t="shared" si="15"/>
        <v>4.2355547307736243</v>
      </c>
      <c r="X37">
        <f t="shared" si="16"/>
        <v>1.8671761085128091</v>
      </c>
      <c r="Y37">
        <f t="shared" si="17"/>
        <v>0.99325177301028345</v>
      </c>
      <c r="Z37">
        <v>1.855329450890582</v>
      </c>
      <c r="AA37">
        <f t="shared" ref="AA37:AA68" si="18">X37-Z37</f>
        <v>1.1846657622227141E-2</v>
      </c>
      <c r="AB37">
        <v>7.3381342876325473E-2</v>
      </c>
      <c r="AC37">
        <f t="shared" si="4"/>
        <v>0.19008845333046387</v>
      </c>
      <c r="AD37">
        <f t="shared" si="5"/>
        <v>3.9414326224052323E-3</v>
      </c>
      <c r="AE37">
        <f t="shared" si="6"/>
        <v>0.19602806978992984</v>
      </c>
      <c r="AF37">
        <f t="shared" si="7"/>
        <v>0.84519051204525597</v>
      </c>
      <c r="AG37">
        <f t="shared" si="8"/>
        <v>1.0293754201519303E-3</v>
      </c>
      <c r="AH37">
        <f t="shared" si="9"/>
        <v>5.5164612390146785E-2</v>
      </c>
    </row>
    <row r="38" spans="2:34" ht="15.75" thickBot="1" x14ac:dyDescent="0.3">
      <c r="B38">
        <v>42</v>
      </c>
      <c r="C38">
        <v>1.6639260977181702</v>
      </c>
      <c r="D38">
        <v>1.1314021114911006</v>
      </c>
      <c r="E38">
        <v>4.3845235148724688</v>
      </c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V38">
        <f t="shared" si="10"/>
        <v>34</v>
      </c>
      <c r="W38">
        <f t="shared" si="15"/>
        <v>4.4284330074880369</v>
      </c>
      <c r="X38">
        <f t="shared" si="16"/>
        <v>1.5973653311998313</v>
      </c>
      <c r="Y38">
        <f t="shared" si="17"/>
        <v>-0.10536051565782628</v>
      </c>
      <c r="Z38">
        <v>1.6241894054861006</v>
      </c>
      <c r="AA38">
        <f t="shared" si="18"/>
        <v>-2.6824074286269317E-2</v>
      </c>
      <c r="AB38">
        <v>6.5847439220440229E-2</v>
      </c>
      <c r="AC38">
        <f t="shared" si="4"/>
        <v>-0.4304122694937656</v>
      </c>
      <c r="AD38">
        <f t="shared" si="5"/>
        <v>3.931912737786359E-3</v>
      </c>
      <c r="AE38">
        <f t="shared" si="6"/>
        <v>-0.44260254151363415</v>
      </c>
      <c r="AF38">
        <f t="shared" si="7"/>
        <v>0.65950042513476215</v>
      </c>
      <c r="AG38">
        <f t="shared" si="8"/>
        <v>4.6596286194270737E-3</v>
      </c>
      <c r="AH38">
        <f t="shared" si="9"/>
        <v>-0.11750989659983213</v>
      </c>
    </row>
    <row r="39" spans="2:34" ht="15.75" thickTop="1" x14ac:dyDescent="0.25">
      <c r="B39">
        <v>43</v>
      </c>
      <c r="C39">
        <v>1.6974487897568136</v>
      </c>
      <c r="D39">
        <v>0</v>
      </c>
      <c r="E39">
        <v>4.2136079830489184</v>
      </c>
      <c r="H39" s="41"/>
      <c r="I39" s="41" t="s">
        <v>30</v>
      </c>
      <c r="J39" s="41" t="s">
        <v>31</v>
      </c>
      <c r="K39" s="41" t="s">
        <v>32</v>
      </c>
      <c r="L39" s="41" t="s">
        <v>25</v>
      </c>
      <c r="M39" s="41" t="s">
        <v>33</v>
      </c>
      <c r="N39" s="41" t="s">
        <v>34</v>
      </c>
      <c r="O39" s="41" t="s">
        <v>35</v>
      </c>
      <c r="P39" s="91"/>
      <c r="Q39" s="91"/>
      <c r="R39" s="91"/>
      <c r="V39">
        <f t="shared" si="10"/>
        <v>35</v>
      </c>
      <c r="W39">
        <f t="shared" si="15"/>
        <v>4.4343818650078095</v>
      </c>
      <c r="X39">
        <f t="shared" si="16"/>
        <v>1.6486586255873816</v>
      </c>
      <c r="Y39">
        <f t="shared" si="17"/>
        <v>0.83290912293510388</v>
      </c>
      <c r="Z39">
        <v>1.6711754312978711</v>
      </c>
      <c r="AA39">
        <f t="shared" si="18"/>
        <v>-2.2516805710489418E-2</v>
      </c>
      <c r="AB39">
        <v>3.3010279620393157E-2</v>
      </c>
      <c r="AC39">
        <f t="shared" si="4"/>
        <v>-0.36129893409081459</v>
      </c>
      <c r="AD39">
        <f t="shared" si="5"/>
        <v>3.935696363122596E-3</v>
      </c>
      <c r="AE39">
        <f t="shared" si="6"/>
        <v>-0.36499344007250722</v>
      </c>
      <c r="AF39">
        <f t="shared" si="7"/>
        <v>0.71628331913628474</v>
      </c>
      <c r="AG39">
        <f t="shared" si="8"/>
        <v>1.536093298178582E-3</v>
      </c>
      <c r="AH39">
        <f t="shared" si="9"/>
        <v>-6.7437076076807767E-2</v>
      </c>
    </row>
    <row r="40" spans="2:34" x14ac:dyDescent="0.25">
      <c r="B40">
        <v>44</v>
      </c>
      <c r="C40">
        <v>1.631199404215613</v>
      </c>
      <c r="D40">
        <v>0.91629073187415511</v>
      </c>
      <c r="E40">
        <v>4.4601444139378339</v>
      </c>
      <c r="H40" s="35" t="s">
        <v>36</v>
      </c>
      <c r="I40" s="45">
        <v>5.31994869317161</v>
      </c>
      <c r="J40" s="45">
        <v>0.13795125432747368</v>
      </c>
      <c r="K40" s="45">
        <v>38.563974783026786</v>
      </c>
      <c r="L40" s="35">
        <v>7.9698791043710525E-50</v>
      </c>
      <c r="M40" s="45">
        <v>5.0449478936944852</v>
      </c>
      <c r="N40" s="45">
        <v>5.5949494926487349</v>
      </c>
      <c r="O40" s="45"/>
      <c r="P40" s="45"/>
      <c r="Q40" s="45"/>
      <c r="R40" s="45"/>
      <c r="V40">
        <f t="shared" si="10"/>
        <v>36</v>
      </c>
      <c r="W40">
        <f t="shared" si="15"/>
        <v>4.3757570216602861</v>
      </c>
      <c r="X40">
        <f t="shared" si="16"/>
        <v>1.7263316639055997</v>
      </c>
      <c r="Y40">
        <f t="shared" si="17"/>
        <v>0.18232155679395459</v>
      </c>
      <c r="Z40">
        <v>1.6866271656756329</v>
      </c>
      <c r="AA40">
        <f t="shared" si="18"/>
        <v>3.97044982299668E-2</v>
      </c>
      <c r="AB40">
        <v>2.5765627996591545E-2</v>
      </c>
      <c r="AC40">
        <f t="shared" si="4"/>
        <v>0.63708827413361535</v>
      </c>
      <c r="AD40">
        <f t="shared" si="5"/>
        <v>3.9188682821903733E-3</v>
      </c>
      <c r="AE40">
        <f t="shared" si="6"/>
        <v>0.64258066657686363</v>
      </c>
      <c r="AF40">
        <f t="shared" si="7"/>
        <v>0.52272225811803819</v>
      </c>
      <c r="AG40">
        <f t="shared" si="8"/>
        <v>3.6727537031264134E-3</v>
      </c>
      <c r="AH40">
        <f t="shared" si="9"/>
        <v>0.10450000154751185</v>
      </c>
    </row>
    <row r="41" spans="2:34" x14ac:dyDescent="0.25">
      <c r="B41">
        <v>45</v>
      </c>
      <c r="C41">
        <v>1.6174060820832772</v>
      </c>
      <c r="D41">
        <v>0.74193734472937733</v>
      </c>
      <c r="E41">
        <v>4.4727809979423458</v>
      </c>
      <c r="H41" s="35" t="s">
        <v>38</v>
      </c>
      <c r="I41" s="45">
        <v>-0.57493603123925319</v>
      </c>
      <c r="J41" s="45">
        <v>7.9346133431750732E-2</v>
      </c>
      <c r="K41" s="45">
        <v>-7.2459237315424092</v>
      </c>
      <c r="L41" s="51">
        <v>3.8814388095591399E-10</v>
      </c>
      <c r="M41" s="45">
        <v>-0.73310965739093981</v>
      </c>
      <c r="N41" s="45">
        <v>-0.41676240508756657</v>
      </c>
      <c r="O41" s="42">
        <v>1.0000009952004401</v>
      </c>
      <c r="P41" s="42"/>
      <c r="Q41" s="42"/>
      <c r="R41" s="42"/>
      <c r="V41">
        <f t="shared" si="10"/>
        <v>37</v>
      </c>
      <c r="W41">
        <f t="shared" si="15"/>
        <v>4.3845235148724688</v>
      </c>
      <c r="X41">
        <f t="shared" si="16"/>
        <v>1.6639260977181702</v>
      </c>
      <c r="Y41">
        <f t="shared" si="17"/>
        <v>1.1314021114911006</v>
      </c>
      <c r="Z41">
        <v>1.7317317682814997</v>
      </c>
      <c r="AA41">
        <f t="shared" si="18"/>
        <v>-6.7805670563329423E-2</v>
      </c>
      <c r="AB41">
        <v>3.6221860721780227E-2</v>
      </c>
      <c r="AC41">
        <f t="shared" si="4"/>
        <v>-1.0879925338802134</v>
      </c>
      <c r="AD41">
        <f t="shared" si="5"/>
        <v>3.8703719402200369E-3</v>
      </c>
      <c r="AE41">
        <f t="shared" si="6"/>
        <v>-1.110199758226899</v>
      </c>
      <c r="AF41">
        <f t="shared" si="7"/>
        <v>0.27094148270895024</v>
      </c>
      <c r="AG41">
        <f t="shared" si="8"/>
        <v>1.538676033659607E-2</v>
      </c>
      <c r="AH41">
        <f t="shared" si="9"/>
        <v>-0.21522760398390989</v>
      </c>
    </row>
    <row r="42" spans="2:34" x14ac:dyDescent="0.25">
      <c r="B42">
        <v>46</v>
      </c>
      <c r="C42">
        <v>1.6253112615903906</v>
      </c>
      <c r="D42">
        <v>1.0296194171811581</v>
      </c>
      <c r="E42">
        <v>4.4331949212482815</v>
      </c>
      <c r="H42" s="40" t="s">
        <v>39</v>
      </c>
      <c r="I42" s="46">
        <v>4.5440360500937201E-2</v>
      </c>
      <c r="J42" s="46">
        <v>1.3658267501406588E-2</v>
      </c>
      <c r="K42" s="46">
        <v>3.3269490802005124</v>
      </c>
      <c r="L42" s="54">
        <v>1.3850167622906845E-3</v>
      </c>
      <c r="M42" s="46">
        <v>1.8213101853161291E-2</v>
      </c>
      <c r="N42" s="46">
        <v>7.2667619148713114E-2</v>
      </c>
      <c r="O42" s="48">
        <v>1.0000009952004401</v>
      </c>
      <c r="P42" s="92"/>
      <c r="Q42" s="92"/>
      <c r="R42" s="92"/>
      <c r="V42">
        <f t="shared" si="10"/>
        <v>38</v>
      </c>
      <c r="W42">
        <f t="shared" si="15"/>
        <v>4.2136079830489184</v>
      </c>
      <c r="X42">
        <f t="shared" si="16"/>
        <v>1.6974487897568136</v>
      </c>
      <c r="Y42">
        <f t="shared" si="17"/>
        <v>0</v>
      </c>
      <c r="Z42">
        <v>1.8193819587341751</v>
      </c>
      <c r="AA42">
        <f t="shared" si="18"/>
        <v>-0.12193316897736151</v>
      </c>
      <c r="AB42">
        <v>6.8928847528921144E-2</v>
      </c>
      <c r="AC42">
        <f t="shared" si="4"/>
        <v>-1.9565085984338024</v>
      </c>
      <c r="AD42">
        <f t="shared" si="5"/>
        <v>3.69809535687836E-3</v>
      </c>
      <c r="AE42">
        <f t="shared" si="6"/>
        <v>-2.077980045556453</v>
      </c>
      <c r="AF42">
        <f t="shared" si="7"/>
        <v>4.1604407932179149E-2</v>
      </c>
      <c r="AG42">
        <f t="shared" si="8"/>
        <v>0.10145595476651807</v>
      </c>
      <c r="AH42">
        <f t="shared" si="9"/>
        <v>-0.56539302424532567</v>
      </c>
    </row>
    <row r="43" spans="2:34" x14ac:dyDescent="0.25">
      <c r="B43">
        <v>47</v>
      </c>
      <c r="C43">
        <v>1.7681496035889213</v>
      </c>
      <c r="D43">
        <v>1.1314021114911006</v>
      </c>
      <c r="E43">
        <v>4.3201512309557941</v>
      </c>
      <c r="V43">
        <f t="shared" si="10"/>
        <v>39</v>
      </c>
      <c r="W43">
        <f t="shared" si="15"/>
        <v>4.4601444139378339</v>
      </c>
      <c r="X43">
        <f t="shared" si="16"/>
        <v>1.631199404215613</v>
      </c>
      <c r="Y43">
        <f t="shared" si="17"/>
        <v>0.91629073187415511</v>
      </c>
      <c r="Z43">
        <v>1.6531120545200007</v>
      </c>
      <c r="AA43">
        <f t="shared" si="18"/>
        <v>-2.1912650304387604E-2</v>
      </c>
      <c r="AB43">
        <v>4.619129570665681E-2</v>
      </c>
      <c r="AC43">
        <f t="shared" si="4"/>
        <v>-0.35160481019702877</v>
      </c>
      <c r="AD43">
        <f t="shared" si="5"/>
        <v>3.9360178483382512E-3</v>
      </c>
      <c r="AE43">
        <f t="shared" si="6"/>
        <v>-0.35763147820628061</v>
      </c>
      <c r="AF43">
        <f t="shared" si="7"/>
        <v>0.72176026982333852</v>
      </c>
      <c r="AG43">
        <f t="shared" si="8"/>
        <v>2.0923095773478797E-3</v>
      </c>
      <c r="AH43">
        <f t="shared" si="9"/>
        <v>-7.870189136466875E-2</v>
      </c>
    </row>
    <row r="44" spans="2:34" x14ac:dyDescent="0.25">
      <c r="B44">
        <v>48</v>
      </c>
      <c r="C44">
        <v>1.5871923034867805</v>
      </c>
      <c r="D44">
        <v>1.1314021114911006</v>
      </c>
      <c r="E44">
        <v>4.4391156016580089</v>
      </c>
      <c r="V44">
        <f t="shared" si="10"/>
        <v>40</v>
      </c>
      <c r="W44">
        <f t="shared" si="15"/>
        <v>4.4727809979423458</v>
      </c>
      <c r="X44">
        <f t="shared" si="16"/>
        <v>1.6174060820832772</v>
      </c>
      <c r="Y44">
        <f t="shared" si="17"/>
        <v>0.74193734472937733</v>
      </c>
      <c r="Z44">
        <v>1.632269905408283</v>
      </c>
      <c r="AA44">
        <f t="shared" si="18"/>
        <v>-1.4863823325005798E-2</v>
      </c>
      <c r="AB44">
        <v>5.0277684577124004E-2</v>
      </c>
      <c r="AC44">
        <f t="shared" si="4"/>
        <v>-0.23850112635368365</v>
      </c>
      <c r="AD44">
        <f t="shared" si="5"/>
        <v>3.9401838245740894E-3</v>
      </c>
      <c r="AE44">
        <f t="shared" si="6"/>
        <v>-0.24298192664412227</v>
      </c>
      <c r="AF44">
        <f t="shared" si="7"/>
        <v>0.80877297466185072</v>
      </c>
      <c r="AG44">
        <f t="shared" si="8"/>
        <v>1.0569187386974069E-3</v>
      </c>
      <c r="AH44">
        <f t="shared" si="9"/>
        <v>-5.5906626183417622E-2</v>
      </c>
    </row>
    <row r="45" spans="2:34" x14ac:dyDescent="0.25">
      <c r="B45">
        <v>49</v>
      </c>
      <c r="C45">
        <v>1.7369512327330598</v>
      </c>
      <c r="D45">
        <v>-0.10536051565782628</v>
      </c>
      <c r="E45">
        <v>4.3000027991952914</v>
      </c>
      <c r="V45">
        <f t="shared" si="10"/>
        <v>41</v>
      </c>
      <c r="W45">
        <f t="shared" si="15"/>
        <v>4.4331949212482815</v>
      </c>
      <c r="X45">
        <f t="shared" si="16"/>
        <v>1.6253112615903906</v>
      </c>
      <c r="Y45">
        <f t="shared" si="17"/>
        <v>1.0296194171811581</v>
      </c>
      <c r="Z45">
        <v>1.6831713847777077</v>
      </c>
      <c r="AA45">
        <f t="shared" si="18"/>
        <v>-5.7860123187317036E-2</v>
      </c>
      <c r="AB45">
        <v>3.9495355102621921E-2</v>
      </c>
      <c r="AC45">
        <f t="shared" si="4"/>
        <v>-0.92840881174377243</v>
      </c>
      <c r="AD45">
        <f t="shared" si="5"/>
        <v>3.8901403821914957E-3</v>
      </c>
      <c r="AE45">
        <f t="shared" si="6"/>
        <v>-0.9465574594120163</v>
      </c>
      <c r="AF45">
        <f t="shared" si="7"/>
        <v>0.34731709430362778</v>
      </c>
      <c r="AG45">
        <f t="shared" si="8"/>
        <v>1.2299978065882526E-2</v>
      </c>
      <c r="AH45">
        <f t="shared" si="9"/>
        <v>-0.19194210753918431</v>
      </c>
    </row>
    <row r="46" spans="2:34" x14ac:dyDescent="0.25">
      <c r="B46">
        <v>50</v>
      </c>
      <c r="C46">
        <v>1.7630170003624011</v>
      </c>
      <c r="D46">
        <v>0.58778666490211906</v>
      </c>
      <c r="E46">
        <v>4.396915247167632</v>
      </c>
      <c r="V46">
        <f t="shared" si="10"/>
        <v>42</v>
      </c>
      <c r="W46">
        <f t="shared" si="15"/>
        <v>4.3201512309557941</v>
      </c>
      <c r="X46">
        <f t="shared" si="16"/>
        <v>1.7681496035889213</v>
      </c>
      <c r="Y46">
        <f t="shared" si="17"/>
        <v>1.1314021114911006</v>
      </c>
      <c r="Z46">
        <v>1.7884637697576111</v>
      </c>
      <c r="AA46">
        <f t="shared" si="18"/>
        <v>-2.0314166168689862E-2</v>
      </c>
      <c r="AB46">
        <v>4.3486661404993132E-2</v>
      </c>
      <c r="AC46">
        <f t="shared" si="4"/>
        <v>-0.32595594055653487</v>
      </c>
      <c r="AD46">
        <f t="shared" si="5"/>
        <v>3.9371254038800159E-3</v>
      </c>
      <c r="AE46">
        <f t="shared" si="6"/>
        <v>-0.33102733777279936</v>
      </c>
      <c r="AF46">
        <f t="shared" si="7"/>
        <v>0.74167253738061312</v>
      </c>
      <c r="AG46">
        <f t="shared" si="8"/>
        <v>1.6833349940427098E-3</v>
      </c>
      <c r="AH46">
        <f t="shared" si="9"/>
        <v>-7.0582393163673124E-2</v>
      </c>
    </row>
    <row r="47" spans="2:34" x14ac:dyDescent="0.25">
      <c r="B47">
        <v>51</v>
      </c>
      <c r="C47">
        <v>1.8453002361560848</v>
      </c>
      <c r="D47">
        <v>1.1314021114911006</v>
      </c>
      <c r="E47">
        <v>4.2341065045972597</v>
      </c>
      <c r="V47">
        <f t="shared" si="10"/>
        <v>43</v>
      </c>
      <c r="W47">
        <f t="shared" si="15"/>
        <v>4.4391156016580089</v>
      </c>
      <c r="X47">
        <f t="shared" si="16"/>
        <v>1.5871923034867805</v>
      </c>
      <c r="Y47">
        <f t="shared" si="17"/>
        <v>1.1314021114911006</v>
      </c>
      <c r="Z47">
        <v>1.6836191620531689</v>
      </c>
      <c r="AA47">
        <f t="shared" si="18"/>
        <v>-9.6426858566388329E-2</v>
      </c>
      <c r="AB47">
        <v>4.6953979402078017E-2</v>
      </c>
      <c r="AC47">
        <f t="shared" si="4"/>
        <v>-1.5472408327230971</v>
      </c>
      <c r="AD47">
        <f t="shared" si="5"/>
        <v>3.7936668444146335E-3</v>
      </c>
      <c r="AE47">
        <f t="shared" si="6"/>
        <v>-1.6036570126040182</v>
      </c>
      <c r="AF47">
        <f t="shared" si="7"/>
        <v>0.11356492643209479</v>
      </c>
      <c r="AG47">
        <f t="shared" si="8"/>
        <v>4.1251452227366633E-2</v>
      </c>
      <c r="AH47">
        <f t="shared" si="9"/>
        <v>-0.35595143992260503</v>
      </c>
    </row>
    <row r="48" spans="2:34" x14ac:dyDescent="0.25">
      <c r="B48">
        <v>52</v>
      </c>
      <c r="C48">
        <v>1.8671761085128091</v>
      </c>
      <c r="D48">
        <v>0.64185388617239469</v>
      </c>
      <c r="E48">
        <v>4.2442003177664782</v>
      </c>
      <c r="V48">
        <f t="shared" si="10"/>
        <v>44</v>
      </c>
      <c r="W48">
        <f t="shared" si="15"/>
        <v>4.3000027991952914</v>
      </c>
      <c r="X48">
        <f t="shared" si="16"/>
        <v>1.7369512327330598</v>
      </c>
      <c r="Y48">
        <f t="shared" si="17"/>
        <v>-0.10536051565782628</v>
      </c>
      <c r="Z48">
        <v>1.7373763599193577</v>
      </c>
      <c r="AA48">
        <f t="shared" si="18"/>
        <v>-4.2512718629783564E-4</v>
      </c>
      <c r="AB48">
        <v>4.1972850321223498E-2</v>
      </c>
      <c r="AC48">
        <f t="shared" si="4"/>
        <v>-6.8214826400034966E-3</v>
      </c>
      <c r="AD48">
        <f t="shared" si="5"/>
        <v>3.9437598346569363E-3</v>
      </c>
      <c r="AE48">
        <f t="shared" si="6"/>
        <v>-6.9163146085905042E-3</v>
      </c>
      <c r="AF48">
        <f t="shared" si="7"/>
        <v>0.99450248662223462</v>
      </c>
      <c r="AG48">
        <f t="shared" si="8"/>
        <v>7.0933131105294782E-7</v>
      </c>
      <c r="AH48">
        <f t="shared" si="9"/>
        <v>-1.4476716282235309E-3</v>
      </c>
    </row>
    <row r="49" spans="2:34" x14ac:dyDescent="0.25">
      <c r="B49">
        <v>53</v>
      </c>
      <c r="C49">
        <v>1.7404661748405046</v>
      </c>
      <c r="D49">
        <v>-0.35667494393873245</v>
      </c>
      <c r="E49">
        <v>4.3579900568456402</v>
      </c>
      <c r="V49">
        <f t="shared" si="10"/>
        <v>45</v>
      </c>
      <c r="W49">
        <f t="shared" si="15"/>
        <v>4.396915247167632</v>
      </c>
      <c r="X49">
        <f t="shared" si="16"/>
        <v>1.7630170003624011</v>
      </c>
      <c r="Y49">
        <f t="shared" si="17"/>
        <v>0.58778666490211906</v>
      </c>
      <c r="Z49">
        <v>1.6905504214275706</v>
      </c>
      <c r="AA49">
        <f t="shared" si="18"/>
        <v>7.2466578934830439E-2</v>
      </c>
      <c r="AB49">
        <v>1.9426243528363196E-2</v>
      </c>
      <c r="AC49">
        <f t="shared" si="4"/>
        <v>1.1627802834469201</v>
      </c>
      <c r="AD49">
        <f t="shared" si="5"/>
        <v>3.8613713344189862E-3</v>
      </c>
      <c r="AE49">
        <f t="shared" si="6"/>
        <v>1.1776787594899456</v>
      </c>
      <c r="AF49">
        <f t="shared" si="7"/>
        <v>0.24315391618865168</v>
      </c>
      <c r="AG49">
        <f t="shared" si="8"/>
        <v>9.1054698471995047E-3</v>
      </c>
      <c r="AH49">
        <f t="shared" si="9"/>
        <v>0.16576052886059886</v>
      </c>
    </row>
    <row r="50" spans="2:34" x14ac:dyDescent="0.25">
      <c r="B50">
        <v>54</v>
      </c>
      <c r="C50">
        <v>1.6524974018945473</v>
      </c>
      <c r="D50">
        <v>0.47000362924573563</v>
      </c>
      <c r="E50">
        <v>4.4773368144782069</v>
      </c>
      <c r="V50">
        <f t="shared" si="10"/>
        <v>46</v>
      </c>
      <c r="W50">
        <f t="shared" si="15"/>
        <v>4.2341065045972597</v>
      </c>
      <c r="X50">
        <f t="shared" si="16"/>
        <v>1.8453002361560848</v>
      </c>
      <c r="Y50">
        <f t="shared" si="17"/>
        <v>1.1314021114911006</v>
      </c>
      <c r="Z50">
        <v>1.8642959330082229</v>
      </c>
      <c r="AA50">
        <f t="shared" si="18"/>
        <v>-1.8995696852138089E-2</v>
      </c>
      <c r="AB50">
        <v>8.686287143976168E-2</v>
      </c>
      <c r="AC50">
        <f t="shared" si="4"/>
        <v>-0.30480011744261565</v>
      </c>
      <c r="AD50">
        <f t="shared" si="5"/>
        <v>3.9376833316271944E-3</v>
      </c>
      <c r="AE50">
        <f t="shared" si="6"/>
        <v>-0.31678662400574253</v>
      </c>
      <c r="AF50">
        <f t="shared" si="7"/>
        <v>0.75240537431922838</v>
      </c>
      <c r="AG50">
        <f t="shared" si="8"/>
        <v>3.2260506644138393E-3</v>
      </c>
      <c r="AH50">
        <f t="shared" si="9"/>
        <v>-9.7704805761965441E-2</v>
      </c>
    </row>
    <row r="51" spans="2:34" x14ac:dyDescent="0.25">
      <c r="B51">
        <v>55</v>
      </c>
      <c r="C51">
        <v>1.6193882432872684</v>
      </c>
      <c r="D51">
        <v>1.0647107369924282</v>
      </c>
      <c r="E51">
        <v>4.3870141761849206</v>
      </c>
      <c r="V51">
        <f t="shared" si="10"/>
        <v>47</v>
      </c>
      <c r="W51">
        <f t="shared" si="15"/>
        <v>4.2442003177664782</v>
      </c>
      <c r="X51">
        <f t="shared" si="16"/>
        <v>1.8671761085128091</v>
      </c>
      <c r="Y51">
        <f t="shared" si="17"/>
        <v>0.64185388617239469</v>
      </c>
      <c r="Z51">
        <v>1.8281494217133161</v>
      </c>
      <c r="AA51">
        <f t="shared" si="18"/>
        <v>3.902668679949306E-2</v>
      </c>
      <c r="AB51">
        <v>4.7652529188916271E-2</v>
      </c>
      <c r="AC51">
        <f t="shared" si="4"/>
        <v>0.62621228441760302</v>
      </c>
      <c r="AD51">
        <f t="shared" si="5"/>
        <v>3.9191582351264407E-3</v>
      </c>
      <c r="AE51">
        <f t="shared" si="6"/>
        <v>0.63880391265817094</v>
      </c>
      <c r="AF51">
        <f t="shared" si="7"/>
        <v>0.52516123260277681</v>
      </c>
      <c r="AG51">
        <f t="shared" si="8"/>
        <v>6.8677899149876221E-3</v>
      </c>
      <c r="AH51">
        <f t="shared" si="9"/>
        <v>0.14289361690028177</v>
      </c>
    </row>
    <row r="52" spans="2:34" x14ac:dyDescent="0.25">
      <c r="B52">
        <v>56</v>
      </c>
      <c r="C52">
        <v>1.7509374747077999</v>
      </c>
      <c r="D52">
        <v>0.83290912293510388</v>
      </c>
      <c r="E52">
        <v>4.3782695857961693</v>
      </c>
      <c r="V52">
        <f t="shared" si="10"/>
        <v>48</v>
      </c>
      <c r="W52">
        <f t="shared" si="15"/>
        <v>4.3579900568456402</v>
      </c>
      <c r="X52">
        <f t="shared" si="16"/>
        <v>1.7404661748405046</v>
      </c>
      <c r="Y52">
        <f t="shared" si="17"/>
        <v>-0.35667494393873245</v>
      </c>
      <c r="Z52">
        <v>1.6722821239441079</v>
      </c>
      <c r="AA52">
        <f t="shared" si="18"/>
        <v>6.8184050896396675E-2</v>
      </c>
      <c r="AB52">
        <v>6.7419399731200647E-2</v>
      </c>
      <c r="AC52">
        <f t="shared" si="4"/>
        <v>1.0940639284099642</v>
      </c>
      <c r="AD52">
        <f t="shared" si="5"/>
        <v>3.8670679464506796E-3</v>
      </c>
      <c r="AE52">
        <f t="shared" si="6"/>
        <v>1.1353995288898968</v>
      </c>
      <c r="AF52">
        <f t="shared" si="7"/>
        <v>0.26031437542978159</v>
      </c>
      <c r="AG52">
        <f t="shared" si="8"/>
        <v>3.0929740179907794E-2</v>
      </c>
      <c r="AH52">
        <f t="shared" si="9"/>
        <v>0.30527972510332663</v>
      </c>
    </row>
    <row r="53" spans="2:34" x14ac:dyDescent="0.25">
      <c r="B53">
        <v>57</v>
      </c>
      <c r="C53">
        <v>1.8325814637483102</v>
      </c>
      <c r="D53">
        <v>0.53062825106217038</v>
      </c>
      <c r="E53">
        <v>4.2931954209672663</v>
      </c>
      <c r="V53">
        <f t="shared" si="10"/>
        <v>49</v>
      </c>
      <c r="W53">
        <f t="shared" si="15"/>
        <v>4.4773368144782069</v>
      </c>
      <c r="X53">
        <f t="shared" si="16"/>
        <v>1.6524974018945473</v>
      </c>
      <c r="Y53">
        <f t="shared" si="17"/>
        <v>0.47000362924573563</v>
      </c>
      <c r="Z53">
        <v>1.6131176123730286</v>
      </c>
      <c r="AA53">
        <f t="shared" si="18"/>
        <v>3.937978952151866E-2</v>
      </c>
      <c r="AB53">
        <v>5.7176915302686648E-2</v>
      </c>
      <c r="AC53">
        <f t="shared" si="4"/>
        <v>0.63187808083352104</v>
      </c>
      <c r="AD53">
        <f t="shared" si="5"/>
        <v>3.9184579190496942E-3</v>
      </c>
      <c r="AE53">
        <f t="shared" si="6"/>
        <v>0.64788912943361721</v>
      </c>
      <c r="AF53">
        <f t="shared" si="7"/>
        <v>0.51930421491660761</v>
      </c>
      <c r="AG53">
        <f t="shared" si="8"/>
        <v>8.5606281419383767E-3</v>
      </c>
      <c r="AH53">
        <f t="shared" si="9"/>
        <v>0.1595496846623512</v>
      </c>
    </row>
    <row r="54" spans="2:34" x14ac:dyDescent="0.25">
      <c r="B54">
        <v>58</v>
      </c>
      <c r="C54">
        <v>1.6752256529721035</v>
      </c>
      <c r="D54">
        <v>0.58778666490211906</v>
      </c>
      <c r="E54">
        <v>4.4531838289902099</v>
      </c>
      <c r="V54">
        <f t="shared" si="10"/>
        <v>50</v>
      </c>
      <c r="W54">
        <f t="shared" si="15"/>
        <v>4.3870141761849206</v>
      </c>
      <c r="X54">
        <f t="shared" si="16"/>
        <v>1.6193882432872684</v>
      </c>
      <c r="Y54">
        <f t="shared" si="17"/>
        <v>1.0647107369924282</v>
      </c>
      <c r="Z54">
        <v>1.7258243428882238</v>
      </c>
      <c r="AA54">
        <f t="shared" si="18"/>
        <v>-0.10643609960095546</v>
      </c>
      <c r="AB54">
        <v>3.1999293389173011E-2</v>
      </c>
      <c r="AC54">
        <f t="shared" si="4"/>
        <v>-1.7078465670952014</v>
      </c>
      <c r="AD54">
        <f t="shared" si="5"/>
        <v>3.7637145006743228E-3</v>
      </c>
      <c r="AE54">
        <f t="shared" si="6"/>
        <v>-1.7633672797136131</v>
      </c>
      <c r="AF54">
        <f t="shared" si="7"/>
        <v>8.2467141161724378E-2</v>
      </c>
      <c r="AG54">
        <f t="shared" si="8"/>
        <v>3.3202094942551837E-2</v>
      </c>
      <c r="AH54">
        <f t="shared" si="9"/>
        <v>-0.32060857582471342</v>
      </c>
    </row>
    <row r="55" spans="2:34" x14ac:dyDescent="0.25">
      <c r="B55">
        <v>59</v>
      </c>
      <c r="C55">
        <v>1.6054298910365616</v>
      </c>
      <c r="D55">
        <v>-0.51082562376599072</v>
      </c>
      <c r="E55">
        <v>4.4224485491727972</v>
      </c>
      <c r="V55">
        <f t="shared" si="10"/>
        <v>51</v>
      </c>
      <c r="W55">
        <f t="shared" si="15"/>
        <v>4.3782695857961693</v>
      </c>
      <c r="X55">
        <f t="shared" si="16"/>
        <v>1.7509374747077999</v>
      </c>
      <c r="Y55">
        <f t="shared" si="17"/>
        <v>0.83290912293510388</v>
      </c>
      <c r="Z55">
        <v>1.7206277998231729</v>
      </c>
      <c r="AA55">
        <f t="shared" si="18"/>
        <v>3.0309674884626991E-2</v>
      </c>
      <c r="AB55">
        <v>2.0374142025762321E-2</v>
      </c>
      <c r="AC55">
        <f t="shared" si="4"/>
        <v>0.48634132963866306</v>
      </c>
      <c r="AD55">
        <f t="shared" si="5"/>
        <v>3.929335307541108E-3</v>
      </c>
      <c r="AE55">
        <f t="shared" si="6"/>
        <v>0.48853042094506283</v>
      </c>
      <c r="AF55">
        <f t="shared" si="7"/>
        <v>0.62679351008865392</v>
      </c>
      <c r="AG55">
        <f t="shared" si="8"/>
        <v>1.6738631551688893E-3</v>
      </c>
      <c r="AH55">
        <f t="shared" si="9"/>
        <v>7.045327031823824E-2</v>
      </c>
    </row>
    <row r="56" spans="2:34" x14ac:dyDescent="0.25">
      <c r="B56">
        <v>60</v>
      </c>
      <c r="C56">
        <v>1.8547342683894434</v>
      </c>
      <c r="D56">
        <v>1.1314021114911006</v>
      </c>
      <c r="E56">
        <v>4.2986450257348308</v>
      </c>
      <c r="V56">
        <f t="shared" si="10"/>
        <v>52</v>
      </c>
      <c r="W56">
        <f t="shared" si="15"/>
        <v>4.2931954209672663</v>
      </c>
      <c r="X56">
        <f t="shared" si="16"/>
        <v>1.8325814637483102</v>
      </c>
      <c r="Y56">
        <f t="shared" si="17"/>
        <v>0.53062825106217038</v>
      </c>
      <c r="Z56">
        <v>1.7787781189378959</v>
      </c>
      <c r="AA56">
        <f t="shared" si="18"/>
        <v>5.3803344810414266E-2</v>
      </c>
      <c r="AB56">
        <v>2.3463051920421973E-2</v>
      </c>
      <c r="AC56">
        <f t="shared" si="4"/>
        <v>0.86331477832433245</v>
      </c>
      <c r="AD56">
        <f t="shared" si="5"/>
        <v>3.8981573112397555E-3</v>
      </c>
      <c r="AE56">
        <f t="shared" si="6"/>
        <v>0.87203768820667971</v>
      </c>
      <c r="AF56">
        <f t="shared" si="7"/>
        <v>0.38634916348185488</v>
      </c>
      <c r="AG56">
        <f t="shared" si="8"/>
        <v>6.1125755202816141E-3</v>
      </c>
      <c r="AH56">
        <f t="shared" si="9"/>
        <v>0.13517088767055133</v>
      </c>
    </row>
    <row r="57" spans="2:34" x14ac:dyDescent="0.25">
      <c r="B57">
        <v>61</v>
      </c>
      <c r="C57">
        <v>1.827769906751088</v>
      </c>
      <c r="D57">
        <v>0.18232155679395459</v>
      </c>
      <c r="E57">
        <v>4.3719762988203801</v>
      </c>
      <c r="V57">
        <f t="shared" si="10"/>
        <v>53</v>
      </c>
      <c r="W57">
        <f t="shared" si="15"/>
        <v>4.4531838289902099</v>
      </c>
      <c r="X57">
        <f t="shared" si="16"/>
        <v>1.6752256529721035</v>
      </c>
      <c r="Y57">
        <f t="shared" si="17"/>
        <v>0.58778666490211906</v>
      </c>
      <c r="Z57">
        <v>1.6409603016929761</v>
      </c>
      <c r="AA57">
        <f t="shared" si="18"/>
        <v>3.4265351279127332E-2</v>
      </c>
      <c r="AB57">
        <v>4.022099180061578E-2</v>
      </c>
      <c r="AC57">
        <f t="shared" si="4"/>
        <v>0.549813106378087</v>
      </c>
      <c r="AD57">
        <f t="shared" si="5"/>
        <v>3.9249424702967259E-3</v>
      </c>
      <c r="AE57">
        <f t="shared" si="6"/>
        <v>0.55828108928257436</v>
      </c>
      <c r="AF57">
        <f t="shared" si="7"/>
        <v>0.57854152182215157</v>
      </c>
      <c r="AG57">
        <f t="shared" si="8"/>
        <v>4.3996608843253869E-3</v>
      </c>
      <c r="AH57">
        <f t="shared" si="9"/>
        <v>0.11428617072045581</v>
      </c>
    </row>
    <row r="58" spans="2:34" x14ac:dyDescent="0.25">
      <c r="B58">
        <v>62</v>
      </c>
      <c r="C58">
        <v>1.62924053973028</v>
      </c>
      <c r="D58">
        <v>0.74193734472937733</v>
      </c>
      <c r="E58">
        <v>4.478472532942134</v>
      </c>
      <c r="V58">
        <f t="shared" si="10"/>
        <v>54</v>
      </c>
      <c r="W58">
        <f t="shared" si="15"/>
        <v>4.4224485491727972</v>
      </c>
      <c r="X58">
        <f t="shared" si="16"/>
        <v>1.6054298910365616</v>
      </c>
      <c r="Y58">
        <f t="shared" si="17"/>
        <v>-0.51082562376599072</v>
      </c>
      <c r="Z58">
        <v>1.6068933418988056</v>
      </c>
      <c r="AA58">
        <f t="shared" si="18"/>
        <v>-1.4634508622439757E-3</v>
      </c>
      <c r="AB58">
        <v>0.11268140090143164</v>
      </c>
      <c r="AC58">
        <f t="shared" si="4"/>
        <v>-2.3482160099499272E-2</v>
      </c>
      <c r="AD58">
        <f t="shared" si="5"/>
        <v>3.9437256037024816E-3</v>
      </c>
      <c r="AE58">
        <f t="shared" si="6"/>
        <v>-2.4739163306029373E-2</v>
      </c>
      <c r="AF58">
        <f t="shared" si="7"/>
        <v>0.98033766424660418</v>
      </c>
      <c r="AG58">
        <f t="shared" si="8"/>
        <v>2.6305581262178458E-5</v>
      </c>
      <c r="AH58">
        <f t="shared" si="9"/>
        <v>-8.8159949723282342E-3</v>
      </c>
    </row>
    <row r="59" spans="2:34" x14ac:dyDescent="0.25">
      <c r="B59">
        <v>64</v>
      </c>
      <c r="C59">
        <v>1.5810384379124025</v>
      </c>
      <c r="D59">
        <v>1.0647107369924282</v>
      </c>
      <c r="E59">
        <v>4.4320065669789024</v>
      </c>
      <c r="V59">
        <f t="shared" si="10"/>
        <v>55</v>
      </c>
      <c r="W59">
        <f t="shared" si="15"/>
        <v>4.2986450257348308</v>
      </c>
      <c r="X59">
        <f t="shared" si="16"/>
        <v>1.8547342683894434</v>
      </c>
      <c r="Y59">
        <f t="shared" si="17"/>
        <v>1.1314021114911006</v>
      </c>
      <c r="Z59">
        <v>1.8074174248418484</v>
      </c>
      <c r="AA59">
        <f t="shared" si="18"/>
        <v>4.7316843547595022E-2</v>
      </c>
      <c r="AB59">
        <v>5.0717872650197671E-2</v>
      </c>
      <c r="AC59">
        <f t="shared" si="4"/>
        <v>0.75923402982173427</v>
      </c>
      <c r="AD59">
        <f t="shared" si="5"/>
        <v>3.9074780926567449E-3</v>
      </c>
      <c r="AE59">
        <f t="shared" si="6"/>
        <v>0.77690843666707698</v>
      </c>
      <c r="AF59">
        <f t="shared" si="7"/>
        <v>0.43998846835467609</v>
      </c>
      <c r="AG59">
        <f t="shared" si="8"/>
        <v>1.0814351878909648E-2</v>
      </c>
      <c r="AH59">
        <f t="shared" si="9"/>
        <v>0.17957782198780531</v>
      </c>
    </row>
    <row r="60" spans="2:34" x14ac:dyDescent="0.25">
      <c r="B60">
        <v>65</v>
      </c>
      <c r="C60">
        <v>1.62924053973028</v>
      </c>
      <c r="D60">
        <v>0.47000362924573563</v>
      </c>
      <c r="E60">
        <v>4.513054897080286</v>
      </c>
      <c r="V60">
        <f t="shared" si="10"/>
        <v>56</v>
      </c>
      <c r="W60">
        <f t="shared" si="15"/>
        <v>4.3719762988203801</v>
      </c>
      <c r="X60">
        <f t="shared" si="16"/>
        <v>1.827769906751088</v>
      </c>
      <c r="Y60">
        <f t="shared" si="17"/>
        <v>0.18232155679395459</v>
      </c>
      <c r="Z60">
        <v>1.6899591582768578</v>
      </c>
      <c r="AA60">
        <f t="shared" si="18"/>
        <v>0.13781074847423014</v>
      </c>
      <c r="AB60">
        <v>2.5081410191617415E-2</v>
      </c>
      <c r="AC60">
        <f t="shared" si="4"/>
        <v>2.2112761983286866</v>
      </c>
      <c r="AD60">
        <f t="shared" si="5"/>
        <v>3.6440643023033844E-3</v>
      </c>
      <c r="AE60">
        <f t="shared" si="6"/>
        <v>2.3120961989279261</v>
      </c>
      <c r="AF60">
        <f t="shared" si="7"/>
        <v>2.3901363129718755E-2</v>
      </c>
      <c r="AG60">
        <f t="shared" si="8"/>
        <v>4.3011043134073057E-2</v>
      </c>
      <c r="AH60">
        <f t="shared" si="9"/>
        <v>0.3708495013173212</v>
      </c>
    </row>
    <row r="61" spans="2:34" x14ac:dyDescent="0.25">
      <c r="B61">
        <v>66</v>
      </c>
      <c r="C61">
        <v>1.7884205679625405</v>
      </c>
      <c r="D61">
        <v>0.40546510810816438</v>
      </c>
      <c r="E61">
        <v>4.2738844760541781</v>
      </c>
      <c r="V61">
        <f t="shared" si="10"/>
        <v>57</v>
      </c>
      <c r="W61">
        <f t="shared" si="15"/>
        <v>4.478472532942134</v>
      </c>
      <c r="X61">
        <f t="shared" si="16"/>
        <v>1.62924053973028</v>
      </c>
      <c r="Y61">
        <f t="shared" si="17"/>
        <v>0.74193734472937733</v>
      </c>
      <c r="Z61">
        <v>1.6272538930445259</v>
      </c>
      <c r="AA61">
        <f t="shared" si="18"/>
        <v>1.986646685754101E-3</v>
      </c>
      <c r="AB61">
        <v>5.3710514826611933E-2</v>
      </c>
      <c r="AC61">
        <f t="shared" si="4"/>
        <v>3.187722713455899E-2</v>
      </c>
      <c r="AD61">
        <f t="shared" si="5"/>
        <v>3.9436985711427267E-3</v>
      </c>
      <c r="AE61">
        <f t="shared" si="6"/>
        <v>3.2520466986446082E-2</v>
      </c>
      <c r="AF61">
        <f t="shared" si="7"/>
        <v>0.9741551426922237</v>
      </c>
      <c r="AG61">
        <f t="shared" si="8"/>
        <v>2.0316603526745947E-5</v>
      </c>
      <c r="AH61">
        <f t="shared" si="9"/>
        <v>7.7477290387915647E-3</v>
      </c>
    </row>
    <row r="62" spans="2:34" x14ac:dyDescent="0.25">
      <c r="B62">
        <v>67</v>
      </c>
      <c r="C62">
        <v>1.6134299337036377</v>
      </c>
      <c r="D62">
        <v>0.69314718055994529</v>
      </c>
      <c r="E62">
        <v>4.389498649512583</v>
      </c>
      <c r="V62">
        <f t="shared" si="10"/>
        <v>58</v>
      </c>
      <c r="W62">
        <f t="shared" si="15"/>
        <v>4.4320065669789024</v>
      </c>
      <c r="X62">
        <f t="shared" si="16"/>
        <v>1.5810384379124025</v>
      </c>
      <c r="Y62">
        <f t="shared" si="17"/>
        <v>1.0647107369924282</v>
      </c>
      <c r="Z62">
        <v>1.6861720542690719</v>
      </c>
      <c r="AA62">
        <f t="shared" si="18"/>
        <v>-0.1051336163566694</v>
      </c>
      <c r="AB62">
        <v>4.087860798259213E-2</v>
      </c>
      <c r="AC62">
        <f t="shared" si="4"/>
        <v>-1.6869472524285356</v>
      </c>
      <c r="AD62">
        <f t="shared" si="5"/>
        <v>3.7664678248804286E-3</v>
      </c>
      <c r="AE62">
        <f t="shared" si="6"/>
        <v>-1.7491928109217438</v>
      </c>
      <c r="AF62">
        <f t="shared" si="7"/>
        <v>8.490650276968062E-2</v>
      </c>
      <c r="AG62">
        <f t="shared" si="8"/>
        <v>4.2153214201032269E-2</v>
      </c>
      <c r="AH62">
        <f t="shared" si="9"/>
        <v>-0.36111784020867099</v>
      </c>
    </row>
    <row r="63" spans="2:34" x14ac:dyDescent="0.25">
      <c r="B63">
        <v>68</v>
      </c>
      <c r="C63">
        <v>1.6253112615903906</v>
      </c>
      <c r="D63">
        <v>0.26236426446749106</v>
      </c>
      <c r="E63">
        <v>4.2918283667557331</v>
      </c>
      <c r="V63">
        <f t="shared" si="10"/>
        <v>59</v>
      </c>
      <c r="W63">
        <f t="shared" si="15"/>
        <v>4.513054897080286</v>
      </c>
      <c r="X63">
        <f t="shared" si="16"/>
        <v>1.62924053973028</v>
      </c>
      <c r="Y63">
        <f t="shared" si="17"/>
        <v>0.47000362924573563</v>
      </c>
      <c r="Z63">
        <v>1.581638873518151</v>
      </c>
      <c r="AA63">
        <f t="shared" si="18"/>
        <v>4.7601666212129023E-2</v>
      </c>
      <c r="AB63">
        <v>8.4217260968101337E-2</v>
      </c>
      <c r="AC63">
        <f t="shared" si="4"/>
        <v>0.76380422181184859</v>
      </c>
      <c r="AD63">
        <f t="shared" si="5"/>
        <v>3.9056966269021376E-3</v>
      </c>
      <c r="AE63">
        <f t="shared" si="6"/>
        <v>0.795933299350011</v>
      </c>
      <c r="AF63">
        <f t="shared" si="7"/>
        <v>0.42892432418792481</v>
      </c>
      <c r="AG63">
        <f t="shared" si="8"/>
        <v>1.9528058159428419E-2</v>
      </c>
      <c r="AH63">
        <f t="shared" si="9"/>
        <v>0.24136872932526712</v>
      </c>
    </row>
    <row r="64" spans="2:34" x14ac:dyDescent="0.25">
      <c r="B64">
        <v>69</v>
      </c>
      <c r="C64">
        <v>1.6544112780768316</v>
      </c>
      <c r="D64">
        <v>9.5310179804324935E-2</v>
      </c>
      <c r="E64">
        <v>4.3944491546724391</v>
      </c>
      <c r="V64">
        <f t="shared" si="10"/>
        <v>60</v>
      </c>
      <c r="W64">
        <f t="shared" si="15"/>
        <v>4.2738844760541781</v>
      </c>
      <c r="X64">
        <f t="shared" si="16"/>
        <v>1.7884205679625405</v>
      </c>
      <c r="Y64">
        <f t="shared" si="17"/>
        <v>0.40546510810816438</v>
      </c>
      <c r="Z64">
        <v>1.7888298553034674</v>
      </c>
      <c r="AA64">
        <f t="shared" si="18"/>
        <v>-4.0928734092693375E-4</v>
      </c>
      <c r="AB64">
        <v>2.9600895904212776E-2</v>
      </c>
      <c r="AC64">
        <f t="shared" si="4"/>
        <v>-6.5673205122908545E-3</v>
      </c>
      <c r="AD64">
        <f t="shared" si="5"/>
        <v>3.9437600812007485E-3</v>
      </c>
      <c r="AE64">
        <f t="shared" si="6"/>
        <v>-6.6160362407692123E-3</v>
      </c>
      <c r="AF64">
        <f t="shared" si="7"/>
        <v>0.9947411627715872</v>
      </c>
      <c r="AG64">
        <f t="shared" si="8"/>
        <v>4.5191759598522579E-7</v>
      </c>
      <c r="AH64">
        <f t="shared" si="9"/>
        <v>-1.155513729125542E-3</v>
      </c>
    </row>
    <row r="65" spans="2:34" x14ac:dyDescent="0.25">
      <c r="B65">
        <v>70</v>
      </c>
      <c r="C65">
        <v>1.7950872593207297</v>
      </c>
      <c r="D65">
        <v>0.78845736036427028</v>
      </c>
      <c r="E65">
        <v>4.3000027991952914</v>
      </c>
      <c r="V65">
        <f t="shared" si="10"/>
        <v>61</v>
      </c>
      <c r="W65">
        <f t="shared" si="15"/>
        <v>4.389498649512583</v>
      </c>
      <c r="X65">
        <f t="shared" si="16"/>
        <v>1.6134299337036377</v>
      </c>
      <c r="Y65">
        <f t="shared" si="17"/>
        <v>0.69314718055994529</v>
      </c>
      <c r="Z65">
        <v>1.7029516480590075</v>
      </c>
      <c r="AA65">
        <f t="shared" si="18"/>
        <v>-8.9521714355369708E-2</v>
      </c>
      <c r="AB65">
        <v>1.8543127727570996E-2</v>
      </c>
      <c r="AC65">
        <f t="shared" si="4"/>
        <v>-1.4364426460148387</v>
      </c>
      <c r="AD65">
        <f t="shared" si="5"/>
        <v>3.8181388566950053E-3</v>
      </c>
      <c r="AE65">
        <f t="shared" si="6"/>
        <v>-1.462402500368178</v>
      </c>
      <c r="AF65">
        <f t="shared" si="7"/>
        <v>0.14837664807047468</v>
      </c>
      <c r="AG65">
        <f t="shared" si="8"/>
        <v>1.3240240532332284E-2</v>
      </c>
      <c r="AH65">
        <f t="shared" si="9"/>
        <v>-0.20101237999151073</v>
      </c>
    </row>
    <row r="66" spans="2:34" x14ac:dyDescent="0.25">
      <c r="B66">
        <v>71</v>
      </c>
      <c r="C66">
        <v>1.7457155307266483</v>
      </c>
      <c r="D66">
        <v>0.53062825106217038</v>
      </c>
      <c r="E66">
        <v>4.4091553020621346</v>
      </c>
      <c r="V66">
        <f t="shared" si="10"/>
        <v>62</v>
      </c>
      <c r="W66">
        <f t="shared" si="15"/>
        <v>4.2918283667557331</v>
      </c>
      <c r="X66">
        <f t="shared" si="16"/>
        <v>1.6253112615903906</v>
      </c>
      <c r="Y66">
        <f t="shared" si="17"/>
        <v>0.26236426446749106</v>
      </c>
      <c r="Z66">
        <v>1.7650499926185885</v>
      </c>
      <c r="AA66">
        <f t="shared" si="18"/>
        <v>-0.13973873102819789</v>
      </c>
      <c r="AB66">
        <v>2.5723485225806697E-2</v>
      </c>
      <c r="AC66">
        <f t="shared" si="4"/>
        <v>-2.242212115734135</v>
      </c>
      <c r="AD66">
        <f t="shared" si="5"/>
        <v>3.6354169636661896E-3</v>
      </c>
      <c r="AE66">
        <f t="shared" si="6"/>
        <v>-2.3480025457994071</v>
      </c>
      <c r="AF66">
        <f t="shared" si="7"/>
        <v>2.188087448353641E-2</v>
      </c>
      <c r="AG66">
        <f t="shared" si="8"/>
        <v>4.5414807467222464E-2</v>
      </c>
      <c r="AH66">
        <f t="shared" si="9"/>
        <v>-0.38152442939857095</v>
      </c>
    </row>
    <row r="67" spans="2:34" x14ac:dyDescent="0.25">
      <c r="B67">
        <v>72</v>
      </c>
      <c r="C67">
        <v>1.631199404215613</v>
      </c>
      <c r="D67">
        <v>-0.35667494393873245</v>
      </c>
      <c r="E67">
        <v>4.3067641501733345</v>
      </c>
      <c r="V67">
        <f t="shared" si="10"/>
        <v>63</v>
      </c>
      <c r="W67">
        <f t="shared" si="15"/>
        <v>4.3944491546724391</v>
      </c>
      <c r="X67">
        <f t="shared" si="16"/>
        <v>1.6544112780768316</v>
      </c>
      <c r="Y67">
        <f t="shared" si="17"/>
        <v>9.5310179804324935E-2</v>
      </c>
      <c r="Z67">
        <v>1.6653100913636862</v>
      </c>
      <c r="AA67">
        <f t="shared" si="18"/>
        <v>-1.0898813286854603E-2</v>
      </c>
      <c r="AB67">
        <v>3.5446103648251626E-2</v>
      </c>
      <c r="AC67">
        <f t="shared" si="4"/>
        <v>-0.17487958434357279</v>
      </c>
      <c r="AD67">
        <f t="shared" si="5"/>
        <v>3.9418681324672406E-3</v>
      </c>
      <c r="AE67">
        <f t="shared" si="6"/>
        <v>-0.17675223611209137</v>
      </c>
      <c r="AF67">
        <f t="shared" si="7"/>
        <v>0.86024428643074036</v>
      </c>
      <c r="AG67">
        <f t="shared" si="8"/>
        <v>3.8839396552082552E-4</v>
      </c>
      <c r="AH67">
        <f t="shared" si="9"/>
        <v>-3.3883316967486941E-2</v>
      </c>
    </row>
    <row r="68" spans="2:34" x14ac:dyDescent="0.25">
      <c r="B68">
        <v>73</v>
      </c>
      <c r="C68">
        <v>1.7422190236679189</v>
      </c>
      <c r="D68">
        <v>-0.35667494393873245</v>
      </c>
      <c r="E68">
        <v>4.3228072750139104</v>
      </c>
      <c r="V68">
        <f t="shared" si="10"/>
        <v>64</v>
      </c>
      <c r="W68">
        <f t="shared" ref="W68:W73" si="19">E65</f>
        <v>4.3000027991952914</v>
      </c>
      <c r="X68">
        <f t="shared" ref="X68:X70" si="20">C65</f>
        <v>1.7950872593207297</v>
      </c>
      <c r="Y68">
        <f t="shared" ref="Y68:Y70" si="21">D65</f>
        <v>0.78845736036427028</v>
      </c>
      <c r="Z68">
        <v>1.7871307700063137</v>
      </c>
      <c r="AA68">
        <f t="shared" si="18"/>
        <v>7.9564893144159488E-3</v>
      </c>
      <c r="AB68">
        <v>2.8100605637304099E-2</v>
      </c>
      <c r="AC68">
        <f t="shared" si="4"/>
        <v>0.12766780267879105</v>
      </c>
      <c r="AD68">
        <f t="shared" si="5"/>
        <v>3.9427606433599105E-3</v>
      </c>
      <c r="AE68">
        <f t="shared" si="6"/>
        <v>0.12853180951166526</v>
      </c>
      <c r="AF68">
        <f t="shared" si="7"/>
        <v>0.89811899220697766</v>
      </c>
      <c r="AG68">
        <f t="shared" si="8"/>
        <v>1.6162724482779152E-4</v>
      </c>
      <c r="AH68">
        <f t="shared" si="9"/>
        <v>2.1855352022656638E-2</v>
      </c>
    </row>
    <row r="69" spans="2:34" x14ac:dyDescent="0.25">
      <c r="B69">
        <v>74</v>
      </c>
      <c r="C69">
        <v>1.6956156086751528</v>
      </c>
      <c r="D69">
        <v>0.69314718055994529</v>
      </c>
      <c r="E69">
        <v>4.3981460165537651</v>
      </c>
      <c r="V69">
        <f t="shared" si="10"/>
        <v>65</v>
      </c>
      <c r="W69">
        <f t="shared" si="19"/>
        <v>4.4091553020621346</v>
      </c>
      <c r="X69">
        <f t="shared" si="20"/>
        <v>1.7457155307266483</v>
      </c>
      <c r="Y69">
        <f t="shared" si="21"/>
        <v>0.53062825106217038</v>
      </c>
      <c r="Z69">
        <v>1.6765814009535012</v>
      </c>
      <c r="AA69">
        <f t="shared" ref="AA69:AA73" si="22">X69-Z69</f>
        <v>6.9134129773147146E-2</v>
      </c>
      <c r="AB69">
        <v>2.3022204791282808E-2</v>
      </c>
      <c r="AC69">
        <f t="shared" si="4"/>
        <v>1.1093086522791336</v>
      </c>
      <c r="AD69">
        <f t="shared" si="5"/>
        <v>3.8684987966848493E-3</v>
      </c>
      <c r="AE69">
        <f t="shared" si="6"/>
        <v>1.1245503909656054</v>
      </c>
      <c r="AF69">
        <f t="shared" si="7"/>
        <v>0.26485290304080994</v>
      </c>
      <c r="AG69">
        <f t="shared" si="8"/>
        <v>9.8937531960365688E-3</v>
      </c>
      <c r="AH69">
        <f t="shared" si="9"/>
        <v>0.1726275197182004</v>
      </c>
    </row>
    <row r="70" spans="2:34" x14ac:dyDescent="0.25">
      <c r="B70" s="4">
        <v>75</v>
      </c>
      <c r="C70" s="4">
        <v>1.80005827204275</v>
      </c>
      <c r="D70" s="4">
        <v>0.78845736036427028</v>
      </c>
      <c r="E70" s="4">
        <v>4.3174881135363101</v>
      </c>
      <c r="V70">
        <f t="shared" si="10"/>
        <v>66</v>
      </c>
      <c r="W70">
        <f t="shared" si="19"/>
        <v>4.3067641501733345</v>
      </c>
      <c r="X70">
        <f t="shared" si="20"/>
        <v>1.631199404215613</v>
      </c>
      <c r="Y70">
        <f t="shared" si="21"/>
        <v>-0.35667494393873245</v>
      </c>
      <c r="Z70">
        <v>1.7174280786333993</v>
      </c>
      <c r="AA70">
        <f t="shared" si="22"/>
        <v>-8.6228674417786255E-2</v>
      </c>
      <c r="AB70">
        <v>6.3915621618835211E-2</v>
      </c>
      <c r="AC70">
        <f t="shared" ref="AC70:AC73" si="23">AA70/SQRT($AK$7)</f>
        <v>-1.3836033652276385</v>
      </c>
      <c r="AD70">
        <f t="shared" ref="AD70:AD73" si="24">($AK$7-AA70^2/((1-AB70)*$AK$6))*$AK$6/($AK$6-1)</f>
        <v>3.8215616510484831E-3</v>
      </c>
      <c r="AE70">
        <f t="shared" ref="AE70:AE73" si="25">AA70/SQRT(AD70*(1-AB70))</f>
        <v>-1.4416962733845147</v>
      </c>
      <c r="AF70">
        <f t="shared" ref="AF70:AF73" si="26">_xlfn.T.DIST.2T(ABS(AE70),$AK$6)</f>
        <v>0.15411640774673402</v>
      </c>
      <c r="AG70">
        <f t="shared" ref="AG70:AG73" si="27">(AA70^2/$AK$7)*(AB70/(1-AB70)^2)/($AK$8+1)</f>
        <v>4.6545637861884009E-2</v>
      </c>
      <c r="AH70">
        <f t="shared" ref="AH70:AH73" si="28">AE70*SQRT(AB70/(1-AB70))</f>
        <v>-0.37672096120853749</v>
      </c>
    </row>
    <row r="71" spans="2:34" x14ac:dyDescent="0.25">
      <c r="V71">
        <f t="shared" ref="V71:V73" si="29">V70+1</f>
        <v>67</v>
      </c>
      <c r="W71">
        <f t="shared" si="19"/>
        <v>4.3228072750139104</v>
      </c>
      <c r="X71">
        <f>C68</f>
        <v>1.7422190236679189</v>
      </c>
      <c r="Y71">
        <f t="shared" ref="Y71" si="30">D68</f>
        <v>-0.35667494393873245</v>
      </c>
      <c r="Z71">
        <v>1.7032890963453835</v>
      </c>
      <c r="AA71">
        <f t="shared" si="22"/>
        <v>3.8929927322535418E-2</v>
      </c>
      <c r="AB71">
        <v>6.3544753831341325E-2</v>
      </c>
      <c r="AC71">
        <f t="shared" si="23"/>
        <v>0.62465970647482238</v>
      </c>
      <c r="AD71">
        <f t="shared" si="24"/>
        <v>3.9188646028529587E-3</v>
      </c>
      <c r="AE71">
        <f t="shared" si="25"/>
        <v>0.64262845239532518</v>
      </c>
      <c r="AF71">
        <f t="shared" si="26"/>
        <v>0.52269143687537167</v>
      </c>
      <c r="AG71">
        <f t="shared" si="27"/>
        <v>9.4247834097638851E-3</v>
      </c>
      <c r="AH71">
        <f t="shared" si="28"/>
        <v>0.16740032135217797</v>
      </c>
    </row>
    <row r="72" spans="2:34" x14ac:dyDescent="0.25">
      <c r="V72">
        <f t="shared" si="29"/>
        <v>68</v>
      </c>
      <c r="W72">
        <f t="shared" si="19"/>
        <v>4.3981460165537651</v>
      </c>
      <c r="X72">
        <f>C69</f>
        <v>1.6956156086751528</v>
      </c>
      <c r="Y72">
        <f t="shared" ref="Y72" si="31">D69</f>
        <v>0.69314718055994529</v>
      </c>
      <c r="Z72">
        <v>1.6953306284229814</v>
      </c>
      <c r="AA72">
        <f t="shared" si="22"/>
        <v>2.8498025217138512E-4</v>
      </c>
      <c r="AB72">
        <v>2.0159527159075874E-2</v>
      </c>
      <c r="AC72">
        <f t="shared" si="23"/>
        <v>4.5727206012390921E-3</v>
      </c>
      <c r="AD72">
        <f t="shared" si="24"/>
        <v>3.943761461836939E-3</v>
      </c>
      <c r="AE72">
        <f t="shared" si="25"/>
        <v>4.5843921468614636E-3</v>
      </c>
      <c r="AF72">
        <f t="shared" si="26"/>
        <v>0.99635602586923733</v>
      </c>
      <c r="AG72">
        <f t="shared" si="27"/>
        <v>1.463516660788865E-7</v>
      </c>
      <c r="AH72">
        <f t="shared" si="28"/>
        <v>6.5757341003770567E-4</v>
      </c>
    </row>
    <row r="73" spans="2:34" x14ac:dyDescent="0.25">
      <c r="V73" s="4">
        <f t="shared" si="29"/>
        <v>69</v>
      </c>
      <c r="W73" s="4">
        <f t="shared" si="19"/>
        <v>4.3174881135363101</v>
      </c>
      <c r="X73" s="4">
        <f>C70</f>
        <v>1.80005827204275</v>
      </c>
      <c r="Y73" s="4">
        <f t="shared" ref="Y73" si="32">D70</f>
        <v>0.78845736036427028</v>
      </c>
      <c r="Z73" s="4">
        <v>1.7717207702572138</v>
      </c>
      <c r="AA73" s="4">
        <f t="shared" si="22"/>
        <v>2.833750178553629E-2</v>
      </c>
      <c r="AB73" s="4">
        <v>2.331084328374522E-2</v>
      </c>
      <c r="AC73" s="4">
        <f t="shared" si="23"/>
        <v>0.45469634199229764</v>
      </c>
      <c r="AD73" s="4">
        <f t="shared" si="24"/>
        <v>3.9311138183730594E-3</v>
      </c>
      <c r="AE73" s="4">
        <f t="shared" si="25"/>
        <v>0.45732565840957484</v>
      </c>
      <c r="AF73" s="4">
        <f t="shared" si="26"/>
        <v>0.64893885288507458</v>
      </c>
      <c r="AG73" s="4">
        <f t="shared" si="27"/>
        <v>1.6840962867710598E-3</v>
      </c>
      <c r="AH73" s="4">
        <f t="shared" si="28"/>
        <v>7.065231190915483E-2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EB596-433C-4532-A2A3-D9779F14D278}">
  <dimension ref="A1:O117"/>
  <sheetViews>
    <sheetView topLeftCell="A79" workbookViewId="0">
      <selection activeCell="F111" sqref="F111"/>
    </sheetView>
  </sheetViews>
  <sheetFormatPr baseColWidth="10" defaultRowHeight="15" x14ac:dyDescent="0.25"/>
  <sheetData>
    <row r="1" spans="1:15" x14ac:dyDescent="0.25">
      <c r="A1" s="93" t="s">
        <v>106</v>
      </c>
      <c r="B1" s="94" t="s">
        <v>107</v>
      </c>
      <c r="C1" s="95" t="s">
        <v>108</v>
      </c>
      <c r="D1" s="95" t="s">
        <v>109</v>
      </c>
      <c r="E1" s="94" t="s">
        <v>110</v>
      </c>
      <c r="F1" s="94" t="s">
        <v>111</v>
      </c>
      <c r="G1" s="94" t="s">
        <v>112</v>
      </c>
      <c r="H1" s="94" t="s">
        <v>113</v>
      </c>
      <c r="I1" s="94" t="s">
        <v>114</v>
      </c>
      <c r="J1" s="94" t="s">
        <v>115</v>
      </c>
      <c r="K1" s="94" t="s">
        <v>116</v>
      </c>
      <c r="L1" s="94" t="s">
        <v>117</v>
      </c>
      <c r="M1" s="94" t="s">
        <v>118</v>
      </c>
      <c r="N1" s="94" t="s">
        <v>119</v>
      </c>
      <c r="O1" s="94" t="s">
        <v>120</v>
      </c>
    </row>
    <row r="2" spans="1:15" x14ac:dyDescent="0.25">
      <c r="A2" s="93">
        <v>1</v>
      </c>
      <c r="B2" s="94">
        <v>15.67</v>
      </c>
      <c r="C2" s="93">
        <v>434365.00068579998</v>
      </c>
      <c r="D2" s="93">
        <v>1731259.9970499999</v>
      </c>
      <c r="E2" s="94">
        <v>16.36</v>
      </c>
      <c r="F2" s="94">
        <v>5.71</v>
      </c>
      <c r="G2" s="94">
        <v>1.57</v>
      </c>
      <c r="H2" s="94">
        <v>8.548E-2</v>
      </c>
      <c r="I2" s="94">
        <v>10.64</v>
      </c>
      <c r="J2" s="94">
        <v>35.57</v>
      </c>
      <c r="K2" s="94">
        <v>2.08</v>
      </c>
      <c r="L2" s="94">
        <v>0.6</v>
      </c>
      <c r="M2" s="94">
        <v>0.71</v>
      </c>
      <c r="N2" s="94">
        <v>0.14000000000000001</v>
      </c>
      <c r="O2" s="94">
        <v>7.03</v>
      </c>
    </row>
    <row r="3" spans="1:15" x14ac:dyDescent="0.25">
      <c r="A3" s="93">
        <v>2</v>
      </c>
      <c r="B3" s="94">
        <v>15.67</v>
      </c>
      <c r="C3" s="93">
        <v>435078.00235038402</v>
      </c>
      <c r="D3" s="93">
        <v>1732126.0007774499</v>
      </c>
      <c r="E3" s="94">
        <v>16.36</v>
      </c>
      <c r="F3" s="94">
        <v>5.54</v>
      </c>
      <c r="G3" s="94">
        <v>2.2999999999999998</v>
      </c>
      <c r="H3" s="94">
        <v>0.12519</v>
      </c>
      <c r="I3" s="94">
        <v>10.66</v>
      </c>
      <c r="J3" s="94">
        <v>2.06</v>
      </c>
      <c r="K3" s="94">
        <v>5.85</v>
      </c>
      <c r="L3" s="94">
        <v>1.32</v>
      </c>
      <c r="M3" s="94">
        <v>0.52</v>
      </c>
      <c r="N3" s="94">
        <v>0.22</v>
      </c>
      <c r="O3" s="94">
        <v>12.14</v>
      </c>
    </row>
    <row r="4" spans="1:15" x14ac:dyDescent="0.25">
      <c r="A4" s="93">
        <v>3</v>
      </c>
      <c r="B4" s="94">
        <v>1.24</v>
      </c>
      <c r="C4" s="93">
        <v>435010.99661963503</v>
      </c>
      <c r="D4" s="93">
        <v>1736609.99807281</v>
      </c>
      <c r="E4" s="94">
        <v>12.96</v>
      </c>
      <c r="F4" s="94">
        <v>5.16</v>
      </c>
      <c r="G4" s="94">
        <v>1.93</v>
      </c>
      <c r="H4" s="94">
        <v>0.13302</v>
      </c>
      <c r="I4" s="94">
        <v>6.04</v>
      </c>
      <c r="J4" s="94">
        <v>4.96</v>
      </c>
      <c r="K4" s="94">
        <v>4.91</v>
      </c>
      <c r="L4" s="94">
        <v>2.65</v>
      </c>
      <c r="M4" s="94">
        <v>0.24</v>
      </c>
      <c r="N4" s="94">
        <v>0.17</v>
      </c>
      <c r="O4" s="94">
        <v>10.029999999999999</v>
      </c>
    </row>
    <row r="5" spans="1:15" x14ac:dyDescent="0.25">
      <c r="A5" s="93">
        <v>4</v>
      </c>
      <c r="B5" s="94">
        <v>1.24</v>
      </c>
      <c r="C5" s="93">
        <v>434796.00272130599</v>
      </c>
      <c r="D5" s="93">
        <v>1736184.00478251</v>
      </c>
      <c r="E5" s="94">
        <v>12.96</v>
      </c>
      <c r="F5" s="94">
        <v>5.28</v>
      </c>
      <c r="G5" s="94">
        <v>2.4300000000000002</v>
      </c>
      <c r="H5" s="94">
        <v>0.14324999999999999</v>
      </c>
      <c r="I5" s="94">
        <v>9.19</v>
      </c>
      <c r="J5" s="94">
        <v>9.26</v>
      </c>
      <c r="K5" s="94">
        <v>2.2000000000000002</v>
      </c>
      <c r="L5" s="94">
        <v>1.36</v>
      </c>
      <c r="M5" s="94">
        <v>0.36</v>
      </c>
      <c r="N5" s="94">
        <v>0.18</v>
      </c>
      <c r="O5" s="94">
        <v>17.940000000000001</v>
      </c>
    </row>
    <row r="6" spans="1:15" x14ac:dyDescent="0.25">
      <c r="A6" s="93">
        <v>5</v>
      </c>
      <c r="B6" s="94">
        <v>14.52</v>
      </c>
      <c r="C6" s="93">
        <v>437092.00034460903</v>
      </c>
      <c r="D6" s="93">
        <v>1733055.00168201</v>
      </c>
      <c r="E6" s="94">
        <v>18.66</v>
      </c>
      <c r="F6" s="94">
        <v>6.47</v>
      </c>
      <c r="G6" s="94">
        <v>2.13</v>
      </c>
      <c r="H6" s="94">
        <v>0.10265999999999999</v>
      </c>
      <c r="I6" s="94">
        <v>12.03</v>
      </c>
      <c r="J6" s="94">
        <v>5.93</v>
      </c>
      <c r="K6" s="94">
        <v>6.98</v>
      </c>
      <c r="L6" s="94">
        <v>1.78</v>
      </c>
      <c r="M6" s="94">
        <v>0.13</v>
      </c>
      <c r="N6" s="94">
        <v>0.33</v>
      </c>
      <c r="O6" s="94">
        <v>11.85</v>
      </c>
    </row>
    <row r="7" spans="1:15" x14ac:dyDescent="0.25">
      <c r="A7" s="93">
        <v>6</v>
      </c>
      <c r="B7" s="94">
        <v>13.65</v>
      </c>
      <c r="C7" s="93">
        <v>435569.00114898698</v>
      </c>
      <c r="D7" s="93">
        <v>1733878.0041622501</v>
      </c>
      <c r="E7" s="94">
        <v>1.68</v>
      </c>
      <c r="F7" s="94">
        <v>6.08</v>
      </c>
      <c r="G7" s="94">
        <v>2.5099999999999998</v>
      </c>
      <c r="H7" s="94">
        <v>0.11797000000000001</v>
      </c>
      <c r="I7" s="94">
        <v>12.36</v>
      </c>
      <c r="J7" s="94">
        <v>28.99</v>
      </c>
      <c r="K7" s="94">
        <v>5.71</v>
      </c>
      <c r="L7" s="94">
        <v>1.79</v>
      </c>
      <c r="M7" s="94">
        <v>0.23</v>
      </c>
      <c r="N7" s="94">
        <v>0.17</v>
      </c>
      <c r="O7" s="94">
        <v>12.2</v>
      </c>
    </row>
    <row r="8" spans="1:15" x14ac:dyDescent="0.25">
      <c r="A8" s="93">
        <v>7</v>
      </c>
      <c r="B8" s="94">
        <v>28.4</v>
      </c>
      <c r="C8" s="93">
        <v>435346.99828300701</v>
      </c>
      <c r="D8" s="93">
        <v>1733259.9999552099</v>
      </c>
      <c r="E8" s="94">
        <v>28.73</v>
      </c>
      <c r="F8" s="94">
        <v>5.59</v>
      </c>
      <c r="G8" s="94">
        <v>2.67</v>
      </c>
      <c r="H8" s="94">
        <v>0.12062</v>
      </c>
      <c r="I8" s="94">
        <v>12.84</v>
      </c>
      <c r="J8" s="94">
        <v>7.56</v>
      </c>
      <c r="K8" s="94">
        <v>4.3</v>
      </c>
      <c r="L8" s="94">
        <v>1.26</v>
      </c>
      <c r="M8" s="94">
        <v>0.24</v>
      </c>
      <c r="N8" s="94">
        <v>0.15</v>
      </c>
      <c r="O8" s="94">
        <v>10.039999999999999</v>
      </c>
    </row>
    <row r="9" spans="1:15" x14ac:dyDescent="0.25">
      <c r="A9" s="93">
        <v>8</v>
      </c>
      <c r="B9" s="94">
        <v>28.4</v>
      </c>
      <c r="C9" s="93">
        <v>436020.99710407102</v>
      </c>
      <c r="D9" s="93">
        <v>1733160.0003098501</v>
      </c>
      <c r="E9" s="94">
        <v>28.73</v>
      </c>
      <c r="F9" s="94">
        <v>5.52</v>
      </c>
      <c r="G9" s="94">
        <v>1.76</v>
      </c>
      <c r="H9" s="94">
        <v>8.7499999999999994E-2</v>
      </c>
      <c r="I9" s="94">
        <v>11.65</v>
      </c>
      <c r="J9" s="94">
        <v>18</v>
      </c>
      <c r="K9" s="94">
        <v>5.69</v>
      </c>
      <c r="L9" s="94">
        <v>1.5</v>
      </c>
      <c r="M9" s="94">
        <v>0.22</v>
      </c>
      <c r="N9" s="94">
        <v>0.21</v>
      </c>
      <c r="O9" s="94">
        <v>8.98</v>
      </c>
    </row>
    <row r="10" spans="1:15" x14ac:dyDescent="0.25">
      <c r="A10" s="93">
        <v>9</v>
      </c>
      <c r="B10" s="94">
        <v>28.4</v>
      </c>
      <c r="C10" s="93">
        <v>435587.00182708498</v>
      </c>
      <c r="D10" s="93">
        <v>1732859.00157727</v>
      </c>
      <c r="E10" s="94">
        <v>28.73</v>
      </c>
      <c r="F10" s="94">
        <v>5.6</v>
      </c>
      <c r="G10" s="94">
        <v>2.31</v>
      </c>
      <c r="H10" s="94">
        <v>0.14321</v>
      </c>
      <c r="I10" s="94">
        <v>9.36</v>
      </c>
      <c r="J10" s="94">
        <v>7.92</v>
      </c>
      <c r="K10" s="94">
        <v>3.45</v>
      </c>
      <c r="L10" s="94">
        <v>1.32</v>
      </c>
      <c r="M10" s="94">
        <v>0.51</v>
      </c>
      <c r="N10" s="94">
        <v>0.15</v>
      </c>
      <c r="O10" s="94">
        <v>12.07</v>
      </c>
    </row>
    <row r="11" spans="1:15" x14ac:dyDescent="0.25">
      <c r="A11" s="93">
        <v>10</v>
      </c>
      <c r="B11" s="94">
        <v>16.190000000000001</v>
      </c>
      <c r="C11" s="93">
        <v>435331.00134507299</v>
      </c>
      <c r="D11" s="93">
        <v>1737082.0019977801</v>
      </c>
      <c r="E11" s="94">
        <v>17.95</v>
      </c>
      <c r="F11" s="94">
        <v>5.24</v>
      </c>
      <c r="G11" s="94">
        <v>1.73</v>
      </c>
      <c r="H11" s="94">
        <v>8.8300000000000003E-2</v>
      </c>
      <c r="I11" s="94">
        <v>11.35</v>
      </c>
      <c r="J11" s="94">
        <v>2.56</v>
      </c>
      <c r="K11" s="94">
        <v>6.1</v>
      </c>
      <c r="L11" s="94">
        <v>2.38</v>
      </c>
      <c r="M11" s="94">
        <v>0.26</v>
      </c>
      <c r="N11" s="94">
        <v>0.24</v>
      </c>
      <c r="O11" s="94">
        <v>12.89</v>
      </c>
    </row>
    <row r="12" spans="1:15" x14ac:dyDescent="0.25">
      <c r="A12" s="93">
        <v>11</v>
      </c>
      <c r="B12" s="94">
        <v>23.38</v>
      </c>
      <c r="C12" s="93">
        <v>437942.99621348601</v>
      </c>
      <c r="D12" s="93">
        <v>1739306.99910607</v>
      </c>
      <c r="E12" s="94">
        <v>21.89</v>
      </c>
      <c r="F12" s="94">
        <v>5.97</v>
      </c>
      <c r="G12" s="94">
        <v>2.23</v>
      </c>
      <c r="H12" s="94">
        <v>0.10915999999999999</v>
      </c>
      <c r="I12" s="94">
        <v>11.86</v>
      </c>
      <c r="J12" s="94">
        <v>5.42</v>
      </c>
      <c r="K12" s="94">
        <v>4.1500000000000004</v>
      </c>
      <c r="L12" s="94">
        <v>2.2400000000000002</v>
      </c>
      <c r="M12" s="94">
        <v>0.18</v>
      </c>
      <c r="N12" s="94">
        <v>0.19</v>
      </c>
      <c r="O12" s="94">
        <v>10.029999999999999</v>
      </c>
    </row>
    <row r="13" spans="1:15" x14ac:dyDescent="0.25">
      <c r="A13" s="93">
        <v>12</v>
      </c>
      <c r="B13" s="94">
        <v>25.59</v>
      </c>
      <c r="C13" s="93">
        <v>438812.99875346501</v>
      </c>
      <c r="D13" s="93">
        <v>1737595.9973755099</v>
      </c>
      <c r="E13" s="94">
        <v>23.01</v>
      </c>
      <c r="F13" s="94">
        <v>5.73</v>
      </c>
      <c r="G13" s="94">
        <v>2.13</v>
      </c>
      <c r="H13" s="94">
        <v>9.7470000000000001E-2</v>
      </c>
      <c r="I13" s="94">
        <v>12.68</v>
      </c>
      <c r="J13" s="94">
        <v>8.65</v>
      </c>
      <c r="K13" s="94">
        <v>2.4300000000000002</v>
      </c>
      <c r="L13" s="94">
        <v>0.82</v>
      </c>
      <c r="M13" s="94">
        <v>0.47</v>
      </c>
      <c r="N13" s="94">
        <v>0.18</v>
      </c>
      <c r="O13" s="94">
        <v>11.82</v>
      </c>
    </row>
    <row r="14" spans="1:15" x14ac:dyDescent="0.25">
      <c r="A14" s="93">
        <v>13</v>
      </c>
      <c r="B14" s="94">
        <v>18.37</v>
      </c>
      <c r="C14" s="93">
        <v>438383.00271096302</v>
      </c>
      <c r="D14" s="93">
        <v>1736582.00377097</v>
      </c>
      <c r="E14" s="94">
        <v>16.670000000000002</v>
      </c>
      <c r="F14" s="94">
        <v>6.42</v>
      </c>
      <c r="G14" s="94">
        <v>1.95</v>
      </c>
      <c r="H14" s="94">
        <v>9.5259999999999997E-2</v>
      </c>
      <c r="I14" s="94">
        <v>11.89</v>
      </c>
      <c r="J14" s="94">
        <v>21.04</v>
      </c>
      <c r="K14" s="94">
        <v>3.15</v>
      </c>
      <c r="L14" s="94">
        <v>1.19</v>
      </c>
      <c r="M14" s="94">
        <v>0.52</v>
      </c>
      <c r="N14" s="94">
        <v>0.15</v>
      </c>
      <c r="O14" s="94">
        <v>9.6199999999999992</v>
      </c>
    </row>
    <row r="15" spans="1:15" x14ac:dyDescent="0.25">
      <c r="A15" s="93">
        <v>14</v>
      </c>
      <c r="B15" s="94">
        <v>25.26</v>
      </c>
      <c r="C15" s="93">
        <v>437007.00218160602</v>
      </c>
      <c r="D15" s="93">
        <v>1739969.0043568299</v>
      </c>
      <c r="E15" s="94">
        <v>23.7</v>
      </c>
      <c r="F15" s="94">
        <v>5.53</v>
      </c>
      <c r="G15" s="94">
        <v>3.4</v>
      </c>
      <c r="H15" s="94">
        <v>0.15439</v>
      </c>
      <c r="I15" s="94">
        <v>12.75</v>
      </c>
      <c r="J15" s="94">
        <v>31.3</v>
      </c>
      <c r="K15" s="94">
        <v>4.79</v>
      </c>
      <c r="L15" s="94">
        <v>2.34</v>
      </c>
      <c r="M15" s="94">
        <v>0.55000000000000004</v>
      </c>
      <c r="N15" s="94">
        <v>0.12</v>
      </c>
      <c r="O15" s="94">
        <v>13.89</v>
      </c>
    </row>
    <row r="16" spans="1:15" x14ac:dyDescent="0.25">
      <c r="A16" s="93">
        <v>15</v>
      </c>
      <c r="B16" s="94">
        <v>31.91</v>
      </c>
      <c r="C16" s="93">
        <v>437454.00115504599</v>
      </c>
      <c r="D16" s="93">
        <v>1737193.9992010801</v>
      </c>
      <c r="E16" s="94">
        <v>26.39</v>
      </c>
      <c r="F16" s="94">
        <v>6.55</v>
      </c>
      <c r="G16" s="94">
        <v>2.46</v>
      </c>
      <c r="H16" s="94">
        <v>0.13156999999999999</v>
      </c>
      <c r="I16" s="94">
        <v>12.78</v>
      </c>
      <c r="J16" s="94">
        <v>31.82</v>
      </c>
      <c r="K16" s="94">
        <v>5.89</v>
      </c>
      <c r="L16" s="94">
        <v>2.02</v>
      </c>
      <c r="M16" s="94">
        <v>0.64</v>
      </c>
      <c r="N16" s="94">
        <v>0.19</v>
      </c>
      <c r="O16" s="94">
        <v>8.9499999999999993</v>
      </c>
    </row>
    <row r="17" spans="1:15" x14ac:dyDescent="0.25">
      <c r="A17" s="93">
        <v>16</v>
      </c>
      <c r="B17" s="94">
        <v>26.42</v>
      </c>
      <c r="C17" s="93">
        <v>436473.99905215902</v>
      </c>
      <c r="D17" s="93">
        <v>1739970.0041533201</v>
      </c>
      <c r="E17" s="94">
        <v>30.25</v>
      </c>
      <c r="F17" s="94">
        <v>5.34</v>
      </c>
      <c r="G17" s="94">
        <v>2.5</v>
      </c>
      <c r="H17" s="94">
        <v>0.13020999999999999</v>
      </c>
      <c r="I17" s="94">
        <v>7.8</v>
      </c>
      <c r="J17" s="94">
        <v>3.67</v>
      </c>
      <c r="K17" s="94">
        <v>5.95</v>
      </c>
      <c r="L17" s="94">
        <v>2.23</v>
      </c>
      <c r="M17" s="94">
        <v>0.34</v>
      </c>
      <c r="N17" s="94">
        <v>0.19</v>
      </c>
      <c r="O17" s="94">
        <v>11.09</v>
      </c>
    </row>
    <row r="18" spans="1:15" x14ac:dyDescent="0.25">
      <c r="A18" s="93">
        <v>17</v>
      </c>
      <c r="B18" s="94">
        <v>19.690000000000001</v>
      </c>
      <c r="C18" s="93">
        <v>436057.996207427</v>
      </c>
      <c r="D18" s="93">
        <v>1738109.0029547201</v>
      </c>
      <c r="E18" s="94">
        <v>12.44</v>
      </c>
      <c r="F18" s="94">
        <v>4.9000000000000004</v>
      </c>
      <c r="G18" s="94">
        <v>2.19</v>
      </c>
      <c r="H18" s="94">
        <v>0.11500999999999999</v>
      </c>
      <c r="I18" s="94">
        <v>11.04</v>
      </c>
      <c r="J18" s="94">
        <v>17.64</v>
      </c>
      <c r="K18" s="94">
        <v>6.32</v>
      </c>
      <c r="L18" s="94">
        <v>2.06</v>
      </c>
      <c r="M18" s="94">
        <v>0.23</v>
      </c>
      <c r="N18" s="94">
        <v>0.18</v>
      </c>
      <c r="O18" s="94">
        <v>9.81</v>
      </c>
    </row>
    <row r="19" spans="1:15" x14ac:dyDescent="0.25">
      <c r="A19" s="93">
        <v>18</v>
      </c>
      <c r="B19" s="94">
        <v>19.690000000000001</v>
      </c>
      <c r="C19" s="93">
        <v>436130.99666697899</v>
      </c>
      <c r="D19" s="93">
        <v>1737552.99612829</v>
      </c>
      <c r="E19" s="94">
        <v>12.44</v>
      </c>
      <c r="F19" s="94">
        <v>5.07</v>
      </c>
      <c r="G19" s="94">
        <v>2.27</v>
      </c>
      <c r="H19" s="94">
        <v>0.11447</v>
      </c>
      <c r="I19" s="94">
        <v>11.48</v>
      </c>
      <c r="J19" s="94">
        <v>10.46</v>
      </c>
      <c r="K19" s="94">
        <v>6.98</v>
      </c>
      <c r="L19" s="94">
        <v>2.62</v>
      </c>
      <c r="M19" s="94">
        <v>0.39</v>
      </c>
      <c r="N19" s="94">
        <v>0.2</v>
      </c>
      <c r="O19" s="94">
        <v>12.08</v>
      </c>
    </row>
    <row r="20" spans="1:15" x14ac:dyDescent="0.25">
      <c r="A20" s="93">
        <v>19</v>
      </c>
      <c r="B20" s="94">
        <v>27.31</v>
      </c>
      <c r="C20" s="93">
        <v>435595.00029605202</v>
      </c>
      <c r="D20" s="93">
        <v>1737799.9958522101</v>
      </c>
      <c r="E20" s="94">
        <v>27.36</v>
      </c>
      <c r="F20" s="94">
        <v>5.46</v>
      </c>
      <c r="G20" s="94">
        <v>2.08</v>
      </c>
      <c r="H20" s="94">
        <v>0.11914000000000001</v>
      </c>
      <c r="I20" s="94">
        <v>12.16</v>
      </c>
      <c r="J20" s="94">
        <v>3.28</v>
      </c>
      <c r="K20" s="94">
        <v>4.75</v>
      </c>
      <c r="L20" s="94">
        <v>1.73</v>
      </c>
      <c r="M20" s="94">
        <v>0.28999999999999998</v>
      </c>
      <c r="N20" s="94">
        <v>0.11</v>
      </c>
      <c r="O20" s="94">
        <v>11.36</v>
      </c>
    </row>
    <row r="21" spans="1:15" x14ac:dyDescent="0.25">
      <c r="A21" s="93">
        <v>20</v>
      </c>
      <c r="B21" s="94">
        <v>19.690000000000001</v>
      </c>
      <c r="C21" s="93">
        <v>435686.001433703</v>
      </c>
      <c r="D21" s="93">
        <v>1738456.002324</v>
      </c>
      <c r="E21" s="94">
        <v>12.44</v>
      </c>
      <c r="F21" s="94">
        <v>5.32</v>
      </c>
      <c r="G21" s="94">
        <v>1.88</v>
      </c>
      <c r="H21" s="94">
        <v>9.2350000000000002E-2</v>
      </c>
      <c r="I21" s="94">
        <v>11.81</v>
      </c>
      <c r="J21" s="94">
        <v>6.7</v>
      </c>
      <c r="K21" s="94">
        <v>5.97</v>
      </c>
      <c r="L21" s="94">
        <v>2</v>
      </c>
      <c r="M21" s="94">
        <v>0.25</v>
      </c>
      <c r="N21" s="94">
        <v>0.18</v>
      </c>
      <c r="O21" s="94">
        <v>9.2200000000000006</v>
      </c>
    </row>
    <row r="22" spans="1:15" x14ac:dyDescent="0.25">
      <c r="A22" s="93">
        <v>21</v>
      </c>
      <c r="B22" s="94">
        <v>23.59</v>
      </c>
      <c r="C22" s="93">
        <v>435657.99854647397</v>
      </c>
      <c r="D22" s="93">
        <v>1739047.00202773</v>
      </c>
      <c r="E22" s="94">
        <v>16.510000000000002</v>
      </c>
      <c r="F22" s="94">
        <v>4.9000000000000004</v>
      </c>
      <c r="G22" s="94">
        <v>2.2000000000000002</v>
      </c>
      <c r="H22" s="94">
        <v>0.10855999999999999</v>
      </c>
      <c r="I22" s="94">
        <v>11.75</v>
      </c>
      <c r="J22" s="94">
        <v>8.73</v>
      </c>
      <c r="K22" s="94">
        <v>3.61</v>
      </c>
      <c r="L22" s="94">
        <v>1.57</v>
      </c>
      <c r="M22" s="94">
        <v>0.42</v>
      </c>
      <c r="N22" s="94">
        <v>0.15</v>
      </c>
      <c r="O22" s="94">
        <v>9.83</v>
      </c>
    </row>
    <row r="23" spans="1:15" x14ac:dyDescent="0.25">
      <c r="A23" s="93">
        <v>22</v>
      </c>
      <c r="B23" s="94">
        <v>19.079999999999998</v>
      </c>
      <c r="C23" s="93">
        <v>437912.99783193698</v>
      </c>
      <c r="D23" s="93">
        <v>1739936.00107455</v>
      </c>
      <c r="E23" s="94">
        <v>20.64</v>
      </c>
      <c r="F23" s="94">
        <v>6.06</v>
      </c>
      <c r="G23" s="94">
        <v>2.78</v>
      </c>
      <c r="H23" s="94">
        <v>0.12747</v>
      </c>
      <c r="I23" s="94">
        <v>12.67</v>
      </c>
      <c r="J23" s="94">
        <v>10.57</v>
      </c>
      <c r="K23" s="94">
        <v>3.75</v>
      </c>
      <c r="L23" s="94">
        <v>1.73</v>
      </c>
      <c r="M23" s="94">
        <v>0.56999999999999995</v>
      </c>
      <c r="N23" s="94">
        <v>0.16</v>
      </c>
      <c r="O23" s="94">
        <v>11.21</v>
      </c>
    </row>
    <row r="24" spans="1:15" x14ac:dyDescent="0.25">
      <c r="A24" s="93">
        <v>23</v>
      </c>
      <c r="B24" s="94">
        <v>19.079999999999998</v>
      </c>
      <c r="C24" s="93">
        <v>438274.00089521398</v>
      </c>
      <c r="D24" s="93">
        <v>1740255.99594052</v>
      </c>
      <c r="E24" s="94">
        <v>20.64</v>
      </c>
      <c r="F24" s="94">
        <v>6.02</v>
      </c>
      <c r="G24" s="94">
        <v>2.4500000000000002</v>
      </c>
      <c r="H24" s="94">
        <v>0.12369000000000001</v>
      </c>
      <c r="I24" s="94">
        <v>13.69</v>
      </c>
      <c r="J24" s="94">
        <v>2.65</v>
      </c>
      <c r="K24" s="94">
        <v>2.02</v>
      </c>
      <c r="L24" s="94">
        <v>1.53</v>
      </c>
      <c r="M24" s="94">
        <v>0.21</v>
      </c>
      <c r="N24" s="94">
        <v>0.14000000000000001</v>
      </c>
      <c r="O24" s="94">
        <v>10.58</v>
      </c>
    </row>
    <row r="25" spans="1:15" x14ac:dyDescent="0.25">
      <c r="A25" s="93">
        <v>24</v>
      </c>
      <c r="B25" s="94">
        <v>25.26</v>
      </c>
      <c r="C25" s="93">
        <v>437458.00038952997</v>
      </c>
      <c r="D25" s="93">
        <v>1740245.9979755799</v>
      </c>
      <c r="E25" s="94">
        <v>23.7</v>
      </c>
      <c r="F25" s="94">
        <v>5.38</v>
      </c>
      <c r="G25" s="94">
        <v>2.08</v>
      </c>
      <c r="H25" s="94">
        <v>0.10325999999999999</v>
      </c>
      <c r="I25" s="94">
        <v>11.66</v>
      </c>
      <c r="J25" s="94">
        <v>22.15</v>
      </c>
      <c r="K25" s="94">
        <v>4.28</v>
      </c>
      <c r="L25" s="94">
        <v>1.74</v>
      </c>
      <c r="M25" s="94">
        <v>0.84</v>
      </c>
      <c r="N25" s="94">
        <v>0.13</v>
      </c>
      <c r="O25" s="94">
        <v>9.59</v>
      </c>
    </row>
    <row r="26" spans="1:15" x14ac:dyDescent="0.25">
      <c r="A26" s="93">
        <v>25</v>
      </c>
      <c r="B26" s="94">
        <v>29</v>
      </c>
      <c r="C26" s="93">
        <v>436547.99725887098</v>
      </c>
      <c r="D26" s="93">
        <v>1740424.00174343</v>
      </c>
      <c r="E26" s="94">
        <v>26.72</v>
      </c>
      <c r="F26" s="94">
        <v>5.41</v>
      </c>
      <c r="G26" s="94">
        <v>1.86</v>
      </c>
      <c r="H26" s="94">
        <v>9.3600000000000003E-2</v>
      </c>
      <c r="I26" s="94">
        <v>11.53</v>
      </c>
      <c r="J26" s="94">
        <v>25.19</v>
      </c>
      <c r="K26" s="94">
        <v>3.43</v>
      </c>
      <c r="L26" s="94">
        <v>1.4</v>
      </c>
      <c r="M26" s="94">
        <v>0.5</v>
      </c>
      <c r="N26" s="94">
        <v>0.15</v>
      </c>
      <c r="O26" s="94">
        <v>10.94</v>
      </c>
    </row>
    <row r="27" spans="1:15" x14ac:dyDescent="0.25">
      <c r="A27" s="93">
        <v>26</v>
      </c>
      <c r="B27" s="94">
        <v>26.51</v>
      </c>
      <c r="C27" s="93">
        <v>437005.996188602</v>
      </c>
      <c r="D27" s="93">
        <v>1740558.00446756</v>
      </c>
      <c r="E27" s="94">
        <v>21.51</v>
      </c>
      <c r="F27" s="94">
        <v>5.85</v>
      </c>
      <c r="G27" s="94">
        <v>3.1</v>
      </c>
      <c r="H27" s="94">
        <v>0.15271999999999999</v>
      </c>
      <c r="I27" s="94">
        <v>13.54</v>
      </c>
      <c r="J27" s="94">
        <v>24.62</v>
      </c>
      <c r="K27" s="94">
        <v>2.15</v>
      </c>
      <c r="L27" s="94">
        <v>2.09</v>
      </c>
      <c r="M27" s="94">
        <v>0.33</v>
      </c>
      <c r="N27" s="94">
        <v>0.17</v>
      </c>
      <c r="O27" s="94">
        <v>11.82</v>
      </c>
    </row>
    <row r="28" spans="1:15" x14ac:dyDescent="0.25">
      <c r="A28" s="93">
        <v>27</v>
      </c>
      <c r="B28" s="94">
        <v>24.65</v>
      </c>
      <c r="C28" s="93">
        <v>437440.99745859101</v>
      </c>
      <c r="D28" s="93">
        <v>1739005.000577</v>
      </c>
      <c r="E28" s="94">
        <v>21.24</v>
      </c>
      <c r="F28" s="94">
        <v>5.75</v>
      </c>
      <c r="G28" s="94">
        <v>1.28</v>
      </c>
      <c r="H28" s="94">
        <v>9.2799999999999994E-2</v>
      </c>
      <c r="I28" s="94">
        <v>7.23</v>
      </c>
      <c r="J28" s="94">
        <v>10.130000000000001</v>
      </c>
      <c r="K28" s="94">
        <v>4.03</v>
      </c>
      <c r="L28" s="94">
        <v>1.22</v>
      </c>
      <c r="M28" s="94">
        <v>0.62</v>
      </c>
      <c r="N28" s="94">
        <v>0.23</v>
      </c>
      <c r="O28" s="94">
        <v>10.18</v>
      </c>
    </row>
    <row r="29" spans="1:15" x14ac:dyDescent="0.25">
      <c r="A29" s="93">
        <v>28</v>
      </c>
      <c r="B29" s="94">
        <v>19.079999999999998</v>
      </c>
      <c r="C29" s="93">
        <v>437996.99824778002</v>
      </c>
      <c r="D29" s="93">
        <v>1740866.0017756</v>
      </c>
      <c r="E29" s="94">
        <v>20.64</v>
      </c>
      <c r="F29" s="94">
        <v>5.83</v>
      </c>
      <c r="G29" s="94">
        <v>2.62</v>
      </c>
      <c r="H29" s="94">
        <v>0.13894000000000001</v>
      </c>
      <c r="I29" s="94">
        <v>10.95</v>
      </c>
      <c r="J29" s="94">
        <v>2.62</v>
      </c>
      <c r="K29" s="94">
        <v>2.31</v>
      </c>
      <c r="L29" s="94">
        <v>0.83</v>
      </c>
      <c r="M29" s="94">
        <v>0.24</v>
      </c>
      <c r="N29" s="94">
        <v>0.15</v>
      </c>
      <c r="O29" s="94">
        <v>8.8800000000000008</v>
      </c>
    </row>
    <row r="30" spans="1:15" x14ac:dyDescent="0.25">
      <c r="A30" s="93">
        <v>29</v>
      </c>
      <c r="B30" s="94">
        <v>26.51</v>
      </c>
      <c r="C30" s="93">
        <v>437472.00183314399</v>
      </c>
      <c r="D30" s="93">
        <v>1740774.0005022001</v>
      </c>
      <c r="E30" s="94">
        <v>21.51</v>
      </c>
      <c r="F30" s="94">
        <v>5.0599999999999996</v>
      </c>
      <c r="G30" s="94">
        <v>2.81</v>
      </c>
      <c r="H30" s="94">
        <v>0.14379</v>
      </c>
      <c r="I30" s="94">
        <v>11.34</v>
      </c>
      <c r="J30" s="94">
        <v>15.5</v>
      </c>
      <c r="K30" s="94">
        <v>3.93</v>
      </c>
      <c r="L30" s="94">
        <v>1.64</v>
      </c>
      <c r="M30" s="94">
        <v>0.4</v>
      </c>
      <c r="N30" s="94">
        <v>0.25</v>
      </c>
      <c r="O30" s="94">
        <v>11.01</v>
      </c>
    </row>
    <row r="31" spans="1:15" x14ac:dyDescent="0.25">
      <c r="A31" s="93">
        <v>30</v>
      </c>
      <c r="B31" s="94">
        <v>26.51</v>
      </c>
      <c r="C31" s="93">
        <v>437021.00362521998</v>
      </c>
      <c r="D31" s="93">
        <v>1741180.99765911</v>
      </c>
      <c r="E31" s="94">
        <v>21.51</v>
      </c>
      <c r="F31" s="94">
        <v>6.37</v>
      </c>
      <c r="G31" s="94">
        <v>1.99</v>
      </c>
      <c r="H31" s="94">
        <v>0.11250999999999999</v>
      </c>
      <c r="I31" s="94">
        <v>10.28</v>
      </c>
      <c r="J31" s="94">
        <v>5.31</v>
      </c>
      <c r="K31" s="94">
        <v>2.35</v>
      </c>
      <c r="L31" s="94">
        <v>2.0699999999999998</v>
      </c>
      <c r="M31" s="94">
        <v>0.22</v>
      </c>
      <c r="N31" s="94">
        <v>0.16</v>
      </c>
      <c r="O31" s="94">
        <v>9.6999999999999993</v>
      </c>
    </row>
    <row r="32" spans="1:15" x14ac:dyDescent="0.25">
      <c r="A32" s="93">
        <v>31</v>
      </c>
      <c r="B32" s="94">
        <v>19.079999999999998</v>
      </c>
      <c r="C32" s="93">
        <v>438366.99752718402</v>
      </c>
      <c r="D32" s="93">
        <v>1741106.00292407</v>
      </c>
      <c r="E32" s="94">
        <v>20.64</v>
      </c>
      <c r="F32" s="94">
        <v>5.93</v>
      </c>
      <c r="G32" s="94">
        <v>2.79</v>
      </c>
      <c r="H32" s="94">
        <v>0.12464000000000001</v>
      </c>
      <c r="I32" s="94">
        <v>12.99</v>
      </c>
      <c r="J32" s="94">
        <v>5.67</v>
      </c>
      <c r="K32" s="94">
        <v>2.33</v>
      </c>
      <c r="L32" s="94">
        <v>1.43</v>
      </c>
      <c r="M32" s="94">
        <v>0.45</v>
      </c>
      <c r="N32" s="94">
        <v>0.15</v>
      </c>
      <c r="O32" s="94">
        <v>9.4</v>
      </c>
    </row>
    <row r="33" spans="1:15" x14ac:dyDescent="0.25">
      <c r="A33" s="93">
        <v>32</v>
      </c>
      <c r="B33" s="94">
        <v>22.84</v>
      </c>
      <c r="C33" s="93">
        <v>435657.000799314</v>
      </c>
      <c r="D33" s="93">
        <v>1740285.0000368201</v>
      </c>
      <c r="E33" s="94">
        <v>19.03</v>
      </c>
      <c r="F33" s="94">
        <v>5.0999999999999996</v>
      </c>
      <c r="G33" s="94">
        <v>1.84</v>
      </c>
      <c r="H33" s="94">
        <v>0.12002</v>
      </c>
      <c r="I33" s="94">
        <v>8.89</v>
      </c>
      <c r="J33" s="94">
        <v>2.34</v>
      </c>
      <c r="K33" s="94">
        <v>7.21</v>
      </c>
      <c r="L33" s="94">
        <v>2.37</v>
      </c>
      <c r="M33" s="94">
        <v>0.2</v>
      </c>
      <c r="N33" s="94">
        <v>0.18</v>
      </c>
      <c r="O33" s="94">
        <v>11.26</v>
      </c>
    </row>
    <row r="34" spans="1:15" x14ac:dyDescent="0.25">
      <c r="A34" s="93">
        <v>33</v>
      </c>
      <c r="B34" s="94">
        <v>19.149999999999999</v>
      </c>
      <c r="C34" s="93">
        <v>435653.00156483002</v>
      </c>
      <c r="D34" s="93">
        <v>1740904.00404035</v>
      </c>
      <c r="E34" s="94">
        <v>21.86</v>
      </c>
      <c r="F34" s="94">
        <v>4.88</v>
      </c>
      <c r="G34" s="94">
        <v>2.59</v>
      </c>
      <c r="H34" s="94">
        <v>0.11635999999999999</v>
      </c>
      <c r="I34" s="94">
        <v>12.89</v>
      </c>
      <c r="J34" s="94">
        <v>3.62</v>
      </c>
      <c r="K34" s="94">
        <v>4.43</v>
      </c>
      <c r="L34" s="94">
        <v>1.63</v>
      </c>
      <c r="M34" s="94">
        <v>0.33</v>
      </c>
      <c r="N34" s="94">
        <v>0.17</v>
      </c>
      <c r="O34" s="94">
        <v>11.01</v>
      </c>
    </row>
    <row r="35" spans="1:15" x14ac:dyDescent="0.25">
      <c r="A35" s="93">
        <v>34</v>
      </c>
      <c r="B35" s="94">
        <v>22.2</v>
      </c>
      <c r="C35" s="93">
        <v>435224.00326948799</v>
      </c>
      <c r="D35" s="93">
        <v>1741206.00256943</v>
      </c>
      <c r="E35" s="94">
        <v>21.24</v>
      </c>
      <c r="F35" s="94">
        <v>5.16</v>
      </c>
      <c r="G35" s="94">
        <v>2.1800000000000002</v>
      </c>
      <c r="H35" s="94">
        <v>0.10662000000000001</v>
      </c>
      <c r="I35" s="94">
        <v>11.87</v>
      </c>
      <c r="J35" s="94">
        <v>3.99</v>
      </c>
      <c r="K35" s="94">
        <v>5.71</v>
      </c>
      <c r="L35" s="94">
        <v>2.0099999999999998</v>
      </c>
      <c r="M35" s="94">
        <v>0.18</v>
      </c>
      <c r="N35" s="94">
        <v>0.24</v>
      </c>
      <c r="O35" s="94">
        <v>13.77</v>
      </c>
    </row>
    <row r="36" spans="1:15" x14ac:dyDescent="0.25">
      <c r="A36" s="93">
        <v>35</v>
      </c>
      <c r="B36" s="94">
        <v>22.84</v>
      </c>
      <c r="C36" s="93">
        <v>435203.998851226</v>
      </c>
      <c r="D36" s="93">
        <v>1739950.99802196</v>
      </c>
      <c r="E36" s="94">
        <v>19.03</v>
      </c>
      <c r="F36" s="94">
        <v>5.4</v>
      </c>
      <c r="G36" s="94">
        <v>3.24</v>
      </c>
      <c r="H36" s="94">
        <v>0.16691</v>
      </c>
      <c r="I36" s="94">
        <v>12.78</v>
      </c>
      <c r="J36" s="94">
        <v>3.77</v>
      </c>
      <c r="K36" s="94">
        <v>8.33</v>
      </c>
      <c r="L36" s="94">
        <v>3.24</v>
      </c>
      <c r="M36" s="94">
        <v>0.37</v>
      </c>
      <c r="N36" s="94">
        <v>0.16</v>
      </c>
      <c r="O36" s="94">
        <v>17.11</v>
      </c>
    </row>
    <row r="37" spans="1:15" x14ac:dyDescent="0.25">
      <c r="A37" s="93">
        <v>36</v>
      </c>
      <c r="B37" s="94">
        <v>4.0199999999999996</v>
      </c>
      <c r="C37" s="93">
        <v>435138.996860641</v>
      </c>
      <c r="D37" s="93">
        <v>1738735.9953322399</v>
      </c>
      <c r="E37" s="94">
        <v>13.67</v>
      </c>
      <c r="F37" s="94">
        <v>5.0999999999999996</v>
      </c>
      <c r="G37" s="94">
        <v>2.29</v>
      </c>
      <c r="H37" s="94">
        <v>0.12642999999999999</v>
      </c>
      <c r="I37" s="94">
        <v>10.52</v>
      </c>
      <c r="J37" s="94">
        <v>1.86</v>
      </c>
      <c r="K37" s="94">
        <v>6.08</v>
      </c>
      <c r="L37" s="94">
        <v>2.2200000000000002</v>
      </c>
      <c r="M37" s="94">
        <v>0.28000000000000003</v>
      </c>
      <c r="N37" s="94">
        <v>0.2</v>
      </c>
      <c r="O37" s="94">
        <v>11.77</v>
      </c>
    </row>
    <row r="38" spans="1:15" x14ac:dyDescent="0.25">
      <c r="A38" s="93">
        <v>37</v>
      </c>
      <c r="B38" s="94">
        <v>4.0199999999999996</v>
      </c>
      <c r="C38" s="93">
        <v>435153.99605141499</v>
      </c>
      <c r="D38" s="93">
        <v>1738156.0033879101</v>
      </c>
      <c r="E38" s="94">
        <v>13.67</v>
      </c>
      <c r="F38" s="94">
        <v>5.14</v>
      </c>
      <c r="G38" s="94">
        <v>1.53</v>
      </c>
      <c r="H38" s="94">
        <v>8.5639999999999994E-2</v>
      </c>
      <c r="I38" s="94">
        <v>10.36</v>
      </c>
      <c r="J38" s="94">
        <v>4.63</v>
      </c>
      <c r="K38" s="94">
        <v>5.95</v>
      </c>
      <c r="L38" s="94">
        <v>2.13</v>
      </c>
      <c r="M38" s="94">
        <v>0.31</v>
      </c>
      <c r="N38" s="94">
        <v>0.16</v>
      </c>
      <c r="O38" s="94">
        <v>10.66</v>
      </c>
    </row>
    <row r="39" spans="1:15" x14ac:dyDescent="0.25">
      <c r="A39" s="93">
        <v>38</v>
      </c>
      <c r="B39" s="94">
        <v>4.37</v>
      </c>
      <c r="C39" s="93">
        <v>435152.00055709598</v>
      </c>
      <c r="D39" s="93">
        <v>1737548.9969423099</v>
      </c>
      <c r="E39" s="94">
        <v>12.02</v>
      </c>
      <c r="F39" s="94">
        <v>5.26</v>
      </c>
      <c r="G39" s="94">
        <v>3.42</v>
      </c>
      <c r="H39" s="94">
        <v>0.16672999999999999</v>
      </c>
      <c r="I39" s="94">
        <v>11.91</v>
      </c>
      <c r="J39" s="94">
        <v>3.38</v>
      </c>
      <c r="K39" s="94">
        <v>6.04</v>
      </c>
      <c r="L39" s="94">
        <v>2.08</v>
      </c>
      <c r="M39" s="94">
        <v>0.32</v>
      </c>
      <c r="N39" s="94">
        <v>0.18</v>
      </c>
      <c r="O39" s="94">
        <v>15.71</v>
      </c>
    </row>
    <row r="40" spans="1:15" x14ac:dyDescent="0.25">
      <c r="A40" s="93">
        <v>39</v>
      </c>
      <c r="B40" s="94">
        <v>4.0199999999999996</v>
      </c>
      <c r="C40" s="93">
        <v>434701.00234917202</v>
      </c>
      <c r="D40" s="93">
        <v>1738470.9992714201</v>
      </c>
      <c r="E40" s="94">
        <v>13.67</v>
      </c>
      <c r="F40" s="94">
        <v>5.0999999999999996</v>
      </c>
      <c r="G40" s="94">
        <v>1.7</v>
      </c>
      <c r="H40" s="94">
        <v>0.10659</v>
      </c>
      <c r="I40" s="94">
        <v>9.25</v>
      </c>
      <c r="J40" s="94">
        <v>3.29</v>
      </c>
      <c r="K40" s="94">
        <v>6.15</v>
      </c>
      <c r="L40" s="94">
        <v>2.2999999999999998</v>
      </c>
      <c r="M40" s="94">
        <v>0.31</v>
      </c>
      <c r="N40" s="94">
        <v>0.18</v>
      </c>
      <c r="O40" s="94">
        <v>10.99</v>
      </c>
    </row>
    <row r="41" spans="1:15" x14ac:dyDescent="0.25">
      <c r="A41" s="93">
        <v>40</v>
      </c>
      <c r="B41" s="94">
        <v>21.1</v>
      </c>
      <c r="C41" s="93">
        <v>434746.99766865501</v>
      </c>
      <c r="D41" s="93">
        <v>1739708.9972805099</v>
      </c>
      <c r="E41" s="94">
        <v>22.69</v>
      </c>
      <c r="F41" s="94">
        <v>5.12</v>
      </c>
      <c r="G41" s="94">
        <v>1.7</v>
      </c>
      <c r="H41" s="94">
        <v>8.448E-2</v>
      </c>
      <c r="I41" s="94">
        <v>11.64</v>
      </c>
      <c r="J41" s="94">
        <v>5.57</v>
      </c>
      <c r="K41" s="94">
        <v>5.33</v>
      </c>
      <c r="L41" s="94">
        <v>1.61</v>
      </c>
      <c r="M41" s="94">
        <v>0.32</v>
      </c>
      <c r="N41" s="94">
        <v>0.16</v>
      </c>
      <c r="O41" s="94">
        <v>9.1300000000000008</v>
      </c>
    </row>
    <row r="42" spans="1:15" x14ac:dyDescent="0.25">
      <c r="A42" s="93">
        <v>41</v>
      </c>
      <c r="B42" s="94">
        <v>21.1</v>
      </c>
      <c r="C42" s="93">
        <v>434753.00064330199</v>
      </c>
      <c r="D42" s="93">
        <v>1740316.0037261101</v>
      </c>
      <c r="E42" s="94">
        <v>22.69</v>
      </c>
      <c r="F42" s="94">
        <v>5.96</v>
      </c>
      <c r="G42" s="94">
        <v>2.2999999999999998</v>
      </c>
      <c r="H42" s="94">
        <v>0.12886</v>
      </c>
      <c r="I42" s="94">
        <v>10.35</v>
      </c>
      <c r="J42" s="94">
        <v>12.26</v>
      </c>
      <c r="K42" s="94">
        <v>5.23</v>
      </c>
      <c r="L42" s="94">
        <v>1.91</v>
      </c>
      <c r="M42" s="94">
        <v>0.27</v>
      </c>
      <c r="N42" s="94">
        <v>0.13</v>
      </c>
      <c r="O42" s="94">
        <v>11.79</v>
      </c>
    </row>
    <row r="43" spans="1:15" x14ac:dyDescent="0.25">
      <c r="A43" s="93">
        <v>42</v>
      </c>
      <c r="B43" s="94">
        <v>26.6</v>
      </c>
      <c r="C43" s="93">
        <v>437326.00091404002</v>
      </c>
      <c r="D43" s="93">
        <v>1736046.0028724</v>
      </c>
      <c r="E43" s="94">
        <v>25.78</v>
      </c>
      <c r="F43" s="94">
        <v>5.05</v>
      </c>
      <c r="G43" s="94">
        <v>2.9</v>
      </c>
      <c r="H43" s="94">
        <v>0.13170999999999999</v>
      </c>
      <c r="I43" s="94">
        <v>12.79</v>
      </c>
      <c r="J43" s="94">
        <v>25.14</v>
      </c>
      <c r="K43" s="94">
        <v>2.84</v>
      </c>
      <c r="L43" s="94">
        <v>0.97</v>
      </c>
      <c r="M43" s="94">
        <v>0.28999999999999998</v>
      </c>
      <c r="N43" s="94">
        <v>0.12</v>
      </c>
      <c r="O43" s="94">
        <v>11.19</v>
      </c>
    </row>
    <row r="44" spans="1:15" x14ac:dyDescent="0.25">
      <c r="A44" s="93">
        <v>43</v>
      </c>
      <c r="B44" s="94">
        <v>19.149999999999999</v>
      </c>
      <c r="C44" s="93">
        <v>434739.996946848</v>
      </c>
      <c r="D44" s="93">
        <v>1740907.0034298401</v>
      </c>
      <c r="E44" s="94">
        <v>21.86</v>
      </c>
      <c r="F44" s="94">
        <v>5.41</v>
      </c>
      <c r="G44" s="94">
        <v>1.57</v>
      </c>
      <c r="H44" s="94">
        <v>0.10715</v>
      </c>
      <c r="I44" s="94">
        <v>8.52</v>
      </c>
      <c r="J44" s="94">
        <v>7.82</v>
      </c>
      <c r="K44" s="94">
        <v>6.65</v>
      </c>
      <c r="L44" s="94">
        <v>2.69</v>
      </c>
      <c r="M44" s="94">
        <v>0.16</v>
      </c>
      <c r="N44" s="94">
        <v>0.23</v>
      </c>
      <c r="O44" s="94">
        <v>12.16</v>
      </c>
    </row>
    <row r="45" spans="1:15" x14ac:dyDescent="0.25">
      <c r="A45" s="93">
        <v>44</v>
      </c>
      <c r="B45" s="94">
        <v>20.22</v>
      </c>
      <c r="C45" s="93">
        <v>434255.998870051</v>
      </c>
      <c r="D45" s="93">
        <v>1740862.00258963</v>
      </c>
      <c r="E45" s="94">
        <v>21.56</v>
      </c>
      <c r="F45" s="94">
        <v>5.57</v>
      </c>
      <c r="G45" s="94">
        <v>2.5299999999999998</v>
      </c>
      <c r="H45" s="94">
        <v>0.12384000000000001</v>
      </c>
      <c r="I45" s="94">
        <v>14.15</v>
      </c>
      <c r="J45" s="94">
        <v>7.95</v>
      </c>
      <c r="K45" s="94">
        <v>5.5</v>
      </c>
      <c r="L45" s="94">
        <v>2.17</v>
      </c>
      <c r="M45" s="94">
        <v>0.31</v>
      </c>
      <c r="N45" s="94">
        <v>0.15</v>
      </c>
      <c r="O45" s="94">
        <v>14.44</v>
      </c>
    </row>
    <row r="46" spans="1:15" x14ac:dyDescent="0.25">
      <c r="A46" s="93">
        <v>45</v>
      </c>
      <c r="B46" s="94">
        <v>21.1</v>
      </c>
      <c r="C46" s="93">
        <v>434251.99963556801</v>
      </c>
      <c r="D46" s="93">
        <v>1739693.0005365999</v>
      </c>
      <c r="E46" s="94">
        <v>22.69</v>
      </c>
      <c r="F46" s="94">
        <v>5.35</v>
      </c>
      <c r="G46" s="94">
        <v>2.66</v>
      </c>
      <c r="H46" s="94">
        <v>0.12651999999999999</v>
      </c>
      <c r="I46" s="94">
        <v>12.21</v>
      </c>
      <c r="J46" s="94">
        <v>6.81</v>
      </c>
      <c r="K46" s="94">
        <v>4.03</v>
      </c>
      <c r="L46" s="94">
        <v>1.4</v>
      </c>
      <c r="M46" s="94">
        <v>0.4</v>
      </c>
      <c r="N46" s="94">
        <v>0.09</v>
      </c>
      <c r="O46" s="94">
        <v>12.49</v>
      </c>
    </row>
    <row r="47" spans="1:15" x14ac:dyDescent="0.25">
      <c r="A47" s="93">
        <v>46</v>
      </c>
      <c r="B47" s="94">
        <v>20.72</v>
      </c>
      <c r="C47" s="93">
        <v>434237.998191953</v>
      </c>
      <c r="D47" s="93">
        <v>1738738.00492319</v>
      </c>
      <c r="E47" s="94">
        <v>20.64</v>
      </c>
      <c r="F47" s="94">
        <v>5.52</v>
      </c>
      <c r="G47" s="94">
        <v>2.52</v>
      </c>
      <c r="H47" s="94">
        <v>0.10522999999999999</v>
      </c>
      <c r="I47" s="94">
        <v>13.91</v>
      </c>
      <c r="J47" s="94">
        <v>4.4000000000000004</v>
      </c>
      <c r="K47" s="94">
        <v>6.88</v>
      </c>
      <c r="L47" s="94">
        <v>3.53</v>
      </c>
      <c r="M47" s="94">
        <v>0.28999999999999998</v>
      </c>
      <c r="N47" s="94">
        <v>0.28000000000000003</v>
      </c>
      <c r="O47" s="94">
        <v>12.44</v>
      </c>
    </row>
    <row r="48" spans="1:15" x14ac:dyDescent="0.25">
      <c r="A48" s="93">
        <v>47</v>
      </c>
      <c r="B48" s="94">
        <v>23.35</v>
      </c>
      <c r="C48" s="93">
        <v>434225.00274134299</v>
      </c>
      <c r="D48" s="93">
        <v>1738169.00074234</v>
      </c>
      <c r="E48" s="94">
        <v>25.53</v>
      </c>
      <c r="F48" s="94">
        <v>5.89</v>
      </c>
      <c r="G48" s="94">
        <v>2.17</v>
      </c>
      <c r="H48" s="94">
        <v>0.11764000000000001</v>
      </c>
      <c r="I48" s="94">
        <v>10.67</v>
      </c>
      <c r="J48" s="94">
        <v>3.78</v>
      </c>
      <c r="K48" s="94">
        <v>5.47</v>
      </c>
      <c r="L48" s="94">
        <v>3.96</v>
      </c>
      <c r="M48" s="94">
        <v>0.99</v>
      </c>
      <c r="N48" s="94">
        <v>0.22</v>
      </c>
      <c r="O48" s="94">
        <v>15.57</v>
      </c>
    </row>
    <row r="49" spans="1:15" x14ac:dyDescent="0.25">
      <c r="A49" s="93">
        <v>48</v>
      </c>
      <c r="B49" s="94">
        <v>20.25</v>
      </c>
      <c r="C49" s="93">
        <v>434133.00385653297</v>
      </c>
      <c r="D49" s="93">
        <v>1737527.0014194399</v>
      </c>
      <c r="E49" s="94">
        <v>17.93</v>
      </c>
      <c r="F49" s="94">
        <v>5.6</v>
      </c>
      <c r="G49" s="94">
        <v>2.15</v>
      </c>
      <c r="H49" s="94">
        <v>0.11430999999999999</v>
      </c>
      <c r="I49" s="94">
        <v>10.9</v>
      </c>
      <c r="J49" s="94">
        <v>3.48</v>
      </c>
      <c r="K49" s="94">
        <v>2.69</v>
      </c>
      <c r="L49" s="94">
        <v>2.37</v>
      </c>
      <c r="M49" s="94">
        <v>0.28999999999999998</v>
      </c>
      <c r="N49" s="94">
        <v>0.22</v>
      </c>
      <c r="O49" s="94">
        <v>15.02</v>
      </c>
    </row>
    <row r="50" spans="1:15" x14ac:dyDescent="0.25">
      <c r="A50" s="93">
        <v>49</v>
      </c>
      <c r="B50" s="94">
        <v>20.25</v>
      </c>
      <c r="C50" s="93">
        <v>433798.99768748</v>
      </c>
      <c r="D50" s="93">
        <v>1737779.0001258301</v>
      </c>
      <c r="E50" s="94">
        <v>17.93</v>
      </c>
      <c r="F50" s="94">
        <v>6.15</v>
      </c>
      <c r="G50" s="94">
        <v>1.61</v>
      </c>
      <c r="H50" s="94">
        <v>7.647000000000001E-2</v>
      </c>
      <c r="I50" s="94">
        <v>12.23</v>
      </c>
      <c r="J50" s="94">
        <v>6.04</v>
      </c>
      <c r="K50" s="94">
        <v>2.19</v>
      </c>
      <c r="L50" s="94">
        <v>1.49</v>
      </c>
      <c r="M50" s="94">
        <v>0.21</v>
      </c>
      <c r="N50" s="94">
        <v>0.21</v>
      </c>
      <c r="O50" s="94">
        <v>8.9700000000000006</v>
      </c>
    </row>
    <row r="51" spans="1:15" x14ac:dyDescent="0.25">
      <c r="A51" s="93">
        <v>50</v>
      </c>
      <c r="B51" s="94">
        <v>23.35</v>
      </c>
      <c r="C51" s="93">
        <v>433775.00228057901</v>
      </c>
      <c r="D51" s="93">
        <v>1738449.0037485401</v>
      </c>
      <c r="E51" s="94">
        <v>25.53</v>
      </c>
      <c r="F51" s="94">
        <v>6.05</v>
      </c>
      <c r="G51" s="94">
        <v>1.31</v>
      </c>
      <c r="H51" s="94">
        <v>6.4560000000000006E-2</v>
      </c>
      <c r="I51" s="94">
        <v>11.74</v>
      </c>
      <c r="J51" s="94">
        <v>5.57</v>
      </c>
      <c r="K51" s="94">
        <v>1.63</v>
      </c>
      <c r="L51" s="94">
        <v>0.74</v>
      </c>
      <c r="M51" s="94">
        <v>0.12</v>
      </c>
      <c r="N51" s="94">
        <v>0.14000000000000001</v>
      </c>
      <c r="O51" s="94">
        <v>6.36</v>
      </c>
    </row>
    <row r="52" spans="1:15" x14ac:dyDescent="0.25">
      <c r="A52" s="93">
        <v>51</v>
      </c>
      <c r="B52" s="94">
        <v>26.6</v>
      </c>
      <c r="C52" s="93">
        <v>436813.999950014</v>
      </c>
      <c r="D52" s="93">
        <v>1736149.0019072399</v>
      </c>
      <c r="E52" s="94">
        <v>25.78</v>
      </c>
      <c r="F52" s="94">
        <v>5.39</v>
      </c>
      <c r="G52" s="94">
        <v>2.97</v>
      </c>
      <c r="H52" s="94">
        <v>0.13661999999999999</v>
      </c>
      <c r="I52" s="94">
        <v>12.59</v>
      </c>
      <c r="J52" s="94">
        <v>3.81</v>
      </c>
      <c r="K52" s="94">
        <v>7.29</v>
      </c>
      <c r="L52" s="94">
        <v>2.23</v>
      </c>
      <c r="M52" s="94">
        <v>0.3</v>
      </c>
      <c r="N52" s="94">
        <v>0.14000000000000001</v>
      </c>
      <c r="O52" s="94">
        <v>13.42</v>
      </c>
    </row>
    <row r="53" spans="1:15" x14ac:dyDescent="0.25">
      <c r="A53" s="93">
        <v>52</v>
      </c>
      <c r="B53" s="94">
        <v>20.72</v>
      </c>
      <c r="C53" s="93">
        <v>433769.99705309101</v>
      </c>
      <c r="D53" s="93">
        <v>1739355.99913226</v>
      </c>
      <c r="E53" s="94">
        <v>20.64</v>
      </c>
      <c r="F53" s="94">
        <v>5.46</v>
      </c>
      <c r="G53" s="94">
        <v>2.14</v>
      </c>
      <c r="H53" s="94">
        <v>0.10313</v>
      </c>
      <c r="I53" s="94">
        <v>12.05</v>
      </c>
      <c r="J53" s="94">
        <v>4.41</v>
      </c>
      <c r="K53" s="94">
        <v>3.32</v>
      </c>
      <c r="L53" s="94">
        <v>1.37</v>
      </c>
      <c r="M53" s="94">
        <v>0.44</v>
      </c>
      <c r="N53" s="94">
        <v>0.28999999999999998</v>
      </c>
      <c r="O53" s="94">
        <v>11.48</v>
      </c>
    </row>
    <row r="54" spans="1:15" x14ac:dyDescent="0.25">
      <c r="A54" s="93">
        <v>53</v>
      </c>
      <c r="B54" s="94">
        <v>21.1</v>
      </c>
      <c r="C54" s="93">
        <v>433844.003505648</v>
      </c>
      <c r="D54" s="93">
        <v>1739960.9959869101</v>
      </c>
      <c r="E54" s="94">
        <v>22.69</v>
      </c>
      <c r="F54" s="94">
        <v>5.05</v>
      </c>
      <c r="G54" s="94">
        <v>1.87</v>
      </c>
      <c r="H54" s="94">
        <v>0.11902</v>
      </c>
      <c r="I54" s="94">
        <v>9.1</v>
      </c>
      <c r="J54" s="94">
        <v>5.32</v>
      </c>
      <c r="K54" s="94">
        <v>3.22</v>
      </c>
      <c r="L54" s="94">
        <v>1.22</v>
      </c>
      <c r="M54" s="94">
        <v>0.32</v>
      </c>
      <c r="N54" s="94">
        <v>0.15</v>
      </c>
      <c r="O54" s="94">
        <v>10.96</v>
      </c>
    </row>
    <row r="55" spans="1:15" x14ac:dyDescent="0.25">
      <c r="A55" s="93">
        <v>54</v>
      </c>
      <c r="B55" s="94">
        <v>20.22</v>
      </c>
      <c r="C55" s="93">
        <v>433838.99827816</v>
      </c>
      <c r="D55" s="93">
        <v>1740594.99693785</v>
      </c>
      <c r="E55" s="94">
        <v>21.56</v>
      </c>
      <c r="F55" s="94">
        <v>5.52</v>
      </c>
      <c r="G55" s="94">
        <v>3.01</v>
      </c>
      <c r="H55" s="94">
        <v>0.13780000000000001</v>
      </c>
      <c r="I55" s="94">
        <v>14.84</v>
      </c>
      <c r="J55" s="94">
        <v>10.6</v>
      </c>
      <c r="K55" s="94">
        <v>5.22</v>
      </c>
      <c r="L55" s="94">
        <v>1.86</v>
      </c>
      <c r="M55" s="94">
        <v>0.27</v>
      </c>
      <c r="N55" s="94">
        <v>0.11</v>
      </c>
      <c r="O55" s="94">
        <v>19.07</v>
      </c>
    </row>
    <row r="56" spans="1:15" x14ac:dyDescent="0.25">
      <c r="A56" s="93">
        <v>55</v>
      </c>
      <c r="B56" s="94">
        <v>20.22</v>
      </c>
      <c r="C56" s="93">
        <v>433837.00278384</v>
      </c>
      <c r="D56" s="93">
        <v>1741178.9980661201</v>
      </c>
      <c r="E56" s="94">
        <v>21.56</v>
      </c>
      <c r="F56" s="94">
        <v>5.61</v>
      </c>
      <c r="G56" s="94">
        <v>1.81</v>
      </c>
      <c r="H56" s="94">
        <v>0.10855999999999999</v>
      </c>
      <c r="I56" s="94">
        <v>9.67</v>
      </c>
      <c r="J56" s="94">
        <v>11.72</v>
      </c>
      <c r="K56" s="94">
        <v>5.49</v>
      </c>
      <c r="L56" s="94">
        <v>2.2400000000000002</v>
      </c>
      <c r="M56" s="94">
        <v>0.11</v>
      </c>
      <c r="N56" s="94">
        <v>0.16</v>
      </c>
      <c r="O56" s="94">
        <v>13.05</v>
      </c>
    </row>
    <row r="57" spans="1:15" x14ac:dyDescent="0.25">
      <c r="A57" s="93">
        <v>56</v>
      </c>
      <c r="B57" s="94">
        <v>20.22</v>
      </c>
      <c r="C57" s="93">
        <v>434266.99882634199</v>
      </c>
      <c r="D57" s="93">
        <v>1741478.9970022</v>
      </c>
      <c r="E57" s="94">
        <v>21.56</v>
      </c>
      <c r="F57" s="94">
        <v>5.25</v>
      </c>
      <c r="G57" s="94">
        <v>1.57</v>
      </c>
      <c r="H57" s="94">
        <v>9.7049999999999997E-2</v>
      </c>
      <c r="I57" s="94">
        <v>9.41</v>
      </c>
      <c r="J57" s="94">
        <v>3.66</v>
      </c>
      <c r="K57" s="94">
        <v>4.1399999999999997</v>
      </c>
      <c r="L57" s="94">
        <v>1.58</v>
      </c>
      <c r="M57" s="94">
        <v>0.26</v>
      </c>
      <c r="N57" s="94">
        <v>0.17</v>
      </c>
      <c r="O57" s="94">
        <v>10.39</v>
      </c>
    </row>
    <row r="58" spans="1:15" x14ac:dyDescent="0.25">
      <c r="A58" s="93">
        <v>57</v>
      </c>
      <c r="B58" s="94">
        <v>22.2</v>
      </c>
      <c r="C58" s="93">
        <v>434732.99622504</v>
      </c>
      <c r="D58" s="93">
        <v>1741465.9996477801</v>
      </c>
      <c r="E58" s="94">
        <v>21.24</v>
      </c>
      <c r="F58" s="94">
        <v>5.19</v>
      </c>
      <c r="G58" s="94">
        <v>1.87</v>
      </c>
      <c r="H58" s="94">
        <v>9.8920000000000008E-2</v>
      </c>
      <c r="I58" s="94">
        <v>10.97</v>
      </c>
      <c r="J58" s="94">
        <v>3.01</v>
      </c>
      <c r="K58" s="94">
        <v>6.83</v>
      </c>
      <c r="L58" s="94">
        <v>2.67</v>
      </c>
      <c r="M58" s="94">
        <v>0.24</v>
      </c>
      <c r="N58" s="94">
        <v>0.25</v>
      </c>
      <c r="O58" s="94">
        <v>12.72</v>
      </c>
    </row>
    <row r="59" spans="1:15" x14ac:dyDescent="0.25">
      <c r="A59" s="93">
        <v>58</v>
      </c>
      <c r="B59" s="94">
        <v>22.2</v>
      </c>
      <c r="C59" s="93">
        <v>436489.99599009298</v>
      </c>
      <c r="D59" s="93">
        <v>1741172.9992871501</v>
      </c>
      <c r="E59" s="94">
        <v>21.24</v>
      </c>
      <c r="F59" s="94">
        <v>5.19</v>
      </c>
      <c r="G59" s="94">
        <v>2.77</v>
      </c>
      <c r="H59" s="94">
        <v>0.13306999999999999</v>
      </c>
      <c r="I59" s="94">
        <v>12.06</v>
      </c>
      <c r="J59" s="94">
        <v>2.5299999999999998</v>
      </c>
      <c r="K59" s="94">
        <v>5.33</v>
      </c>
      <c r="L59" s="94">
        <v>2.06</v>
      </c>
      <c r="M59" s="94">
        <v>0.34</v>
      </c>
      <c r="N59" s="94">
        <v>0.19</v>
      </c>
      <c r="O59" s="94">
        <v>13.04</v>
      </c>
    </row>
    <row r="60" spans="1:15" x14ac:dyDescent="0.25">
      <c r="A60" s="93">
        <v>59</v>
      </c>
      <c r="B60" s="94">
        <v>26.6</v>
      </c>
      <c r="C60" s="93">
        <v>437058.00272857602</v>
      </c>
      <c r="D60" s="93">
        <v>1736609.99807281</v>
      </c>
      <c r="E60" s="94">
        <v>25.78</v>
      </c>
      <c r="F60" s="94">
        <v>5.3</v>
      </c>
      <c r="G60" s="94">
        <v>1.98</v>
      </c>
      <c r="H60" s="94">
        <v>9.3950000000000006E-2</v>
      </c>
      <c r="I60" s="94">
        <v>12.25</v>
      </c>
      <c r="J60" s="94">
        <v>13.03</v>
      </c>
      <c r="K60" s="94">
        <v>4.29</v>
      </c>
      <c r="L60" s="94">
        <v>1.48</v>
      </c>
      <c r="M60" s="94">
        <v>0.6</v>
      </c>
      <c r="N60" s="94">
        <v>0.15</v>
      </c>
      <c r="O60" s="94">
        <v>9.68</v>
      </c>
    </row>
    <row r="61" spans="1:15" x14ac:dyDescent="0.25">
      <c r="A61" s="93">
        <v>60</v>
      </c>
      <c r="B61" s="94">
        <v>20.59</v>
      </c>
      <c r="C61" s="93">
        <v>434255.998870051</v>
      </c>
      <c r="D61" s="93">
        <v>1742096.00141275</v>
      </c>
      <c r="E61" s="94">
        <v>19.93</v>
      </c>
      <c r="F61" s="94">
        <v>4.97</v>
      </c>
      <c r="G61" s="94">
        <v>2.8</v>
      </c>
      <c r="H61" s="94">
        <v>0.13280999999999998</v>
      </c>
      <c r="I61" s="94">
        <v>12.21</v>
      </c>
      <c r="J61" s="94">
        <v>2.4300000000000002</v>
      </c>
      <c r="K61" s="94">
        <v>4.71</v>
      </c>
      <c r="L61" s="94">
        <v>1.65</v>
      </c>
      <c r="M61" s="94">
        <v>0.28000000000000003</v>
      </c>
      <c r="N61" s="94">
        <v>0.19</v>
      </c>
      <c r="O61" s="94">
        <v>12.74</v>
      </c>
    </row>
    <row r="62" spans="1:15" x14ac:dyDescent="0.25">
      <c r="A62" s="93">
        <v>61</v>
      </c>
      <c r="B62" s="94">
        <v>18.510000000000002</v>
      </c>
      <c r="C62" s="93">
        <v>433402.00151385099</v>
      </c>
      <c r="D62" s="93">
        <v>1741164.0011187</v>
      </c>
      <c r="E62" s="94">
        <v>20.87</v>
      </c>
      <c r="F62" s="94">
        <v>5.56</v>
      </c>
      <c r="G62" s="94">
        <v>2.74</v>
      </c>
      <c r="H62" s="94">
        <v>0.12127</v>
      </c>
      <c r="I62" s="94">
        <v>15.69</v>
      </c>
      <c r="J62" s="94">
        <v>10.69</v>
      </c>
      <c r="K62" s="94">
        <v>4.04</v>
      </c>
      <c r="L62" s="94">
        <v>1.19</v>
      </c>
      <c r="M62" s="94">
        <v>0.11</v>
      </c>
      <c r="N62" s="94">
        <v>0.28999999999999998</v>
      </c>
      <c r="O62" s="94">
        <v>14.84</v>
      </c>
    </row>
    <row r="63" spans="1:15" x14ac:dyDescent="0.25">
      <c r="A63" s="93">
        <v>62</v>
      </c>
      <c r="B63" s="94">
        <v>18.72</v>
      </c>
      <c r="C63" s="93">
        <v>433328.00330713898</v>
      </c>
      <c r="D63" s="93">
        <v>1739675.00419971</v>
      </c>
      <c r="E63" s="94">
        <v>18.37</v>
      </c>
      <c r="F63" s="94">
        <v>5.58</v>
      </c>
      <c r="G63" s="94">
        <v>1.94</v>
      </c>
      <c r="H63" s="94">
        <v>8.0520000000000008E-2</v>
      </c>
      <c r="I63" s="94">
        <v>13.95</v>
      </c>
      <c r="J63" s="94">
        <v>5.3</v>
      </c>
      <c r="K63" s="94">
        <v>2.77</v>
      </c>
      <c r="L63" s="94">
        <v>0.88</v>
      </c>
      <c r="M63" s="94">
        <v>0.36</v>
      </c>
      <c r="N63" s="94">
        <v>0.13</v>
      </c>
      <c r="O63" s="94">
        <v>9.59</v>
      </c>
    </row>
    <row r="64" spans="1:15" x14ac:dyDescent="0.25">
      <c r="A64" s="93">
        <v>63</v>
      </c>
      <c r="B64" s="94">
        <v>18.47</v>
      </c>
      <c r="C64" s="93">
        <v>433374.996373781</v>
      </c>
      <c r="D64" s="93">
        <v>1739052.0010102</v>
      </c>
      <c r="E64" s="94">
        <v>16.41</v>
      </c>
      <c r="F64" s="94">
        <v>5.28</v>
      </c>
      <c r="G64" s="94">
        <v>1.55</v>
      </c>
      <c r="H64" s="94">
        <v>8.6620000000000003E-2</v>
      </c>
      <c r="I64" s="94">
        <v>10.37</v>
      </c>
      <c r="J64" s="94">
        <v>4.51</v>
      </c>
      <c r="K64" s="94">
        <v>1.76</v>
      </c>
      <c r="L64" s="94">
        <v>0.6</v>
      </c>
      <c r="M64" s="94">
        <v>0.28000000000000003</v>
      </c>
      <c r="N64" s="94">
        <v>0.21</v>
      </c>
      <c r="O64" s="94">
        <v>7</v>
      </c>
    </row>
    <row r="65" spans="1:15" x14ac:dyDescent="0.25">
      <c r="A65" s="93">
        <v>64</v>
      </c>
      <c r="B65" s="94">
        <v>23.35</v>
      </c>
      <c r="C65" s="93">
        <v>433351.99871403998</v>
      </c>
      <c r="D65" s="93">
        <v>1738449.0037485401</v>
      </c>
      <c r="E65" s="94">
        <v>25.53</v>
      </c>
      <c r="F65" s="94">
        <v>5.53</v>
      </c>
      <c r="G65" s="94">
        <v>1.47</v>
      </c>
      <c r="H65" s="94">
        <v>0.10299000000000001</v>
      </c>
      <c r="I65" s="94">
        <v>8.31</v>
      </c>
      <c r="J65" s="94">
        <v>1.47</v>
      </c>
      <c r="K65" s="94">
        <v>1.82</v>
      </c>
      <c r="L65" s="94">
        <v>0.73</v>
      </c>
      <c r="M65" s="94">
        <v>0.27</v>
      </c>
      <c r="N65" s="94">
        <v>0.13</v>
      </c>
      <c r="O65" s="94">
        <v>10.199999999999999</v>
      </c>
    </row>
    <row r="66" spans="1:15" x14ac:dyDescent="0.25">
      <c r="A66" s="93">
        <v>65</v>
      </c>
      <c r="B66" s="94">
        <v>27.31</v>
      </c>
      <c r="C66" s="93">
        <v>436572.99865877599</v>
      </c>
      <c r="D66" s="93">
        <v>1736643.0013550899</v>
      </c>
      <c r="E66" s="94">
        <v>27.36</v>
      </c>
      <c r="F66" s="94">
        <v>5.03</v>
      </c>
      <c r="G66" s="94">
        <v>1.38</v>
      </c>
      <c r="H66" s="94">
        <v>7.3090000000000002E-2</v>
      </c>
      <c r="I66" s="94">
        <v>10.95</v>
      </c>
      <c r="J66" s="94">
        <v>6.26</v>
      </c>
      <c r="K66" s="94">
        <v>4.8</v>
      </c>
      <c r="L66" s="94">
        <v>1.23</v>
      </c>
      <c r="M66" s="94">
        <v>0.26</v>
      </c>
      <c r="N66" s="94">
        <v>0.18</v>
      </c>
      <c r="O66" s="94">
        <v>6.67</v>
      </c>
    </row>
    <row r="67" spans="1:15" x14ac:dyDescent="0.25">
      <c r="A67" s="93">
        <v>66</v>
      </c>
      <c r="B67" s="94">
        <v>20.25</v>
      </c>
      <c r="C67" s="93">
        <v>433347.99947955599</v>
      </c>
      <c r="D67" s="93">
        <v>1737538.9989773701</v>
      </c>
      <c r="E67" s="94">
        <v>17.93</v>
      </c>
      <c r="F67" s="94">
        <v>5.95</v>
      </c>
      <c r="G67" s="94">
        <v>1.44</v>
      </c>
      <c r="H67" s="94">
        <v>6.8790000000000004E-2</v>
      </c>
      <c r="I67" s="94">
        <v>12.16</v>
      </c>
      <c r="J67" s="94">
        <v>3.39</v>
      </c>
      <c r="K67" s="94">
        <v>1.61</v>
      </c>
      <c r="L67" s="94">
        <v>1.21</v>
      </c>
      <c r="M67" s="94">
        <v>0.19</v>
      </c>
      <c r="N67" s="94">
        <v>0.21</v>
      </c>
      <c r="O67" s="94">
        <v>8.64</v>
      </c>
    </row>
    <row r="68" spans="1:15" x14ac:dyDescent="0.25">
      <c r="A68" s="93">
        <v>67</v>
      </c>
      <c r="B68" s="94">
        <v>1.24</v>
      </c>
      <c r="C68" s="93">
        <v>434504.99863025697</v>
      </c>
      <c r="D68" s="93">
        <v>1736681.0036198399</v>
      </c>
      <c r="E68" s="94">
        <v>12.96</v>
      </c>
      <c r="F68" s="94">
        <v>5.01</v>
      </c>
      <c r="G68" s="94">
        <v>1.25</v>
      </c>
      <c r="H68" s="94">
        <v>8.3139999999999992E-2</v>
      </c>
      <c r="I68" s="94">
        <v>8.7200000000000006</v>
      </c>
      <c r="J68" s="94">
        <v>5.48</v>
      </c>
      <c r="K68" s="94">
        <v>2.52</v>
      </c>
      <c r="L68" s="94">
        <v>1.25</v>
      </c>
      <c r="M68" s="94">
        <v>0.28000000000000003</v>
      </c>
      <c r="N68" s="94">
        <v>0.13</v>
      </c>
      <c r="O68" s="94">
        <v>8.27</v>
      </c>
    </row>
    <row r="69" spans="1:15" x14ac:dyDescent="0.25">
      <c r="A69" s="93">
        <v>68</v>
      </c>
      <c r="B69" s="94">
        <v>4.37</v>
      </c>
      <c r="C69" s="93">
        <v>434649.00405504199</v>
      </c>
      <c r="D69" s="93">
        <v>1737327.0021287201</v>
      </c>
      <c r="E69" s="94">
        <v>12.02</v>
      </c>
      <c r="F69" s="94">
        <v>5.74</v>
      </c>
      <c r="G69" s="94">
        <v>2.73</v>
      </c>
      <c r="H69" s="94">
        <v>0.13154000000000002</v>
      </c>
      <c r="I69" s="94">
        <v>12.05</v>
      </c>
      <c r="J69" s="94">
        <v>8.07</v>
      </c>
      <c r="K69" s="94">
        <v>3.69</v>
      </c>
      <c r="L69" s="94">
        <v>1.79</v>
      </c>
      <c r="M69" s="94">
        <v>0.32</v>
      </c>
      <c r="N69" s="94">
        <v>0.12</v>
      </c>
      <c r="O69" s="94">
        <v>10.86</v>
      </c>
    </row>
    <row r="70" spans="1:15" x14ac:dyDescent="0.25">
      <c r="A70" s="93">
        <v>69</v>
      </c>
      <c r="B70" s="94">
        <v>19.690000000000001</v>
      </c>
      <c r="C70" s="93">
        <v>436185.99644843303</v>
      </c>
      <c r="D70" s="93">
        <v>1737237.0004483</v>
      </c>
      <c r="E70" s="94">
        <v>12.44</v>
      </c>
      <c r="F70" s="94">
        <v>5.03</v>
      </c>
      <c r="G70" s="94">
        <v>1.91</v>
      </c>
      <c r="H70" s="94">
        <v>8.7959999999999997E-2</v>
      </c>
      <c r="I70" s="94">
        <v>12.57</v>
      </c>
      <c r="J70" s="94">
        <v>4.8600000000000003</v>
      </c>
      <c r="K70" s="94">
        <v>6.06</v>
      </c>
      <c r="L70" s="94">
        <v>1.88</v>
      </c>
      <c r="M70" s="94">
        <v>0.23</v>
      </c>
      <c r="N70" s="94">
        <v>0.15</v>
      </c>
      <c r="O70" s="94">
        <v>11.39</v>
      </c>
    </row>
    <row r="71" spans="1:15" x14ac:dyDescent="0.25">
      <c r="A71" s="93">
        <v>70</v>
      </c>
      <c r="B71" s="94">
        <v>16.98</v>
      </c>
      <c r="C71" s="93">
        <v>436000.00318449299</v>
      </c>
      <c r="D71" s="93">
        <v>1732404.0041906601</v>
      </c>
      <c r="E71" s="94">
        <v>20.29</v>
      </c>
      <c r="F71" s="94">
        <v>5.03</v>
      </c>
      <c r="G71" s="94">
        <v>2.48</v>
      </c>
      <c r="H71" s="94">
        <v>0.12809000000000001</v>
      </c>
      <c r="I71" s="94">
        <v>12.17</v>
      </c>
      <c r="J71" s="94">
        <v>16.27</v>
      </c>
      <c r="K71" s="94">
        <v>2.57</v>
      </c>
      <c r="L71" s="94">
        <v>0.86</v>
      </c>
      <c r="M71" s="94">
        <v>0.3</v>
      </c>
      <c r="N71" s="94">
        <v>0.12</v>
      </c>
      <c r="O71" s="94">
        <v>6.84</v>
      </c>
    </row>
    <row r="72" spans="1:15" x14ac:dyDescent="0.25">
      <c r="A72" s="93">
        <v>71</v>
      </c>
      <c r="B72" s="94">
        <v>24.07</v>
      </c>
      <c r="C72" s="93">
        <v>436417.00377638498</v>
      </c>
      <c r="D72" s="93">
        <v>1732565.00142014</v>
      </c>
      <c r="E72" s="94">
        <v>23.48</v>
      </c>
      <c r="F72" s="94">
        <v>5.87</v>
      </c>
      <c r="G72" s="94">
        <v>2.2999999999999998</v>
      </c>
      <c r="H72" s="94">
        <v>0.11734000000000001</v>
      </c>
      <c r="I72" s="94">
        <v>11.39</v>
      </c>
      <c r="J72" s="94">
        <v>25.11</v>
      </c>
      <c r="K72" s="94">
        <v>4.78</v>
      </c>
      <c r="L72" s="94">
        <v>1.1000000000000001</v>
      </c>
      <c r="M72" s="94">
        <v>0.47</v>
      </c>
      <c r="N72" s="94">
        <v>0.19</v>
      </c>
      <c r="O72" s="94">
        <v>10.029999999999999</v>
      </c>
    </row>
    <row r="73" spans="1:15" x14ac:dyDescent="0.25">
      <c r="A73" s="93">
        <v>72</v>
      </c>
      <c r="B73" s="94">
        <v>31.59</v>
      </c>
      <c r="C73" s="93">
        <v>436707.99962159002</v>
      </c>
      <c r="D73" s="93">
        <v>1735222.00059567</v>
      </c>
      <c r="E73" s="94">
        <v>31.48</v>
      </c>
      <c r="F73" s="94">
        <v>5.35</v>
      </c>
      <c r="G73" s="94">
        <v>1.82</v>
      </c>
      <c r="H73" s="94">
        <v>8.5070000000000007E-2</v>
      </c>
      <c r="I73" s="94">
        <v>12.42</v>
      </c>
      <c r="J73" s="94">
        <v>11.95</v>
      </c>
      <c r="K73" s="94">
        <v>3.46</v>
      </c>
      <c r="L73" s="94">
        <v>0.89</v>
      </c>
      <c r="M73" s="94">
        <v>0.22</v>
      </c>
      <c r="N73" s="94">
        <v>0.13</v>
      </c>
      <c r="O73" s="94">
        <v>7.52</v>
      </c>
    </row>
    <row r="74" spans="1:15" x14ac:dyDescent="0.25">
      <c r="A74" s="93">
        <v>73</v>
      </c>
      <c r="B74" s="94">
        <v>24.07</v>
      </c>
      <c r="C74" s="93">
        <v>436770.00012485101</v>
      </c>
      <c r="D74" s="93">
        <v>1732159.0040597301</v>
      </c>
      <c r="E74" s="94">
        <v>23.48</v>
      </c>
      <c r="F74" s="94">
        <v>5.45</v>
      </c>
      <c r="G74" s="94">
        <v>3.87</v>
      </c>
      <c r="H74" s="94">
        <v>0.19094</v>
      </c>
      <c r="I74" s="94">
        <v>13.11</v>
      </c>
      <c r="J74" s="94">
        <v>18.649999999999999</v>
      </c>
      <c r="K74" s="94">
        <v>2.1</v>
      </c>
      <c r="L74" s="94">
        <v>0.63</v>
      </c>
      <c r="M74" s="94">
        <v>0.22</v>
      </c>
      <c r="N74" s="94">
        <v>0.14000000000000001</v>
      </c>
      <c r="O74" s="94">
        <v>9.6</v>
      </c>
    </row>
    <row r="75" spans="1:15" x14ac:dyDescent="0.25">
      <c r="A75" s="93">
        <v>74</v>
      </c>
      <c r="B75" s="94">
        <v>14.52</v>
      </c>
      <c r="C75" s="93">
        <v>437414.99831152603</v>
      </c>
      <c r="D75" s="93">
        <v>1732638.9963586901</v>
      </c>
      <c r="E75" s="94">
        <v>18.66</v>
      </c>
      <c r="F75" s="94">
        <v>5.87</v>
      </c>
      <c r="G75" s="94">
        <v>2.42</v>
      </c>
      <c r="H75" s="94">
        <v>0.12500999999999998</v>
      </c>
      <c r="I75" s="94">
        <v>13.35</v>
      </c>
      <c r="J75" s="94">
        <v>15.81</v>
      </c>
      <c r="K75" s="94">
        <v>3.62</v>
      </c>
      <c r="L75" s="94">
        <v>0.83</v>
      </c>
      <c r="M75" s="94">
        <v>0.28000000000000003</v>
      </c>
      <c r="N75" s="94">
        <v>0.19</v>
      </c>
      <c r="O75" s="94">
        <v>6.72</v>
      </c>
    </row>
    <row r="76" spans="1:15" x14ac:dyDescent="0.25">
      <c r="A76" s="93">
        <v>75</v>
      </c>
      <c r="B76" s="94">
        <v>14.52</v>
      </c>
      <c r="C76" s="93">
        <v>437598.996081146</v>
      </c>
      <c r="D76" s="93">
        <v>1733223.9972834501</v>
      </c>
      <c r="E76" s="94">
        <v>18.66</v>
      </c>
      <c r="F76" s="94">
        <v>5.68</v>
      </c>
      <c r="G76" s="94">
        <v>2.14</v>
      </c>
      <c r="H76" s="94">
        <v>0.1051</v>
      </c>
      <c r="I76" s="94">
        <v>11.8</v>
      </c>
      <c r="J76" s="94">
        <v>4.5599999999999996</v>
      </c>
      <c r="K76" s="94">
        <v>3.84</v>
      </c>
      <c r="L76" s="94">
        <v>1.17</v>
      </c>
      <c r="M76" s="94">
        <v>0.2</v>
      </c>
      <c r="N76" s="94">
        <v>0.18</v>
      </c>
      <c r="O76" s="94">
        <v>9.7100000000000009</v>
      </c>
    </row>
    <row r="77" spans="1:15" x14ac:dyDescent="0.25">
      <c r="A77" s="93">
        <v>76</v>
      </c>
      <c r="B77" s="94">
        <v>19.190000000000001</v>
      </c>
      <c r="C77" s="93">
        <v>437761.00218402903</v>
      </c>
      <c r="D77" s="93">
        <v>1733788.0024818301</v>
      </c>
      <c r="E77" s="94">
        <v>20.76</v>
      </c>
      <c r="F77" s="94">
        <v>5.57</v>
      </c>
      <c r="G77" s="94">
        <v>2.62</v>
      </c>
      <c r="H77" s="94">
        <v>0.13255</v>
      </c>
      <c r="I77" s="94">
        <v>11.44</v>
      </c>
      <c r="J77" s="94">
        <v>4.3499999999999996</v>
      </c>
      <c r="K77" s="94">
        <v>4.55</v>
      </c>
      <c r="L77" s="94">
        <v>1.24</v>
      </c>
      <c r="M77" s="94">
        <v>0.34</v>
      </c>
      <c r="N77" s="94">
        <v>0.28999999999999998</v>
      </c>
      <c r="O77" s="94">
        <v>11</v>
      </c>
    </row>
    <row r="78" spans="1:15" x14ac:dyDescent="0.25">
      <c r="A78" s="93">
        <v>77</v>
      </c>
      <c r="B78" s="94">
        <v>17.239999999999998</v>
      </c>
      <c r="C78" s="93">
        <v>438624.00400220102</v>
      </c>
      <c r="D78" s="93">
        <v>1735060.0035697001</v>
      </c>
      <c r="E78" s="94">
        <v>16.670000000000002</v>
      </c>
      <c r="F78" s="94">
        <v>5.88</v>
      </c>
      <c r="G78" s="94">
        <v>4.41</v>
      </c>
      <c r="H78" s="94">
        <v>0.20626999999999998</v>
      </c>
      <c r="I78" s="94">
        <v>13.72</v>
      </c>
      <c r="J78" s="94">
        <v>68.94</v>
      </c>
      <c r="K78" s="94">
        <v>5.64</v>
      </c>
      <c r="L78" s="94">
        <v>1.56</v>
      </c>
      <c r="M78" s="94">
        <v>0.67</v>
      </c>
      <c r="N78" s="94">
        <v>0.13</v>
      </c>
      <c r="O78" s="94">
        <v>16.190000000000001</v>
      </c>
    </row>
    <row r="79" spans="1:15" x14ac:dyDescent="0.25">
      <c r="A79" s="93">
        <v>78</v>
      </c>
      <c r="B79" s="94">
        <v>14.52</v>
      </c>
      <c r="C79" s="93">
        <v>437863.00327797001</v>
      </c>
      <c r="D79" s="93">
        <v>1732791.9952162199</v>
      </c>
      <c r="E79" s="94">
        <v>18.66</v>
      </c>
      <c r="F79" s="94">
        <v>6.15</v>
      </c>
      <c r="G79" s="94">
        <v>3.02</v>
      </c>
      <c r="H79" s="94">
        <v>0.13639999999999999</v>
      </c>
      <c r="I79" s="94">
        <v>12.85</v>
      </c>
      <c r="J79" s="94">
        <v>11.79</v>
      </c>
      <c r="K79" s="94">
        <v>1.97</v>
      </c>
      <c r="L79" s="94">
        <v>0.64</v>
      </c>
      <c r="M79" s="94">
        <v>0.16</v>
      </c>
      <c r="N79" s="94">
        <v>0.11</v>
      </c>
      <c r="O79" s="94">
        <v>11.68</v>
      </c>
    </row>
    <row r="80" spans="1:15" x14ac:dyDescent="0.25">
      <c r="A80" s="93">
        <v>79</v>
      </c>
      <c r="B80" s="94">
        <v>16.329999999999998</v>
      </c>
      <c r="C80" s="93">
        <v>438640.99868729501</v>
      </c>
      <c r="D80" s="93">
        <v>1733497.00171419</v>
      </c>
      <c r="E80" s="94">
        <v>20.63</v>
      </c>
      <c r="F80" s="94">
        <v>5.36</v>
      </c>
      <c r="G80" s="94">
        <v>2.98</v>
      </c>
      <c r="H80" s="94">
        <v>0.14582999999999999</v>
      </c>
      <c r="I80" s="94">
        <v>12.72</v>
      </c>
      <c r="J80" s="94">
        <v>16.149999999999999</v>
      </c>
      <c r="K80" s="94">
        <v>1.52</v>
      </c>
      <c r="L80" s="94">
        <v>0.55000000000000004</v>
      </c>
      <c r="M80" s="94">
        <v>0.28999999999999998</v>
      </c>
      <c r="N80" s="94">
        <v>0.14000000000000001</v>
      </c>
      <c r="O80" s="94">
        <v>11.33</v>
      </c>
    </row>
    <row r="81" spans="1:15" x14ac:dyDescent="0.25">
      <c r="A81" s="93">
        <v>80</v>
      </c>
      <c r="B81" s="94">
        <v>11.04</v>
      </c>
      <c r="C81" s="93">
        <v>438764.00194665801</v>
      </c>
      <c r="D81" s="93">
        <v>1734056.99772862</v>
      </c>
      <c r="E81" s="94">
        <v>5.72</v>
      </c>
      <c r="F81" s="94">
        <v>6.18</v>
      </c>
      <c r="G81" s="94">
        <v>4.49</v>
      </c>
      <c r="H81" s="94">
        <v>0.19980000000000001</v>
      </c>
      <c r="I81" s="94">
        <v>13.05</v>
      </c>
      <c r="J81" s="94">
        <v>33.369999999999997</v>
      </c>
      <c r="K81" s="94">
        <v>4.99</v>
      </c>
      <c r="L81" s="94">
        <v>1.38</v>
      </c>
      <c r="M81" s="94">
        <v>0.31</v>
      </c>
      <c r="N81" s="94">
        <v>0.14000000000000001</v>
      </c>
      <c r="O81" s="94">
        <v>14.24</v>
      </c>
    </row>
    <row r="82" spans="1:15" x14ac:dyDescent="0.25">
      <c r="A82" s="93">
        <v>81</v>
      </c>
      <c r="B82" s="94">
        <v>16.8</v>
      </c>
      <c r="C82" s="93">
        <v>435057.99793212197</v>
      </c>
      <c r="D82" s="93">
        <v>1734573.0026973099</v>
      </c>
      <c r="E82" s="94">
        <v>13.09</v>
      </c>
      <c r="F82" s="94">
        <v>5.22</v>
      </c>
      <c r="G82" s="94">
        <v>2.21</v>
      </c>
      <c r="H82" s="94">
        <v>0.12088</v>
      </c>
      <c r="I82" s="94">
        <v>10.59</v>
      </c>
      <c r="J82" s="94">
        <v>9.18</v>
      </c>
      <c r="K82" s="94">
        <v>0.45</v>
      </c>
      <c r="L82" s="94">
        <v>0.13</v>
      </c>
      <c r="M82" s="94">
        <v>0.16</v>
      </c>
      <c r="N82" s="94">
        <v>0.05</v>
      </c>
      <c r="O82" s="94">
        <v>13.82</v>
      </c>
    </row>
    <row r="83" spans="1:15" x14ac:dyDescent="0.25">
      <c r="A83" s="93">
        <v>82</v>
      </c>
      <c r="B83" s="94">
        <v>19.809999999999999</v>
      </c>
      <c r="C83" s="93">
        <v>433806.99615644698</v>
      </c>
      <c r="D83" s="93">
        <v>1736994.9997068499</v>
      </c>
      <c r="E83" s="94">
        <v>15.66</v>
      </c>
      <c r="F83" s="94">
        <v>5.54</v>
      </c>
      <c r="G83" s="94">
        <v>1.58</v>
      </c>
      <c r="H83" s="94">
        <v>9.7960000000000005E-2</v>
      </c>
      <c r="I83" s="94">
        <v>9.3699999999999992</v>
      </c>
      <c r="J83" s="94">
        <v>2.84</v>
      </c>
      <c r="K83" s="94">
        <v>4.59</v>
      </c>
      <c r="L83" s="94">
        <v>1.1599999999999999</v>
      </c>
      <c r="M83" s="94">
        <v>0.27</v>
      </c>
      <c r="N83" s="94">
        <v>0.28000000000000003</v>
      </c>
      <c r="O83" s="94">
        <v>8.5399999999999991</v>
      </c>
    </row>
    <row r="84" spans="1:15" x14ac:dyDescent="0.25">
      <c r="A84" s="93">
        <v>83</v>
      </c>
      <c r="B84" s="94">
        <v>23.38</v>
      </c>
      <c r="C84" s="93">
        <v>437962.00288458797</v>
      </c>
      <c r="D84" s="93">
        <v>1738770.9982075</v>
      </c>
      <c r="E84" s="94">
        <v>21.89</v>
      </c>
      <c r="F84" s="94">
        <v>5.65</v>
      </c>
      <c r="G84" s="94">
        <v>2.23</v>
      </c>
      <c r="H84" s="94">
        <v>0.11587</v>
      </c>
      <c r="I84" s="94">
        <v>11.14</v>
      </c>
      <c r="J84" s="94">
        <v>10.38</v>
      </c>
      <c r="K84" s="94">
        <v>4.3</v>
      </c>
      <c r="L84" s="94">
        <v>1.86</v>
      </c>
      <c r="M84" s="94">
        <v>0.68</v>
      </c>
      <c r="N84" s="94">
        <v>0.33</v>
      </c>
      <c r="O84" s="94">
        <v>10.15</v>
      </c>
    </row>
    <row r="85" spans="1:15" x14ac:dyDescent="0.25">
      <c r="A85" s="93">
        <v>84</v>
      </c>
      <c r="B85" s="94">
        <v>19.809999999999999</v>
      </c>
      <c r="C85" s="93">
        <v>433241.00140397198</v>
      </c>
      <c r="D85" s="93">
        <v>1737020.00461717</v>
      </c>
      <c r="E85" s="94">
        <v>15.66</v>
      </c>
      <c r="F85" s="94">
        <v>5.44</v>
      </c>
      <c r="G85" s="94">
        <v>2.41</v>
      </c>
      <c r="H85" s="94">
        <v>0.11283</v>
      </c>
      <c r="I85" s="94">
        <v>12.38</v>
      </c>
      <c r="J85" s="94">
        <v>15.72</v>
      </c>
      <c r="K85" s="94">
        <v>2.2000000000000002</v>
      </c>
      <c r="L85" s="94">
        <v>1.21</v>
      </c>
      <c r="M85" s="94">
        <v>0.27</v>
      </c>
      <c r="N85" s="94">
        <v>0.13</v>
      </c>
      <c r="O85" s="94">
        <v>12.35</v>
      </c>
    </row>
    <row r="86" spans="1:15" x14ac:dyDescent="0.25">
      <c r="A86" s="93">
        <v>85</v>
      </c>
      <c r="B86" s="94">
        <v>19.63</v>
      </c>
      <c r="C86" s="93">
        <v>432443.99932354502</v>
      </c>
      <c r="D86" s="93">
        <v>1738452.0031380199</v>
      </c>
      <c r="E86" s="94">
        <v>20.420000000000002</v>
      </c>
      <c r="F86" s="94">
        <v>5.64</v>
      </c>
      <c r="G86" s="94">
        <v>2.0099999999999998</v>
      </c>
      <c r="H86" s="94">
        <v>8.8150000000000006E-2</v>
      </c>
      <c r="I86" s="94">
        <v>13.23</v>
      </c>
      <c r="J86" s="94">
        <v>4.22</v>
      </c>
      <c r="K86" s="94">
        <v>4.26</v>
      </c>
      <c r="L86" s="94">
        <v>1.59</v>
      </c>
      <c r="M86" s="94">
        <v>0.34</v>
      </c>
      <c r="N86" s="94">
        <v>0.23</v>
      </c>
      <c r="O86" s="94">
        <v>9.73</v>
      </c>
    </row>
    <row r="87" spans="1:15" x14ac:dyDescent="0.25">
      <c r="A87" s="93">
        <v>86</v>
      </c>
      <c r="B87" s="94">
        <v>18.47</v>
      </c>
      <c r="C87" s="93">
        <v>432469.00072344998</v>
      </c>
      <c r="D87" s="93">
        <v>1739092.0028679401</v>
      </c>
      <c r="E87" s="94">
        <v>16.41</v>
      </c>
      <c r="F87" s="94">
        <v>5.18</v>
      </c>
      <c r="G87" s="94">
        <v>2.81</v>
      </c>
      <c r="H87" s="94">
        <v>0.13579000000000002</v>
      </c>
      <c r="I87" s="94">
        <v>12.02</v>
      </c>
      <c r="J87" s="94">
        <v>31.52</v>
      </c>
      <c r="K87" s="94">
        <v>1.75</v>
      </c>
      <c r="L87" s="94">
        <v>0.59</v>
      </c>
      <c r="M87" s="94">
        <v>0.37</v>
      </c>
      <c r="N87" s="94">
        <v>0.18</v>
      </c>
      <c r="O87" s="94">
        <v>9.43</v>
      </c>
    </row>
    <row r="88" spans="1:15" x14ac:dyDescent="0.25">
      <c r="A88" s="93">
        <v>87</v>
      </c>
      <c r="B88" s="94">
        <v>19.63</v>
      </c>
      <c r="C88" s="93">
        <v>432904.00199343998</v>
      </c>
      <c r="D88" s="93">
        <v>1738437.9959891399</v>
      </c>
      <c r="E88" s="94">
        <v>20.420000000000002</v>
      </c>
      <c r="F88" s="94">
        <v>5.93</v>
      </c>
      <c r="G88" s="94">
        <v>2.4900000000000002</v>
      </c>
      <c r="H88" s="94">
        <v>0.13629000000000002</v>
      </c>
      <c r="I88" s="94">
        <v>10.6</v>
      </c>
      <c r="J88" s="94">
        <v>5.65</v>
      </c>
      <c r="K88" s="94">
        <v>2.94</v>
      </c>
      <c r="L88" s="94">
        <v>1.1499999999999999</v>
      </c>
      <c r="M88" s="94">
        <v>0.14000000000000001</v>
      </c>
      <c r="N88" s="94">
        <v>0.14000000000000001</v>
      </c>
      <c r="O88" s="94">
        <v>8.81</v>
      </c>
    </row>
    <row r="89" spans="1:15" x14ac:dyDescent="0.25">
      <c r="A89" s="93">
        <v>88</v>
      </c>
      <c r="B89" s="94">
        <v>18.47</v>
      </c>
      <c r="C89" s="93">
        <v>432897.00127163302</v>
      </c>
      <c r="D89" s="93">
        <v>1738848.0025335001</v>
      </c>
      <c r="E89" s="94">
        <v>16.41</v>
      </c>
      <c r="F89" s="94">
        <v>5.63</v>
      </c>
      <c r="G89" s="94">
        <v>1.64</v>
      </c>
      <c r="H89" s="94">
        <v>8.8079999999999992E-2</v>
      </c>
      <c r="I89" s="94">
        <v>11.44</v>
      </c>
      <c r="J89" s="94">
        <v>2.9</v>
      </c>
      <c r="K89" s="94">
        <v>2.65</v>
      </c>
      <c r="L89" s="94">
        <v>0.9</v>
      </c>
      <c r="M89" s="94">
        <v>0.18</v>
      </c>
      <c r="N89" s="94">
        <v>0.16</v>
      </c>
      <c r="O89" s="94">
        <v>8.94</v>
      </c>
    </row>
    <row r="90" spans="1:15" x14ac:dyDescent="0.25">
      <c r="A90" s="93">
        <v>89</v>
      </c>
      <c r="B90" s="94">
        <v>18.72</v>
      </c>
      <c r="C90" s="93">
        <v>432893.00203714898</v>
      </c>
      <c r="D90" s="93">
        <v>1739365.9970972</v>
      </c>
      <c r="E90" s="94">
        <v>18.37</v>
      </c>
      <c r="F90" s="94">
        <v>5.51</v>
      </c>
      <c r="G90" s="94">
        <v>2</v>
      </c>
      <c r="H90" s="94">
        <v>0.10340000000000001</v>
      </c>
      <c r="I90" s="94">
        <v>11.2</v>
      </c>
      <c r="J90" s="94">
        <v>10.27</v>
      </c>
      <c r="K90" s="94">
        <v>2.76</v>
      </c>
      <c r="L90" s="94">
        <v>1.1399999999999999</v>
      </c>
      <c r="M90" s="94">
        <v>0.33</v>
      </c>
      <c r="N90" s="94">
        <v>0.2</v>
      </c>
      <c r="O90" s="94">
        <v>9.44</v>
      </c>
    </row>
    <row r="91" spans="1:15" x14ac:dyDescent="0.25">
      <c r="A91" s="93">
        <v>90</v>
      </c>
      <c r="B91" s="94">
        <v>18.72</v>
      </c>
      <c r="C91" s="93">
        <v>432908.00122792303</v>
      </c>
      <c r="D91" s="93">
        <v>1740006.9966236099</v>
      </c>
      <c r="E91" s="94">
        <v>18.37</v>
      </c>
      <c r="F91" s="94">
        <v>5.53</v>
      </c>
      <c r="G91" s="94">
        <v>1.8</v>
      </c>
      <c r="H91" s="94">
        <v>8.7499999999999994E-2</v>
      </c>
      <c r="I91" s="94">
        <v>11.92</v>
      </c>
      <c r="J91" s="94">
        <v>12.29</v>
      </c>
      <c r="K91" s="94">
        <v>3.96</v>
      </c>
      <c r="L91" s="94">
        <v>1.19</v>
      </c>
      <c r="M91" s="94">
        <v>0.21</v>
      </c>
      <c r="N91" s="94">
        <v>0.18</v>
      </c>
      <c r="O91" s="94">
        <v>9.33</v>
      </c>
    </row>
    <row r="92" spans="1:15" x14ac:dyDescent="0.25">
      <c r="A92" s="93">
        <v>91</v>
      </c>
      <c r="B92" s="94">
        <v>18.510000000000002</v>
      </c>
      <c r="C92" s="93">
        <v>433391.00155756</v>
      </c>
      <c r="D92" s="93">
        <v>1742136.0032704801</v>
      </c>
      <c r="E92" s="94">
        <v>20.87</v>
      </c>
      <c r="F92" s="94">
        <v>5.26</v>
      </c>
      <c r="G92" s="94">
        <v>2.58</v>
      </c>
      <c r="H92" s="94">
        <v>0.14038</v>
      </c>
      <c r="I92" s="94">
        <v>12.42</v>
      </c>
      <c r="J92" s="94">
        <v>8.59</v>
      </c>
      <c r="K92" s="94">
        <v>5.41</v>
      </c>
      <c r="L92" s="94">
        <v>1.78</v>
      </c>
      <c r="M92" s="94">
        <v>0.23</v>
      </c>
      <c r="N92" s="94">
        <v>0.16</v>
      </c>
      <c r="O92" s="94">
        <v>12.68</v>
      </c>
    </row>
    <row r="93" spans="1:15" x14ac:dyDescent="0.25">
      <c r="A93" s="93">
        <v>92</v>
      </c>
      <c r="B93" s="94">
        <v>1.24</v>
      </c>
      <c r="C93" s="93">
        <v>435292.996248713</v>
      </c>
      <c r="D93" s="93">
        <v>1736059.0002268199</v>
      </c>
      <c r="E93" s="94">
        <v>12.96</v>
      </c>
      <c r="F93" s="94">
        <v>5.09</v>
      </c>
      <c r="G93" s="94">
        <v>2.16</v>
      </c>
      <c r="H93" s="94">
        <v>0.14046</v>
      </c>
      <c r="I93" s="94">
        <v>8.9</v>
      </c>
      <c r="J93" s="94">
        <v>5.5</v>
      </c>
      <c r="K93" s="94">
        <v>6.24</v>
      </c>
      <c r="L93" s="94">
        <v>2.63</v>
      </c>
      <c r="M93" s="94">
        <v>0.28000000000000003</v>
      </c>
      <c r="N93" s="94">
        <v>0.18</v>
      </c>
      <c r="O93" s="94">
        <v>15.04</v>
      </c>
    </row>
    <row r="94" spans="1:15" x14ac:dyDescent="0.25">
      <c r="A94" s="93">
        <v>93</v>
      </c>
      <c r="B94" s="94">
        <v>18.510000000000002</v>
      </c>
      <c r="C94" s="93">
        <v>433380.99934842897</v>
      </c>
      <c r="D94" s="93">
        <v>1742735.00134616</v>
      </c>
      <c r="E94" s="94">
        <v>20.87</v>
      </c>
      <c r="F94" s="94">
        <v>5.0199999999999996</v>
      </c>
      <c r="G94" s="94">
        <v>1.97</v>
      </c>
      <c r="H94" s="94">
        <v>0.11234000000000001</v>
      </c>
      <c r="I94" s="94">
        <v>10.16</v>
      </c>
      <c r="J94" s="94">
        <v>3.8</v>
      </c>
      <c r="K94" s="94">
        <v>3.7</v>
      </c>
      <c r="L94" s="94">
        <v>1.57</v>
      </c>
      <c r="M94" s="94">
        <v>0.28999999999999998</v>
      </c>
      <c r="N94" s="94">
        <v>0.16</v>
      </c>
      <c r="O94" s="94">
        <v>11.15</v>
      </c>
    </row>
    <row r="95" spans="1:15" x14ac:dyDescent="0.25">
      <c r="A95" s="93">
        <v>94</v>
      </c>
      <c r="B95" s="94">
        <v>20.59</v>
      </c>
      <c r="C95" s="93">
        <v>434263.99733901798</v>
      </c>
      <c r="D95" s="93">
        <v>1742401.9991278001</v>
      </c>
      <c r="E95" s="94">
        <v>19.93</v>
      </c>
      <c r="F95" s="94">
        <v>5.22</v>
      </c>
      <c r="G95" s="94">
        <v>1.9</v>
      </c>
      <c r="H95" s="94">
        <v>9.6939999999999998E-2</v>
      </c>
      <c r="I95" s="94">
        <v>11.39</v>
      </c>
      <c r="J95" s="94">
        <v>16.61</v>
      </c>
      <c r="K95" s="94">
        <v>4.42</v>
      </c>
      <c r="L95" s="94">
        <v>1.52</v>
      </c>
      <c r="M95" s="94">
        <v>0.21</v>
      </c>
      <c r="N95" s="94">
        <v>0.15</v>
      </c>
      <c r="O95" s="94">
        <v>11.38</v>
      </c>
    </row>
    <row r="96" spans="1:15" x14ac:dyDescent="0.25">
      <c r="A96" s="93">
        <v>95</v>
      </c>
      <c r="B96" s="94">
        <v>20.59</v>
      </c>
      <c r="C96" s="93">
        <v>433812.99913109501</v>
      </c>
      <c r="D96" s="93">
        <v>1742406.9981102699</v>
      </c>
      <c r="E96" s="94">
        <v>19.93</v>
      </c>
      <c r="F96" s="94">
        <v>4.92</v>
      </c>
      <c r="G96" s="94">
        <v>1.58</v>
      </c>
      <c r="H96" s="94">
        <v>0.10947999999999999</v>
      </c>
      <c r="I96" s="94">
        <v>8.36</v>
      </c>
      <c r="J96" s="94">
        <v>1.96</v>
      </c>
      <c r="K96" s="94">
        <v>3.74</v>
      </c>
      <c r="L96" s="94">
        <v>1.27</v>
      </c>
      <c r="M96" s="94">
        <v>0.26</v>
      </c>
      <c r="N96" s="94">
        <v>0.16</v>
      </c>
      <c r="O96" s="94">
        <v>6.88</v>
      </c>
    </row>
    <row r="97" spans="1:15" x14ac:dyDescent="0.25">
      <c r="A97" s="93">
        <v>96</v>
      </c>
      <c r="B97" s="94">
        <v>16.190000000000001</v>
      </c>
      <c r="C97" s="93">
        <v>435803.999465578</v>
      </c>
      <c r="D97" s="93">
        <v>1736988.00113138</v>
      </c>
      <c r="E97" s="94">
        <v>17.95</v>
      </c>
      <c r="F97" s="94">
        <v>5.09</v>
      </c>
      <c r="G97" s="94">
        <v>2.66</v>
      </c>
      <c r="H97" s="94">
        <v>0.12299000000000002</v>
      </c>
      <c r="I97" s="94">
        <v>12.56</v>
      </c>
      <c r="J97" s="94">
        <v>2.93</v>
      </c>
      <c r="K97" s="94">
        <v>6.63</v>
      </c>
      <c r="L97" s="94">
        <v>1.89</v>
      </c>
      <c r="M97" s="94">
        <v>0.19</v>
      </c>
      <c r="N97" s="94">
        <v>0.18</v>
      </c>
      <c r="O97" s="94">
        <v>14.25</v>
      </c>
    </row>
    <row r="98" spans="1:15" x14ac:dyDescent="0.25">
      <c r="A98" s="93">
        <v>97</v>
      </c>
      <c r="B98" s="94">
        <v>18.52</v>
      </c>
      <c r="C98" s="93">
        <v>437780.000609287</v>
      </c>
      <c r="D98" s="93">
        <v>1735361.0023022799</v>
      </c>
      <c r="E98" s="94">
        <v>15.63</v>
      </c>
      <c r="F98" s="94">
        <v>5.43</v>
      </c>
      <c r="G98" s="94">
        <v>4.05</v>
      </c>
      <c r="H98" s="94">
        <v>0.19049000000000002</v>
      </c>
      <c r="I98" s="94">
        <v>15.59</v>
      </c>
      <c r="J98" s="94">
        <v>67.19</v>
      </c>
      <c r="K98" s="94">
        <v>2.96</v>
      </c>
      <c r="L98" s="94">
        <v>1.1499999999999999</v>
      </c>
      <c r="M98" s="94">
        <v>0.7</v>
      </c>
      <c r="N98" s="94">
        <v>0.15</v>
      </c>
      <c r="O98" s="94">
        <v>6.93</v>
      </c>
    </row>
    <row r="99" spans="1:15" x14ac:dyDescent="0.25">
      <c r="A99" s="93">
        <v>98</v>
      </c>
      <c r="B99" s="94">
        <v>18.52</v>
      </c>
      <c r="C99" s="93">
        <v>438208.001157469</v>
      </c>
      <c r="D99" s="93">
        <v>1735221.00079918</v>
      </c>
      <c r="E99" s="94">
        <v>15.63</v>
      </c>
      <c r="F99" s="94">
        <v>5.58</v>
      </c>
      <c r="G99" s="94">
        <v>2.17</v>
      </c>
      <c r="H99" s="94">
        <v>0.13485999999999998</v>
      </c>
      <c r="I99" s="94">
        <v>9.35</v>
      </c>
      <c r="J99" s="94">
        <v>88.07</v>
      </c>
      <c r="K99" s="94">
        <v>2.4900000000000002</v>
      </c>
      <c r="L99" s="94">
        <v>0.74</v>
      </c>
      <c r="M99" s="94">
        <v>0.34</v>
      </c>
      <c r="N99" s="94">
        <v>0.14000000000000001</v>
      </c>
      <c r="O99" s="94">
        <v>4.5</v>
      </c>
    </row>
    <row r="100" spans="1:15" x14ac:dyDescent="0.25">
      <c r="A100" s="93">
        <v>99</v>
      </c>
      <c r="B100" s="94">
        <v>18</v>
      </c>
      <c r="C100" s="93">
        <v>437318.00244507298</v>
      </c>
      <c r="D100" s="93">
        <v>1735212.0026307299</v>
      </c>
      <c r="E100" s="94">
        <v>16.89</v>
      </c>
      <c r="F100" s="94">
        <v>6.01</v>
      </c>
      <c r="G100" s="94">
        <v>1.81</v>
      </c>
      <c r="H100" s="94">
        <v>0.11027000000000001</v>
      </c>
      <c r="I100" s="94">
        <v>9.51</v>
      </c>
      <c r="J100" s="94">
        <v>29.21</v>
      </c>
      <c r="K100" s="94">
        <v>6.09</v>
      </c>
      <c r="L100" s="94">
        <v>1.76</v>
      </c>
      <c r="M100" s="94">
        <v>0.56999999999999995</v>
      </c>
      <c r="N100" s="94">
        <v>0.21</v>
      </c>
      <c r="O100" s="94">
        <v>9.34</v>
      </c>
    </row>
    <row r="101" spans="1:15" x14ac:dyDescent="0.25">
      <c r="A101" s="93">
        <v>100</v>
      </c>
      <c r="B101" s="94">
        <v>18</v>
      </c>
      <c r="C101" s="93">
        <v>437224.99756725802</v>
      </c>
      <c r="D101" s="93">
        <v>1734886.99878432</v>
      </c>
      <c r="E101" s="94">
        <v>16.89</v>
      </c>
      <c r="F101" s="94">
        <v>5.87</v>
      </c>
      <c r="G101" s="94">
        <v>2.74</v>
      </c>
      <c r="H101" s="94">
        <v>0.14357999999999999</v>
      </c>
      <c r="I101" s="94">
        <v>11.06</v>
      </c>
      <c r="J101" s="94">
        <v>15.81</v>
      </c>
      <c r="K101" s="94">
        <v>4.3</v>
      </c>
      <c r="L101" s="94">
        <v>1.38</v>
      </c>
      <c r="M101" s="94">
        <v>0.22</v>
      </c>
      <c r="N101" s="94">
        <v>0.16</v>
      </c>
      <c r="O101" s="94">
        <v>12.98</v>
      </c>
    </row>
    <row r="102" spans="1:15" x14ac:dyDescent="0.25">
      <c r="A102" s="93">
        <v>101</v>
      </c>
      <c r="B102" s="94">
        <v>18</v>
      </c>
      <c r="C102" s="93">
        <v>437069.00268486701</v>
      </c>
      <c r="D102" s="93">
        <v>1734640.99885689</v>
      </c>
      <c r="E102" s="94">
        <v>16.89</v>
      </c>
      <c r="F102" s="94">
        <v>6.16</v>
      </c>
      <c r="G102" s="94">
        <v>2.63</v>
      </c>
      <c r="H102" s="94">
        <v>0.13697999999999999</v>
      </c>
      <c r="I102" s="94">
        <v>13.02</v>
      </c>
      <c r="J102" s="94">
        <v>16.8</v>
      </c>
      <c r="K102" s="94">
        <v>6.37</v>
      </c>
      <c r="L102" s="94">
        <v>1.61</v>
      </c>
      <c r="M102" s="94">
        <v>0.47</v>
      </c>
      <c r="N102" s="94">
        <v>0.19</v>
      </c>
      <c r="O102" s="94">
        <v>8.89</v>
      </c>
    </row>
    <row r="103" spans="1:15" x14ac:dyDescent="0.25">
      <c r="A103" s="93">
        <v>102</v>
      </c>
      <c r="B103" s="94">
        <v>13.65</v>
      </c>
      <c r="C103" s="93">
        <v>436239.99848272803</v>
      </c>
      <c r="D103" s="93">
        <v>1734540.99921153</v>
      </c>
      <c r="E103" s="94">
        <v>1.68</v>
      </c>
      <c r="F103" s="94">
        <v>6.18</v>
      </c>
      <c r="G103" s="94">
        <v>3</v>
      </c>
      <c r="H103" s="94">
        <v>0.14359</v>
      </c>
      <c r="I103" s="94">
        <v>12.1</v>
      </c>
      <c r="J103" s="94">
        <v>4.5599999999999996</v>
      </c>
      <c r="K103" s="94">
        <v>11.25</v>
      </c>
      <c r="L103" s="94">
        <v>3.37</v>
      </c>
      <c r="M103" s="94">
        <v>0.37</v>
      </c>
      <c r="N103" s="94">
        <v>0.3</v>
      </c>
      <c r="O103" s="94">
        <v>13.06</v>
      </c>
    </row>
    <row r="104" spans="1:15" x14ac:dyDescent="0.25">
      <c r="A104" s="93">
        <v>103</v>
      </c>
      <c r="B104" s="94">
        <v>24.65</v>
      </c>
      <c r="C104" s="93">
        <v>437440.99745859101</v>
      </c>
      <c r="D104" s="93">
        <v>1738132.99807058</v>
      </c>
      <c r="E104" s="94">
        <v>21.24</v>
      </c>
      <c r="F104" s="94">
        <v>5.65</v>
      </c>
      <c r="G104" s="94">
        <v>2.11</v>
      </c>
      <c r="H104" s="94">
        <v>0.10507999999999999</v>
      </c>
      <c r="I104" s="94">
        <v>11.65</v>
      </c>
      <c r="J104" s="94">
        <v>12.17</v>
      </c>
      <c r="K104" s="94">
        <v>4.26</v>
      </c>
      <c r="L104" s="94">
        <v>1.28</v>
      </c>
      <c r="M104" s="94">
        <v>0.73</v>
      </c>
      <c r="N104" s="94">
        <v>0.19</v>
      </c>
      <c r="O104" s="94">
        <v>7.9</v>
      </c>
    </row>
    <row r="105" spans="1:15" x14ac:dyDescent="0.25">
      <c r="A105" s="93">
        <v>104</v>
      </c>
      <c r="B105" s="94">
        <v>16.329999999999998</v>
      </c>
      <c r="C105" s="93">
        <v>438288.00233882898</v>
      </c>
      <c r="D105" s="93">
        <v>1733921.9952080001</v>
      </c>
      <c r="E105" s="94">
        <v>20.63</v>
      </c>
      <c r="F105" s="94">
        <v>6.06</v>
      </c>
      <c r="G105" s="94">
        <v>2.44</v>
      </c>
      <c r="H105" s="94">
        <v>0.11878</v>
      </c>
      <c r="I105" s="94">
        <v>11.93</v>
      </c>
      <c r="J105" s="94">
        <v>15.21</v>
      </c>
      <c r="K105" s="94">
        <v>2.77</v>
      </c>
      <c r="L105" s="94">
        <v>0.86</v>
      </c>
      <c r="M105" s="94">
        <v>0.24</v>
      </c>
      <c r="N105" s="94">
        <v>0.13</v>
      </c>
      <c r="O105" s="94">
        <v>8.7100000000000009</v>
      </c>
    </row>
    <row r="106" spans="1:15" x14ac:dyDescent="0.25">
      <c r="A106" s="93">
        <v>105</v>
      </c>
      <c r="B106" s="94">
        <v>13.65</v>
      </c>
      <c r="C106" s="93">
        <v>436429.99922699499</v>
      </c>
      <c r="D106" s="93">
        <v>1734252.99783337</v>
      </c>
      <c r="E106" s="94">
        <v>1.68</v>
      </c>
      <c r="F106" s="94">
        <v>5.85</v>
      </c>
      <c r="G106" s="94">
        <v>2.2000000000000002</v>
      </c>
      <c r="H106" s="94">
        <v>0.11112999999999999</v>
      </c>
      <c r="I106" s="94">
        <v>11.48</v>
      </c>
      <c r="J106" s="94">
        <v>2.2799999999999998</v>
      </c>
      <c r="K106" s="94">
        <v>9.31</v>
      </c>
      <c r="L106" s="94">
        <v>2.88</v>
      </c>
      <c r="M106" s="94">
        <v>0.26</v>
      </c>
      <c r="N106" s="94">
        <v>0.28999999999999998</v>
      </c>
      <c r="O106" s="94">
        <v>11.58</v>
      </c>
    </row>
    <row r="107" spans="1:15" x14ac:dyDescent="0.25">
      <c r="A107" s="93">
        <v>106</v>
      </c>
      <c r="B107" s="94">
        <v>25.77</v>
      </c>
      <c r="C107" s="93">
        <v>436924.99726008199</v>
      </c>
      <c r="D107" s="93">
        <v>1734015.9960743899</v>
      </c>
      <c r="E107" s="94">
        <v>24.2</v>
      </c>
      <c r="F107" s="94">
        <v>6.16</v>
      </c>
      <c r="G107" s="94">
        <v>2.81</v>
      </c>
      <c r="H107" s="94">
        <v>0.14234000000000002</v>
      </c>
      <c r="I107" s="94">
        <v>13.5</v>
      </c>
      <c r="J107" s="94">
        <v>5.29</v>
      </c>
      <c r="K107" s="94">
        <v>7.4</v>
      </c>
      <c r="L107" s="94">
        <v>3.09</v>
      </c>
      <c r="M107" s="94">
        <v>0.25</v>
      </c>
      <c r="N107" s="94">
        <v>0.23</v>
      </c>
      <c r="O107" s="94">
        <v>13.73</v>
      </c>
    </row>
    <row r="108" spans="1:15" x14ac:dyDescent="0.25">
      <c r="A108" s="93">
        <v>107</v>
      </c>
      <c r="B108" s="94">
        <v>13.65</v>
      </c>
      <c r="C108" s="93">
        <v>435983.00025355502</v>
      </c>
      <c r="D108" s="93">
        <v>1734057.9975251199</v>
      </c>
      <c r="E108" s="94">
        <v>1.68</v>
      </c>
      <c r="F108" s="94">
        <v>5.92</v>
      </c>
      <c r="G108" s="94">
        <v>1.95</v>
      </c>
      <c r="H108" s="94">
        <v>9.715E-2</v>
      </c>
      <c r="I108" s="94">
        <v>11.62</v>
      </c>
      <c r="J108" s="94">
        <v>11.79</v>
      </c>
      <c r="K108" s="94">
        <v>5.38</v>
      </c>
      <c r="L108" s="94">
        <v>1.67</v>
      </c>
      <c r="M108" s="94">
        <v>0.2</v>
      </c>
      <c r="N108" s="94">
        <v>0.18</v>
      </c>
      <c r="O108" s="94">
        <v>11.11</v>
      </c>
    </row>
    <row r="109" spans="1:15" x14ac:dyDescent="0.25">
      <c r="A109" s="93">
        <v>108</v>
      </c>
      <c r="B109" s="94">
        <v>23.38</v>
      </c>
      <c r="C109" s="93">
        <v>437959.99914442399</v>
      </c>
      <c r="D109" s="93">
        <v>1738154.0037949299</v>
      </c>
      <c r="E109" s="94">
        <v>21.89</v>
      </c>
      <c r="F109" s="94">
        <v>5.68</v>
      </c>
      <c r="G109" s="94">
        <v>2.66</v>
      </c>
      <c r="H109" s="94">
        <v>0.15132000000000001</v>
      </c>
      <c r="I109" s="94">
        <v>15.2</v>
      </c>
      <c r="J109" s="94">
        <v>27.3</v>
      </c>
      <c r="K109" s="94">
        <v>6.23</v>
      </c>
      <c r="L109" s="94">
        <v>2.12</v>
      </c>
      <c r="M109" s="94">
        <v>0.23</v>
      </c>
      <c r="N109" s="94">
        <v>0.23</v>
      </c>
      <c r="O109" s="94">
        <v>10.01</v>
      </c>
    </row>
    <row r="110" spans="1:15" x14ac:dyDescent="0.25">
      <c r="A110" s="93">
        <v>109</v>
      </c>
      <c r="B110" s="94">
        <v>16.329999999999998</v>
      </c>
      <c r="C110" s="93">
        <v>437238.001263713</v>
      </c>
      <c r="D110" s="93">
        <v>1733590.0027840899</v>
      </c>
      <c r="E110" s="94">
        <v>20.63</v>
      </c>
      <c r="F110" s="94">
        <v>6.22</v>
      </c>
      <c r="G110" s="94">
        <v>2.1800000000000002</v>
      </c>
      <c r="H110" s="94">
        <v>0.13747000000000001</v>
      </c>
      <c r="I110" s="94">
        <v>9.19</v>
      </c>
      <c r="J110" s="94">
        <v>22.35</v>
      </c>
      <c r="K110" s="94">
        <v>4.97</v>
      </c>
      <c r="L110" s="94">
        <v>1.65</v>
      </c>
      <c r="M110" s="94">
        <v>0.15</v>
      </c>
      <c r="N110" s="94">
        <v>0.19</v>
      </c>
      <c r="O110" s="94">
        <v>11.91</v>
      </c>
    </row>
    <row r="111" spans="1:15" x14ac:dyDescent="0.25">
      <c r="A111" s="93">
        <v>110</v>
      </c>
      <c r="B111" s="94">
        <v>25.77</v>
      </c>
      <c r="C111" s="93">
        <v>436728.00403985201</v>
      </c>
      <c r="D111" s="93">
        <v>1733487.00374925</v>
      </c>
      <c r="E111" s="94">
        <v>24.2</v>
      </c>
      <c r="F111" s="94">
        <v>5.6</v>
      </c>
      <c r="G111" s="94">
        <v>2.0099999999999998</v>
      </c>
      <c r="H111" s="94">
        <v>0.10780000000000001</v>
      </c>
      <c r="I111" s="94">
        <v>10.8</v>
      </c>
      <c r="J111" s="94">
        <v>5.26</v>
      </c>
      <c r="K111" s="94">
        <v>5.72</v>
      </c>
      <c r="L111" s="94">
        <v>1.95</v>
      </c>
      <c r="M111" s="94">
        <v>0.3</v>
      </c>
      <c r="N111" s="94">
        <v>0.3</v>
      </c>
      <c r="O111" s="94">
        <v>9.4600000000000009</v>
      </c>
    </row>
    <row r="112" spans="1:15" x14ac:dyDescent="0.25">
      <c r="A112" s="93">
        <v>111</v>
      </c>
      <c r="B112" s="94">
        <v>16.739999999999998</v>
      </c>
      <c r="C112" s="93">
        <v>435795.00324945099</v>
      </c>
      <c r="D112" s="93">
        <v>1733439.00351955</v>
      </c>
      <c r="E112" s="94">
        <v>18.75</v>
      </c>
      <c r="F112" s="94">
        <v>5.7</v>
      </c>
      <c r="G112" s="94">
        <v>2.82</v>
      </c>
      <c r="H112" s="94">
        <v>0.12484000000000001</v>
      </c>
      <c r="I112" s="94">
        <v>13.09</v>
      </c>
      <c r="J112" s="94">
        <v>3.68</v>
      </c>
      <c r="K112" s="94">
        <v>4.6399999999999997</v>
      </c>
      <c r="L112" s="94">
        <v>1.53</v>
      </c>
      <c r="M112" s="94">
        <v>0.33</v>
      </c>
      <c r="N112" s="94">
        <v>0.2</v>
      </c>
      <c r="O112" s="94">
        <v>13.04</v>
      </c>
    </row>
    <row r="113" spans="1:15" x14ac:dyDescent="0.25">
      <c r="A113" s="93">
        <v>112</v>
      </c>
      <c r="B113" s="94">
        <v>19.59</v>
      </c>
      <c r="C113" s="93">
        <v>437015.000650573</v>
      </c>
      <c r="D113" s="93">
        <v>1738131.99827409</v>
      </c>
      <c r="E113" s="94">
        <v>21.19</v>
      </c>
      <c r="F113" s="94">
        <v>5.87</v>
      </c>
      <c r="G113" s="94">
        <v>1.92</v>
      </c>
      <c r="H113" s="94">
        <v>0.11513</v>
      </c>
      <c r="I113" s="94">
        <v>9.69</v>
      </c>
      <c r="J113" s="94">
        <v>10.26</v>
      </c>
      <c r="K113" s="94">
        <v>4.53</v>
      </c>
      <c r="L113" s="94">
        <v>1.2</v>
      </c>
      <c r="M113" s="94">
        <v>0.55000000000000004</v>
      </c>
      <c r="N113" s="94">
        <v>0.23</v>
      </c>
      <c r="O113" s="94">
        <v>9.3000000000000007</v>
      </c>
    </row>
    <row r="114" spans="1:15" x14ac:dyDescent="0.25">
      <c r="A114" s="93">
        <v>113</v>
      </c>
      <c r="B114" s="94">
        <v>19.59</v>
      </c>
      <c r="C114" s="93">
        <v>436971.99857256899</v>
      </c>
      <c r="D114" s="93">
        <v>1738506.0021466799</v>
      </c>
      <c r="E114" s="94">
        <v>21.19</v>
      </c>
      <c r="F114" s="94">
        <v>5.81</v>
      </c>
      <c r="G114" s="94">
        <v>2.16</v>
      </c>
      <c r="H114" s="94">
        <v>0.12203</v>
      </c>
      <c r="I114" s="94">
        <v>12.26</v>
      </c>
      <c r="J114" s="94">
        <v>5.63</v>
      </c>
      <c r="K114" s="94">
        <v>5.4</v>
      </c>
      <c r="L114" s="94">
        <v>1.62</v>
      </c>
      <c r="M114" s="94">
        <v>0.33</v>
      </c>
      <c r="N114" s="94">
        <v>0.16</v>
      </c>
      <c r="O114" s="94">
        <v>9.7200000000000006</v>
      </c>
    </row>
    <row r="115" spans="1:15" x14ac:dyDescent="0.25">
      <c r="A115" s="93">
        <v>114</v>
      </c>
      <c r="B115" s="94">
        <v>25.26</v>
      </c>
      <c r="C115" s="93">
        <v>437476.00106762798</v>
      </c>
      <c r="D115" s="93">
        <v>1739664.9962368</v>
      </c>
      <c r="E115" s="94">
        <v>23.7</v>
      </c>
      <c r="F115" s="94">
        <v>6.31</v>
      </c>
      <c r="G115" s="94">
        <v>1.63</v>
      </c>
      <c r="H115" s="94">
        <v>0.11400999999999999</v>
      </c>
      <c r="I115" s="94">
        <v>8.32</v>
      </c>
      <c r="J115" s="94">
        <v>7.65</v>
      </c>
      <c r="K115" s="94">
        <v>3.31</v>
      </c>
      <c r="L115" s="94">
        <v>1.82</v>
      </c>
      <c r="M115" s="94">
        <v>0.6</v>
      </c>
      <c r="N115" s="94">
        <v>0.14000000000000001</v>
      </c>
      <c r="O115" s="94">
        <v>9.01</v>
      </c>
    </row>
    <row r="116" spans="1:15" x14ac:dyDescent="0.25">
      <c r="A116" s="93">
        <v>115</v>
      </c>
      <c r="B116" s="94">
        <v>21.62</v>
      </c>
      <c r="C116" s="93">
        <v>438526.00214274402</v>
      </c>
      <c r="D116" s="93">
        <v>1738385.9965734701</v>
      </c>
      <c r="E116" s="94">
        <v>18.309999999999999</v>
      </c>
      <c r="F116" s="94">
        <v>5.34</v>
      </c>
      <c r="G116" s="94">
        <v>2.9</v>
      </c>
      <c r="H116" s="94">
        <v>0.1449</v>
      </c>
      <c r="I116" s="94">
        <v>13.47</v>
      </c>
      <c r="J116" s="94">
        <v>10.32</v>
      </c>
      <c r="K116" s="94">
        <v>4.8</v>
      </c>
      <c r="L116" s="94">
        <v>1.86</v>
      </c>
      <c r="M116" s="94">
        <v>0.41</v>
      </c>
      <c r="N116" s="94">
        <v>0.24</v>
      </c>
      <c r="O116" s="94">
        <v>9.59</v>
      </c>
    </row>
    <row r="117" spans="1:15" x14ac:dyDescent="0.25">
      <c r="A117" s="93">
        <v>116</v>
      </c>
      <c r="B117" s="94">
        <v>19.079999999999998</v>
      </c>
      <c r="C117" s="93">
        <v>438519.00142093602</v>
      </c>
      <c r="D117" s="93">
        <v>1739991.9996762001</v>
      </c>
      <c r="E117" s="94">
        <v>20.64</v>
      </c>
      <c r="F117" s="94">
        <v>6.04</v>
      </c>
      <c r="G117" s="94">
        <v>2.58</v>
      </c>
      <c r="H117" s="94">
        <v>0.11732999999999999</v>
      </c>
      <c r="I117" s="94">
        <v>12.73</v>
      </c>
      <c r="J117" s="94">
        <v>3.58</v>
      </c>
      <c r="K117" s="94">
        <v>1.81</v>
      </c>
      <c r="L117" s="94">
        <v>1.28</v>
      </c>
      <c r="M117" s="94">
        <v>0.13</v>
      </c>
      <c r="N117" s="94">
        <v>0.16</v>
      </c>
      <c r="O117" s="94">
        <v>10.82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5DBE8-5CD5-4075-87BB-B529E09BF66A}">
  <dimension ref="B2:O33"/>
  <sheetViews>
    <sheetView workbookViewId="0">
      <selection activeCell="J33" sqref="J33"/>
    </sheetView>
  </sheetViews>
  <sheetFormatPr baseColWidth="10" defaultRowHeight="15" x14ac:dyDescent="0.25"/>
  <sheetData>
    <row r="2" spans="3:15" x14ac:dyDescent="0.25">
      <c r="C2" s="28"/>
    </row>
    <row r="4" spans="3:15" x14ac:dyDescent="0.25">
      <c r="O4" t="s">
        <v>121</v>
      </c>
    </row>
    <row r="30" spans="2:2" x14ac:dyDescent="0.25">
      <c r="B30" t="s">
        <v>122</v>
      </c>
    </row>
    <row r="33" spans="14:14" x14ac:dyDescent="0.25">
      <c r="N33" t="s">
        <v>123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BB8D1-69A8-4142-9CFB-228776FC134E}">
  <dimension ref="A1:Q472"/>
  <sheetViews>
    <sheetView zoomScaleNormal="100" workbookViewId="0">
      <selection activeCell="F17" sqref="F17"/>
    </sheetView>
  </sheetViews>
  <sheetFormatPr baseColWidth="10" defaultColWidth="9.140625" defaultRowHeight="12.75" x14ac:dyDescent="0.2"/>
  <cols>
    <col min="1" max="6" width="12.140625" style="96" customWidth="1"/>
    <col min="7" max="7" width="13.7109375" style="97" bestFit="1" customWidth="1"/>
    <col min="8" max="10" width="12.140625" style="97" customWidth="1"/>
    <col min="11" max="15" width="9.140625" style="96"/>
    <col min="16" max="16" width="13.7109375" style="96" bestFit="1" customWidth="1"/>
    <col min="17" max="17" width="37.28515625" style="96" bestFit="1" customWidth="1"/>
    <col min="18" max="254" width="9.140625" style="96"/>
    <col min="255" max="260" width="12.140625" style="96" customWidth="1"/>
    <col min="261" max="261" width="13.7109375" style="96" bestFit="1" customWidth="1"/>
    <col min="262" max="264" width="12.140625" style="96" customWidth="1"/>
    <col min="265" max="265" width="14.140625" style="96" bestFit="1" customWidth="1"/>
    <col min="266" max="266" width="12.140625" style="96" customWidth="1"/>
    <col min="267" max="510" width="9.140625" style="96"/>
    <col min="511" max="516" width="12.140625" style="96" customWidth="1"/>
    <col min="517" max="517" width="13.7109375" style="96" bestFit="1" customWidth="1"/>
    <col min="518" max="520" width="12.140625" style="96" customWidth="1"/>
    <col min="521" max="521" width="14.140625" style="96" bestFit="1" customWidth="1"/>
    <col min="522" max="522" width="12.140625" style="96" customWidth="1"/>
    <col min="523" max="766" width="9.140625" style="96"/>
    <col min="767" max="772" width="12.140625" style="96" customWidth="1"/>
    <col min="773" max="773" width="13.7109375" style="96" bestFit="1" customWidth="1"/>
    <col min="774" max="776" width="12.140625" style="96" customWidth="1"/>
    <col min="777" max="777" width="14.140625" style="96" bestFit="1" customWidth="1"/>
    <col min="778" max="778" width="12.140625" style="96" customWidth="1"/>
    <col min="779" max="1022" width="9.140625" style="96"/>
    <col min="1023" max="1028" width="12.140625" style="96" customWidth="1"/>
    <col min="1029" max="1029" width="13.7109375" style="96" bestFit="1" customWidth="1"/>
    <col min="1030" max="1032" width="12.140625" style="96" customWidth="1"/>
    <col min="1033" max="1033" width="14.140625" style="96" bestFit="1" customWidth="1"/>
    <col min="1034" max="1034" width="12.140625" style="96" customWidth="1"/>
    <col min="1035" max="1278" width="9.140625" style="96"/>
    <col min="1279" max="1284" width="12.140625" style="96" customWidth="1"/>
    <col min="1285" max="1285" width="13.7109375" style="96" bestFit="1" customWidth="1"/>
    <col min="1286" max="1288" width="12.140625" style="96" customWidth="1"/>
    <col min="1289" max="1289" width="14.140625" style="96" bestFit="1" customWidth="1"/>
    <col min="1290" max="1290" width="12.140625" style="96" customWidth="1"/>
    <col min="1291" max="1534" width="9.140625" style="96"/>
    <col min="1535" max="1540" width="12.140625" style="96" customWidth="1"/>
    <col min="1541" max="1541" width="13.7109375" style="96" bestFit="1" customWidth="1"/>
    <col min="1542" max="1544" width="12.140625" style="96" customWidth="1"/>
    <col min="1545" max="1545" width="14.140625" style="96" bestFit="1" customWidth="1"/>
    <col min="1546" max="1546" width="12.140625" style="96" customWidth="1"/>
    <col min="1547" max="1790" width="9.140625" style="96"/>
    <col min="1791" max="1796" width="12.140625" style="96" customWidth="1"/>
    <col min="1797" max="1797" width="13.7109375" style="96" bestFit="1" customWidth="1"/>
    <col min="1798" max="1800" width="12.140625" style="96" customWidth="1"/>
    <col min="1801" max="1801" width="14.140625" style="96" bestFit="1" customWidth="1"/>
    <col min="1802" max="1802" width="12.140625" style="96" customWidth="1"/>
    <col min="1803" max="2046" width="9.140625" style="96"/>
    <col min="2047" max="2052" width="12.140625" style="96" customWidth="1"/>
    <col min="2053" max="2053" width="13.7109375" style="96" bestFit="1" customWidth="1"/>
    <col min="2054" max="2056" width="12.140625" style="96" customWidth="1"/>
    <col min="2057" max="2057" width="14.140625" style="96" bestFit="1" customWidth="1"/>
    <col min="2058" max="2058" width="12.140625" style="96" customWidth="1"/>
    <col min="2059" max="2302" width="9.140625" style="96"/>
    <col min="2303" max="2308" width="12.140625" style="96" customWidth="1"/>
    <col min="2309" max="2309" width="13.7109375" style="96" bestFit="1" customWidth="1"/>
    <col min="2310" max="2312" width="12.140625" style="96" customWidth="1"/>
    <col min="2313" max="2313" width="14.140625" style="96" bestFit="1" customWidth="1"/>
    <col min="2314" max="2314" width="12.140625" style="96" customWidth="1"/>
    <col min="2315" max="2558" width="9.140625" style="96"/>
    <col min="2559" max="2564" width="12.140625" style="96" customWidth="1"/>
    <col min="2565" max="2565" width="13.7109375" style="96" bestFit="1" customWidth="1"/>
    <col min="2566" max="2568" width="12.140625" style="96" customWidth="1"/>
    <col min="2569" max="2569" width="14.140625" style="96" bestFit="1" customWidth="1"/>
    <col min="2570" max="2570" width="12.140625" style="96" customWidth="1"/>
    <col min="2571" max="2814" width="9.140625" style="96"/>
    <col min="2815" max="2820" width="12.140625" style="96" customWidth="1"/>
    <col min="2821" max="2821" width="13.7109375" style="96" bestFit="1" customWidth="1"/>
    <col min="2822" max="2824" width="12.140625" style="96" customWidth="1"/>
    <col min="2825" max="2825" width="14.140625" style="96" bestFit="1" customWidth="1"/>
    <col min="2826" max="2826" width="12.140625" style="96" customWidth="1"/>
    <col min="2827" max="3070" width="9.140625" style="96"/>
    <col min="3071" max="3076" width="12.140625" style="96" customWidth="1"/>
    <col min="3077" max="3077" width="13.7109375" style="96" bestFit="1" customWidth="1"/>
    <col min="3078" max="3080" width="12.140625" style="96" customWidth="1"/>
    <col min="3081" max="3081" width="14.140625" style="96" bestFit="1" customWidth="1"/>
    <col min="3082" max="3082" width="12.140625" style="96" customWidth="1"/>
    <col min="3083" max="3326" width="9.140625" style="96"/>
    <col min="3327" max="3332" width="12.140625" style="96" customWidth="1"/>
    <col min="3333" max="3333" width="13.7109375" style="96" bestFit="1" customWidth="1"/>
    <col min="3334" max="3336" width="12.140625" style="96" customWidth="1"/>
    <col min="3337" max="3337" width="14.140625" style="96" bestFit="1" customWidth="1"/>
    <col min="3338" max="3338" width="12.140625" style="96" customWidth="1"/>
    <col min="3339" max="3582" width="9.140625" style="96"/>
    <col min="3583" max="3588" width="12.140625" style="96" customWidth="1"/>
    <col min="3589" max="3589" width="13.7109375" style="96" bestFit="1" customWidth="1"/>
    <col min="3590" max="3592" width="12.140625" style="96" customWidth="1"/>
    <col min="3593" max="3593" width="14.140625" style="96" bestFit="1" customWidth="1"/>
    <col min="3594" max="3594" width="12.140625" style="96" customWidth="1"/>
    <col min="3595" max="3838" width="9.140625" style="96"/>
    <col min="3839" max="3844" width="12.140625" style="96" customWidth="1"/>
    <col min="3845" max="3845" width="13.7109375" style="96" bestFit="1" customWidth="1"/>
    <col min="3846" max="3848" width="12.140625" style="96" customWidth="1"/>
    <col min="3849" max="3849" width="14.140625" style="96" bestFit="1" customWidth="1"/>
    <col min="3850" max="3850" width="12.140625" style="96" customWidth="1"/>
    <col min="3851" max="4094" width="9.140625" style="96"/>
    <col min="4095" max="4100" width="12.140625" style="96" customWidth="1"/>
    <col min="4101" max="4101" width="13.7109375" style="96" bestFit="1" customWidth="1"/>
    <col min="4102" max="4104" width="12.140625" style="96" customWidth="1"/>
    <col min="4105" max="4105" width="14.140625" style="96" bestFit="1" customWidth="1"/>
    <col min="4106" max="4106" width="12.140625" style="96" customWidth="1"/>
    <col min="4107" max="4350" width="9.140625" style="96"/>
    <col min="4351" max="4356" width="12.140625" style="96" customWidth="1"/>
    <col min="4357" max="4357" width="13.7109375" style="96" bestFit="1" customWidth="1"/>
    <col min="4358" max="4360" width="12.140625" style="96" customWidth="1"/>
    <col min="4361" max="4361" width="14.140625" style="96" bestFit="1" customWidth="1"/>
    <col min="4362" max="4362" width="12.140625" style="96" customWidth="1"/>
    <col min="4363" max="4606" width="9.140625" style="96"/>
    <col min="4607" max="4612" width="12.140625" style="96" customWidth="1"/>
    <col min="4613" max="4613" width="13.7109375" style="96" bestFit="1" customWidth="1"/>
    <col min="4614" max="4616" width="12.140625" style="96" customWidth="1"/>
    <col min="4617" max="4617" width="14.140625" style="96" bestFit="1" customWidth="1"/>
    <col min="4618" max="4618" width="12.140625" style="96" customWidth="1"/>
    <col min="4619" max="4862" width="9.140625" style="96"/>
    <col min="4863" max="4868" width="12.140625" style="96" customWidth="1"/>
    <col min="4869" max="4869" width="13.7109375" style="96" bestFit="1" customWidth="1"/>
    <col min="4870" max="4872" width="12.140625" style="96" customWidth="1"/>
    <col min="4873" max="4873" width="14.140625" style="96" bestFit="1" customWidth="1"/>
    <col min="4874" max="4874" width="12.140625" style="96" customWidth="1"/>
    <col min="4875" max="5118" width="9.140625" style="96"/>
    <col min="5119" max="5124" width="12.140625" style="96" customWidth="1"/>
    <col min="5125" max="5125" width="13.7109375" style="96" bestFit="1" customWidth="1"/>
    <col min="5126" max="5128" width="12.140625" style="96" customWidth="1"/>
    <col min="5129" max="5129" width="14.140625" style="96" bestFit="1" customWidth="1"/>
    <col min="5130" max="5130" width="12.140625" style="96" customWidth="1"/>
    <col min="5131" max="5374" width="9.140625" style="96"/>
    <col min="5375" max="5380" width="12.140625" style="96" customWidth="1"/>
    <col min="5381" max="5381" width="13.7109375" style="96" bestFit="1" customWidth="1"/>
    <col min="5382" max="5384" width="12.140625" style="96" customWidth="1"/>
    <col min="5385" max="5385" width="14.140625" style="96" bestFit="1" customWidth="1"/>
    <col min="5386" max="5386" width="12.140625" style="96" customWidth="1"/>
    <col min="5387" max="5630" width="9.140625" style="96"/>
    <col min="5631" max="5636" width="12.140625" style="96" customWidth="1"/>
    <col min="5637" max="5637" width="13.7109375" style="96" bestFit="1" customWidth="1"/>
    <col min="5638" max="5640" width="12.140625" style="96" customWidth="1"/>
    <col min="5641" max="5641" width="14.140625" style="96" bestFit="1" customWidth="1"/>
    <col min="5642" max="5642" width="12.140625" style="96" customWidth="1"/>
    <col min="5643" max="5886" width="9.140625" style="96"/>
    <col min="5887" max="5892" width="12.140625" style="96" customWidth="1"/>
    <col min="5893" max="5893" width="13.7109375" style="96" bestFit="1" customWidth="1"/>
    <col min="5894" max="5896" width="12.140625" style="96" customWidth="1"/>
    <col min="5897" max="5897" width="14.140625" style="96" bestFit="1" customWidth="1"/>
    <col min="5898" max="5898" width="12.140625" style="96" customWidth="1"/>
    <col min="5899" max="6142" width="9.140625" style="96"/>
    <col min="6143" max="6148" width="12.140625" style="96" customWidth="1"/>
    <col min="6149" max="6149" width="13.7109375" style="96" bestFit="1" customWidth="1"/>
    <col min="6150" max="6152" width="12.140625" style="96" customWidth="1"/>
    <col min="6153" max="6153" width="14.140625" style="96" bestFit="1" customWidth="1"/>
    <col min="6154" max="6154" width="12.140625" style="96" customWidth="1"/>
    <col min="6155" max="6398" width="9.140625" style="96"/>
    <col min="6399" max="6404" width="12.140625" style="96" customWidth="1"/>
    <col min="6405" max="6405" width="13.7109375" style="96" bestFit="1" customWidth="1"/>
    <col min="6406" max="6408" width="12.140625" style="96" customWidth="1"/>
    <col min="6409" max="6409" width="14.140625" style="96" bestFit="1" customWidth="1"/>
    <col min="6410" max="6410" width="12.140625" style="96" customWidth="1"/>
    <col min="6411" max="6654" width="9.140625" style="96"/>
    <col min="6655" max="6660" width="12.140625" style="96" customWidth="1"/>
    <col min="6661" max="6661" width="13.7109375" style="96" bestFit="1" customWidth="1"/>
    <col min="6662" max="6664" width="12.140625" style="96" customWidth="1"/>
    <col min="6665" max="6665" width="14.140625" style="96" bestFit="1" customWidth="1"/>
    <col min="6666" max="6666" width="12.140625" style="96" customWidth="1"/>
    <col min="6667" max="6910" width="9.140625" style="96"/>
    <col min="6911" max="6916" width="12.140625" style="96" customWidth="1"/>
    <col min="6917" max="6917" width="13.7109375" style="96" bestFit="1" customWidth="1"/>
    <col min="6918" max="6920" width="12.140625" style="96" customWidth="1"/>
    <col min="6921" max="6921" width="14.140625" style="96" bestFit="1" customWidth="1"/>
    <col min="6922" max="6922" width="12.140625" style="96" customWidth="1"/>
    <col min="6923" max="7166" width="9.140625" style="96"/>
    <col min="7167" max="7172" width="12.140625" style="96" customWidth="1"/>
    <col min="7173" max="7173" width="13.7109375" style="96" bestFit="1" customWidth="1"/>
    <col min="7174" max="7176" width="12.140625" style="96" customWidth="1"/>
    <col min="7177" max="7177" width="14.140625" style="96" bestFit="1" customWidth="1"/>
    <col min="7178" max="7178" width="12.140625" style="96" customWidth="1"/>
    <col min="7179" max="7422" width="9.140625" style="96"/>
    <col min="7423" max="7428" width="12.140625" style="96" customWidth="1"/>
    <col min="7429" max="7429" width="13.7109375" style="96" bestFit="1" customWidth="1"/>
    <col min="7430" max="7432" width="12.140625" style="96" customWidth="1"/>
    <col min="7433" max="7433" width="14.140625" style="96" bestFit="1" customWidth="1"/>
    <col min="7434" max="7434" width="12.140625" style="96" customWidth="1"/>
    <col min="7435" max="7678" width="9.140625" style="96"/>
    <col min="7679" max="7684" width="12.140625" style="96" customWidth="1"/>
    <col min="7685" max="7685" width="13.7109375" style="96" bestFit="1" customWidth="1"/>
    <col min="7686" max="7688" width="12.140625" style="96" customWidth="1"/>
    <col min="7689" max="7689" width="14.140625" style="96" bestFit="1" customWidth="1"/>
    <col min="7690" max="7690" width="12.140625" style="96" customWidth="1"/>
    <col min="7691" max="7934" width="9.140625" style="96"/>
    <col min="7935" max="7940" width="12.140625" style="96" customWidth="1"/>
    <col min="7941" max="7941" width="13.7109375" style="96" bestFit="1" customWidth="1"/>
    <col min="7942" max="7944" width="12.140625" style="96" customWidth="1"/>
    <col min="7945" max="7945" width="14.140625" style="96" bestFit="1" customWidth="1"/>
    <col min="7946" max="7946" width="12.140625" style="96" customWidth="1"/>
    <col min="7947" max="8190" width="9.140625" style="96"/>
    <col min="8191" max="8196" width="12.140625" style="96" customWidth="1"/>
    <col min="8197" max="8197" width="13.7109375" style="96" bestFit="1" customWidth="1"/>
    <col min="8198" max="8200" width="12.140625" style="96" customWidth="1"/>
    <col min="8201" max="8201" width="14.140625" style="96" bestFit="1" customWidth="1"/>
    <col min="8202" max="8202" width="12.140625" style="96" customWidth="1"/>
    <col min="8203" max="8446" width="9.140625" style="96"/>
    <col min="8447" max="8452" width="12.140625" style="96" customWidth="1"/>
    <col min="8453" max="8453" width="13.7109375" style="96" bestFit="1" customWidth="1"/>
    <col min="8454" max="8456" width="12.140625" style="96" customWidth="1"/>
    <col min="8457" max="8457" width="14.140625" style="96" bestFit="1" customWidth="1"/>
    <col min="8458" max="8458" width="12.140625" style="96" customWidth="1"/>
    <col min="8459" max="8702" width="9.140625" style="96"/>
    <col min="8703" max="8708" width="12.140625" style="96" customWidth="1"/>
    <col min="8709" max="8709" width="13.7109375" style="96" bestFit="1" customWidth="1"/>
    <col min="8710" max="8712" width="12.140625" style="96" customWidth="1"/>
    <col min="8713" max="8713" width="14.140625" style="96" bestFit="1" customWidth="1"/>
    <col min="8714" max="8714" width="12.140625" style="96" customWidth="1"/>
    <col min="8715" max="8958" width="9.140625" style="96"/>
    <col min="8959" max="8964" width="12.140625" style="96" customWidth="1"/>
    <col min="8965" max="8965" width="13.7109375" style="96" bestFit="1" customWidth="1"/>
    <col min="8966" max="8968" width="12.140625" style="96" customWidth="1"/>
    <col min="8969" max="8969" width="14.140625" style="96" bestFit="1" customWidth="1"/>
    <col min="8970" max="8970" width="12.140625" style="96" customWidth="1"/>
    <col min="8971" max="9214" width="9.140625" style="96"/>
    <col min="9215" max="9220" width="12.140625" style="96" customWidth="1"/>
    <col min="9221" max="9221" width="13.7109375" style="96" bestFit="1" customWidth="1"/>
    <col min="9222" max="9224" width="12.140625" style="96" customWidth="1"/>
    <col min="9225" max="9225" width="14.140625" style="96" bestFit="1" customWidth="1"/>
    <col min="9226" max="9226" width="12.140625" style="96" customWidth="1"/>
    <col min="9227" max="9470" width="9.140625" style="96"/>
    <col min="9471" max="9476" width="12.140625" style="96" customWidth="1"/>
    <col min="9477" max="9477" width="13.7109375" style="96" bestFit="1" customWidth="1"/>
    <col min="9478" max="9480" width="12.140625" style="96" customWidth="1"/>
    <col min="9481" max="9481" width="14.140625" style="96" bestFit="1" customWidth="1"/>
    <col min="9482" max="9482" width="12.140625" style="96" customWidth="1"/>
    <col min="9483" max="9726" width="9.140625" style="96"/>
    <col min="9727" max="9732" width="12.140625" style="96" customWidth="1"/>
    <col min="9733" max="9733" width="13.7109375" style="96" bestFit="1" customWidth="1"/>
    <col min="9734" max="9736" width="12.140625" style="96" customWidth="1"/>
    <col min="9737" max="9737" width="14.140625" style="96" bestFit="1" customWidth="1"/>
    <col min="9738" max="9738" width="12.140625" style="96" customWidth="1"/>
    <col min="9739" max="9982" width="9.140625" style="96"/>
    <col min="9983" max="9988" width="12.140625" style="96" customWidth="1"/>
    <col min="9989" max="9989" width="13.7109375" style="96" bestFit="1" customWidth="1"/>
    <col min="9990" max="9992" width="12.140625" style="96" customWidth="1"/>
    <col min="9993" max="9993" width="14.140625" style="96" bestFit="1" customWidth="1"/>
    <col min="9994" max="9994" width="12.140625" style="96" customWidth="1"/>
    <col min="9995" max="10238" width="9.140625" style="96"/>
    <col min="10239" max="10244" width="12.140625" style="96" customWidth="1"/>
    <col min="10245" max="10245" width="13.7109375" style="96" bestFit="1" customWidth="1"/>
    <col min="10246" max="10248" width="12.140625" style="96" customWidth="1"/>
    <col min="10249" max="10249" width="14.140625" style="96" bestFit="1" customWidth="1"/>
    <col min="10250" max="10250" width="12.140625" style="96" customWidth="1"/>
    <col min="10251" max="10494" width="9.140625" style="96"/>
    <col min="10495" max="10500" width="12.140625" style="96" customWidth="1"/>
    <col min="10501" max="10501" width="13.7109375" style="96" bestFit="1" customWidth="1"/>
    <col min="10502" max="10504" width="12.140625" style="96" customWidth="1"/>
    <col min="10505" max="10505" width="14.140625" style="96" bestFit="1" customWidth="1"/>
    <col min="10506" max="10506" width="12.140625" style="96" customWidth="1"/>
    <col min="10507" max="10750" width="9.140625" style="96"/>
    <col min="10751" max="10756" width="12.140625" style="96" customWidth="1"/>
    <col min="10757" max="10757" width="13.7109375" style="96" bestFit="1" customWidth="1"/>
    <col min="10758" max="10760" width="12.140625" style="96" customWidth="1"/>
    <col min="10761" max="10761" width="14.140625" style="96" bestFit="1" customWidth="1"/>
    <col min="10762" max="10762" width="12.140625" style="96" customWidth="1"/>
    <col min="10763" max="11006" width="9.140625" style="96"/>
    <col min="11007" max="11012" width="12.140625" style="96" customWidth="1"/>
    <col min="11013" max="11013" width="13.7109375" style="96" bestFit="1" customWidth="1"/>
    <col min="11014" max="11016" width="12.140625" style="96" customWidth="1"/>
    <col min="11017" max="11017" width="14.140625" style="96" bestFit="1" customWidth="1"/>
    <col min="11018" max="11018" width="12.140625" style="96" customWidth="1"/>
    <col min="11019" max="11262" width="9.140625" style="96"/>
    <col min="11263" max="11268" width="12.140625" style="96" customWidth="1"/>
    <col min="11269" max="11269" width="13.7109375" style="96" bestFit="1" customWidth="1"/>
    <col min="11270" max="11272" width="12.140625" style="96" customWidth="1"/>
    <col min="11273" max="11273" width="14.140625" style="96" bestFit="1" customWidth="1"/>
    <col min="11274" max="11274" width="12.140625" style="96" customWidth="1"/>
    <col min="11275" max="11518" width="9.140625" style="96"/>
    <col min="11519" max="11524" width="12.140625" style="96" customWidth="1"/>
    <col min="11525" max="11525" width="13.7109375" style="96" bestFit="1" customWidth="1"/>
    <col min="11526" max="11528" width="12.140625" style="96" customWidth="1"/>
    <col min="11529" max="11529" width="14.140625" style="96" bestFit="1" customWidth="1"/>
    <col min="11530" max="11530" width="12.140625" style="96" customWidth="1"/>
    <col min="11531" max="11774" width="9.140625" style="96"/>
    <col min="11775" max="11780" width="12.140625" style="96" customWidth="1"/>
    <col min="11781" max="11781" width="13.7109375" style="96" bestFit="1" customWidth="1"/>
    <col min="11782" max="11784" width="12.140625" style="96" customWidth="1"/>
    <col min="11785" max="11785" width="14.140625" style="96" bestFit="1" customWidth="1"/>
    <col min="11786" max="11786" width="12.140625" style="96" customWidth="1"/>
    <col min="11787" max="12030" width="9.140625" style="96"/>
    <col min="12031" max="12036" width="12.140625" style="96" customWidth="1"/>
    <col min="12037" max="12037" width="13.7109375" style="96" bestFit="1" customWidth="1"/>
    <col min="12038" max="12040" width="12.140625" style="96" customWidth="1"/>
    <col min="12041" max="12041" width="14.140625" style="96" bestFit="1" customWidth="1"/>
    <col min="12042" max="12042" width="12.140625" style="96" customWidth="1"/>
    <col min="12043" max="12286" width="9.140625" style="96"/>
    <col min="12287" max="12292" width="12.140625" style="96" customWidth="1"/>
    <col min="12293" max="12293" width="13.7109375" style="96" bestFit="1" customWidth="1"/>
    <col min="12294" max="12296" width="12.140625" style="96" customWidth="1"/>
    <col min="12297" max="12297" width="14.140625" style="96" bestFit="1" customWidth="1"/>
    <col min="12298" max="12298" width="12.140625" style="96" customWidth="1"/>
    <col min="12299" max="12542" width="9.140625" style="96"/>
    <col min="12543" max="12548" width="12.140625" style="96" customWidth="1"/>
    <col min="12549" max="12549" width="13.7109375" style="96" bestFit="1" customWidth="1"/>
    <col min="12550" max="12552" width="12.140625" style="96" customWidth="1"/>
    <col min="12553" max="12553" width="14.140625" style="96" bestFit="1" customWidth="1"/>
    <col min="12554" max="12554" width="12.140625" style="96" customWidth="1"/>
    <col min="12555" max="12798" width="9.140625" style="96"/>
    <col min="12799" max="12804" width="12.140625" style="96" customWidth="1"/>
    <col min="12805" max="12805" width="13.7109375" style="96" bestFit="1" customWidth="1"/>
    <col min="12806" max="12808" width="12.140625" style="96" customWidth="1"/>
    <col min="12809" max="12809" width="14.140625" style="96" bestFit="1" customWidth="1"/>
    <col min="12810" max="12810" width="12.140625" style="96" customWidth="1"/>
    <col min="12811" max="13054" width="9.140625" style="96"/>
    <col min="13055" max="13060" width="12.140625" style="96" customWidth="1"/>
    <col min="13061" max="13061" width="13.7109375" style="96" bestFit="1" customWidth="1"/>
    <col min="13062" max="13064" width="12.140625" style="96" customWidth="1"/>
    <col min="13065" max="13065" width="14.140625" style="96" bestFit="1" customWidth="1"/>
    <col min="13066" max="13066" width="12.140625" style="96" customWidth="1"/>
    <col min="13067" max="13310" width="9.140625" style="96"/>
    <col min="13311" max="13316" width="12.140625" style="96" customWidth="1"/>
    <col min="13317" max="13317" width="13.7109375" style="96" bestFit="1" customWidth="1"/>
    <col min="13318" max="13320" width="12.140625" style="96" customWidth="1"/>
    <col min="13321" max="13321" width="14.140625" style="96" bestFit="1" customWidth="1"/>
    <col min="13322" max="13322" width="12.140625" style="96" customWidth="1"/>
    <col min="13323" max="13566" width="9.140625" style="96"/>
    <col min="13567" max="13572" width="12.140625" style="96" customWidth="1"/>
    <col min="13573" max="13573" width="13.7109375" style="96" bestFit="1" customWidth="1"/>
    <col min="13574" max="13576" width="12.140625" style="96" customWidth="1"/>
    <col min="13577" max="13577" width="14.140625" style="96" bestFit="1" customWidth="1"/>
    <col min="13578" max="13578" width="12.140625" style="96" customWidth="1"/>
    <col min="13579" max="13822" width="9.140625" style="96"/>
    <col min="13823" max="13828" width="12.140625" style="96" customWidth="1"/>
    <col min="13829" max="13829" width="13.7109375" style="96" bestFit="1" customWidth="1"/>
    <col min="13830" max="13832" width="12.140625" style="96" customWidth="1"/>
    <col min="13833" max="13833" width="14.140625" style="96" bestFit="1" customWidth="1"/>
    <col min="13834" max="13834" width="12.140625" style="96" customWidth="1"/>
    <col min="13835" max="14078" width="9.140625" style="96"/>
    <col min="14079" max="14084" width="12.140625" style="96" customWidth="1"/>
    <col min="14085" max="14085" width="13.7109375" style="96" bestFit="1" customWidth="1"/>
    <col min="14086" max="14088" width="12.140625" style="96" customWidth="1"/>
    <col min="14089" max="14089" width="14.140625" style="96" bestFit="1" customWidth="1"/>
    <col min="14090" max="14090" width="12.140625" style="96" customWidth="1"/>
    <col min="14091" max="14334" width="9.140625" style="96"/>
    <col min="14335" max="14340" width="12.140625" style="96" customWidth="1"/>
    <col min="14341" max="14341" width="13.7109375" style="96" bestFit="1" customWidth="1"/>
    <col min="14342" max="14344" width="12.140625" style="96" customWidth="1"/>
    <col min="14345" max="14345" width="14.140625" style="96" bestFit="1" customWidth="1"/>
    <col min="14346" max="14346" width="12.140625" style="96" customWidth="1"/>
    <col min="14347" max="14590" width="9.140625" style="96"/>
    <col min="14591" max="14596" width="12.140625" style="96" customWidth="1"/>
    <col min="14597" max="14597" width="13.7109375" style="96" bestFit="1" customWidth="1"/>
    <col min="14598" max="14600" width="12.140625" style="96" customWidth="1"/>
    <col min="14601" max="14601" width="14.140625" style="96" bestFit="1" customWidth="1"/>
    <col min="14602" max="14602" width="12.140625" style="96" customWidth="1"/>
    <col min="14603" max="14846" width="9.140625" style="96"/>
    <col min="14847" max="14852" width="12.140625" style="96" customWidth="1"/>
    <col min="14853" max="14853" width="13.7109375" style="96" bestFit="1" customWidth="1"/>
    <col min="14854" max="14856" width="12.140625" style="96" customWidth="1"/>
    <col min="14857" max="14857" width="14.140625" style="96" bestFit="1" customWidth="1"/>
    <col min="14858" max="14858" width="12.140625" style="96" customWidth="1"/>
    <col min="14859" max="15102" width="9.140625" style="96"/>
    <col min="15103" max="15108" width="12.140625" style="96" customWidth="1"/>
    <col min="15109" max="15109" width="13.7109375" style="96" bestFit="1" customWidth="1"/>
    <col min="15110" max="15112" width="12.140625" style="96" customWidth="1"/>
    <col min="15113" max="15113" width="14.140625" style="96" bestFit="1" customWidth="1"/>
    <col min="15114" max="15114" width="12.140625" style="96" customWidth="1"/>
    <col min="15115" max="15358" width="9.140625" style="96"/>
    <col min="15359" max="15364" width="12.140625" style="96" customWidth="1"/>
    <col min="15365" max="15365" width="13.7109375" style="96" bestFit="1" customWidth="1"/>
    <col min="15366" max="15368" width="12.140625" style="96" customWidth="1"/>
    <col min="15369" max="15369" width="14.140625" style="96" bestFit="1" customWidth="1"/>
    <col min="15370" max="15370" width="12.140625" style="96" customWidth="1"/>
    <col min="15371" max="15614" width="9.140625" style="96"/>
    <col min="15615" max="15620" width="12.140625" style="96" customWidth="1"/>
    <col min="15621" max="15621" width="13.7109375" style="96" bestFit="1" customWidth="1"/>
    <col min="15622" max="15624" width="12.140625" style="96" customWidth="1"/>
    <col min="15625" max="15625" width="14.140625" style="96" bestFit="1" customWidth="1"/>
    <col min="15626" max="15626" width="12.140625" style="96" customWidth="1"/>
    <col min="15627" max="15870" width="9.140625" style="96"/>
    <col min="15871" max="15876" width="12.140625" style="96" customWidth="1"/>
    <col min="15877" max="15877" width="13.7109375" style="96" bestFit="1" customWidth="1"/>
    <col min="15878" max="15880" width="12.140625" style="96" customWidth="1"/>
    <col min="15881" max="15881" width="14.140625" style="96" bestFit="1" customWidth="1"/>
    <col min="15882" max="15882" width="12.140625" style="96" customWidth="1"/>
    <col min="15883" max="16126" width="9.140625" style="96"/>
    <col min="16127" max="16132" width="12.140625" style="96" customWidth="1"/>
    <col min="16133" max="16133" width="13.7109375" style="96" bestFit="1" customWidth="1"/>
    <col min="16134" max="16136" width="12.140625" style="96" customWidth="1"/>
    <col min="16137" max="16137" width="14.140625" style="96" bestFit="1" customWidth="1"/>
    <col min="16138" max="16138" width="12.140625" style="96" customWidth="1"/>
    <col min="16139" max="16384" width="9.140625" style="96"/>
  </cols>
  <sheetData>
    <row r="1" spans="1:17" x14ac:dyDescent="0.2">
      <c r="A1" s="99" t="s">
        <v>124</v>
      </c>
      <c r="B1" s="99" t="s">
        <v>131</v>
      </c>
      <c r="C1" s="99" t="s">
        <v>132</v>
      </c>
      <c r="D1" s="99" t="s">
        <v>133</v>
      </c>
      <c r="E1" s="99" t="s">
        <v>130</v>
      </c>
      <c r="F1" s="99" t="s">
        <v>125</v>
      </c>
      <c r="G1" s="99" t="s">
        <v>129</v>
      </c>
      <c r="H1" s="99" t="s">
        <v>126</v>
      </c>
      <c r="I1" s="99" t="s">
        <v>127</v>
      </c>
      <c r="J1" s="99" t="s">
        <v>128</v>
      </c>
    </row>
    <row r="2" spans="1:17" x14ac:dyDescent="0.2">
      <c r="A2" s="98">
        <v>1987</v>
      </c>
      <c r="B2" s="98">
        <v>100</v>
      </c>
      <c r="C2" s="100">
        <v>47000000</v>
      </c>
      <c r="D2" s="98">
        <v>35000</v>
      </c>
      <c r="E2" s="98">
        <v>12</v>
      </c>
      <c r="F2" s="98">
        <v>0</v>
      </c>
      <c r="G2" s="98">
        <v>0</v>
      </c>
      <c r="H2" s="98">
        <v>0</v>
      </c>
      <c r="I2" s="98">
        <v>0</v>
      </c>
      <c r="J2" s="98">
        <v>100</v>
      </c>
      <c r="P2" s="96" t="s">
        <v>124</v>
      </c>
      <c r="Q2" s="96" t="s">
        <v>124</v>
      </c>
    </row>
    <row r="3" spans="1:17" x14ac:dyDescent="0.2">
      <c r="A3" s="98">
        <v>1988</v>
      </c>
      <c r="B3" s="98">
        <v>131</v>
      </c>
      <c r="C3" s="100">
        <v>43000000</v>
      </c>
      <c r="D3" s="98">
        <v>37000</v>
      </c>
      <c r="E3" s="98">
        <v>8</v>
      </c>
      <c r="F3" s="98">
        <v>0</v>
      </c>
      <c r="G3" s="98">
        <v>0</v>
      </c>
      <c r="H3" s="98">
        <v>0</v>
      </c>
      <c r="I3" s="98">
        <v>1</v>
      </c>
      <c r="J3" s="98">
        <v>50</v>
      </c>
      <c r="P3" s="96" t="s">
        <v>131</v>
      </c>
      <c r="Q3" s="96" t="s">
        <v>136</v>
      </c>
    </row>
    <row r="4" spans="1:17" x14ac:dyDescent="0.2">
      <c r="A4" s="98">
        <v>1989</v>
      </c>
      <c r="B4" s="98">
        <v>123</v>
      </c>
      <c r="C4" s="100">
        <v>49000000</v>
      </c>
      <c r="D4" s="98">
        <v>39000</v>
      </c>
      <c r="E4" s="98">
        <v>8</v>
      </c>
      <c r="F4" s="98">
        <v>0</v>
      </c>
      <c r="G4" s="98">
        <v>0</v>
      </c>
      <c r="H4" s="98">
        <v>1</v>
      </c>
      <c r="I4" s="98">
        <v>0</v>
      </c>
      <c r="J4" s="98">
        <v>50</v>
      </c>
      <c r="P4" s="96" t="s">
        <v>132</v>
      </c>
      <c r="Q4" s="96" t="s">
        <v>137</v>
      </c>
    </row>
    <row r="5" spans="1:17" x14ac:dyDescent="0.2">
      <c r="A5" s="98">
        <v>1987</v>
      </c>
      <c r="B5" s="98">
        <v>12</v>
      </c>
      <c r="C5" s="100">
        <v>1560000</v>
      </c>
      <c r="D5" s="98">
        <v>10500</v>
      </c>
      <c r="E5" s="98">
        <v>12</v>
      </c>
      <c r="F5" s="98">
        <v>0</v>
      </c>
      <c r="G5" s="98">
        <v>0</v>
      </c>
      <c r="H5" s="98">
        <v>0</v>
      </c>
      <c r="I5" s="98">
        <v>0</v>
      </c>
      <c r="J5" s="98">
        <v>12</v>
      </c>
      <c r="P5" s="96" t="s">
        <v>133</v>
      </c>
      <c r="Q5" s="96" t="s">
        <v>138</v>
      </c>
    </row>
    <row r="6" spans="1:17" x14ac:dyDescent="0.2">
      <c r="A6" s="98">
        <v>1988</v>
      </c>
      <c r="B6" s="98">
        <v>13</v>
      </c>
      <c r="C6" s="100">
        <v>1970000</v>
      </c>
      <c r="D6" s="98">
        <v>11000</v>
      </c>
      <c r="E6" s="98">
        <v>12</v>
      </c>
      <c r="F6" s="98">
        <v>0</v>
      </c>
      <c r="G6" s="98">
        <v>0</v>
      </c>
      <c r="H6" s="98">
        <v>0</v>
      </c>
      <c r="I6" s="98">
        <v>1</v>
      </c>
      <c r="J6" s="98">
        <v>13</v>
      </c>
      <c r="P6" s="96" t="s">
        <v>130</v>
      </c>
      <c r="Q6" s="96" t="s">
        <v>139</v>
      </c>
    </row>
    <row r="7" spans="1:17" x14ac:dyDescent="0.2">
      <c r="A7" s="98">
        <v>1989</v>
      </c>
      <c r="B7" s="98">
        <v>14</v>
      </c>
      <c r="C7" s="100">
        <v>2350000</v>
      </c>
      <c r="D7" s="98">
        <v>11500</v>
      </c>
      <c r="E7" s="98">
        <v>10</v>
      </c>
      <c r="F7" s="98">
        <v>0</v>
      </c>
      <c r="G7" s="98">
        <v>0</v>
      </c>
      <c r="H7" s="98">
        <v>1</v>
      </c>
      <c r="I7" s="98">
        <v>0</v>
      </c>
      <c r="J7" s="98">
        <v>14</v>
      </c>
      <c r="P7" s="96" t="s">
        <v>125</v>
      </c>
      <c r="Q7" s="96" t="s">
        <v>140</v>
      </c>
    </row>
    <row r="8" spans="1:17" x14ac:dyDescent="0.2">
      <c r="A8" s="98">
        <v>1987</v>
      </c>
      <c r="B8" s="98">
        <v>20</v>
      </c>
      <c r="C8" s="100">
        <v>750000</v>
      </c>
      <c r="D8" s="98">
        <v>17680</v>
      </c>
      <c r="E8" s="98">
        <v>50</v>
      </c>
      <c r="F8" s="98">
        <v>0</v>
      </c>
      <c r="G8" s="98">
        <v>0</v>
      </c>
      <c r="H8" s="98">
        <v>0</v>
      </c>
      <c r="I8" s="98">
        <v>0</v>
      </c>
      <c r="J8" s="98">
        <v>15</v>
      </c>
      <c r="P8" s="96" t="s">
        <v>129</v>
      </c>
      <c r="Q8" s="96" t="s">
        <v>141</v>
      </c>
    </row>
    <row r="9" spans="1:17" x14ac:dyDescent="0.2">
      <c r="A9" s="98">
        <v>1988</v>
      </c>
      <c r="B9" s="98">
        <v>25</v>
      </c>
      <c r="C9" s="100">
        <v>110000</v>
      </c>
      <c r="D9" s="98">
        <v>18720</v>
      </c>
      <c r="E9" s="98">
        <v>50</v>
      </c>
      <c r="F9" s="98">
        <v>0</v>
      </c>
      <c r="G9" s="98">
        <v>0</v>
      </c>
      <c r="H9" s="98">
        <v>0</v>
      </c>
      <c r="I9" s="98">
        <v>1</v>
      </c>
      <c r="J9" s="98">
        <v>10</v>
      </c>
      <c r="P9" s="96" t="s">
        <v>126</v>
      </c>
      <c r="Q9" s="96" t="s">
        <v>142</v>
      </c>
    </row>
    <row r="10" spans="1:17" x14ac:dyDescent="0.2">
      <c r="A10" s="98">
        <v>1989</v>
      </c>
      <c r="B10" s="98">
        <v>24</v>
      </c>
      <c r="C10" s="100">
        <v>950000</v>
      </c>
      <c r="D10" s="98">
        <v>19760</v>
      </c>
      <c r="E10" s="98">
        <v>50</v>
      </c>
      <c r="F10" s="98">
        <v>0</v>
      </c>
      <c r="G10" s="98">
        <v>0</v>
      </c>
      <c r="H10" s="98">
        <v>1</v>
      </c>
      <c r="I10" s="98">
        <v>0</v>
      </c>
      <c r="J10" s="98">
        <v>20</v>
      </c>
      <c r="P10" s="96" t="s">
        <v>127</v>
      </c>
      <c r="Q10" s="96" t="s">
        <v>143</v>
      </c>
    </row>
    <row r="11" spans="1:17" x14ac:dyDescent="0.2">
      <c r="A11" s="98">
        <v>1987</v>
      </c>
      <c r="B11" s="98">
        <v>200</v>
      </c>
      <c r="C11" s="100">
        <v>23700000</v>
      </c>
      <c r="D11" s="98">
        <v>13729</v>
      </c>
      <c r="E11" s="98">
        <v>0</v>
      </c>
      <c r="F11" s="98">
        <v>0</v>
      </c>
      <c r="G11" s="98">
        <v>0</v>
      </c>
      <c r="H11" s="98">
        <v>0</v>
      </c>
      <c r="I11" s="98">
        <v>0</v>
      </c>
      <c r="J11" s="98">
        <v>0</v>
      </c>
      <c r="P11" s="96" t="s">
        <v>128</v>
      </c>
      <c r="Q11" s="96" t="s">
        <v>144</v>
      </c>
    </row>
    <row r="12" spans="1:17" x14ac:dyDescent="0.2">
      <c r="A12" s="98">
        <v>1988</v>
      </c>
      <c r="B12" s="98">
        <v>155</v>
      </c>
      <c r="C12" s="100">
        <v>19700000</v>
      </c>
      <c r="D12" s="98">
        <v>14287</v>
      </c>
      <c r="E12" s="98">
        <v>0</v>
      </c>
      <c r="F12" s="98">
        <v>0</v>
      </c>
      <c r="G12" s="98">
        <v>0</v>
      </c>
      <c r="H12" s="98">
        <v>0</v>
      </c>
      <c r="I12" s="98">
        <v>1</v>
      </c>
      <c r="J12" s="98">
        <v>0</v>
      </c>
    </row>
    <row r="13" spans="1:17" x14ac:dyDescent="0.2">
      <c r="A13" s="98">
        <v>1989</v>
      </c>
      <c r="B13" s="98">
        <v>80</v>
      </c>
      <c r="C13" s="100">
        <v>26000000</v>
      </c>
      <c r="D13" s="98">
        <v>15758</v>
      </c>
      <c r="E13" s="98">
        <v>24</v>
      </c>
      <c r="F13" s="98">
        <v>0</v>
      </c>
      <c r="G13" s="98">
        <v>0</v>
      </c>
      <c r="H13" s="98">
        <v>1</v>
      </c>
      <c r="I13" s="98">
        <v>0</v>
      </c>
      <c r="J13" s="98">
        <v>20</v>
      </c>
    </row>
    <row r="14" spans="1:17" x14ac:dyDescent="0.2">
      <c r="A14" s="98">
        <v>1987</v>
      </c>
      <c r="B14" s="98" t="s">
        <v>145</v>
      </c>
      <c r="C14" s="100">
        <v>6000000</v>
      </c>
      <c r="D14" s="98" t="s">
        <v>145</v>
      </c>
      <c r="E14" s="98">
        <v>0</v>
      </c>
      <c r="F14" s="98">
        <v>0</v>
      </c>
      <c r="G14" s="98">
        <v>0</v>
      </c>
      <c r="H14" s="98">
        <v>0</v>
      </c>
      <c r="I14" s="98">
        <v>0</v>
      </c>
      <c r="J14" s="98">
        <v>10</v>
      </c>
    </row>
    <row r="15" spans="1:17" x14ac:dyDescent="0.2">
      <c r="A15" s="98">
        <v>1988</v>
      </c>
      <c r="B15" s="98" t="s">
        <v>145</v>
      </c>
      <c r="C15" s="100">
        <v>8000000</v>
      </c>
      <c r="D15" s="98" t="s">
        <v>145</v>
      </c>
      <c r="E15" s="98">
        <v>0</v>
      </c>
      <c r="F15" s="98">
        <v>0</v>
      </c>
      <c r="G15" s="98">
        <v>0</v>
      </c>
      <c r="H15" s="98">
        <v>0</v>
      </c>
      <c r="I15" s="98">
        <v>1</v>
      </c>
      <c r="J15" s="98">
        <v>20</v>
      </c>
    </row>
    <row r="16" spans="1:17" x14ac:dyDescent="0.2">
      <c r="A16" s="98">
        <v>1989</v>
      </c>
      <c r="B16" s="98" t="s">
        <v>145</v>
      </c>
      <c r="C16" s="100">
        <v>10000000</v>
      </c>
      <c r="D16" s="98" t="s">
        <v>145</v>
      </c>
      <c r="E16" s="98">
        <v>0</v>
      </c>
      <c r="F16" s="98">
        <v>0</v>
      </c>
      <c r="G16" s="98">
        <v>0</v>
      </c>
      <c r="H16" s="98">
        <v>1</v>
      </c>
      <c r="I16" s="98">
        <v>0</v>
      </c>
      <c r="J16" s="98">
        <v>25</v>
      </c>
    </row>
    <row r="17" spans="1:10" x14ac:dyDescent="0.2">
      <c r="A17" s="98">
        <v>1987</v>
      </c>
      <c r="B17" s="98" t="s">
        <v>145</v>
      </c>
      <c r="C17" s="100" t="s">
        <v>145</v>
      </c>
      <c r="D17" s="98" t="s">
        <v>145</v>
      </c>
      <c r="E17" s="98">
        <v>0</v>
      </c>
      <c r="F17" s="98">
        <v>0</v>
      </c>
      <c r="G17" s="98">
        <v>0</v>
      </c>
      <c r="H17" s="98">
        <v>0</v>
      </c>
      <c r="I17" s="98">
        <v>0</v>
      </c>
      <c r="J17" s="98">
        <v>0</v>
      </c>
    </row>
    <row r="18" spans="1:10" x14ac:dyDescent="0.2">
      <c r="A18" s="98">
        <v>1988</v>
      </c>
      <c r="B18" s="98" t="s">
        <v>145</v>
      </c>
      <c r="C18" s="100">
        <v>2800000</v>
      </c>
      <c r="D18" s="98">
        <v>18000</v>
      </c>
      <c r="E18" s="98">
        <v>0</v>
      </c>
      <c r="F18" s="98">
        <v>0</v>
      </c>
      <c r="G18" s="98">
        <v>0</v>
      </c>
      <c r="H18" s="98">
        <v>0</v>
      </c>
      <c r="I18" s="98">
        <v>1</v>
      </c>
      <c r="J18" s="98">
        <v>0</v>
      </c>
    </row>
    <row r="19" spans="1:10" x14ac:dyDescent="0.2">
      <c r="A19" s="98">
        <v>1989</v>
      </c>
      <c r="B19" s="98">
        <v>20</v>
      </c>
      <c r="C19" s="100">
        <v>3400000</v>
      </c>
      <c r="D19" s="98">
        <v>18500</v>
      </c>
      <c r="E19" s="98">
        <v>0</v>
      </c>
      <c r="F19" s="98">
        <v>0</v>
      </c>
      <c r="G19" s="98">
        <v>0</v>
      </c>
      <c r="H19" s="98">
        <v>1</v>
      </c>
      <c r="I19" s="98">
        <v>0</v>
      </c>
      <c r="J19" s="98">
        <v>0</v>
      </c>
    </row>
    <row r="20" spans="1:10" x14ac:dyDescent="0.2">
      <c r="A20" s="98">
        <v>1987</v>
      </c>
      <c r="B20" s="98">
        <v>15</v>
      </c>
      <c r="C20" s="100">
        <v>1413900</v>
      </c>
      <c r="D20" s="98">
        <v>18465</v>
      </c>
      <c r="E20" s="98">
        <v>0</v>
      </c>
      <c r="F20" s="98">
        <v>0</v>
      </c>
      <c r="G20" s="98">
        <v>0</v>
      </c>
      <c r="H20" s="98">
        <v>0</v>
      </c>
      <c r="I20" s="98">
        <v>0</v>
      </c>
      <c r="J20" s="98">
        <v>0</v>
      </c>
    </row>
    <row r="21" spans="1:10" x14ac:dyDescent="0.2">
      <c r="A21" s="98">
        <v>1988</v>
      </c>
      <c r="B21" s="98">
        <v>16</v>
      </c>
      <c r="C21" s="100">
        <v>1869348</v>
      </c>
      <c r="D21" s="98">
        <v>18972</v>
      </c>
      <c r="E21" s="98">
        <v>0</v>
      </c>
      <c r="F21" s="98">
        <v>0</v>
      </c>
      <c r="G21" s="98">
        <v>0</v>
      </c>
      <c r="H21" s="98">
        <v>0</v>
      </c>
      <c r="I21" s="98">
        <v>1</v>
      </c>
      <c r="J21" s="98">
        <v>0</v>
      </c>
    </row>
    <row r="22" spans="1:10" x14ac:dyDescent="0.2">
      <c r="A22" s="98">
        <v>1989</v>
      </c>
      <c r="B22" s="98">
        <v>16</v>
      </c>
      <c r="C22" s="100">
        <v>1857765</v>
      </c>
      <c r="D22" s="98">
        <v>19589</v>
      </c>
      <c r="E22" s="98">
        <v>20</v>
      </c>
      <c r="F22" s="98">
        <v>0</v>
      </c>
      <c r="G22" s="98">
        <v>0</v>
      </c>
      <c r="H22" s="98">
        <v>1</v>
      </c>
      <c r="I22" s="98">
        <v>0</v>
      </c>
      <c r="J22" s="98">
        <v>16</v>
      </c>
    </row>
    <row r="23" spans="1:10" x14ac:dyDescent="0.2">
      <c r="A23" s="98">
        <v>1987</v>
      </c>
      <c r="B23" s="98">
        <v>24</v>
      </c>
      <c r="C23" s="100" t="s">
        <v>145</v>
      </c>
      <c r="D23" s="98">
        <v>13000</v>
      </c>
      <c r="E23" s="98">
        <v>0</v>
      </c>
      <c r="F23" s="98">
        <v>1</v>
      </c>
      <c r="G23" s="98">
        <v>0</v>
      </c>
      <c r="H23" s="98">
        <v>0</v>
      </c>
      <c r="I23" s="98">
        <v>0</v>
      </c>
      <c r="J23" s="98">
        <v>0</v>
      </c>
    </row>
    <row r="24" spans="1:10" x14ac:dyDescent="0.2">
      <c r="A24" s="98">
        <v>1988</v>
      </c>
      <c r="B24" s="98">
        <v>20</v>
      </c>
      <c r="C24" s="100" t="s">
        <v>145</v>
      </c>
      <c r="D24" s="98">
        <v>12168</v>
      </c>
      <c r="E24" s="98">
        <v>0</v>
      </c>
      <c r="F24" s="98">
        <v>1</v>
      </c>
      <c r="G24" s="98">
        <v>0</v>
      </c>
      <c r="H24" s="98">
        <v>0</v>
      </c>
      <c r="I24" s="98">
        <v>1</v>
      </c>
      <c r="J24" s="98">
        <v>0</v>
      </c>
    </row>
    <row r="25" spans="1:10" x14ac:dyDescent="0.2">
      <c r="A25" s="98">
        <v>1989</v>
      </c>
      <c r="B25" s="98">
        <v>18</v>
      </c>
      <c r="C25" s="100" t="s">
        <v>145</v>
      </c>
      <c r="D25" s="98">
        <v>11960</v>
      </c>
      <c r="E25" s="98">
        <v>0</v>
      </c>
      <c r="F25" s="98">
        <v>1</v>
      </c>
      <c r="G25" s="98">
        <v>0</v>
      </c>
      <c r="H25" s="98">
        <v>1</v>
      </c>
      <c r="I25" s="98">
        <v>0</v>
      </c>
      <c r="J25" s="98">
        <v>0</v>
      </c>
    </row>
    <row r="26" spans="1:10" x14ac:dyDescent="0.2">
      <c r="A26" s="98">
        <v>1987</v>
      </c>
      <c r="B26" s="98">
        <v>48</v>
      </c>
      <c r="C26" s="100">
        <v>2160900</v>
      </c>
      <c r="D26" s="98">
        <v>14352</v>
      </c>
      <c r="E26" s="98">
        <v>14</v>
      </c>
      <c r="F26" s="98">
        <v>0</v>
      </c>
      <c r="G26" s="98">
        <v>0</v>
      </c>
      <c r="H26" s="98">
        <v>0</v>
      </c>
      <c r="I26" s="98">
        <v>0</v>
      </c>
      <c r="J26" s="98">
        <v>3</v>
      </c>
    </row>
    <row r="27" spans="1:10" x14ac:dyDescent="0.2">
      <c r="A27" s="98">
        <v>1988</v>
      </c>
      <c r="B27" s="98">
        <v>47</v>
      </c>
      <c r="C27" s="100">
        <v>2454500</v>
      </c>
      <c r="D27" s="98">
        <v>16328</v>
      </c>
      <c r="E27" s="98">
        <v>14</v>
      </c>
      <c r="F27" s="98">
        <v>0</v>
      </c>
      <c r="G27" s="98">
        <v>0</v>
      </c>
      <c r="H27" s="98">
        <v>0</v>
      </c>
      <c r="I27" s="98">
        <v>1</v>
      </c>
      <c r="J27" s="98">
        <v>3</v>
      </c>
    </row>
    <row r="28" spans="1:10" x14ac:dyDescent="0.2">
      <c r="A28" s="98">
        <v>1989</v>
      </c>
      <c r="B28" s="98">
        <v>66</v>
      </c>
      <c r="C28" s="100">
        <v>3359800</v>
      </c>
      <c r="D28" s="98">
        <v>17555</v>
      </c>
      <c r="E28" s="98">
        <v>14</v>
      </c>
      <c r="F28" s="98">
        <v>0</v>
      </c>
      <c r="G28" s="98">
        <v>0</v>
      </c>
      <c r="H28" s="98">
        <v>1</v>
      </c>
      <c r="I28" s="98">
        <v>0</v>
      </c>
      <c r="J28" s="98">
        <v>4</v>
      </c>
    </row>
    <row r="29" spans="1:10" x14ac:dyDescent="0.2">
      <c r="A29" s="98">
        <v>1987</v>
      </c>
      <c r="B29" s="98">
        <v>17</v>
      </c>
      <c r="C29" s="100">
        <v>1453081</v>
      </c>
      <c r="D29" s="98">
        <v>16454</v>
      </c>
      <c r="E29" s="98">
        <v>150</v>
      </c>
      <c r="F29" s="98">
        <v>0</v>
      </c>
      <c r="G29" s="98">
        <v>0</v>
      </c>
      <c r="H29" s="98">
        <v>0</v>
      </c>
      <c r="I29" s="98">
        <v>0</v>
      </c>
      <c r="J29" s="98">
        <v>5</v>
      </c>
    </row>
    <row r="30" spans="1:10" x14ac:dyDescent="0.2">
      <c r="A30" s="98">
        <v>1988</v>
      </c>
      <c r="B30" s="98">
        <v>16</v>
      </c>
      <c r="C30" s="100">
        <v>1546911</v>
      </c>
      <c r="D30" s="98">
        <v>18529</v>
      </c>
      <c r="E30" s="98">
        <v>100</v>
      </c>
      <c r="F30" s="98">
        <v>0</v>
      </c>
      <c r="G30" s="98">
        <v>0</v>
      </c>
      <c r="H30" s="98">
        <v>0</v>
      </c>
      <c r="I30" s="98">
        <v>1</v>
      </c>
      <c r="J30" s="98">
        <v>3</v>
      </c>
    </row>
    <row r="31" spans="1:10" x14ac:dyDescent="0.2">
      <c r="A31" s="98">
        <v>1989</v>
      </c>
      <c r="B31" s="98">
        <v>14</v>
      </c>
      <c r="C31" s="100">
        <v>1672366</v>
      </c>
      <c r="D31" s="98">
        <v>26428</v>
      </c>
      <c r="E31" s="98">
        <v>0</v>
      </c>
      <c r="F31" s="98">
        <v>0</v>
      </c>
      <c r="G31" s="98">
        <v>0</v>
      </c>
      <c r="H31" s="98">
        <v>1</v>
      </c>
      <c r="I31" s="98">
        <v>0</v>
      </c>
      <c r="J31" s="98">
        <v>0</v>
      </c>
    </row>
    <row r="32" spans="1:10" x14ac:dyDescent="0.2">
      <c r="A32" s="98">
        <v>1987</v>
      </c>
      <c r="B32" s="98">
        <v>70</v>
      </c>
      <c r="C32" s="100">
        <v>8000000</v>
      </c>
      <c r="D32" s="98">
        <v>19760</v>
      </c>
      <c r="E32" s="98">
        <v>40</v>
      </c>
      <c r="F32" s="98">
        <v>0</v>
      </c>
      <c r="G32" s="98">
        <v>0</v>
      </c>
      <c r="H32" s="98">
        <v>0</v>
      </c>
      <c r="I32" s="98">
        <v>0</v>
      </c>
      <c r="J32" s="98">
        <v>35</v>
      </c>
    </row>
    <row r="33" spans="1:10" x14ac:dyDescent="0.2">
      <c r="A33" s="98">
        <v>1988</v>
      </c>
      <c r="B33" s="98">
        <v>85</v>
      </c>
      <c r="C33" s="100">
        <v>11000000</v>
      </c>
      <c r="D33" s="98">
        <v>22360</v>
      </c>
      <c r="E33" s="98">
        <v>40</v>
      </c>
      <c r="F33" s="98">
        <v>0</v>
      </c>
      <c r="G33" s="98">
        <v>0</v>
      </c>
      <c r="H33" s="98">
        <v>0</v>
      </c>
      <c r="I33" s="98">
        <v>1</v>
      </c>
      <c r="J33" s="98">
        <v>40</v>
      </c>
    </row>
    <row r="34" spans="1:10" x14ac:dyDescent="0.2">
      <c r="A34" s="98">
        <v>1989</v>
      </c>
      <c r="B34" s="98">
        <v>98</v>
      </c>
      <c r="C34" s="100">
        <v>15000000</v>
      </c>
      <c r="D34" s="98">
        <v>23920</v>
      </c>
      <c r="E34" s="98">
        <v>60</v>
      </c>
      <c r="F34" s="98">
        <v>0</v>
      </c>
      <c r="G34" s="98">
        <v>0</v>
      </c>
      <c r="H34" s="98">
        <v>1</v>
      </c>
      <c r="I34" s="98">
        <v>0</v>
      </c>
      <c r="J34" s="98">
        <v>40</v>
      </c>
    </row>
    <row r="35" spans="1:10" x14ac:dyDescent="0.2">
      <c r="A35" s="98">
        <v>1987</v>
      </c>
      <c r="B35" s="98">
        <v>45</v>
      </c>
      <c r="C35" s="100">
        <v>1535242</v>
      </c>
      <c r="D35" s="98">
        <v>20000</v>
      </c>
      <c r="E35" s="98">
        <v>0</v>
      </c>
      <c r="F35" s="98">
        <v>0</v>
      </c>
      <c r="G35" s="98">
        <v>0</v>
      </c>
      <c r="H35" s="98">
        <v>0</v>
      </c>
      <c r="I35" s="98">
        <v>0</v>
      </c>
      <c r="J35" s="98">
        <v>0</v>
      </c>
    </row>
    <row r="36" spans="1:10" x14ac:dyDescent="0.2">
      <c r="A36" s="98">
        <v>1988</v>
      </c>
      <c r="B36" s="98">
        <v>47</v>
      </c>
      <c r="C36" s="100">
        <v>3209188</v>
      </c>
      <c r="D36" s="98">
        <v>22000</v>
      </c>
      <c r="E36" s="98">
        <v>0</v>
      </c>
      <c r="F36" s="98">
        <v>0</v>
      </c>
      <c r="G36" s="98">
        <v>0</v>
      </c>
      <c r="H36" s="98">
        <v>0</v>
      </c>
      <c r="I36" s="98">
        <v>1</v>
      </c>
      <c r="J36" s="98">
        <v>0</v>
      </c>
    </row>
    <row r="37" spans="1:10" x14ac:dyDescent="0.2">
      <c r="A37" s="98">
        <v>1989</v>
      </c>
      <c r="B37" s="98">
        <v>51</v>
      </c>
      <c r="C37" s="100">
        <v>4030352</v>
      </c>
      <c r="D37" s="98">
        <v>23650</v>
      </c>
      <c r="E37" s="98">
        <v>2</v>
      </c>
      <c r="F37" s="98">
        <v>0</v>
      </c>
      <c r="G37" s="98">
        <v>0</v>
      </c>
      <c r="H37" s="98">
        <v>1</v>
      </c>
      <c r="I37" s="98">
        <v>0</v>
      </c>
      <c r="J37" s="98">
        <v>2</v>
      </c>
    </row>
    <row r="38" spans="1:10" x14ac:dyDescent="0.2">
      <c r="A38" s="98">
        <v>1987</v>
      </c>
      <c r="B38" s="98">
        <v>200</v>
      </c>
      <c r="C38" s="100">
        <v>10000000</v>
      </c>
      <c r="D38" s="98">
        <v>17500</v>
      </c>
      <c r="E38" s="98">
        <v>0</v>
      </c>
      <c r="F38" s="98">
        <v>1</v>
      </c>
      <c r="G38" s="98">
        <v>0</v>
      </c>
      <c r="H38" s="98">
        <v>0</v>
      </c>
      <c r="I38" s="98">
        <v>0</v>
      </c>
      <c r="J38" s="98">
        <v>0</v>
      </c>
    </row>
    <row r="39" spans="1:10" x14ac:dyDescent="0.2">
      <c r="A39" s="98">
        <v>1988</v>
      </c>
      <c r="B39" s="98">
        <v>200</v>
      </c>
      <c r="C39" s="100">
        <v>10000000</v>
      </c>
      <c r="D39" s="98">
        <v>18700</v>
      </c>
      <c r="E39" s="98">
        <v>20</v>
      </c>
      <c r="F39" s="98">
        <v>1</v>
      </c>
      <c r="G39" s="98">
        <v>0</v>
      </c>
      <c r="H39" s="98">
        <v>0</v>
      </c>
      <c r="I39" s="98">
        <v>1</v>
      </c>
      <c r="J39" s="98">
        <v>6</v>
      </c>
    </row>
    <row r="40" spans="1:10" x14ac:dyDescent="0.2">
      <c r="A40" s="98">
        <v>1989</v>
      </c>
      <c r="B40" s="98">
        <v>190</v>
      </c>
      <c r="C40" s="100">
        <v>9000000</v>
      </c>
      <c r="D40" s="98">
        <v>18300</v>
      </c>
      <c r="E40" s="98">
        <v>20</v>
      </c>
      <c r="F40" s="98">
        <v>1</v>
      </c>
      <c r="G40" s="98">
        <v>0</v>
      </c>
      <c r="H40" s="98">
        <v>1</v>
      </c>
      <c r="I40" s="98">
        <v>0</v>
      </c>
      <c r="J40" s="98">
        <v>10</v>
      </c>
    </row>
    <row r="41" spans="1:10" x14ac:dyDescent="0.2">
      <c r="A41" s="98">
        <v>1987</v>
      </c>
      <c r="B41" s="98">
        <v>14</v>
      </c>
      <c r="C41" s="100">
        <v>1600000</v>
      </c>
      <c r="D41" s="98">
        <v>11500</v>
      </c>
      <c r="E41" s="98">
        <v>68</v>
      </c>
      <c r="F41" s="98">
        <v>0</v>
      </c>
      <c r="G41" s="98">
        <v>0</v>
      </c>
      <c r="H41" s="98">
        <v>0</v>
      </c>
      <c r="I41" s="98">
        <v>0</v>
      </c>
      <c r="J41" s="98">
        <v>3</v>
      </c>
    </row>
    <row r="42" spans="1:10" x14ac:dyDescent="0.2">
      <c r="A42" s="98">
        <v>1988</v>
      </c>
      <c r="B42" s="98">
        <v>12</v>
      </c>
      <c r="C42" s="100">
        <v>900000</v>
      </c>
      <c r="D42" s="98">
        <v>13000</v>
      </c>
      <c r="E42" s="98">
        <v>75</v>
      </c>
      <c r="F42" s="98">
        <v>0</v>
      </c>
      <c r="G42" s="98">
        <v>0</v>
      </c>
      <c r="H42" s="98">
        <v>0</v>
      </c>
      <c r="I42" s="98">
        <v>1</v>
      </c>
      <c r="J42" s="98">
        <v>5</v>
      </c>
    </row>
    <row r="43" spans="1:10" x14ac:dyDescent="0.2">
      <c r="A43" s="98">
        <v>1989</v>
      </c>
      <c r="B43" s="98">
        <v>16</v>
      </c>
      <c r="C43" s="100">
        <v>1300000</v>
      </c>
      <c r="D43" s="98">
        <v>14700</v>
      </c>
      <c r="E43" s="98">
        <v>35</v>
      </c>
      <c r="F43" s="98">
        <v>0</v>
      </c>
      <c r="G43" s="98">
        <v>0</v>
      </c>
      <c r="H43" s="98">
        <v>1</v>
      </c>
      <c r="I43" s="98">
        <v>0</v>
      </c>
      <c r="J43" s="98">
        <v>9</v>
      </c>
    </row>
    <row r="44" spans="1:10" x14ac:dyDescent="0.2">
      <c r="A44" s="98">
        <v>1987</v>
      </c>
      <c r="B44" s="98">
        <v>10</v>
      </c>
      <c r="C44" s="100">
        <v>420664</v>
      </c>
      <c r="D44" s="98">
        <v>4237</v>
      </c>
      <c r="E44" s="98">
        <v>0</v>
      </c>
      <c r="F44" s="98">
        <v>0</v>
      </c>
      <c r="G44" s="98">
        <v>0</v>
      </c>
      <c r="H44" s="98">
        <v>0</v>
      </c>
      <c r="I44" s="98">
        <v>0</v>
      </c>
      <c r="J44" s="98">
        <v>0</v>
      </c>
    </row>
    <row r="45" spans="1:10" x14ac:dyDescent="0.2">
      <c r="A45" s="98">
        <v>1988</v>
      </c>
      <c r="B45" s="98">
        <v>11</v>
      </c>
      <c r="C45" s="100">
        <v>544602</v>
      </c>
      <c r="D45" s="98">
        <v>7484</v>
      </c>
      <c r="E45" s="98">
        <v>0</v>
      </c>
      <c r="F45" s="98">
        <v>0</v>
      </c>
      <c r="G45" s="98">
        <v>0</v>
      </c>
      <c r="H45" s="98">
        <v>0</v>
      </c>
      <c r="I45" s="98">
        <v>1</v>
      </c>
      <c r="J45" s="98">
        <v>0</v>
      </c>
    </row>
    <row r="46" spans="1:10" x14ac:dyDescent="0.2">
      <c r="A46" s="98">
        <v>1989</v>
      </c>
      <c r="B46" s="98">
        <v>9</v>
      </c>
      <c r="C46" s="100">
        <v>495331</v>
      </c>
      <c r="D46" s="98">
        <v>9548</v>
      </c>
      <c r="E46" s="98">
        <v>0</v>
      </c>
      <c r="F46" s="98">
        <v>0</v>
      </c>
      <c r="G46" s="98">
        <v>0</v>
      </c>
      <c r="H46" s="98">
        <v>1</v>
      </c>
      <c r="I46" s="98">
        <v>0</v>
      </c>
      <c r="J46" s="98">
        <v>0</v>
      </c>
    </row>
    <row r="47" spans="1:10" x14ac:dyDescent="0.2">
      <c r="A47" s="98">
        <v>1987</v>
      </c>
      <c r="B47" s="98">
        <v>15</v>
      </c>
      <c r="C47" s="100">
        <v>1502502</v>
      </c>
      <c r="D47" s="98">
        <v>11742</v>
      </c>
      <c r="E47" s="98">
        <v>12</v>
      </c>
      <c r="F47" s="98">
        <v>0</v>
      </c>
      <c r="G47" s="98">
        <v>0</v>
      </c>
      <c r="H47" s="98">
        <v>0</v>
      </c>
      <c r="I47" s="98">
        <v>0</v>
      </c>
      <c r="J47" s="98">
        <v>2</v>
      </c>
    </row>
    <row r="48" spans="1:10" x14ac:dyDescent="0.2">
      <c r="A48" s="98">
        <v>1988</v>
      </c>
      <c r="B48" s="98">
        <v>16</v>
      </c>
      <c r="C48" s="100">
        <v>1840912</v>
      </c>
      <c r="D48" s="98">
        <v>12740</v>
      </c>
      <c r="E48" s="98">
        <v>12</v>
      </c>
      <c r="F48" s="98">
        <v>0</v>
      </c>
      <c r="G48" s="98">
        <v>0</v>
      </c>
      <c r="H48" s="98">
        <v>0</v>
      </c>
      <c r="I48" s="98">
        <v>1</v>
      </c>
      <c r="J48" s="98">
        <v>2</v>
      </c>
    </row>
    <row r="49" spans="1:10" x14ac:dyDescent="0.2">
      <c r="A49" s="98">
        <v>1989</v>
      </c>
      <c r="B49" s="98">
        <v>18</v>
      </c>
      <c r="C49" s="100">
        <v>2273869</v>
      </c>
      <c r="D49" s="98">
        <v>13700</v>
      </c>
      <c r="E49" s="98">
        <v>8</v>
      </c>
      <c r="F49" s="98">
        <v>0</v>
      </c>
      <c r="G49" s="98">
        <v>0</v>
      </c>
      <c r="H49" s="98">
        <v>1</v>
      </c>
      <c r="I49" s="98">
        <v>0</v>
      </c>
      <c r="J49" s="98">
        <v>3</v>
      </c>
    </row>
    <row r="50" spans="1:10" x14ac:dyDescent="0.2">
      <c r="A50" s="98">
        <v>1987</v>
      </c>
      <c r="B50" s="98" t="s">
        <v>145</v>
      </c>
      <c r="C50" s="100" t="s">
        <v>145</v>
      </c>
      <c r="D50" s="98">
        <v>19760</v>
      </c>
      <c r="E50" s="98">
        <v>0</v>
      </c>
      <c r="F50" s="98">
        <v>1</v>
      </c>
      <c r="G50" s="98">
        <v>0</v>
      </c>
      <c r="H50" s="98">
        <v>0</v>
      </c>
      <c r="I50" s="98">
        <v>0</v>
      </c>
      <c r="J50" s="98">
        <v>0</v>
      </c>
    </row>
    <row r="51" spans="1:10" x14ac:dyDescent="0.2">
      <c r="A51" s="98">
        <v>1988</v>
      </c>
      <c r="B51" s="98" t="s">
        <v>145</v>
      </c>
      <c r="C51" s="100">
        <v>6276271</v>
      </c>
      <c r="D51" s="98">
        <v>20800</v>
      </c>
      <c r="E51" s="98">
        <v>0</v>
      </c>
      <c r="F51" s="98">
        <v>1</v>
      </c>
      <c r="G51" s="98">
        <v>0</v>
      </c>
      <c r="H51" s="98">
        <v>0</v>
      </c>
      <c r="I51" s="98">
        <v>1</v>
      </c>
      <c r="J51" s="98">
        <v>0</v>
      </c>
    </row>
    <row r="52" spans="1:10" x14ac:dyDescent="0.2">
      <c r="A52" s="98">
        <v>1989</v>
      </c>
      <c r="B52" s="98">
        <v>60</v>
      </c>
      <c r="C52" s="100">
        <v>5286605</v>
      </c>
      <c r="D52" s="98">
        <v>20800</v>
      </c>
      <c r="E52" s="98">
        <v>30</v>
      </c>
      <c r="F52" s="98">
        <v>1</v>
      </c>
      <c r="G52" s="98">
        <v>0</v>
      </c>
      <c r="H52" s="98">
        <v>1</v>
      </c>
      <c r="I52" s="98">
        <v>0</v>
      </c>
      <c r="J52" s="98">
        <v>50</v>
      </c>
    </row>
    <row r="53" spans="1:10" x14ac:dyDescent="0.2">
      <c r="A53" s="98">
        <v>1987</v>
      </c>
      <c r="B53" s="98">
        <v>50</v>
      </c>
      <c r="C53" s="100">
        <v>5200000</v>
      </c>
      <c r="D53" s="98">
        <v>20000</v>
      </c>
      <c r="E53" s="98">
        <v>0</v>
      </c>
      <c r="F53" s="98">
        <v>0</v>
      </c>
      <c r="G53" s="98">
        <v>0</v>
      </c>
      <c r="H53" s="98">
        <v>0</v>
      </c>
      <c r="I53" s="98">
        <v>0</v>
      </c>
      <c r="J53" s="98">
        <v>0</v>
      </c>
    </row>
    <row r="54" spans="1:10" x14ac:dyDescent="0.2">
      <c r="A54" s="98">
        <v>1988</v>
      </c>
      <c r="B54" s="98">
        <v>50</v>
      </c>
      <c r="C54" s="100">
        <v>6500000</v>
      </c>
      <c r="D54" s="98">
        <v>23000</v>
      </c>
      <c r="E54" s="98">
        <v>0</v>
      </c>
      <c r="F54" s="98">
        <v>0</v>
      </c>
      <c r="G54" s="98">
        <v>0</v>
      </c>
      <c r="H54" s="98">
        <v>0</v>
      </c>
      <c r="I54" s="98">
        <v>1</v>
      </c>
      <c r="J54" s="98">
        <v>0</v>
      </c>
    </row>
    <row r="55" spans="1:10" x14ac:dyDescent="0.2">
      <c r="A55" s="98">
        <v>1989</v>
      </c>
      <c r="B55" s="98">
        <v>55</v>
      </c>
      <c r="C55" s="100">
        <v>5600000</v>
      </c>
      <c r="D55" s="98">
        <v>25000</v>
      </c>
      <c r="E55" s="98">
        <v>0</v>
      </c>
      <c r="F55" s="98">
        <v>0</v>
      </c>
      <c r="G55" s="98">
        <v>0</v>
      </c>
      <c r="H55" s="98">
        <v>1</v>
      </c>
      <c r="I55" s="98">
        <v>0</v>
      </c>
      <c r="J55" s="98">
        <v>0</v>
      </c>
    </row>
    <row r="56" spans="1:10" x14ac:dyDescent="0.2">
      <c r="A56" s="98">
        <v>1987</v>
      </c>
      <c r="B56" s="98">
        <v>30</v>
      </c>
      <c r="C56" s="100" t="s">
        <v>145</v>
      </c>
      <c r="D56" s="98">
        <v>19760</v>
      </c>
      <c r="E56" s="98">
        <v>0</v>
      </c>
      <c r="F56" s="98">
        <v>0</v>
      </c>
      <c r="G56" s="98">
        <v>0</v>
      </c>
      <c r="H56" s="98">
        <v>0</v>
      </c>
      <c r="I56" s="98">
        <v>0</v>
      </c>
      <c r="J56" s="98">
        <v>0</v>
      </c>
    </row>
    <row r="57" spans="1:10" x14ac:dyDescent="0.2">
      <c r="A57" s="98">
        <v>1988</v>
      </c>
      <c r="B57" s="98">
        <v>32</v>
      </c>
      <c r="C57" s="100" t="s">
        <v>145</v>
      </c>
      <c r="D57" s="98">
        <v>20280</v>
      </c>
      <c r="E57" s="98">
        <v>10</v>
      </c>
      <c r="F57" s="98">
        <v>0</v>
      </c>
      <c r="G57" s="98">
        <v>0</v>
      </c>
      <c r="H57" s="98">
        <v>0</v>
      </c>
      <c r="I57" s="98">
        <v>1</v>
      </c>
      <c r="J57" s="98">
        <v>4</v>
      </c>
    </row>
    <row r="58" spans="1:10" x14ac:dyDescent="0.2">
      <c r="A58" s="98">
        <v>1989</v>
      </c>
      <c r="B58" s="98">
        <v>34</v>
      </c>
      <c r="C58" s="100" t="s">
        <v>145</v>
      </c>
      <c r="D58" s="98">
        <v>20800</v>
      </c>
      <c r="E58" s="98">
        <v>10</v>
      </c>
      <c r="F58" s="98">
        <v>0</v>
      </c>
      <c r="G58" s="98">
        <v>0</v>
      </c>
      <c r="H58" s="98">
        <v>1</v>
      </c>
      <c r="I58" s="98">
        <v>0</v>
      </c>
      <c r="J58" s="98">
        <v>6</v>
      </c>
    </row>
    <row r="59" spans="1:10" x14ac:dyDescent="0.2">
      <c r="A59" s="98">
        <v>1987</v>
      </c>
      <c r="B59" s="98">
        <v>153</v>
      </c>
      <c r="C59" s="100">
        <v>10000000</v>
      </c>
      <c r="D59" s="98">
        <v>12500</v>
      </c>
      <c r="E59" s="98">
        <v>8</v>
      </c>
      <c r="F59" s="98">
        <v>0</v>
      </c>
      <c r="G59" s="98">
        <v>0</v>
      </c>
      <c r="H59" s="98">
        <v>0</v>
      </c>
      <c r="I59" s="98">
        <v>0</v>
      </c>
      <c r="J59" s="98">
        <v>7</v>
      </c>
    </row>
    <row r="60" spans="1:10" x14ac:dyDescent="0.2">
      <c r="A60" s="98">
        <v>1988</v>
      </c>
      <c r="B60" s="98">
        <v>134</v>
      </c>
      <c r="C60" s="100">
        <v>11000000</v>
      </c>
      <c r="D60" s="98">
        <v>13000</v>
      </c>
      <c r="E60" s="98">
        <v>8</v>
      </c>
      <c r="F60" s="98">
        <v>0</v>
      </c>
      <c r="G60" s="98">
        <v>0</v>
      </c>
      <c r="H60" s="98">
        <v>0</v>
      </c>
      <c r="I60" s="98">
        <v>1</v>
      </c>
      <c r="J60" s="98">
        <v>6</v>
      </c>
    </row>
    <row r="61" spans="1:10" x14ac:dyDescent="0.2">
      <c r="A61" s="98">
        <v>1989</v>
      </c>
      <c r="B61" s="98">
        <v>146</v>
      </c>
      <c r="C61" s="100">
        <v>12000000</v>
      </c>
      <c r="D61" s="98">
        <v>13500</v>
      </c>
      <c r="E61" s="98">
        <v>40</v>
      </c>
      <c r="F61" s="98">
        <v>0</v>
      </c>
      <c r="G61" s="98">
        <v>0</v>
      </c>
      <c r="H61" s="98">
        <v>1</v>
      </c>
      <c r="I61" s="98">
        <v>0</v>
      </c>
      <c r="J61" s="98">
        <v>28</v>
      </c>
    </row>
    <row r="62" spans="1:10" x14ac:dyDescent="0.2">
      <c r="A62" s="98">
        <v>1987</v>
      </c>
      <c r="B62" s="98">
        <v>20</v>
      </c>
      <c r="C62" s="100">
        <v>2300000</v>
      </c>
      <c r="D62" s="98">
        <v>20000</v>
      </c>
      <c r="E62" s="98">
        <v>0</v>
      </c>
      <c r="F62" s="98">
        <v>0</v>
      </c>
      <c r="G62" s="98">
        <v>0</v>
      </c>
      <c r="H62" s="98">
        <v>0</v>
      </c>
      <c r="I62" s="98">
        <v>0</v>
      </c>
      <c r="J62" s="98">
        <v>0</v>
      </c>
    </row>
    <row r="63" spans="1:10" x14ac:dyDescent="0.2">
      <c r="A63" s="98">
        <v>1988</v>
      </c>
      <c r="B63" s="98">
        <v>23</v>
      </c>
      <c r="C63" s="100">
        <v>2500000</v>
      </c>
      <c r="D63" s="98">
        <v>23000</v>
      </c>
      <c r="E63" s="98">
        <v>0</v>
      </c>
      <c r="F63" s="98">
        <v>0</v>
      </c>
      <c r="G63" s="98">
        <v>0</v>
      </c>
      <c r="H63" s="98">
        <v>0</v>
      </c>
      <c r="I63" s="98">
        <v>1</v>
      </c>
      <c r="J63" s="98">
        <v>0</v>
      </c>
    </row>
    <row r="64" spans="1:10" x14ac:dyDescent="0.2">
      <c r="A64" s="98">
        <v>1989</v>
      </c>
      <c r="B64" s="98">
        <v>25</v>
      </c>
      <c r="C64" s="100">
        <v>3000000</v>
      </c>
      <c r="D64" s="98">
        <v>25000</v>
      </c>
      <c r="E64" s="98">
        <v>48</v>
      </c>
      <c r="F64" s="98">
        <v>0</v>
      </c>
      <c r="G64" s="98">
        <v>0</v>
      </c>
      <c r="H64" s="98">
        <v>1</v>
      </c>
      <c r="I64" s="98">
        <v>0</v>
      </c>
      <c r="J64" s="98">
        <v>1</v>
      </c>
    </row>
    <row r="65" spans="1:10" x14ac:dyDescent="0.2">
      <c r="A65" s="98">
        <v>1987</v>
      </c>
      <c r="B65" s="98" t="s">
        <v>145</v>
      </c>
      <c r="C65" s="100" t="s">
        <v>145</v>
      </c>
      <c r="D65" s="98" t="s">
        <v>145</v>
      </c>
      <c r="E65" s="98">
        <v>0</v>
      </c>
      <c r="F65" s="98">
        <v>0</v>
      </c>
      <c r="G65" s="98">
        <v>0</v>
      </c>
      <c r="H65" s="98">
        <v>0</v>
      </c>
      <c r="I65" s="98">
        <v>0</v>
      </c>
      <c r="J65" s="98">
        <v>0</v>
      </c>
    </row>
    <row r="66" spans="1:10" x14ac:dyDescent="0.2">
      <c r="A66" s="98">
        <v>1988</v>
      </c>
      <c r="B66" s="98" t="s">
        <v>145</v>
      </c>
      <c r="C66" s="100" t="s">
        <v>145</v>
      </c>
      <c r="D66" s="98" t="s">
        <v>145</v>
      </c>
      <c r="E66" s="98">
        <v>0</v>
      </c>
      <c r="F66" s="98">
        <v>0</v>
      </c>
      <c r="G66" s="98">
        <v>0</v>
      </c>
      <c r="H66" s="98">
        <v>0</v>
      </c>
      <c r="I66" s="98">
        <v>1</v>
      </c>
      <c r="J66" s="98">
        <v>0</v>
      </c>
    </row>
    <row r="67" spans="1:10" x14ac:dyDescent="0.2">
      <c r="A67" s="98">
        <v>1989</v>
      </c>
      <c r="B67" s="98">
        <v>131</v>
      </c>
      <c r="C67" s="100">
        <v>7588770</v>
      </c>
      <c r="D67" s="98">
        <v>16640</v>
      </c>
      <c r="E67" s="98">
        <v>0</v>
      </c>
      <c r="F67" s="98">
        <v>0</v>
      </c>
      <c r="G67" s="98">
        <v>0</v>
      </c>
      <c r="H67" s="98">
        <v>1</v>
      </c>
      <c r="I67" s="98">
        <v>0</v>
      </c>
      <c r="J67" s="98">
        <v>0</v>
      </c>
    </row>
    <row r="68" spans="1:10" x14ac:dyDescent="0.2">
      <c r="A68" s="98">
        <v>1987</v>
      </c>
      <c r="B68" s="98">
        <v>22</v>
      </c>
      <c r="C68" s="100">
        <v>725000</v>
      </c>
      <c r="D68" s="98">
        <v>9000</v>
      </c>
      <c r="E68" s="98">
        <v>0</v>
      </c>
      <c r="F68" s="98">
        <v>0</v>
      </c>
      <c r="G68" s="98">
        <v>0</v>
      </c>
      <c r="H68" s="98">
        <v>0</v>
      </c>
      <c r="I68" s="98">
        <v>0</v>
      </c>
      <c r="J68" s="98">
        <v>0</v>
      </c>
    </row>
    <row r="69" spans="1:10" x14ac:dyDescent="0.2">
      <c r="A69" s="98">
        <v>1988</v>
      </c>
      <c r="B69" s="98">
        <v>25</v>
      </c>
      <c r="C69" s="100">
        <v>785000</v>
      </c>
      <c r="D69" s="98">
        <v>9000</v>
      </c>
      <c r="E69" s="98">
        <v>0</v>
      </c>
      <c r="F69" s="98">
        <v>0</v>
      </c>
      <c r="G69" s="98">
        <v>0</v>
      </c>
      <c r="H69" s="98">
        <v>0</v>
      </c>
      <c r="I69" s="98">
        <v>1</v>
      </c>
      <c r="J69" s="98">
        <v>0</v>
      </c>
    </row>
    <row r="70" spans="1:10" x14ac:dyDescent="0.2">
      <c r="A70" s="98">
        <v>1989</v>
      </c>
      <c r="B70" s="98">
        <v>23</v>
      </c>
      <c r="C70" s="100">
        <v>785000</v>
      </c>
      <c r="D70" s="98">
        <v>10000</v>
      </c>
      <c r="E70" s="98">
        <v>0</v>
      </c>
      <c r="F70" s="98">
        <v>0</v>
      </c>
      <c r="G70" s="98">
        <v>0</v>
      </c>
      <c r="H70" s="98">
        <v>1</v>
      </c>
      <c r="I70" s="98">
        <v>0</v>
      </c>
      <c r="J70" s="98">
        <v>0</v>
      </c>
    </row>
    <row r="71" spans="1:10" x14ac:dyDescent="0.2">
      <c r="A71" s="98">
        <v>1987</v>
      </c>
      <c r="B71" s="98">
        <v>6</v>
      </c>
      <c r="C71" s="100">
        <v>501859</v>
      </c>
      <c r="D71" s="98" t="s">
        <v>145</v>
      </c>
      <c r="E71" s="98">
        <v>0</v>
      </c>
      <c r="F71" s="98">
        <v>0</v>
      </c>
      <c r="G71" s="98">
        <v>0</v>
      </c>
      <c r="H71" s="98">
        <v>0</v>
      </c>
      <c r="I71" s="98">
        <v>0</v>
      </c>
      <c r="J71" s="98">
        <v>0</v>
      </c>
    </row>
    <row r="72" spans="1:10" x14ac:dyDescent="0.2">
      <c r="A72" s="98">
        <v>1988</v>
      </c>
      <c r="B72" s="98">
        <v>6</v>
      </c>
      <c r="C72" s="100">
        <v>580415</v>
      </c>
      <c r="D72" s="98" t="s">
        <v>145</v>
      </c>
      <c r="E72" s="98">
        <v>0</v>
      </c>
      <c r="F72" s="98">
        <v>0</v>
      </c>
      <c r="G72" s="98">
        <v>0</v>
      </c>
      <c r="H72" s="98">
        <v>0</v>
      </c>
      <c r="I72" s="98">
        <v>1</v>
      </c>
      <c r="J72" s="98">
        <v>0</v>
      </c>
    </row>
    <row r="73" spans="1:10" x14ac:dyDescent="0.2">
      <c r="A73" s="98">
        <v>1989</v>
      </c>
      <c r="B73" s="98">
        <v>9</v>
      </c>
      <c r="C73" s="100">
        <v>735442</v>
      </c>
      <c r="D73" s="98" t="s">
        <v>145</v>
      </c>
      <c r="E73" s="98">
        <v>64</v>
      </c>
      <c r="F73" s="98">
        <v>0</v>
      </c>
      <c r="G73" s="98">
        <v>0</v>
      </c>
      <c r="H73" s="98">
        <v>1</v>
      </c>
      <c r="I73" s="98">
        <v>0</v>
      </c>
      <c r="J73" s="98">
        <v>1</v>
      </c>
    </row>
    <row r="74" spans="1:10" x14ac:dyDescent="0.2">
      <c r="A74" s="98">
        <v>1987</v>
      </c>
      <c r="B74" s="98">
        <v>15</v>
      </c>
      <c r="C74" s="100">
        <v>4000000</v>
      </c>
      <c r="D74" s="98">
        <v>32000</v>
      </c>
      <c r="E74" s="98">
        <v>10</v>
      </c>
      <c r="F74" s="98">
        <v>0</v>
      </c>
      <c r="G74" s="98">
        <v>0</v>
      </c>
      <c r="H74" s="98">
        <v>0</v>
      </c>
      <c r="I74" s="98">
        <v>0</v>
      </c>
      <c r="J74" s="98">
        <v>2</v>
      </c>
    </row>
    <row r="75" spans="1:10" x14ac:dyDescent="0.2">
      <c r="A75" s="98">
        <v>1988</v>
      </c>
      <c r="B75" s="98">
        <v>18</v>
      </c>
      <c r="C75" s="100">
        <v>5000000</v>
      </c>
      <c r="D75" s="98">
        <v>34000</v>
      </c>
      <c r="E75" s="98">
        <v>10</v>
      </c>
      <c r="F75" s="98">
        <v>0</v>
      </c>
      <c r="G75" s="98">
        <v>0</v>
      </c>
      <c r="H75" s="98">
        <v>0</v>
      </c>
      <c r="I75" s="98">
        <v>1</v>
      </c>
      <c r="J75" s="98">
        <v>2</v>
      </c>
    </row>
    <row r="76" spans="1:10" x14ac:dyDescent="0.2">
      <c r="A76" s="98">
        <v>1989</v>
      </c>
      <c r="B76" s="98">
        <v>19</v>
      </c>
      <c r="C76" s="100">
        <v>7000000</v>
      </c>
      <c r="D76" s="98">
        <v>38000</v>
      </c>
      <c r="E76" s="98">
        <v>25</v>
      </c>
      <c r="F76" s="98">
        <v>0</v>
      </c>
      <c r="G76" s="98">
        <v>0</v>
      </c>
      <c r="H76" s="98">
        <v>1</v>
      </c>
      <c r="I76" s="98">
        <v>0</v>
      </c>
      <c r="J76" s="98">
        <v>6</v>
      </c>
    </row>
    <row r="77" spans="1:10" x14ac:dyDescent="0.2">
      <c r="A77" s="98">
        <v>1987</v>
      </c>
      <c r="B77" s="98">
        <v>73</v>
      </c>
      <c r="C77" s="100">
        <v>5300000</v>
      </c>
      <c r="D77" s="98">
        <v>21500</v>
      </c>
      <c r="E77" s="98">
        <v>0</v>
      </c>
      <c r="F77" s="98">
        <v>1</v>
      </c>
      <c r="G77" s="98">
        <v>0</v>
      </c>
      <c r="H77" s="98">
        <v>0</v>
      </c>
      <c r="I77" s="98">
        <v>0</v>
      </c>
      <c r="J77" s="98">
        <v>0</v>
      </c>
    </row>
    <row r="78" spans="1:10" x14ac:dyDescent="0.2">
      <c r="A78" s="98">
        <v>1988</v>
      </c>
      <c r="B78" s="98">
        <v>76</v>
      </c>
      <c r="C78" s="100">
        <v>5800000</v>
      </c>
      <c r="D78" s="98">
        <v>22200</v>
      </c>
      <c r="E78" s="98">
        <v>0</v>
      </c>
      <c r="F78" s="98">
        <v>1</v>
      </c>
      <c r="G78" s="98">
        <v>0</v>
      </c>
      <c r="H78" s="98">
        <v>0</v>
      </c>
      <c r="I78" s="98">
        <v>1</v>
      </c>
      <c r="J78" s="98">
        <v>0</v>
      </c>
    </row>
    <row r="79" spans="1:10" x14ac:dyDescent="0.2">
      <c r="A79" s="98">
        <v>1989</v>
      </c>
      <c r="B79" s="98">
        <v>80</v>
      </c>
      <c r="C79" s="100">
        <v>6400000</v>
      </c>
      <c r="D79" s="98">
        <v>23000</v>
      </c>
      <c r="E79" s="98">
        <v>50</v>
      </c>
      <c r="F79" s="98">
        <v>1</v>
      </c>
      <c r="G79" s="98">
        <v>0</v>
      </c>
      <c r="H79" s="98">
        <v>1</v>
      </c>
      <c r="I79" s="98">
        <v>0</v>
      </c>
      <c r="J79" s="98">
        <v>8</v>
      </c>
    </row>
    <row r="80" spans="1:10" x14ac:dyDescent="0.2">
      <c r="A80" s="98">
        <v>1987</v>
      </c>
      <c r="B80" s="98">
        <v>160</v>
      </c>
      <c r="C80" s="100" t="s">
        <v>145</v>
      </c>
      <c r="D80" s="98">
        <v>20000</v>
      </c>
      <c r="E80" s="98">
        <v>20</v>
      </c>
      <c r="F80" s="98">
        <v>0</v>
      </c>
      <c r="G80" s="98">
        <v>0</v>
      </c>
      <c r="H80" s="98">
        <v>0</v>
      </c>
      <c r="I80" s="98">
        <v>0</v>
      </c>
      <c r="J80" s="98">
        <v>15</v>
      </c>
    </row>
    <row r="81" spans="1:10" x14ac:dyDescent="0.2">
      <c r="A81" s="98">
        <v>1988</v>
      </c>
      <c r="B81" s="98">
        <v>150</v>
      </c>
      <c r="C81" s="100" t="s">
        <v>145</v>
      </c>
      <c r="D81" s="98">
        <v>21000</v>
      </c>
      <c r="E81" s="98">
        <v>20</v>
      </c>
      <c r="F81" s="98">
        <v>0</v>
      </c>
      <c r="G81" s="98">
        <v>0</v>
      </c>
      <c r="H81" s="98">
        <v>0</v>
      </c>
      <c r="I81" s="98">
        <v>1</v>
      </c>
      <c r="J81" s="98">
        <v>20</v>
      </c>
    </row>
    <row r="82" spans="1:10" x14ac:dyDescent="0.2">
      <c r="A82" s="98">
        <v>1989</v>
      </c>
      <c r="B82" s="98">
        <v>150</v>
      </c>
      <c r="C82" s="100" t="s">
        <v>145</v>
      </c>
      <c r="D82" s="98">
        <v>22000</v>
      </c>
      <c r="E82" s="98">
        <v>25</v>
      </c>
      <c r="F82" s="98">
        <v>0</v>
      </c>
      <c r="G82" s="98">
        <v>0</v>
      </c>
      <c r="H82" s="98">
        <v>1</v>
      </c>
      <c r="I82" s="98">
        <v>0</v>
      </c>
      <c r="J82" s="98">
        <v>35</v>
      </c>
    </row>
    <row r="83" spans="1:10" x14ac:dyDescent="0.2">
      <c r="A83" s="98">
        <v>1987</v>
      </c>
      <c r="B83" s="98">
        <v>90</v>
      </c>
      <c r="C83" s="100" t="s">
        <v>145</v>
      </c>
      <c r="D83" s="98">
        <v>20620</v>
      </c>
      <c r="E83" s="98">
        <v>0</v>
      </c>
      <c r="F83" s="98">
        <v>1</v>
      </c>
      <c r="G83" s="98">
        <v>0</v>
      </c>
      <c r="H83" s="98">
        <v>0</v>
      </c>
      <c r="I83" s="98">
        <v>0</v>
      </c>
      <c r="J83" s="98">
        <v>0</v>
      </c>
    </row>
    <row r="84" spans="1:10" x14ac:dyDescent="0.2">
      <c r="A84" s="98">
        <v>1988</v>
      </c>
      <c r="B84" s="98">
        <v>112</v>
      </c>
      <c r="C84" s="100">
        <v>21800000</v>
      </c>
      <c r="D84" s="98">
        <v>20180</v>
      </c>
      <c r="E84" s="98">
        <v>0</v>
      </c>
      <c r="F84" s="98">
        <v>1</v>
      </c>
      <c r="G84" s="98">
        <v>0</v>
      </c>
      <c r="H84" s="98">
        <v>0</v>
      </c>
      <c r="I84" s="98">
        <v>1</v>
      </c>
      <c r="J84" s="98">
        <v>0</v>
      </c>
    </row>
    <row r="85" spans="1:10" x14ac:dyDescent="0.2">
      <c r="A85" s="98">
        <v>1989</v>
      </c>
      <c r="B85" s="98">
        <v>128</v>
      </c>
      <c r="C85" s="100">
        <v>25800000</v>
      </c>
      <c r="D85" s="98">
        <v>21500</v>
      </c>
      <c r="E85" s="98">
        <v>16</v>
      </c>
      <c r="F85" s="98">
        <v>1</v>
      </c>
      <c r="G85" s="98">
        <v>0</v>
      </c>
      <c r="H85" s="98">
        <v>1</v>
      </c>
      <c r="I85" s="98">
        <v>0</v>
      </c>
      <c r="J85" s="98">
        <v>128</v>
      </c>
    </row>
    <row r="86" spans="1:10" x14ac:dyDescent="0.2">
      <c r="A86" s="98">
        <v>1987</v>
      </c>
      <c r="B86" s="98">
        <v>14</v>
      </c>
      <c r="C86" s="100">
        <v>2101581</v>
      </c>
      <c r="D86" s="98">
        <v>14850</v>
      </c>
      <c r="E86" s="98">
        <v>8</v>
      </c>
      <c r="F86" s="98">
        <v>0</v>
      </c>
      <c r="G86" s="98">
        <v>0</v>
      </c>
      <c r="H86" s="98">
        <v>0</v>
      </c>
      <c r="I86" s="98">
        <v>0</v>
      </c>
      <c r="J86" s="98">
        <v>12</v>
      </c>
    </row>
    <row r="87" spans="1:10" x14ac:dyDescent="0.2">
      <c r="A87" s="98">
        <v>1988</v>
      </c>
      <c r="B87" s="98">
        <v>16</v>
      </c>
      <c r="C87" s="100">
        <v>2400723</v>
      </c>
      <c r="D87" s="98">
        <v>18100</v>
      </c>
      <c r="E87" s="98">
        <v>3</v>
      </c>
      <c r="F87" s="98">
        <v>0</v>
      </c>
      <c r="G87" s="98">
        <v>0</v>
      </c>
      <c r="H87" s="98">
        <v>0</v>
      </c>
      <c r="I87" s="98">
        <v>1</v>
      </c>
      <c r="J87" s="98">
        <v>10</v>
      </c>
    </row>
    <row r="88" spans="1:10" x14ac:dyDescent="0.2">
      <c r="A88" s="98">
        <v>1989</v>
      </c>
      <c r="B88" s="98">
        <v>13</v>
      </c>
      <c r="C88" s="100">
        <v>2470633</v>
      </c>
      <c r="D88" s="98">
        <v>20500</v>
      </c>
      <c r="E88" s="98">
        <v>4</v>
      </c>
      <c r="F88" s="98">
        <v>0</v>
      </c>
      <c r="G88" s="98">
        <v>0</v>
      </c>
      <c r="H88" s="98">
        <v>1</v>
      </c>
      <c r="I88" s="98">
        <v>0</v>
      </c>
      <c r="J88" s="98">
        <v>10</v>
      </c>
    </row>
    <row r="89" spans="1:10" x14ac:dyDescent="0.2">
      <c r="A89" s="98">
        <v>1987</v>
      </c>
      <c r="B89" s="98">
        <v>40</v>
      </c>
      <c r="C89" s="100">
        <v>3000000</v>
      </c>
      <c r="D89" s="98">
        <v>10000</v>
      </c>
      <c r="E89" s="98">
        <v>0</v>
      </c>
      <c r="F89" s="98">
        <v>0</v>
      </c>
      <c r="G89" s="98">
        <v>0</v>
      </c>
      <c r="H89" s="98">
        <v>0</v>
      </c>
      <c r="I89" s="98">
        <v>0</v>
      </c>
      <c r="J89" s="98">
        <v>0</v>
      </c>
    </row>
    <row r="90" spans="1:10" x14ac:dyDescent="0.2">
      <c r="A90" s="98">
        <v>1988</v>
      </c>
      <c r="B90" s="98">
        <v>48</v>
      </c>
      <c r="C90" s="100">
        <v>3800000</v>
      </c>
      <c r="D90" s="98">
        <v>11000</v>
      </c>
      <c r="E90" s="98">
        <v>0</v>
      </c>
      <c r="F90" s="98">
        <v>0</v>
      </c>
      <c r="G90" s="98">
        <v>0</v>
      </c>
      <c r="H90" s="98">
        <v>0</v>
      </c>
      <c r="I90" s="98">
        <v>1</v>
      </c>
      <c r="J90" s="98">
        <v>0</v>
      </c>
    </row>
    <row r="91" spans="1:10" x14ac:dyDescent="0.2">
      <c r="A91" s="98">
        <v>1989</v>
      </c>
      <c r="B91" s="98">
        <v>50</v>
      </c>
      <c r="C91" s="100">
        <v>3100000</v>
      </c>
      <c r="D91" s="98">
        <v>11500</v>
      </c>
      <c r="E91" s="98">
        <v>16</v>
      </c>
      <c r="F91" s="98">
        <v>0</v>
      </c>
      <c r="G91" s="98">
        <v>0</v>
      </c>
      <c r="H91" s="98">
        <v>1</v>
      </c>
      <c r="I91" s="98">
        <v>0</v>
      </c>
      <c r="J91" s="98">
        <v>50</v>
      </c>
    </row>
    <row r="92" spans="1:10" x14ac:dyDescent="0.2">
      <c r="A92" s="98">
        <v>1987</v>
      </c>
      <c r="B92" s="98">
        <v>20</v>
      </c>
      <c r="C92" s="100" t="s">
        <v>145</v>
      </c>
      <c r="D92" s="98">
        <v>26000</v>
      </c>
      <c r="E92" s="98">
        <v>0</v>
      </c>
      <c r="F92" s="98">
        <v>0</v>
      </c>
      <c r="G92" s="98">
        <v>0</v>
      </c>
      <c r="H92" s="98">
        <v>0</v>
      </c>
      <c r="I92" s="98">
        <v>0</v>
      </c>
      <c r="J92" s="98">
        <v>0</v>
      </c>
    </row>
    <row r="93" spans="1:10" x14ac:dyDescent="0.2">
      <c r="A93" s="98">
        <v>1988</v>
      </c>
      <c r="B93" s="98">
        <v>24</v>
      </c>
      <c r="C93" s="100" t="s">
        <v>145</v>
      </c>
      <c r="D93" s="98">
        <v>28000</v>
      </c>
      <c r="E93" s="98">
        <v>0</v>
      </c>
      <c r="F93" s="98">
        <v>0</v>
      </c>
      <c r="G93" s="98">
        <v>0</v>
      </c>
      <c r="H93" s="98">
        <v>0</v>
      </c>
      <c r="I93" s="98">
        <v>1</v>
      </c>
      <c r="J93" s="98">
        <v>0</v>
      </c>
    </row>
    <row r="94" spans="1:10" x14ac:dyDescent="0.2">
      <c r="A94" s="98">
        <v>1989</v>
      </c>
      <c r="B94" s="98">
        <v>30</v>
      </c>
      <c r="C94" s="100" t="s">
        <v>145</v>
      </c>
      <c r="D94" s="98">
        <v>30000</v>
      </c>
      <c r="E94" s="98">
        <v>0</v>
      </c>
      <c r="F94" s="98">
        <v>0</v>
      </c>
      <c r="G94" s="98">
        <v>0</v>
      </c>
      <c r="H94" s="98">
        <v>1</v>
      </c>
      <c r="I94" s="98">
        <v>0</v>
      </c>
      <c r="J94" s="98">
        <v>0</v>
      </c>
    </row>
    <row r="95" spans="1:10" x14ac:dyDescent="0.2">
      <c r="A95" s="98">
        <v>1987</v>
      </c>
      <c r="B95" s="98">
        <v>17</v>
      </c>
      <c r="C95" s="100">
        <v>755050</v>
      </c>
      <c r="D95" s="98">
        <v>10400</v>
      </c>
      <c r="E95" s="98">
        <v>25</v>
      </c>
      <c r="F95" s="98">
        <v>0</v>
      </c>
      <c r="G95" s="98">
        <v>0</v>
      </c>
      <c r="H95" s="98">
        <v>0</v>
      </c>
      <c r="I95" s="98">
        <v>0</v>
      </c>
      <c r="J95" s="98">
        <v>17</v>
      </c>
    </row>
    <row r="96" spans="1:10" x14ac:dyDescent="0.2">
      <c r="A96" s="98">
        <v>1988</v>
      </c>
      <c r="B96" s="98">
        <v>15</v>
      </c>
      <c r="C96" s="100">
        <v>1102723</v>
      </c>
      <c r="D96" s="98">
        <v>10400</v>
      </c>
      <c r="E96" s="98">
        <v>25</v>
      </c>
      <c r="F96" s="98">
        <v>0</v>
      </c>
      <c r="G96" s="98">
        <v>0</v>
      </c>
      <c r="H96" s="98">
        <v>0</v>
      </c>
      <c r="I96" s="98">
        <v>1</v>
      </c>
      <c r="J96" s="98">
        <v>15</v>
      </c>
    </row>
    <row r="97" spans="1:10" x14ac:dyDescent="0.2">
      <c r="A97" s="98">
        <v>1989</v>
      </c>
      <c r="B97" s="98">
        <v>20</v>
      </c>
      <c r="C97" s="100">
        <v>1073785</v>
      </c>
      <c r="D97" s="98">
        <v>10400</v>
      </c>
      <c r="E97" s="98">
        <v>25</v>
      </c>
      <c r="F97" s="98">
        <v>0</v>
      </c>
      <c r="G97" s="98">
        <v>0</v>
      </c>
      <c r="H97" s="98">
        <v>1</v>
      </c>
      <c r="I97" s="98">
        <v>0</v>
      </c>
      <c r="J97" s="98">
        <v>10</v>
      </c>
    </row>
    <row r="98" spans="1:10" x14ac:dyDescent="0.2">
      <c r="A98" s="98">
        <v>1987</v>
      </c>
      <c r="B98" s="98">
        <v>75</v>
      </c>
      <c r="C98" s="100">
        <v>4750000</v>
      </c>
      <c r="D98" s="98">
        <v>16120</v>
      </c>
      <c r="E98" s="98">
        <v>3</v>
      </c>
      <c r="F98" s="98">
        <v>0</v>
      </c>
      <c r="G98" s="98">
        <v>0</v>
      </c>
      <c r="H98" s="98">
        <v>0</v>
      </c>
      <c r="I98" s="98">
        <v>0</v>
      </c>
      <c r="J98" s="98">
        <v>30</v>
      </c>
    </row>
    <row r="99" spans="1:10" x14ac:dyDescent="0.2">
      <c r="A99" s="98">
        <v>1988</v>
      </c>
      <c r="B99" s="98">
        <v>80</v>
      </c>
      <c r="C99" s="100">
        <v>5100000</v>
      </c>
      <c r="D99" s="98">
        <v>16432</v>
      </c>
      <c r="E99" s="98">
        <v>4</v>
      </c>
      <c r="F99" s="98">
        <v>0</v>
      </c>
      <c r="G99" s="98">
        <v>0</v>
      </c>
      <c r="H99" s="98">
        <v>0</v>
      </c>
      <c r="I99" s="98">
        <v>1</v>
      </c>
      <c r="J99" s="98">
        <v>35</v>
      </c>
    </row>
    <row r="100" spans="1:10" x14ac:dyDescent="0.2">
      <c r="A100" s="98">
        <v>1989</v>
      </c>
      <c r="B100" s="98">
        <v>94</v>
      </c>
      <c r="C100" s="100">
        <v>5500000</v>
      </c>
      <c r="D100" s="98">
        <v>16640</v>
      </c>
      <c r="E100" s="98">
        <v>4</v>
      </c>
      <c r="F100" s="98">
        <v>0</v>
      </c>
      <c r="G100" s="98">
        <v>0</v>
      </c>
      <c r="H100" s="98">
        <v>1</v>
      </c>
      <c r="I100" s="98">
        <v>0</v>
      </c>
      <c r="J100" s="98">
        <v>35</v>
      </c>
    </row>
    <row r="101" spans="1:10" x14ac:dyDescent="0.2">
      <c r="A101" s="98">
        <v>1987</v>
      </c>
      <c r="B101" s="98">
        <v>116</v>
      </c>
      <c r="C101" s="100">
        <v>11000000</v>
      </c>
      <c r="D101" s="98">
        <v>23500</v>
      </c>
      <c r="E101" s="98">
        <v>47</v>
      </c>
      <c r="F101" s="98">
        <v>0</v>
      </c>
      <c r="G101" s="98">
        <v>0</v>
      </c>
      <c r="H101" s="98">
        <v>0</v>
      </c>
      <c r="I101" s="98">
        <v>0</v>
      </c>
      <c r="J101" s="98">
        <v>96</v>
      </c>
    </row>
    <row r="102" spans="1:10" x14ac:dyDescent="0.2">
      <c r="A102" s="98">
        <v>1988</v>
      </c>
      <c r="B102" s="98">
        <v>114</v>
      </c>
      <c r="C102" s="100">
        <v>11000000</v>
      </c>
      <c r="D102" s="98">
        <v>24000</v>
      </c>
      <c r="E102" s="98">
        <v>47</v>
      </c>
      <c r="F102" s="98">
        <v>0</v>
      </c>
      <c r="G102" s="98">
        <v>0</v>
      </c>
      <c r="H102" s="98">
        <v>0</v>
      </c>
      <c r="I102" s="98">
        <v>1</v>
      </c>
      <c r="J102" s="98">
        <v>94</v>
      </c>
    </row>
    <row r="103" spans="1:10" x14ac:dyDescent="0.2">
      <c r="A103" s="98">
        <v>1989</v>
      </c>
      <c r="B103" s="98">
        <v>119</v>
      </c>
      <c r="C103" s="100">
        <v>11000000</v>
      </c>
      <c r="D103" s="98">
        <v>24600</v>
      </c>
      <c r="E103" s="98">
        <v>47</v>
      </c>
      <c r="F103" s="98">
        <v>0</v>
      </c>
      <c r="G103" s="98">
        <v>0</v>
      </c>
      <c r="H103" s="98">
        <v>1</v>
      </c>
      <c r="I103" s="98">
        <v>0</v>
      </c>
      <c r="J103" s="98">
        <v>99</v>
      </c>
    </row>
    <row r="104" spans="1:10" x14ac:dyDescent="0.2">
      <c r="A104" s="98">
        <v>1987</v>
      </c>
      <c r="B104" s="98">
        <v>25</v>
      </c>
      <c r="C104" s="100" t="s">
        <v>145</v>
      </c>
      <c r="D104" s="98">
        <v>12180</v>
      </c>
      <c r="E104" s="98">
        <v>0</v>
      </c>
      <c r="F104" s="98">
        <v>0</v>
      </c>
      <c r="G104" s="98">
        <v>0</v>
      </c>
      <c r="H104" s="98">
        <v>0</v>
      </c>
      <c r="I104" s="98">
        <v>0</v>
      </c>
      <c r="J104" s="98">
        <v>0</v>
      </c>
    </row>
    <row r="105" spans="1:10" x14ac:dyDescent="0.2">
      <c r="A105" s="98">
        <v>1988</v>
      </c>
      <c r="B105" s="98">
        <v>33</v>
      </c>
      <c r="C105" s="100" t="s">
        <v>145</v>
      </c>
      <c r="D105" s="98">
        <v>13000</v>
      </c>
      <c r="E105" s="98">
        <v>50</v>
      </c>
      <c r="F105" s="98">
        <v>0</v>
      </c>
      <c r="G105" s="98">
        <v>0</v>
      </c>
      <c r="H105" s="98">
        <v>0</v>
      </c>
      <c r="I105" s="98">
        <v>1</v>
      </c>
      <c r="J105" s="98">
        <v>1</v>
      </c>
    </row>
    <row r="106" spans="1:10" x14ac:dyDescent="0.2">
      <c r="A106" s="98">
        <v>1989</v>
      </c>
      <c r="B106" s="98">
        <v>37</v>
      </c>
      <c r="C106" s="100" t="s">
        <v>145</v>
      </c>
      <c r="D106" s="98">
        <v>14500</v>
      </c>
      <c r="E106" s="98">
        <v>40</v>
      </c>
      <c r="F106" s="98">
        <v>0</v>
      </c>
      <c r="G106" s="98">
        <v>0</v>
      </c>
      <c r="H106" s="98">
        <v>1</v>
      </c>
      <c r="I106" s="98">
        <v>0</v>
      </c>
      <c r="J106" s="98">
        <v>2</v>
      </c>
    </row>
    <row r="107" spans="1:10" x14ac:dyDescent="0.2">
      <c r="A107" s="98">
        <v>1987</v>
      </c>
      <c r="B107" s="98">
        <v>20</v>
      </c>
      <c r="C107" s="100" t="s">
        <v>145</v>
      </c>
      <c r="D107" s="98" t="s">
        <v>145</v>
      </c>
      <c r="E107" s="98" t="s">
        <v>145</v>
      </c>
      <c r="F107" s="98">
        <v>0</v>
      </c>
      <c r="G107" s="98">
        <v>0</v>
      </c>
      <c r="H107" s="98">
        <v>0</v>
      </c>
      <c r="I107" s="98">
        <v>0</v>
      </c>
      <c r="J107" s="98">
        <v>20</v>
      </c>
    </row>
    <row r="108" spans="1:10" x14ac:dyDescent="0.2">
      <c r="A108" s="98">
        <v>1988</v>
      </c>
      <c r="B108" s="98">
        <v>20</v>
      </c>
      <c r="C108" s="100" t="s">
        <v>145</v>
      </c>
      <c r="D108" s="98" t="s">
        <v>145</v>
      </c>
      <c r="E108" s="98" t="s">
        <v>145</v>
      </c>
      <c r="F108" s="98">
        <v>0</v>
      </c>
      <c r="G108" s="98">
        <v>0</v>
      </c>
      <c r="H108" s="98">
        <v>0</v>
      </c>
      <c r="I108" s="98">
        <v>1</v>
      </c>
      <c r="J108" s="98">
        <v>20</v>
      </c>
    </row>
    <row r="109" spans="1:10" x14ac:dyDescent="0.2">
      <c r="A109" s="98">
        <v>1989</v>
      </c>
      <c r="B109" s="98">
        <v>10</v>
      </c>
      <c r="C109" s="100" t="s">
        <v>145</v>
      </c>
      <c r="D109" s="98" t="s">
        <v>145</v>
      </c>
      <c r="E109" s="98" t="s">
        <v>145</v>
      </c>
      <c r="F109" s="98">
        <v>0</v>
      </c>
      <c r="G109" s="98">
        <v>0</v>
      </c>
      <c r="H109" s="98">
        <v>1</v>
      </c>
      <c r="I109" s="98">
        <v>0</v>
      </c>
      <c r="J109" s="98">
        <v>10</v>
      </c>
    </row>
    <row r="110" spans="1:10" x14ac:dyDescent="0.2">
      <c r="A110" s="98">
        <v>1987</v>
      </c>
      <c r="B110" s="98">
        <v>5</v>
      </c>
      <c r="C110" s="100">
        <v>3500000</v>
      </c>
      <c r="D110" s="98" t="s">
        <v>145</v>
      </c>
      <c r="E110" s="98">
        <v>0</v>
      </c>
      <c r="F110" s="98">
        <v>0</v>
      </c>
      <c r="G110" s="98">
        <v>0</v>
      </c>
      <c r="H110" s="98">
        <v>0</v>
      </c>
      <c r="I110" s="98">
        <v>0</v>
      </c>
      <c r="J110" s="98">
        <v>0</v>
      </c>
    </row>
    <row r="111" spans="1:10" x14ac:dyDescent="0.2">
      <c r="A111" s="98">
        <v>1988</v>
      </c>
      <c r="B111" s="98">
        <v>5</v>
      </c>
      <c r="C111" s="100">
        <v>3800000</v>
      </c>
      <c r="D111" s="98" t="s">
        <v>145</v>
      </c>
      <c r="E111" s="98">
        <v>0</v>
      </c>
      <c r="F111" s="98">
        <v>0</v>
      </c>
      <c r="G111" s="98">
        <v>0</v>
      </c>
      <c r="H111" s="98">
        <v>0</v>
      </c>
      <c r="I111" s="98">
        <v>1</v>
      </c>
      <c r="J111" s="98">
        <v>0</v>
      </c>
    </row>
    <row r="112" spans="1:10" x14ac:dyDescent="0.2">
      <c r="A112" s="98">
        <v>1989</v>
      </c>
      <c r="B112" s="98">
        <v>5</v>
      </c>
      <c r="C112" s="100">
        <v>4000000</v>
      </c>
      <c r="D112" s="98" t="s">
        <v>145</v>
      </c>
      <c r="E112" s="98">
        <v>0</v>
      </c>
      <c r="F112" s="98">
        <v>0</v>
      </c>
      <c r="G112" s="98">
        <v>0</v>
      </c>
      <c r="H112" s="98">
        <v>1</v>
      </c>
      <c r="I112" s="98">
        <v>0</v>
      </c>
      <c r="J112" s="98">
        <v>0</v>
      </c>
    </row>
    <row r="113" spans="1:10" x14ac:dyDescent="0.2">
      <c r="A113" s="98">
        <v>1987</v>
      </c>
      <c r="B113" s="98">
        <v>8</v>
      </c>
      <c r="C113" s="100">
        <v>990400</v>
      </c>
      <c r="D113" s="98">
        <v>12480</v>
      </c>
      <c r="E113" s="98">
        <v>10</v>
      </c>
      <c r="F113" s="98">
        <v>0</v>
      </c>
      <c r="G113" s="98">
        <v>0</v>
      </c>
      <c r="H113" s="98">
        <v>0</v>
      </c>
      <c r="I113" s="98">
        <v>0</v>
      </c>
      <c r="J113" s="98">
        <v>8</v>
      </c>
    </row>
    <row r="114" spans="1:10" x14ac:dyDescent="0.2">
      <c r="A114" s="98">
        <v>1988</v>
      </c>
      <c r="B114" s="98">
        <v>16</v>
      </c>
      <c r="C114" s="100">
        <v>1166100</v>
      </c>
      <c r="D114" s="98">
        <v>13520</v>
      </c>
      <c r="E114" s="98">
        <v>12</v>
      </c>
      <c r="F114" s="98">
        <v>0</v>
      </c>
      <c r="G114" s="98">
        <v>0</v>
      </c>
      <c r="H114" s="98">
        <v>0</v>
      </c>
      <c r="I114" s="98">
        <v>1</v>
      </c>
      <c r="J114" s="98">
        <v>16</v>
      </c>
    </row>
    <row r="115" spans="1:10" x14ac:dyDescent="0.2">
      <c r="A115" s="98">
        <v>1989</v>
      </c>
      <c r="B115" s="98">
        <v>20</v>
      </c>
      <c r="C115" s="100">
        <v>1815900</v>
      </c>
      <c r="D115" s="98">
        <v>14560</v>
      </c>
      <c r="E115" s="98">
        <v>14</v>
      </c>
      <c r="F115" s="98">
        <v>0</v>
      </c>
      <c r="G115" s="98">
        <v>0</v>
      </c>
      <c r="H115" s="98">
        <v>1</v>
      </c>
      <c r="I115" s="98">
        <v>0</v>
      </c>
      <c r="J115" s="98">
        <v>20</v>
      </c>
    </row>
    <row r="116" spans="1:10" x14ac:dyDescent="0.2">
      <c r="A116" s="98">
        <v>1987</v>
      </c>
      <c r="B116" s="98">
        <v>10</v>
      </c>
      <c r="C116" s="100">
        <v>1212478</v>
      </c>
      <c r="D116" s="98">
        <v>12700</v>
      </c>
      <c r="E116" s="98">
        <v>105</v>
      </c>
      <c r="F116" s="98">
        <v>0</v>
      </c>
      <c r="G116" s="98">
        <v>0</v>
      </c>
      <c r="H116" s="98">
        <v>0</v>
      </c>
      <c r="I116" s="98">
        <v>0</v>
      </c>
      <c r="J116" s="98">
        <v>4</v>
      </c>
    </row>
    <row r="117" spans="1:10" x14ac:dyDescent="0.2">
      <c r="A117" s="98">
        <v>1988</v>
      </c>
      <c r="B117" s="98">
        <v>14</v>
      </c>
      <c r="C117" s="100">
        <v>1159622</v>
      </c>
      <c r="D117" s="98">
        <v>13600</v>
      </c>
      <c r="E117" s="98">
        <v>105</v>
      </c>
      <c r="F117" s="98">
        <v>0</v>
      </c>
      <c r="G117" s="98">
        <v>0</v>
      </c>
      <c r="H117" s="98">
        <v>0</v>
      </c>
      <c r="I117" s="98">
        <v>1</v>
      </c>
      <c r="J117" s="98">
        <v>3</v>
      </c>
    </row>
    <row r="118" spans="1:10" x14ac:dyDescent="0.2">
      <c r="A118" s="98">
        <v>1989</v>
      </c>
      <c r="B118" s="98">
        <v>17</v>
      </c>
      <c r="C118" s="100">
        <v>1612170</v>
      </c>
      <c r="D118" s="98">
        <v>14900</v>
      </c>
      <c r="E118" s="98" t="s">
        <v>145</v>
      </c>
      <c r="F118" s="98">
        <v>0</v>
      </c>
      <c r="G118" s="98">
        <v>0</v>
      </c>
      <c r="H118" s="98">
        <v>1</v>
      </c>
      <c r="I118" s="98">
        <v>0</v>
      </c>
      <c r="J118" s="98">
        <v>0</v>
      </c>
    </row>
    <row r="119" spans="1:10" x14ac:dyDescent="0.2">
      <c r="A119" s="98">
        <v>1987</v>
      </c>
      <c r="B119" s="98">
        <v>60</v>
      </c>
      <c r="C119" s="100" t="s">
        <v>145</v>
      </c>
      <c r="D119" s="98">
        <v>8320</v>
      </c>
      <c r="E119" s="98">
        <v>0</v>
      </c>
      <c r="F119" s="98">
        <v>0</v>
      </c>
      <c r="G119" s="98">
        <v>0</v>
      </c>
      <c r="H119" s="98">
        <v>0</v>
      </c>
      <c r="I119" s="98">
        <v>0</v>
      </c>
      <c r="J119" s="98">
        <v>0</v>
      </c>
    </row>
    <row r="120" spans="1:10" x14ac:dyDescent="0.2">
      <c r="A120" s="98">
        <v>1988</v>
      </c>
      <c r="B120" s="98">
        <v>100</v>
      </c>
      <c r="C120" s="100" t="s">
        <v>145</v>
      </c>
      <c r="D120" s="98">
        <v>8940</v>
      </c>
      <c r="E120" s="98">
        <v>0</v>
      </c>
      <c r="F120" s="98">
        <v>0</v>
      </c>
      <c r="G120" s="98">
        <v>0</v>
      </c>
      <c r="H120" s="98">
        <v>0</v>
      </c>
      <c r="I120" s="98">
        <v>1</v>
      </c>
      <c r="J120" s="98">
        <v>0</v>
      </c>
    </row>
    <row r="121" spans="1:10" x14ac:dyDescent="0.2">
      <c r="A121" s="98">
        <v>1989</v>
      </c>
      <c r="B121" s="98">
        <v>190</v>
      </c>
      <c r="C121" s="100" t="s">
        <v>145</v>
      </c>
      <c r="D121" s="98">
        <v>10400</v>
      </c>
      <c r="E121" s="98">
        <v>0</v>
      </c>
      <c r="F121" s="98">
        <v>0</v>
      </c>
      <c r="G121" s="98">
        <v>0</v>
      </c>
      <c r="H121" s="98">
        <v>1</v>
      </c>
      <c r="I121" s="98">
        <v>0</v>
      </c>
      <c r="J121" s="98">
        <v>0</v>
      </c>
    </row>
    <row r="122" spans="1:10" x14ac:dyDescent="0.2">
      <c r="A122" s="98">
        <v>1987</v>
      </c>
      <c r="B122" s="98">
        <v>124</v>
      </c>
      <c r="C122" s="100">
        <v>10500000</v>
      </c>
      <c r="D122" s="98" t="s">
        <v>145</v>
      </c>
      <c r="E122" s="98">
        <v>10</v>
      </c>
      <c r="F122" s="98">
        <v>0</v>
      </c>
      <c r="G122" s="98">
        <v>0</v>
      </c>
      <c r="H122" s="98">
        <v>0</v>
      </c>
      <c r="I122" s="98">
        <v>0</v>
      </c>
      <c r="J122" s="98">
        <v>43</v>
      </c>
    </row>
    <row r="123" spans="1:10" x14ac:dyDescent="0.2">
      <c r="A123" s="98">
        <v>1988</v>
      </c>
      <c r="B123" s="98">
        <v>127</v>
      </c>
      <c r="C123" s="100">
        <v>12200000</v>
      </c>
      <c r="D123" s="98">
        <v>14538</v>
      </c>
      <c r="E123" s="98">
        <v>8</v>
      </c>
      <c r="F123" s="98">
        <v>0</v>
      </c>
      <c r="G123" s="98">
        <v>0</v>
      </c>
      <c r="H123" s="98">
        <v>0</v>
      </c>
      <c r="I123" s="98">
        <v>1</v>
      </c>
      <c r="J123" s="98">
        <v>30</v>
      </c>
    </row>
    <row r="124" spans="1:10" x14ac:dyDescent="0.2">
      <c r="A124" s="98">
        <v>1989</v>
      </c>
      <c r="B124" s="98">
        <v>128</v>
      </c>
      <c r="C124" s="100">
        <v>12000000</v>
      </c>
      <c r="D124" s="98">
        <v>14865</v>
      </c>
      <c r="E124" s="98">
        <v>28</v>
      </c>
      <c r="F124" s="98">
        <v>0</v>
      </c>
      <c r="G124" s="98">
        <v>0</v>
      </c>
      <c r="H124" s="98">
        <v>1</v>
      </c>
      <c r="I124" s="98">
        <v>0</v>
      </c>
      <c r="J124" s="98">
        <v>87</v>
      </c>
    </row>
    <row r="125" spans="1:10" x14ac:dyDescent="0.2">
      <c r="A125" s="98">
        <v>1987</v>
      </c>
      <c r="B125" s="98">
        <v>22</v>
      </c>
      <c r="C125" s="100">
        <v>1650831</v>
      </c>
      <c r="D125" s="98">
        <v>24900</v>
      </c>
      <c r="E125" s="98">
        <v>0</v>
      </c>
      <c r="F125" s="98">
        <v>0</v>
      </c>
      <c r="G125" s="98">
        <v>0</v>
      </c>
      <c r="H125" s="98">
        <v>0</v>
      </c>
      <c r="I125" s="98">
        <v>0</v>
      </c>
      <c r="J125" s="98">
        <v>0</v>
      </c>
    </row>
    <row r="126" spans="1:10" x14ac:dyDescent="0.2">
      <c r="A126" s="98">
        <v>1988</v>
      </c>
      <c r="B126" s="98">
        <v>37</v>
      </c>
      <c r="C126" s="100">
        <v>1817961</v>
      </c>
      <c r="D126" s="98">
        <v>23000</v>
      </c>
      <c r="E126" s="98">
        <v>0</v>
      </c>
      <c r="F126" s="98">
        <v>0</v>
      </c>
      <c r="G126" s="98">
        <v>0</v>
      </c>
      <c r="H126" s="98">
        <v>0</v>
      </c>
      <c r="I126" s="98">
        <v>1</v>
      </c>
      <c r="J126" s="98">
        <v>0</v>
      </c>
    </row>
    <row r="127" spans="1:10" x14ac:dyDescent="0.2">
      <c r="A127" s="98">
        <v>1989</v>
      </c>
      <c r="B127" s="98">
        <v>44</v>
      </c>
      <c r="C127" s="100">
        <v>1642441</v>
      </c>
      <c r="D127" s="98">
        <v>23200</v>
      </c>
      <c r="E127" s="98">
        <v>0</v>
      </c>
      <c r="F127" s="98">
        <v>0</v>
      </c>
      <c r="G127" s="98">
        <v>0</v>
      </c>
      <c r="H127" s="98">
        <v>1</v>
      </c>
      <c r="I127" s="98">
        <v>0</v>
      </c>
      <c r="J127" s="98">
        <v>0</v>
      </c>
    </row>
    <row r="128" spans="1:10" x14ac:dyDescent="0.2">
      <c r="A128" s="98">
        <v>1987</v>
      </c>
      <c r="B128" s="98">
        <v>60</v>
      </c>
      <c r="C128" s="100">
        <v>7000000</v>
      </c>
      <c r="D128" s="98">
        <v>8840</v>
      </c>
      <c r="E128" s="98">
        <v>12</v>
      </c>
      <c r="F128" s="98">
        <v>0</v>
      </c>
      <c r="G128" s="98">
        <v>0</v>
      </c>
      <c r="H128" s="98">
        <v>0</v>
      </c>
      <c r="I128" s="98">
        <v>0</v>
      </c>
      <c r="J128" s="98">
        <v>60</v>
      </c>
    </row>
    <row r="129" spans="1:10" x14ac:dyDescent="0.2">
      <c r="A129" s="98">
        <v>1988</v>
      </c>
      <c r="B129" s="98">
        <v>65</v>
      </c>
      <c r="C129" s="100">
        <v>8500000</v>
      </c>
      <c r="D129" s="98">
        <v>9880</v>
      </c>
      <c r="E129" s="98">
        <v>12</v>
      </c>
      <c r="F129" s="98">
        <v>0</v>
      </c>
      <c r="G129" s="98">
        <v>0</v>
      </c>
      <c r="H129" s="98">
        <v>0</v>
      </c>
      <c r="I129" s="98">
        <v>1</v>
      </c>
      <c r="J129" s="98">
        <v>65</v>
      </c>
    </row>
    <row r="130" spans="1:10" x14ac:dyDescent="0.2">
      <c r="A130" s="98">
        <v>1989</v>
      </c>
      <c r="B130" s="98">
        <v>70</v>
      </c>
      <c r="C130" s="100">
        <v>11000000</v>
      </c>
      <c r="D130" s="98">
        <v>10920</v>
      </c>
      <c r="E130" s="98">
        <v>12</v>
      </c>
      <c r="F130" s="98">
        <v>0</v>
      </c>
      <c r="G130" s="98">
        <v>0</v>
      </c>
      <c r="H130" s="98">
        <v>1</v>
      </c>
      <c r="I130" s="98">
        <v>0</v>
      </c>
      <c r="J130" s="98">
        <v>70</v>
      </c>
    </row>
    <row r="131" spans="1:10" x14ac:dyDescent="0.2">
      <c r="A131" s="98">
        <v>1987</v>
      </c>
      <c r="B131" s="98">
        <v>27</v>
      </c>
      <c r="C131" s="100">
        <v>4600000</v>
      </c>
      <c r="D131" s="98">
        <v>18000</v>
      </c>
      <c r="E131" s="98">
        <v>24</v>
      </c>
      <c r="F131" s="98">
        <v>1</v>
      </c>
      <c r="G131" s="98">
        <v>0</v>
      </c>
      <c r="H131" s="98">
        <v>0</v>
      </c>
      <c r="I131" s="98">
        <v>0</v>
      </c>
      <c r="J131" s="98">
        <v>3</v>
      </c>
    </row>
    <row r="132" spans="1:10" x14ac:dyDescent="0.2">
      <c r="A132" s="98">
        <v>1988</v>
      </c>
      <c r="B132" s="98">
        <v>28</v>
      </c>
      <c r="C132" s="100">
        <v>4900000</v>
      </c>
      <c r="D132" s="98">
        <v>19000</v>
      </c>
      <c r="E132" s="98">
        <v>16</v>
      </c>
      <c r="F132" s="98">
        <v>1</v>
      </c>
      <c r="G132" s="98">
        <v>0</v>
      </c>
      <c r="H132" s="98">
        <v>0</v>
      </c>
      <c r="I132" s="98">
        <v>1</v>
      </c>
      <c r="J132" s="98">
        <v>2</v>
      </c>
    </row>
    <row r="133" spans="1:10" x14ac:dyDescent="0.2">
      <c r="A133" s="98">
        <v>1989</v>
      </c>
      <c r="B133" s="98">
        <v>30</v>
      </c>
      <c r="C133" s="100">
        <v>5600000</v>
      </c>
      <c r="D133" s="98">
        <v>21000</v>
      </c>
      <c r="E133" s="98">
        <v>32</v>
      </c>
      <c r="F133" s="98">
        <v>1</v>
      </c>
      <c r="G133" s="98">
        <v>0</v>
      </c>
      <c r="H133" s="98">
        <v>1</v>
      </c>
      <c r="I133" s="98">
        <v>0</v>
      </c>
      <c r="J133" s="98">
        <v>6</v>
      </c>
    </row>
    <row r="134" spans="1:10" x14ac:dyDescent="0.2">
      <c r="A134" s="98">
        <v>1987</v>
      </c>
      <c r="B134" s="98">
        <v>25</v>
      </c>
      <c r="C134" s="100">
        <v>2900000</v>
      </c>
      <c r="D134" s="98">
        <v>21830</v>
      </c>
      <c r="E134" s="98" t="s">
        <v>145</v>
      </c>
      <c r="F134" s="98">
        <v>1</v>
      </c>
      <c r="G134" s="98">
        <v>0</v>
      </c>
      <c r="H134" s="98">
        <v>0</v>
      </c>
      <c r="I134" s="98">
        <v>0</v>
      </c>
      <c r="J134" s="98">
        <v>25</v>
      </c>
    </row>
    <row r="135" spans="1:10" x14ac:dyDescent="0.2">
      <c r="A135" s="98">
        <v>1988</v>
      </c>
      <c r="B135" s="98">
        <v>25</v>
      </c>
      <c r="C135" s="100">
        <v>2800000</v>
      </c>
      <c r="D135" s="98">
        <v>22454</v>
      </c>
      <c r="E135" s="98" t="s">
        <v>145</v>
      </c>
      <c r="F135" s="98">
        <v>1</v>
      </c>
      <c r="G135" s="98">
        <v>0</v>
      </c>
      <c r="H135" s="98">
        <v>0</v>
      </c>
      <c r="I135" s="98">
        <v>1</v>
      </c>
      <c r="J135" s="98">
        <v>25</v>
      </c>
    </row>
    <row r="136" spans="1:10" x14ac:dyDescent="0.2">
      <c r="A136" s="98">
        <v>1989</v>
      </c>
      <c r="B136" s="98">
        <v>25</v>
      </c>
      <c r="C136" s="100">
        <v>2900000</v>
      </c>
      <c r="D136" s="98">
        <v>23078</v>
      </c>
      <c r="E136" s="98" t="s">
        <v>145</v>
      </c>
      <c r="F136" s="98">
        <v>1</v>
      </c>
      <c r="G136" s="98">
        <v>0</v>
      </c>
      <c r="H136" s="98">
        <v>1</v>
      </c>
      <c r="I136" s="98">
        <v>0</v>
      </c>
      <c r="J136" s="98">
        <v>25</v>
      </c>
    </row>
    <row r="137" spans="1:10" x14ac:dyDescent="0.2">
      <c r="A137" s="98">
        <v>1987</v>
      </c>
      <c r="B137" s="98">
        <v>16</v>
      </c>
      <c r="C137" s="100">
        <v>1100000</v>
      </c>
      <c r="D137" s="98">
        <v>18500</v>
      </c>
      <c r="E137" s="98" t="s">
        <v>145</v>
      </c>
      <c r="F137" s="98">
        <v>0</v>
      </c>
      <c r="G137" s="98">
        <v>0</v>
      </c>
      <c r="H137" s="98">
        <v>0</v>
      </c>
      <c r="I137" s="98">
        <v>0</v>
      </c>
      <c r="J137" s="98">
        <v>16</v>
      </c>
    </row>
    <row r="138" spans="1:10" x14ac:dyDescent="0.2">
      <c r="A138" s="98">
        <v>1988</v>
      </c>
      <c r="B138" s="98">
        <v>19</v>
      </c>
      <c r="C138" s="100">
        <v>2050000</v>
      </c>
      <c r="D138" s="98">
        <v>21000</v>
      </c>
      <c r="E138" s="98" t="s">
        <v>145</v>
      </c>
      <c r="F138" s="98">
        <v>0</v>
      </c>
      <c r="G138" s="98">
        <v>0</v>
      </c>
      <c r="H138" s="98">
        <v>0</v>
      </c>
      <c r="I138" s="98">
        <v>1</v>
      </c>
      <c r="J138" s="98">
        <v>19</v>
      </c>
    </row>
    <row r="139" spans="1:10" x14ac:dyDescent="0.2">
      <c r="A139" s="98">
        <v>1989</v>
      </c>
      <c r="B139" s="98">
        <v>23</v>
      </c>
      <c r="C139" s="100">
        <v>2260000</v>
      </c>
      <c r="D139" s="98">
        <v>23500</v>
      </c>
      <c r="E139" s="98" t="s">
        <v>145</v>
      </c>
      <c r="F139" s="98">
        <v>0</v>
      </c>
      <c r="G139" s="98">
        <v>0</v>
      </c>
      <c r="H139" s="98">
        <v>1</v>
      </c>
      <c r="I139" s="98">
        <v>0</v>
      </c>
      <c r="J139" s="98">
        <v>23</v>
      </c>
    </row>
    <row r="140" spans="1:10" x14ac:dyDescent="0.2">
      <c r="A140" s="98">
        <v>1987</v>
      </c>
      <c r="B140" s="98">
        <v>100</v>
      </c>
      <c r="C140" s="100">
        <v>20000000</v>
      </c>
      <c r="D140" s="98">
        <v>22000</v>
      </c>
      <c r="E140" s="98">
        <v>0</v>
      </c>
      <c r="F140" s="98">
        <v>1</v>
      </c>
      <c r="G140" s="98">
        <v>0</v>
      </c>
      <c r="H140" s="98">
        <v>0</v>
      </c>
      <c r="I140" s="98">
        <v>0</v>
      </c>
      <c r="J140" s="98">
        <v>0</v>
      </c>
    </row>
    <row r="141" spans="1:10" x14ac:dyDescent="0.2">
      <c r="A141" s="98">
        <v>1988</v>
      </c>
      <c r="B141" s="98">
        <v>95</v>
      </c>
      <c r="C141" s="100">
        <v>18000000</v>
      </c>
      <c r="D141" s="98">
        <v>22000</v>
      </c>
      <c r="E141" s="98">
        <v>1</v>
      </c>
      <c r="F141" s="98">
        <v>1</v>
      </c>
      <c r="G141" s="98">
        <v>0</v>
      </c>
      <c r="H141" s="98">
        <v>0</v>
      </c>
      <c r="I141" s="98">
        <v>1</v>
      </c>
      <c r="J141" s="98">
        <v>1</v>
      </c>
    </row>
    <row r="142" spans="1:10" x14ac:dyDescent="0.2">
      <c r="A142" s="98">
        <v>1989</v>
      </c>
      <c r="B142" s="98">
        <v>85</v>
      </c>
      <c r="C142" s="100">
        <v>16000000</v>
      </c>
      <c r="D142" s="98">
        <v>22000</v>
      </c>
      <c r="E142" s="98">
        <v>20</v>
      </c>
      <c r="F142" s="98">
        <v>1</v>
      </c>
      <c r="G142" s="98">
        <v>0</v>
      </c>
      <c r="H142" s="98">
        <v>1</v>
      </c>
      <c r="I142" s="98">
        <v>0</v>
      </c>
      <c r="J142" s="98">
        <v>50</v>
      </c>
    </row>
    <row r="143" spans="1:10" x14ac:dyDescent="0.2">
      <c r="A143" s="98">
        <v>1987</v>
      </c>
      <c r="B143" s="98">
        <v>8</v>
      </c>
      <c r="C143" s="100">
        <v>386807</v>
      </c>
      <c r="D143" s="98">
        <v>14110</v>
      </c>
      <c r="E143" s="98" t="s">
        <v>145</v>
      </c>
      <c r="F143" s="98">
        <v>0</v>
      </c>
      <c r="G143" s="98">
        <v>0</v>
      </c>
      <c r="H143" s="98">
        <v>0</v>
      </c>
      <c r="I143" s="98">
        <v>0</v>
      </c>
      <c r="J143" s="98">
        <v>8</v>
      </c>
    </row>
    <row r="144" spans="1:10" x14ac:dyDescent="0.2">
      <c r="A144" s="98">
        <v>1988</v>
      </c>
      <c r="B144" s="98">
        <v>10</v>
      </c>
      <c r="C144" s="100">
        <v>734613</v>
      </c>
      <c r="D144" s="98">
        <v>14040</v>
      </c>
      <c r="E144" s="98" t="s">
        <v>145</v>
      </c>
      <c r="F144" s="98">
        <v>0</v>
      </c>
      <c r="G144" s="98">
        <v>0</v>
      </c>
      <c r="H144" s="98">
        <v>0</v>
      </c>
      <c r="I144" s="98">
        <v>1</v>
      </c>
      <c r="J144" s="98">
        <v>10</v>
      </c>
    </row>
    <row r="145" spans="1:10" x14ac:dyDescent="0.2">
      <c r="A145" s="98">
        <v>1989</v>
      </c>
      <c r="B145" s="98">
        <v>8</v>
      </c>
      <c r="C145" s="100">
        <v>518842</v>
      </c>
      <c r="D145" s="98">
        <v>14126</v>
      </c>
      <c r="E145" s="98" t="s">
        <v>145</v>
      </c>
      <c r="F145" s="98">
        <v>0</v>
      </c>
      <c r="G145" s="98">
        <v>0</v>
      </c>
      <c r="H145" s="98">
        <v>1</v>
      </c>
      <c r="I145" s="98">
        <v>0</v>
      </c>
      <c r="J145" s="98">
        <v>8</v>
      </c>
    </row>
    <row r="146" spans="1:10" x14ac:dyDescent="0.2">
      <c r="A146" s="98">
        <v>1987</v>
      </c>
      <c r="B146" s="98">
        <v>135</v>
      </c>
      <c r="C146" s="100">
        <v>14000000</v>
      </c>
      <c r="D146" s="98">
        <v>20384</v>
      </c>
      <c r="E146" s="98">
        <v>1</v>
      </c>
      <c r="F146" s="98">
        <v>1</v>
      </c>
      <c r="G146" s="98">
        <v>0</v>
      </c>
      <c r="H146" s="98">
        <v>0</v>
      </c>
      <c r="I146" s="98">
        <v>0</v>
      </c>
      <c r="J146" s="98">
        <v>50</v>
      </c>
    </row>
    <row r="147" spans="1:10" x14ac:dyDescent="0.2">
      <c r="A147" s="98">
        <v>1988</v>
      </c>
      <c r="B147" s="98">
        <v>135</v>
      </c>
      <c r="C147" s="100">
        <v>15000000</v>
      </c>
      <c r="D147" s="98">
        <v>20800</v>
      </c>
      <c r="E147" s="98">
        <v>3</v>
      </c>
      <c r="F147" s="98">
        <v>1</v>
      </c>
      <c r="G147" s="98">
        <v>0</v>
      </c>
      <c r="H147" s="98">
        <v>0</v>
      </c>
      <c r="I147" s="98">
        <v>1</v>
      </c>
      <c r="J147" s="98">
        <v>75</v>
      </c>
    </row>
    <row r="148" spans="1:10" x14ac:dyDescent="0.2">
      <c r="A148" s="98">
        <v>1989</v>
      </c>
      <c r="B148" s="98">
        <v>144</v>
      </c>
      <c r="C148" s="100">
        <v>15500000</v>
      </c>
      <c r="D148" s="98">
        <v>20592</v>
      </c>
      <c r="E148" s="98">
        <v>5</v>
      </c>
      <c r="F148" s="98">
        <v>1</v>
      </c>
      <c r="G148" s="98">
        <v>0</v>
      </c>
      <c r="H148" s="98">
        <v>1</v>
      </c>
      <c r="I148" s="98">
        <v>0</v>
      </c>
      <c r="J148" s="98">
        <v>100</v>
      </c>
    </row>
    <row r="149" spans="1:10" x14ac:dyDescent="0.2">
      <c r="A149" s="98">
        <v>1987</v>
      </c>
      <c r="B149" s="98">
        <v>13</v>
      </c>
      <c r="C149" s="100">
        <v>1656000</v>
      </c>
      <c r="D149" s="98">
        <v>19266</v>
      </c>
      <c r="E149" s="98">
        <v>240</v>
      </c>
      <c r="F149" s="98">
        <v>0</v>
      </c>
      <c r="G149" s="98">
        <v>0</v>
      </c>
      <c r="H149" s="98">
        <v>0</v>
      </c>
      <c r="I149" s="98">
        <v>0</v>
      </c>
      <c r="J149" s="98">
        <v>3</v>
      </c>
    </row>
    <row r="150" spans="1:10" x14ac:dyDescent="0.2">
      <c r="A150" s="98">
        <v>1988</v>
      </c>
      <c r="B150" s="98">
        <v>11</v>
      </c>
      <c r="C150" s="100">
        <v>1527000</v>
      </c>
      <c r="D150" s="98">
        <v>20867</v>
      </c>
      <c r="E150" s="98">
        <v>200</v>
      </c>
      <c r="F150" s="98">
        <v>0</v>
      </c>
      <c r="G150" s="98">
        <v>0</v>
      </c>
      <c r="H150" s="98">
        <v>0</v>
      </c>
      <c r="I150" s="98">
        <v>1</v>
      </c>
      <c r="J150" s="98">
        <v>2</v>
      </c>
    </row>
    <row r="151" spans="1:10" x14ac:dyDescent="0.2">
      <c r="A151" s="98">
        <v>1989</v>
      </c>
      <c r="B151" s="98">
        <v>13</v>
      </c>
      <c r="C151" s="100">
        <v>1454000</v>
      </c>
      <c r="D151" s="98">
        <v>25154</v>
      </c>
      <c r="E151" s="98">
        <v>200</v>
      </c>
      <c r="F151" s="98">
        <v>0</v>
      </c>
      <c r="G151" s="98">
        <v>0</v>
      </c>
      <c r="H151" s="98">
        <v>1</v>
      </c>
      <c r="I151" s="98">
        <v>0</v>
      </c>
      <c r="J151" s="98">
        <v>2</v>
      </c>
    </row>
    <row r="152" spans="1:10" x14ac:dyDescent="0.2">
      <c r="A152" s="98">
        <v>1987</v>
      </c>
      <c r="B152" s="98" t="s">
        <v>145</v>
      </c>
      <c r="C152" s="100">
        <v>3600000</v>
      </c>
      <c r="D152" s="98" t="s">
        <v>145</v>
      </c>
      <c r="E152" s="98" t="s">
        <v>145</v>
      </c>
      <c r="F152" s="98">
        <v>0</v>
      </c>
      <c r="G152" s="98">
        <v>0</v>
      </c>
      <c r="H152" s="98">
        <v>0</v>
      </c>
      <c r="I152" s="98">
        <v>0</v>
      </c>
      <c r="J152" s="98" t="s">
        <v>145</v>
      </c>
    </row>
    <row r="153" spans="1:10" x14ac:dyDescent="0.2">
      <c r="A153" s="98">
        <v>1988</v>
      </c>
      <c r="B153" s="98" t="s">
        <v>145</v>
      </c>
      <c r="C153" s="100">
        <v>3900000</v>
      </c>
      <c r="D153" s="98" t="s">
        <v>145</v>
      </c>
      <c r="E153" s="98" t="s">
        <v>145</v>
      </c>
      <c r="F153" s="98">
        <v>0</v>
      </c>
      <c r="G153" s="98">
        <v>0</v>
      </c>
      <c r="H153" s="98">
        <v>0</v>
      </c>
      <c r="I153" s="98">
        <v>1</v>
      </c>
      <c r="J153" s="98" t="s">
        <v>145</v>
      </c>
    </row>
    <row r="154" spans="1:10" x14ac:dyDescent="0.2">
      <c r="A154" s="98">
        <v>1989</v>
      </c>
      <c r="B154" s="98" t="s">
        <v>145</v>
      </c>
      <c r="C154" s="100">
        <v>5200000</v>
      </c>
      <c r="D154" s="98" t="s">
        <v>145</v>
      </c>
      <c r="E154" s="98" t="s">
        <v>145</v>
      </c>
      <c r="F154" s="98">
        <v>0</v>
      </c>
      <c r="G154" s="98">
        <v>0</v>
      </c>
      <c r="H154" s="98">
        <v>1</v>
      </c>
      <c r="I154" s="98">
        <v>0</v>
      </c>
      <c r="J154" s="98" t="s">
        <v>145</v>
      </c>
    </row>
    <row r="155" spans="1:10" x14ac:dyDescent="0.2">
      <c r="A155" s="98">
        <v>1987</v>
      </c>
      <c r="B155" s="98" t="s">
        <v>145</v>
      </c>
      <c r="C155" s="100" t="s">
        <v>145</v>
      </c>
      <c r="D155" s="98" t="s">
        <v>145</v>
      </c>
      <c r="E155" s="98">
        <v>0</v>
      </c>
      <c r="F155" s="98">
        <v>0</v>
      </c>
      <c r="G155" s="98">
        <v>0</v>
      </c>
      <c r="H155" s="98">
        <v>0</v>
      </c>
      <c r="I155" s="98">
        <v>0</v>
      </c>
      <c r="J155" s="98">
        <v>0</v>
      </c>
    </row>
    <row r="156" spans="1:10" x14ac:dyDescent="0.2">
      <c r="A156" s="98">
        <v>1988</v>
      </c>
      <c r="B156" s="98" t="s">
        <v>145</v>
      </c>
      <c r="C156" s="100" t="s">
        <v>145</v>
      </c>
      <c r="D156" s="98" t="s">
        <v>145</v>
      </c>
      <c r="E156" s="98">
        <v>45</v>
      </c>
      <c r="F156" s="98">
        <v>0</v>
      </c>
      <c r="G156" s="98">
        <v>0</v>
      </c>
      <c r="H156" s="98">
        <v>0</v>
      </c>
      <c r="I156" s="98">
        <v>1</v>
      </c>
      <c r="J156" s="98">
        <v>25</v>
      </c>
    </row>
    <row r="157" spans="1:10" x14ac:dyDescent="0.2">
      <c r="A157" s="98">
        <v>1989</v>
      </c>
      <c r="B157" s="98" t="s">
        <v>145</v>
      </c>
      <c r="C157" s="100" t="s">
        <v>145</v>
      </c>
      <c r="D157" s="98" t="s">
        <v>145</v>
      </c>
      <c r="E157" s="98">
        <v>45</v>
      </c>
      <c r="F157" s="98">
        <v>0</v>
      </c>
      <c r="G157" s="98">
        <v>0</v>
      </c>
      <c r="H157" s="98">
        <v>1</v>
      </c>
      <c r="I157" s="98">
        <v>0</v>
      </c>
      <c r="J157" s="98">
        <v>25</v>
      </c>
    </row>
    <row r="158" spans="1:10" x14ac:dyDescent="0.2">
      <c r="A158" s="98">
        <v>1987</v>
      </c>
      <c r="B158" s="98">
        <v>30</v>
      </c>
      <c r="C158" s="100">
        <v>2100000</v>
      </c>
      <c r="D158" s="98">
        <v>25500</v>
      </c>
      <c r="E158" s="98" t="s">
        <v>145</v>
      </c>
      <c r="F158" s="98">
        <v>0</v>
      </c>
      <c r="G158" s="98">
        <v>0</v>
      </c>
      <c r="H158" s="98">
        <v>0</v>
      </c>
      <c r="I158" s="98">
        <v>0</v>
      </c>
      <c r="J158" s="98">
        <v>30</v>
      </c>
    </row>
    <row r="159" spans="1:10" x14ac:dyDescent="0.2">
      <c r="A159" s="98">
        <v>1988</v>
      </c>
      <c r="B159" s="98">
        <v>27</v>
      </c>
      <c r="C159" s="100">
        <v>2252000</v>
      </c>
      <c r="D159" s="98">
        <v>26000</v>
      </c>
      <c r="E159" s="98" t="s">
        <v>145</v>
      </c>
      <c r="F159" s="98">
        <v>0</v>
      </c>
      <c r="G159" s="98">
        <v>0</v>
      </c>
      <c r="H159" s="98">
        <v>0</v>
      </c>
      <c r="I159" s="98">
        <v>1</v>
      </c>
      <c r="J159" s="98">
        <v>27</v>
      </c>
    </row>
    <row r="160" spans="1:10" x14ac:dyDescent="0.2">
      <c r="A160" s="98">
        <v>1989</v>
      </c>
      <c r="B160" s="98">
        <v>24</v>
      </c>
      <c r="C160" s="100">
        <v>1866064</v>
      </c>
      <c r="D160" s="98">
        <v>28000</v>
      </c>
      <c r="E160" s="98" t="s">
        <v>145</v>
      </c>
      <c r="F160" s="98">
        <v>0</v>
      </c>
      <c r="G160" s="98">
        <v>0</v>
      </c>
      <c r="H160" s="98">
        <v>1</v>
      </c>
      <c r="I160" s="98">
        <v>0</v>
      </c>
      <c r="J160" s="98">
        <v>24</v>
      </c>
    </row>
    <row r="161" spans="1:10" x14ac:dyDescent="0.2">
      <c r="A161" s="98">
        <v>1987</v>
      </c>
      <c r="B161" s="98">
        <v>14</v>
      </c>
      <c r="C161" s="100">
        <v>1950000</v>
      </c>
      <c r="D161" s="98">
        <v>16000</v>
      </c>
      <c r="E161" s="98" t="s">
        <v>145</v>
      </c>
      <c r="F161" s="98">
        <v>1</v>
      </c>
      <c r="G161" s="98">
        <v>0</v>
      </c>
      <c r="H161" s="98">
        <v>0</v>
      </c>
      <c r="I161" s="98">
        <v>0</v>
      </c>
      <c r="J161" s="98">
        <v>14</v>
      </c>
    </row>
    <row r="162" spans="1:10" x14ac:dyDescent="0.2">
      <c r="A162" s="98">
        <v>1988</v>
      </c>
      <c r="B162" s="98">
        <v>13</v>
      </c>
      <c r="C162" s="100">
        <v>1850000</v>
      </c>
      <c r="D162" s="98">
        <v>17000</v>
      </c>
      <c r="E162" s="98" t="s">
        <v>145</v>
      </c>
      <c r="F162" s="98">
        <v>1</v>
      </c>
      <c r="G162" s="98">
        <v>0</v>
      </c>
      <c r="H162" s="98">
        <v>0</v>
      </c>
      <c r="I162" s="98">
        <v>1</v>
      </c>
      <c r="J162" s="98">
        <v>13</v>
      </c>
    </row>
    <row r="163" spans="1:10" x14ac:dyDescent="0.2">
      <c r="A163" s="98">
        <v>1989</v>
      </c>
      <c r="B163" s="98">
        <v>12</v>
      </c>
      <c r="C163" s="100">
        <v>1550000</v>
      </c>
      <c r="D163" s="98">
        <v>18000</v>
      </c>
      <c r="E163" s="98" t="s">
        <v>145</v>
      </c>
      <c r="F163" s="98">
        <v>1</v>
      </c>
      <c r="G163" s="98">
        <v>0</v>
      </c>
      <c r="H163" s="98">
        <v>1</v>
      </c>
      <c r="I163" s="98">
        <v>0</v>
      </c>
      <c r="J163" s="98">
        <v>12</v>
      </c>
    </row>
    <row r="164" spans="1:10" x14ac:dyDescent="0.2">
      <c r="A164" s="98">
        <v>1987</v>
      </c>
      <c r="B164" s="98" t="s">
        <v>145</v>
      </c>
      <c r="C164" s="100" t="s">
        <v>145</v>
      </c>
      <c r="D164" s="98" t="s">
        <v>145</v>
      </c>
      <c r="E164" s="98">
        <v>0</v>
      </c>
      <c r="F164" s="98">
        <v>0</v>
      </c>
      <c r="G164" s="98">
        <v>0</v>
      </c>
      <c r="H164" s="98">
        <v>0</v>
      </c>
      <c r="I164" s="98">
        <v>0</v>
      </c>
      <c r="J164" s="98">
        <v>0</v>
      </c>
    </row>
    <row r="165" spans="1:10" x14ac:dyDescent="0.2">
      <c r="A165" s="98">
        <v>1988</v>
      </c>
      <c r="B165" s="98">
        <v>12</v>
      </c>
      <c r="C165" s="100">
        <v>1000000</v>
      </c>
      <c r="D165" s="98">
        <v>29120</v>
      </c>
      <c r="E165" s="98">
        <v>16</v>
      </c>
      <c r="F165" s="98">
        <v>0</v>
      </c>
      <c r="G165" s="98">
        <v>0</v>
      </c>
      <c r="H165" s="98">
        <v>0</v>
      </c>
      <c r="I165" s="98">
        <v>1</v>
      </c>
      <c r="J165" s="98">
        <v>2</v>
      </c>
    </row>
    <row r="166" spans="1:10" x14ac:dyDescent="0.2">
      <c r="A166" s="98">
        <v>1989</v>
      </c>
      <c r="B166" s="98">
        <v>14</v>
      </c>
      <c r="C166" s="100">
        <v>1200000</v>
      </c>
      <c r="D166" s="98">
        <v>29120</v>
      </c>
      <c r="E166" s="98">
        <v>16</v>
      </c>
      <c r="F166" s="98">
        <v>0</v>
      </c>
      <c r="G166" s="98">
        <v>0</v>
      </c>
      <c r="H166" s="98">
        <v>1</v>
      </c>
      <c r="I166" s="98">
        <v>0</v>
      </c>
      <c r="J166" s="98">
        <v>4</v>
      </c>
    </row>
    <row r="167" spans="1:10" x14ac:dyDescent="0.2">
      <c r="A167" s="98">
        <v>1987</v>
      </c>
      <c r="B167" s="98">
        <v>30</v>
      </c>
      <c r="C167" s="100" t="s">
        <v>145</v>
      </c>
      <c r="D167" s="98">
        <v>26000</v>
      </c>
      <c r="E167" s="98" t="s">
        <v>145</v>
      </c>
      <c r="F167" s="98">
        <v>0</v>
      </c>
      <c r="G167" s="98">
        <v>0</v>
      </c>
      <c r="H167" s="98">
        <v>0</v>
      </c>
      <c r="I167" s="98">
        <v>0</v>
      </c>
      <c r="J167" s="98">
        <v>30</v>
      </c>
    </row>
    <row r="168" spans="1:10" x14ac:dyDescent="0.2">
      <c r="A168" s="98">
        <v>1988</v>
      </c>
      <c r="B168" s="98">
        <v>30</v>
      </c>
      <c r="C168" s="100" t="s">
        <v>145</v>
      </c>
      <c r="D168" s="98">
        <v>26000</v>
      </c>
      <c r="E168" s="98" t="s">
        <v>145</v>
      </c>
      <c r="F168" s="98">
        <v>0</v>
      </c>
      <c r="G168" s="98">
        <v>0</v>
      </c>
      <c r="H168" s="98">
        <v>0</v>
      </c>
      <c r="I168" s="98">
        <v>1</v>
      </c>
      <c r="J168" s="98">
        <v>30</v>
      </c>
    </row>
    <row r="169" spans="1:10" x14ac:dyDescent="0.2">
      <c r="A169" s="98">
        <v>1989</v>
      </c>
      <c r="B169" s="98">
        <v>28</v>
      </c>
      <c r="C169" s="100" t="s">
        <v>145</v>
      </c>
      <c r="D169" s="98">
        <v>27000</v>
      </c>
      <c r="E169" s="98" t="s">
        <v>145</v>
      </c>
      <c r="F169" s="98">
        <v>0</v>
      </c>
      <c r="G169" s="98">
        <v>0</v>
      </c>
      <c r="H169" s="98">
        <v>1</v>
      </c>
      <c r="I169" s="98">
        <v>0</v>
      </c>
      <c r="J169" s="98">
        <v>28</v>
      </c>
    </row>
    <row r="170" spans="1:10" x14ac:dyDescent="0.2">
      <c r="A170" s="98">
        <v>1987</v>
      </c>
      <c r="B170" s="98">
        <v>27</v>
      </c>
      <c r="C170" s="100">
        <v>2873000</v>
      </c>
      <c r="D170" s="98">
        <v>19762</v>
      </c>
      <c r="E170" s="98">
        <v>100</v>
      </c>
      <c r="F170" s="98">
        <v>0</v>
      </c>
      <c r="G170" s="98">
        <v>0</v>
      </c>
      <c r="H170" s="98">
        <v>0</v>
      </c>
      <c r="I170" s="98">
        <v>0</v>
      </c>
      <c r="J170" s="98">
        <v>14</v>
      </c>
    </row>
    <row r="171" spans="1:10" x14ac:dyDescent="0.2">
      <c r="A171" s="98">
        <v>1988</v>
      </c>
      <c r="B171" s="98">
        <v>61</v>
      </c>
      <c r="C171" s="100">
        <v>6097000</v>
      </c>
      <c r="D171" s="98">
        <v>21120</v>
      </c>
      <c r="E171" s="98">
        <v>50</v>
      </c>
      <c r="F171" s="98">
        <v>0</v>
      </c>
      <c r="G171" s="98">
        <v>0</v>
      </c>
      <c r="H171" s="98">
        <v>0</v>
      </c>
      <c r="I171" s="98">
        <v>1</v>
      </c>
      <c r="J171" s="98">
        <v>5</v>
      </c>
    </row>
    <row r="172" spans="1:10" x14ac:dyDescent="0.2">
      <c r="A172" s="98">
        <v>1989</v>
      </c>
      <c r="B172" s="98">
        <v>52</v>
      </c>
      <c r="C172" s="100">
        <v>5670000</v>
      </c>
      <c r="D172" s="98">
        <v>22360</v>
      </c>
      <c r="E172" s="98">
        <v>70</v>
      </c>
      <c r="F172" s="98">
        <v>0</v>
      </c>
      <c r="G172" s="98">
        <v>0</v>
      </c>
      <c r="H172" s="98">
        <v>1</v>
      </c>
      <c r="I172" s="98">
        <v>0</v>
      </c>
      <c r="J172" s="98">
        <v>9</v>
      </c>
    </row>
    <row r="173" spans="1:10" x14ac:dyDescent="0.2">
      <c r="A173" s="98">
        <v>1987</v>
      </c>
      <c r="B173" s="98">
        <v>24</v>
      </c>
      <c r="C173" s="100">
        <v>2213235</v>
      </c>
      <c r="D173" s="98">
        <v>20004</v>
      </c>
      <c r="E173" s="98" t="s">
        <v>145</v>
      </c>
      <c r="F173" s="98">
        <v>0</v>
      </c>
      <c r="G173" s="98">
        <v>0</v>
      </c>
      <c r="H173" s="98">
        <v>0</v>
      </c>
      <c r="I173" s="98">
        <v>0</v>
      </c>
      <c r="J173" s="98">
        <v>24</v>
      </c>
    </row>
    <row r="174" spans="1:10" x14ac:dyDescent="0.2">
      <c r="A174" s="98">
        <v>1988</v>
      </c>
      <c r="B174" s="98">
        <v>20</v>
      </c>
      <c r="C174" s="100">
        <v>2100943</v>
      </c>
      <c r="D174" s="98">
        <v>19078</v>
      </c>
      <c r="E174" s="98" t="s">
        <v>145</v>
      </c>
      <c r="F174" s="98">
        <v>0</v>
      </c>
      <c r="G174" s="98">
        <v>0</v>
      </c>
      <c r="H174" s="98">
        <v>0</v>
      </c>
      <c r="I174" s="98">
        <v>1</v>
      </c>
      <c r="J174" s="98">
        <v>20</v>
      </c>
    </row>
    <row r="175" spans="1:10" x14ac:dyDescent="0.2">
      <c r="A175" s="98">
        <v>1989</v>
      </c>
      <c r="B175" s="98">
        <v>20</v>
      </c>
      <c r="C175" s="100">
        <v>2174049</v>
      </c>
      <c r="D175" s="98">
        <v>21099</v>
      </c>
      <c r="E175" s="98" t="s">
        <v>145</v>
      </c>
      <c r="F175" s="98">
        <v>0</v>
      </c>
      <c r="G175" s="98">
        <v>0</v>
      </c>
      <c r="H175" s="98">
        <v>1</v>
      </c>
      <c r="I175" s="98">
        <v>0</v>
      </c>
      <c r="J175" s="98">
        <v>20</v>
      </c>
    </row>
    <row r="176" spans="1:10" x14ac:dyDescent="0.2">
      <c r="A176" s="98">
        <v>1987</v>
      </c>
      <c r="B176" s="98">
        <v>6</v>
      </c>
      <c r="C176" s="100">
        <v>2100000</v>
      </c>
      <c r="D176" s="98">
        <v>16640</v>
      </c>
      <c r="E176" s="98">
        <v>0</v>
      </c>
      <c r="F176" s="98">
        <v>0</v>
      </c>
      <c r="G176" s="98">
        <v>0</v>
      </c>
      <c r="H176" s="98">
        <v>0</v>
      </c>
      <c r="I176" s="98">
        <v>0</v>
      </c>
      <c r="J176" s="98">
        <v>0</v>
      </c>
    </row>
    <row r="177" spans="1:10" x14ac:dyDescent="0.2">
      <c r="A177" s="98">
        <v>1988</v>
      </c>
      <c r="B177" s="98">
        <v>7</v>
      </c>
      <c r="C177" s="100">
        <v>1800000</v>
      </c>
      <c r="D177" s="98">
        <v>18720</v>
      </c>
      <c r="E177" s="98">
        <v>10</v>
      </c>
      <c r="F177" s="98">
        <v>0</v>
      </c>
      <c r="G177" s="98">
        <v>0</v>
      </c>
      <c r="H177" s="98">
        <v>0</v>
      </c>
      <c r="I177" s="98">
        <v>1</v>
      </c>
      <c r="J177" s="98">
        <v>2</v>
      </c>
    </row>
    <row r="178" spans="1:10" x14ac:dyDescent="0.2">
      <c r="A178" s="98">
        <v>1989</v>
      </c>
      <c r="B178" s="98">
        <v>6</v>
      </c>
      <c r="C178" s="100">
        <v>1600000</v>
      </c>
      <c r="D178" s="98">
        <v>20800</v>
      </c>
      <c r="E178" s="98">
        <v>0</v>
      </c>
      <c r="F178" s="98">
        <v>0</v>
      </c>
      <c r="G178" s="98">
        <v>0</v>
      </c>
      <c r="H178" s="98">
        <v>1</v>
      </c>
      <c r="I178" s="98">
        <v>0</v>
      </c>
      <c r="J178" s="98">
        <v>0</v>
      </c>
    </row>
    <row r="179" spans="1:10" x14ac:dyDescent="0.2">
      <c r="A179" s="98">
        <v>1987</v>
      </c>
      <c r="B179" s="98">
        <v>63</v>
      </c>
      <c r="C179" s="100" t="s">
        <v>145</v>
      </c>
      <c r="D179" s="98">
        <v>25900</v>
      </c>
      <c r="E179" s="98">
        <v>0</v>
      </c>
      <c r="F179" s="98">
        <v>0</v>
      </c>
      <c r="G179" s="98">
        <v>0</v>
      </c>
      <c r="H179" s="98">
        <v>0</v>
      </c>
      <c r="I179" s="98">
        <v>0</v>
      </c>
      <c r="J179" s="98">
        <v>0</v>
      </c>
    </row>
    <row r="180" spans="1:10" x14ac:dyDescent="0.2">
      <c r="A180" s="98">
        <v>1988</v>
      </c>
      <c r="B180" s="98">
        <v>57</v>
      </c>
      <c r="C180" s="100" t="s">
        <v>145</v>
      </c>
      <c r="D180" s="98">
        <v>25300</v>
      </c>
      <c r="E180" s="98">
        <v>45</v>
      </c>
      <c r="F180" s="98">
        <v>0</v>
      </c>
      <c r="G180" s="98">
        <v>1</v>
      </c>
      <c r="H180" s="98">
        <v>0</v>
      </c>
      <c r="I180" s="98">
        <v>1</v>
      </c>
      <c r="J180" s="98">
        <v>24</v>
      </c>
    </row>
    <row r="181" spans="1:10" x14ac:dyDescent="0.2">
      <c r="A181" s="98">
        <v>1989</v>
      </c>
      <c r="B181" s="98">
        <v>59</v>
      </c>
      <c r="C181" s="100" t="s">
        <v>145</v>
      </c>
      <c r="D181" s="98">
        <v>26800</v>
      </c>
      <c r="E181" s="98">
        <v>40</v>
      </c>
      <c r="F181" s="98">
        <v>0</v>
      </c>
      <c r="G181" s="98">
        <v>0</v>
      </c>
      <c r="H181" s="98">
        <v>1</v>
      </c>
      <c r="I181" s="98">
        <v>0</v>
      </c>
      <c r="J181" s="98">
        <v>35</v>
      </c>
    </row>
    <row r="182" spans="1:10" x14ac:dyDescent="0.2">
      <c r="A182" s="98">
        <v>1987</v>
      </c>
      <c r="B182" s="98">
        <v>26</v>
      </c>
      <c r="C182" s="100">
        <v>2200000</v>
      </c>
      <c r="D182" s="98">
        <v>10712</v>
      </c>
      <c r="E182" s="98" t="s">
        <v>145</v>
      </c>
      <c r="F182" s="98">
        <v>1</v>
      </c>
      <c r="G182" s="98">
        <v>0</v>
      </c>
      <c r="H182" s="98">
        <v>0</v>
      </c>
      <c r="I182" s="98">
        <v>0</v>
      </c>
      <c r="J182" s="98">
        <v>26</v>
      </c>
    </row>
    <row r="183" spans="1:10" x14ac:dyDescent="0.2">
      <c r="A183" s="98">
        <v>1988</v>
      </c>
      <c r="B183" s="98">
        <v>24</v>
      </c>
      <c r="C183" s="100">
        <v>1800000</v>
      </c>
      <c r="D183" s="98">
        <v>10940</v>
      </c>
      <c r="E183" s="98" t="s">
        <v>145</v>
      </c>
      <c r="F183" s="98">
        <v>1</v>
      </c>
      <c r="G183" s="98">
        <v>0</v>
      </c>
      <c r="H183" s="98">
        <v>0</v>
      </c>
      <c r="I183" s="98">
        <v>1</v>
      </c>
      <c r="J183" s="98">
        <v>24</v>
      </c>
    </row>
    <row r="184" spans="1:10" x14ac:dyDescent="0.2">
      <c r="A184" s="98">
        <v>1989</v>
      </c>
      <c r="B184" s="98">
        <v>21</v>
      </c>
      <c r="C184" s="100">
        <v>1700000</v>
      </c>
      <c r="D184" s="98">
        <v>11148</v>
      </c>
      <c r="E184" s="98" t="s">
        <v>145</v>
      </c>
      <c r="F184" s="98">
        <v>1</v>
      </c>
      <c r="G184" s="98">
        <v>0</v>
      </c>
      <c r="H184" s="98">
        <v>1</v>
      </c>
      <c r="I184" s="98">
        <v>0</v>
      </c>
      <c r="J184" s="98">
        <v>21</v>
      </c>
    </row>
    <row r="185" spans="1:10" x14ac:dyDescent="0.2">
      <c r="A185" s="98">
        <v>1987</v>
      </c>
      <c r="B185" s="98">
        <v>10</v>
      </c>
      <c r="C185" s="100">
        <v>900000</v>
      </c>
      <c r="D185" s="98" t="s">
        <v>145</v>
      </c>
      <c r="E185" s="98">
        <v>0</v>
      </c>
      <c r="F185" s="98">
        <v>0</v>
      </c>
      <c r="G185" s="98">
        <v>0</v>
      </c>
      <c r="H185" s="98">
        <v>0</v>
      </c>
      <c r="I185" s="98">
        <v>0</v>
      </c>
      <c r="J185" s="98">
        <v>3</v>
      </c>
    </row>
    <row r="186" spans="1:10" x14ac:dyDescent="0.2">
      <c r="A186" s="98">
        <v>1988</v>
      </c>
      <c r="B186" s="98">
        <v>10</v>
      </c>
      <c r="C186" s="100">
        <v>1200000</v>
      </c>
      <c r="D186" s="98" t="s">
        <v>145</v>
      </c>
      <c r="E186" s="98">
        <v>16</v>
      </c>
      <c r="F186" s="98">
        <v>0</v>
      </c>
      <c r="G186" s="98">
        <v>1</v>
      </c>
      <c r="H186" s="98">
        <v>0</v>
      </c>
      <c r="I186" s="98">
        <v>1</v>
      </c>
      <c r="J186" s="98">
        <v>10</v>
      </c>
    </row>
    <row r="187" spans="1:10" x14ac:dyDescent="0.2">
      <c r="A187" s="98">
        <v>1989</v>
      </c>
      <c r="B187" s="98">
        <v>12</v>
      </c>
      <c r="C187" s="100">
        <v>1100000</v>
      </c>
      <c r="D187" s="98">
        <v>20000</v>
      </c>
      <c r="E187" s="98">
        <v>0</v>
      </c>
      <c r="F187" s="98">
        <v>0</v>
      </c>
      <c r="G187" s="98">
        <v>0</v>
      </c>
      <c r="H187" s="98">
        <v>1</v>
      </c>
      <c r="I187" s="98">
        <v>0</v>
      </c>
      <c r="J187" s="98">
        <v>1</v>
      </c>
    </row>
    <row r="188" spans="1:10" x14ac:dyDescent="0.2">
      <c r="A188" s="98">
        <v>1987</v>
      </c>
      <c r="B188" s="98">
        <v>70</v>
      </c>
      <c r="C188" s="100">
        <v>4200000</v>
      </c>
      <c r="D188" s="98">
        <v>12400</v>
      </c>
      <c r="E188" s="98">
        <v>0</v>
      </c>
      <c r="F188" s="98">
        <v>1</v>
      </c>
      <c r="G188" s="98">
        <v>0</v>
      </c>
      <c r="H188" s="98">
        <v>0</v>
      </c>
      <c r="I188" s="98">
        <v>0</v>
      </c>
      <c r="J188" s="98">
        <v>0</v>
      </c>
    </row>
    <row r="189" spans="1:10" x14ac:dyDescent="0.2">
      <c r="A189" s="98">
        <v>1988</v>
      </c>
      <c r="B189" s="98">
        <v>50</v>
      </c>
      <c r="C189" s="100">
        <v>3740000</v>
      </c>
      <c r="D189" s="98">
        <v>13400</v>
      </c>
      <c r="E189" s="98">
        <v>43</v>
      </c>
      <c r="F189" s="98">
        <v>1</v>
      </c>
      <c r="G189" s="98">
        <v>1</v>
      </c>
      <c r="H189" s="98">
        <v>0</v>
      </c>
      <c r="I189" s="98">
        <v>1</v>
      </c>
      <c r="J189" s="98">
        <v>10</v>
      </c>
    </row>
    <row r="190" spans="1:10" x14ac:dyDescent="0.2">
      <c r="A190" s="98">
        <v>1989</v>
      </c>
      <c r="B190" s="98">
        <v>30</v>
      </c>
      <c r="C190" s="100">
        <v>2040000</v>
      </c>
      <c r="D190" s="98">
        <v>14000</v>
      </c>
      <c r="E190" s="98">
        <v>40</v>
      </c>
      <c r="F190" s="98">
        <v>1</v>
      </c>
      <c r="G190" s="98">
        <v>0</v>
      </c>
      <c r="H190" s="98">
        <v>1</v>
      </c>
      <c r="I190" s="98">
        <v>0</v>
      </c>
      <c r="J190" s="98">
        <v>5</v>
      </c>
    </row>
    <row r="191" spans="1:10" x14ac:dyDescent="0.2">
      <c r="A191" s="98">
        <v>1987</v>
      </c>
      <c r="B191" s="98">
        <v>20</v>
      </c>
      <c r="C191" s="100">
        <v>750000</v>
      </c>
      <c r="D191" s="98">
        <v>14560</v>
      </c>
      <c r="E191" s="98">
        <v>40</v>
      </c>
      <c r="F191" s="98">
        <v>0</v>
      </c>
      <c r="G191" s="98">
        <v>0</v>
      </c>
      <c r="H191" s="98">
        <v>0</v>
      </c>
      <c r="I191" s="98">
        <v>0</v>
      </c>
      <c r="J191" s="98">
        <v>2</v>
      </c>
    </row>
    <row r="192" spans="1:10" x14ac:dyDescent="0.2">
      <c r="A192" s="98">
        <v>1988</v>
      </c>
      <c r="B192" s="98">
        <v>18</v>
      </c>
      <c r="C192" s="100">
        <v>800000</v>
      </c>
      <c r="D192" s="98">
        <v>16640</v>
      </c>
      <c r="E192" s="98">
        <v>60</v>
      </c>
      <c r="F192" s="98">
        <v>0</v>
      </c>
      <c r="G192" s="98">
        <v>1</v>
      </c>
      <c r="H192" s="98">
        <v>0</v>
      </c>
      <c r="I192" s="98">
        <v>1</v>
      </c>
      <c r="J192" s="98">
        <v>3</v>
      </c>
    </row>
    <row r="193" spans="1:10" x14ac:dyDescent="0.2">
      <c r="A193" s="98">
        <v>1989</v>
      </c>
      <c r="B193" s="98">
        <v>20</v>
      </c>
      <c r="C193" s="100">
        <v>950000</v>
      </c>
      <c r="D193" s="98">
        <v>17680</v>
      </c>
      <c r="E193" s="98">
        <v>40</v>
      </c>
      <c r="F193" s="98">
        <v>0</v>
      </c>
      <c r="G193" s="98">
        <v>0</v>
      </c>
      <c r="H193" s="98">
        <v>1</v>
      </c>
      <c r="I193" s="98">
        <v>0</v>
      </c>
      <c r="J193" s="98">
        <v>3</v>
      </c>
    </row>
    <row r="194" spans="1:10" x14ac:dyDescent="0.2">
      <c r="A194" s="98">
        <v>1987</v>
      </c>
      <c r="B194" s="98">
        <v>9</v>
      </c>
      <c r="C194" s="100">
        <v>6802180</v>
      </c>
      <c r="D194" s="98">
        <v>13478</v>
      </c>
      <c r="E194" s="98">
        <v>256</v>
      </c>
      <c r="F194" s="98">
        <v>0</v>
      </c>
      <c r="G194" s="98">
        <v>0</v>
      </c>
      <c r="H194" s="98">
        <v>0</v>
      </c>
      <c r="I194" s="98">
        <v>0</v>
      </c>
      <c r="J194" s="98">
        <v>2</v>
      </c>
    </row>
    <row r="195" spans="1:10" x14ac:dyDescent="0.2">
      <c r="A195" s="98">
        <v>1988</v>
      </c>
      <c r="B195" s="98">
        <v>12</v>
      </c>
      <c r="C195" s="100">
        <v>936477</v>
      </c>
      <c r="D195" s="98">
        <v>14269</v>
      </c>
      <c r="E195" s="98">
        <v>281</v>
      </c>
      <c r="F195" s="98">
        <v>0</v>
      </c>
      <c r="G195" s="98">
        <v>1</v>
      </c>
      <c r="H195" s="98">
        <v>0</v>
      </c>
      <c r="I195" s="98">
        <v>1</v>
      </c>
      <c r="J195" s="98">
        <v>7</v>
      </c>
    </row>
    <row r="196" spans="1:10" x14ac:dyDescent="0.2">
      <c r="A196" s="98">
        <v>1989</v>
      </c>
      <c r="B196" s="98">
        <v>17</v>
      </c>
      <c r="C196" s="100">
        <v>1437883</v>
      </c>
      <c r="D196" s="98">
        <v>15558</v>
      </c>
      <c r="E196" s="98">
        <v>256</v>
      </c>
      <c r="F196" s="98">
        <v>0</v>
      </c>
      <c r="G196" s="98">
        <v>0</v>
      </c>
      <c r="H196" s="98">
        <v>1</v>
      </c>
      <c r="I196" s="98">
        <v>0</v>
      </c>
      <c r="J196" s="98">
        <v>5</v>
      </c>
    </row>
    <row r="197" spans="1:10" x14ac:dyDescent="0.2">
      <c r="A197" s="98">
        <v>1987</v>
      </c>
      <c r="B197" s="98">
        <v>11</v>
      </c>
      <c r="C197" s="100">
        <v>1850000</v>
      </c>
      <c r="D197" s="98">
        <v>12500</v>
      </c>
      <c r="E197" s="98">
        <v>0</v>
      </c>
      <c r="F197" s="98">
        <v>0</v>
      </c>
      <c r="G197" s="98">
        <v>0</v>
      </c>
      <c r="H197" s="98">
        <v>0</v>
      </c>
      <c r="I197" s="98">
        <v>0</v>
      </c>
      <c r="J197" s="98">
        <v>0</v>
      </c>
    </row>
    <row r="198" spans="1:10" x14ac:dyDescent="0.2">
      <c r="A198" s="98">
        <v>1988</v>
      </c>
      <c r="B198" s="98">
        <v>13</v>
      </c>
      <c r="C198" s="100">
        <v>2078000</v>
      </c>
      <c r="D198" s="98">
        <v>13100</v>
      </c>
      <c r="E198" s="98">
        <v>40</v>
      </c>
      <c r="F198" s="98">
        <v>0</v>
      </c>
      <c r="G198" s="98">
        <v>1</v>
      </c>
      <c r="H198" s="98">
        <v>0</v>
      </c>
      <c r="I198" s="98">
        <v>1</v>
      </c>
      <c r="J198" s="98">
        <v>2</v>
      </c>
    </row>
    <row r="199" spans="1:10" x14ac:dyDescent="0.2">
      <c r="A199" s="98">
        <v>1989</v>
      </c>
      <c r="B199" s="98">
        <v>13</v>
      </c>
      <c r="C199" s="100">
        <v>2040000</v>
      </c>
      <c r="D199" s="98">
        <v>13800</v>
      </c>
      <c r="E199" s="98">
        <v>10</v>
      </c>
      <c r="F199" s="98">
        <v>0</v>
      </c>
      <c r="G199" s="98">
        <v>0</v>
      </c>
      <c r="H199" s="98">
        <v>1</v>
      </c>
      <c r="I199" s="98">
        <v>0</v>
      </c>
      <c r="J199" s="98">
        <v>2</v>
      </c>
    </row>
    <row r="200" spans="1:10" x14ac:dyDescent="0.2">
      <c r="A200" s="98">
        <v>1987</v>
      </c>
      <c r="B200" s="98">
        <v>40</v>
      </c>
      <c r="C200" s="100">
        <v>5500000</v>
      </c>
      <c r="D200" s="98">
        <v>10400</v>
      </c>
      <c r="E200" s="98">
        <v>0</v>
      </c>
      <c r="F200" s="98">
        <v>0</v>
      </c>
      <c r="G200" s="98">
        <v>0</v>
      </c>
      <c r="H200" s="98">
        <v>0</v>
      </c>
      <c r="I200" s="98">
        <v>0</v>
      </c>
      <c r="J200" s="98">
        <v>0</v>
      </c>
    </row>
    <row r="201" spans="1:10" x14ac:dyDescent="0.2">
      <c r="A201" s="98">
        <v>1988</v>
      </c>
      <c r="B201" s="98">
        <v>60</v>
      </c>
      <c r="C201" s="100">
        <v>6000000</v>
      </c>
      <c r="D201" s="98">
        <v>10400</v>
      </c>
      <c r="E201" s="98">
        <v>40</v>
      </c>
      <c r="F201" s="98">
        <v>0</v>
      </c>
      <c r="G201" s="98">
        <v>1</v>
      </c>
      <c r="H201" s="98">
        <v>0</v>
      </c>
      <c r="I201" s="98">
        <v>1</v>
      </c>
      <c r="J201" s="98">
        <v>57</v>
      </c>
    </row>
    <row r="202" spans="1:10" x14ac:dyDescent="0.2">
      <c r="A202" s="98">
        <v>1989</v>
      </c>
      <c r="B202" s="98">
        <v>100</v>
      </c>
      <c r="C202" s="100">
        <v>7000000</v>
      </c>
      <c r="D202" s="98">
        <v>11020</v>
      </c>
      <c r="E202" s="98">
        <v>20</v>
      </c>
      <c r="F202" s="98">
        <v>0</v>
      </c>
      <c r="G202" s="98">
        <v>0</v>
      </c>
      <c r="H202" s="98">
        <v>1</v>
      </c>
      <c r="I202" s="98">
        <v>0</v>
      </c>
      <c r="J202" s="98">
        <v>10</v>
      </c>
    </row>
    <row r="203" spans="1:10" x14ac:dyDescent="0.2">
      <c r="A203" s="98">
        <v>1987</v>
      </c>
      <c r="B203" s="98">
        <v>30</v>
      </c>
      <c r="C203" s="100">
        <v>1269000</v>
      </c>
      <c r="D203" s="98">
        <v>14000</v>
      </c>
      <c r="E203" s="98">
        <v>0</v>
      </c>
      <c r="F203" s="98">
        <v>0</v>
      </c>
      <c r="G203" s="98">
        <v>0</v>
      </c>
      <c r="H203" s="98">
        <v>0</v>
      </c>
      <c r="I203" s="98">
        <v>0</v>
      </c>
      <c r="J203" s="98">
        <v>0</v>
      </c>
    </row>
    <row r="204" spans="1:10" x14ac:dyDescent="0.2">
      <c r="A204" s="98">
        <v>1988</v>
      </c>
      <c r="B204" s="98">
        <v>30</v>
      </c>
      <c r="C204" s="100">
        <v>1681000</v>
      </c>
      <c r="D204" s="98">
        <v>14500</v>
      </c>
      <c r="E204" s="98">
        <v>23</v>
      </c>
      <c r="F204" s="98">
        <v>0</v>
      </c>
      <c r="G204" s="98">
        <v>1</v>
      </c>
      <c r="H204" s="98">
        <v>0</v>
      </c>
      <c r="I204" s="98">
        <v>1</v>
      </c>
      <c r="J204" s="98">
        <v>24</v>
      </c>
    </row>
    <row r="205" spans="1:10" x14ac:dyDescent="0.2">
      <c r="A205" s="98">
        <v>1989</v>
      </c>
      <c r="B205" s="98">
        <v>31</v>
      </c>
      <c r="C205" s="100">
        <v>1814000</v>
      </c>
      <c r="D205" s="98">
        <v>15000</v>
      </c>
      <c r="E205" s="98">
        <v>0</v>
      </c>
      <c r="F205" s="98">
        <v>0</v>
      </c>
      <c r="G205" s="98">
        <v>0</v>
      </c>
      <c r="H205" s="98">
        <v>1</v>
      </c>
      <c r="I205" s="98">
        <v>0</v>
      </c>
      <c r="J205" s="98">
        <v>0</v>
      </c>
    </row>
    <row r="206" spans="1:10" x14ac:dyDescent="0.2">
      <c r="A206" s="98">
        <v>1987</v>
      </c>
      <c r="B206" s="98">
        <v>485</v>
      </c>
      <c r="C206" s="100" t="s">
        <v>145</v>
      </c>
      <c r="D206" s="98">
        <v>17888</v>
      </c>
      <c r="E206" s="98">
        <v>10</v>
      </c>
      <c r="F206" s="98">
        <v>0</v>
      </c>
      <c r="G206" s="98">
        <v>0</v>
      </c>
      <c r="H206" s="98">
        <v>0</v>
      </c>
      <c r="I206" s="98">
        <v>0</v>
      </c>
      <c r="J206" s="98">
        <v>15</v>
      </c>
    </row>
    <row r="207" spans="1:10" x14ac:dyDescent="0.2">
      <c r="A207" s="98">
        <v>1988</v>
      </c>
      <c r="B207" s="98">
        <v>500</v>
      </c>
      <c r="C207" s="100" t="s">
        <v>145</v>
      </c>
      <c r="D207" s="98">
        <v>18637</v>
      </c>
      <c r="E207" s="98">
        <v>46</v>
      </c>
      <c r="F207" s="98">
        <v>0</v>
      </c>
      <c r="G207" s="98">
        <v>1</v>
      </c>
      <c r="H207" s="98">
        <v>0</v>
      </c>
      <c r="I207" s="98">
        <v>1</v>
      </c>
      <c r="J207" s="98">
        <v>24</v>
      </c>
    </row>
    <row r="208" spans="1:10" x14ac:dyDescent="0.2">
      <c r="A208" s="98">
        <v>1989</v>
      </c>
      <c r="B208" s="98">
        <v>525</v>
      </c>
      <c r="C208" s="100" t="s">
        <v>145</v>
      </c>
      <c r="D208" s="98">
        <v>19386</v>
      </c>
      <c r="E208" s="98">
        <v>10</v>
      </c>
      <c r="F208" s="98">
        <v>0</v>
      </c>
      <c r="G208" s="98">
        <v>0</v>
      </c>
      <c r="H208" s="98">
        <v>1</v>
      </c>
      <c r="I208" s="98">
        <v>0</v>
      </c>
      <c r="J208" s="98">
        <v>15</v>
      </c>
    </row>
    <row r="209" spans="1:10" x14ac:dyDescent="0.2">
      <c r="A209" s="98">
        <v>1987</v>
      </c>
      <c r="B209" s="98">
        <v>15</v>
      </c>
      <c r="C209" s="100">
        <v>2000000</v>
      </c>
      <c r="D209" s="98">
        <v>18000</v>
      </c>
      <c r="E209" s="98">
        <v>30</v>
      </c>
      <c r="F209" s="98">
        <v>0</v>
      </c>
      <c r="G209" s="98">
        <v>0</v>
      </c>
      <c r="H209" s="98">
        <v>0</v>
      </c>
      <c r="I209" s="98">
        <v>0</v>
      </c>
      <c r="J209" s="98">
        <v>2</v>
      </c>
    </row>
    <row r="210" spans="1:10" x14ac:dyDescent="0.2">
      <c r="A210" s="98">
        <v>1988</v>
      </c>
      <c r="B210" s="98">
        <v>15</v>
      </c>
      <c r="C210" s="100">
        <v>2500000</v>
      </c>
      <c r="D210" s="98">
        <v>20000</v>
      </c>
      <c r="E210" s="98">
        <v>40</v>
      </c>
      <c r="F210" s="98">
        <v>0</v>
      </c>
      <c r="G210" s="98">
        <v>0</v>
      </c>
      <c r="H210" s="98">
        <v>0</v>
      </c>
      <c r="I210" s="98">
        <v>1</v>
      </c>
      <c r="J210" s="98">
        <v>3</v>
      </c>
    </row>
    <row r="211" spans="1:10" x14ac:dyDescent="0.2">
      <c r="A211" s="98">
        <v>1989</v>
      </c>
      <c r="B211" s="98">
        <v>15</v>
      </c>
      <c r="C211" s="100">
        <v>3500000</v>
      </c>
      <c r="D211" s="98">
        <v>22000</v>
      </c>
      <c r="E211" s="98">
        <v>150</v>
      </c>
      <c r="F211" s="98">
        <v>0</v>
      </c>
      <c r="G211" s="98">
        <v>0</v>
      </c>
      <c r="H211" s="98">
        <v>1</v>
      </c>
      <c r="I211" s="98">
        <v>0</v>
      </c>
      <c r="J211" s="98">
        <v>15</v>
      </c>
    </row>
    <row r="212" spans="1:10" x14ac:dyDescent="0.2">
      <c r="A212" s="98">
        <v>1987</v>
      </c>
      <c r="B212" s="98">
        <v>15</v>
      </c>
      <c r="C212" s="100" t="s">
        <v>145</v>
      </c>
      <c r="D212" s="98">
        <v>13000</v>
      </c>
      <c r="E212" s="98">
        <v>0</v>
      </c>
      <c r="F212" s="98">
        <v>0</v>
      </c>
      <c r="G212" s="98">
        <v>0</v>
      </c>
      <c r="H212" s="98">
        <v>0</v>
      </c>
      <c r="I212" s="98">
        <v>0</v>
      </c>
      <c r="J212" s="98">
        <v>0</v>
      </c>
    </row>
    <row r="213" spans="1:10" x14ac:dyDescent="0.2">
      <c r="A213" s="98">
        <v>1988</v>
      </c>
      <c r="B213" s="98">
        <v>20</v>
      </c>
      <c r="C213" s="100" t="s">
        <v>145</v>
      </c>
      <c r="D213" s="98">
        <v>12000</v>
      </c>
      <c r="E213" s="98">
        <v>24</v>
      </c>
      <c r="F213" s="98">
        <v>0</v>
      </c>
      <c r="G213" s="98">
        <v>1</v>
      </c>
      <c r="H213" s="98">
        <v>0</v>
      </c>
      <c r="I213" s="98">
        <v>1</v>
      </c>
      <c r="J213" s="98">
        <v>20</v>
      </c>
    </row>
    <row r="214" spans="1:10" x14ac:dyDescent="0.2">
      <c r="A214" s="98">
        <v>1989</v>
      </c>
      <c r="B214" s="98">
        <v>25</v>
      </c>
      <c r="C214" s="100" t="s">
        <v>145</v>
      </c>
      <c r="D214" s="98">
        <v>12000</v>
      </c>
      <c r="E214" s="98">
        <v>4</v>
      </c>
      <c r="F214" s="98">
        <v>0</v>
      </c>
      <c r="G214" s="98">
        <v>0</v>
      </c>
      <c r="H214" s="98">
        <v>1</v>
      </c>
      <c r="I214" s="98">
        <v>0</v>
      </c>
      <c r="J214" s="98">
        <v>25</v>
      </c>
    </row>
    <row r="215" spans="1:10" x14ac:dyDescent="0.2">
      <c r="A215" s="98">
        <v>1987</v>
      </c>
      <c r="B215" s="98" t="s">
        <v>145</v>
      </c>
      <c r="C215" s="100" t="s">
        <v>145</v>
      </c>
      <c r="D215" s="98" t="s">
        <v>145</v>
      </c>
      <c r="E215" s="98">
        <v>25</v>
      </c>
      <c r="F215" s="98">
        <v>1</v>
      </c>
      <c r="G215" s="98">
        <v>0</v>
      </c>
      <c r="H215" s="98">
        <v>0</v>
      </c>
      <c r="I215" s="98">
        <v>0</v>
      </c>
      <c r="J215" s="98">
        <v>30</v>
      </c>
    </row>
    <row r="216" spans="1:10" x14ac:dyDescent="0.2">
      <c r="A216" s="98">
        <v>1988</v>
      </c>
      <c r="B216" s="98" t="s">
        <v>145</v>
      </c>
      <c r="C216" s="100" t="s">
        <v>145</v>
      </c>
      <c r="D216" s="98" t="s">
        <v>145</v>
      </c>
      <c r="E216" s="98">
        <v>13</v>
      </c>
      <c r="F216" s="98">
        <v>1</v>
      </c>
      <c r="G216" s="98">
        <v>1</v>
      </c>
      <c r="H216" s="98">
        <v>0</v>
      </c>
      <c r="I216" s="98">
        <v>1</v>
      </c>
      <c r="J216" s="98">
        <v>199</v>
      </c>
    </row>
    <row r="217" spans="1:10" x14ac:dyDescent="0.2">
      <c r="A217" s="98">
        <v>1989</v>
      </c>
      <c r="B217" s="98" t="s">
        <v>145</v>
      </c>
      <c r="C217" s="100" t="s">
        <v>145</v>
      </c>
      <c r="D217" s="98" t="s">
        <v>145</v>
      </c>
      <c r="E217" s="98">
        <v>20</v>
      </c>
      <c r="F217" s="98">
        <v>1</v>
      </c>
      <c r="G217" s="98">
        <v>0</v>
      </c>
      <c r="H217" s="98">
        <v>1</v>
      </c>
      <c r="I217" s="98">
        <v>0</v>
      </c>
      <c r="J217" s="98">
        <v>15</v>
      </c>
    </row>
    <row r="218" spans="1:10" x14ac:dyDescent="0.2">
      <c r="A218" s="98">
        <v>1987</v>
      </c>
      <c r="B218" s="98">
        <v>6</v>
      </c>
      <c r="C218" s="100">
        <v>400000</v>
      </c>
      <c r="D218" s="98">
        <v>25861</v>
      </c>
      <c r="E218" s="98">
        <v>0</v>
      </c>
      <c r="F218" s="98">
        <v>0</v>
      </c>
      <c r="G218" s="98">
        <v>0</v>
      </c>
      <c r="H218" s="98">
        <v>0</v>
      </c>
      <c r="I218" s="98">
        <v>0</v>
      </c>
      <c r="J218" s="98">
        <v>0</v>
      </c>
    </row>
    <row r="219" spans="1:10" x14ac:dyDescent="0.2">
      <c r="A219" s="98">
        <v>1988</v>
      </c>
      <c r="B219" s="98">
        <v>5</v>
      </c>
      <c r="C219" s="100">
        <v>500000</v>
      </c>
      <c r="D219" s="98">
        <v>25168</v>
      </c>
      <c r="E219" s="98">
        <v>55</v>
      </c>
      <c r="F219" s="98">
        <v>0</v>
      </c>
      <c r="G219" s="98">
        <v>1</v>
      </c>
      <c r="H219" s="98">
        <v>0</v>
      </c>
      <c r="I219" s="98">
        <v>1</v>
      </c>
      <c r="J219" s="98">
        <v>5</v>
      </c>
    </row>
    <row r="220" spans="1:10" x14ac:dyDescent="0.2">
      <c r="A220" s="98">
        <v>1989</v>
      </c>
      <c r="B220" s="98">
        <v>7</v>
      </c>
      <c r="C220" s="100">
        <v>600000</v>
      </c>
      <c r="D220" s="98">
        <v>23625</v>
      </c>
      <c r="E220" s="98">
        <v>0</v>
      </c>
      <c r="F220" s="98">
        <v>0</v>
      </c>
      <c r="G220" s="98">
        <v>0</v>
      </c>
      <c r="H220" s="98">
        <v>1</v>
      </c>
      <c r="I220" s="98">
        <v>0</v>
      </c>
      <c r="J220" s="98">
        <v>0</v>
      </c>
    </row>
    <row r="221" spans="1:10" x14ac:dyDescent="0.2">
      <c r="A221" s="98">
        <v>1987</v>
      </c>
      <c r="B221" s="98">
        <v>60</v>
      </c>
      <c r="C221" s="100">
        <v>3330457</v>
      </c>
      <c r="D221" s="98">
        <v>11500</v>
      </c>
      <c r="E221" s="98">
        <v>0</v>
      </c>
      <c r="F221" s="98">
        <v>0</v>
      </c>
      <c r="G221" s="98">
        <v>0</v>
      </c>
      <c r="H221" s="98">
        <v>0</v>
      </c>
      <c r="I221" s="98">
        <v>0</v>
      </c>
      <c r="J221" s="98">
        <v>3</v>
      </c>
    </row>
    <row r="222" spans="1:10" x14ac:dyDescent="0.2">
      <c r="A222" s="98">
        <v>1988</v>
      </c>
      <c r="B222" s="98">
        <v>65</v>
      </c>
      <c r="C222" s="100">
        <v>3765312</v>
      </c>
      <c r="D222" s="98">
        <v>12500</v>
      </c>
      <c r="E222" s="98">
        <v>40</v>
      </c>
      <c r="F222" s="98">
        <v>0</v>
      </c>
      <c r="G222" s="98">
        <v>1</v>
      </c>
      <c r="H222" s="98">
        <v>0</v>
      </c>
      <c r="I222" s="98">
        <v>1</v>
      </c>
      <c r="J222" s="98">
        <v>3</v>
      </c>
    </row>
    <row r="223" spans="1:10" x14ac:dyDescent="0.2">
      <c r="A223" s="98">
        <v>1989</v>
      </c>
      <c r="B223" s="98">
        <v>56</v>
      </c>
      <c r="C223" s="100">
        <v>3533090</v>
      </c>
      <c r="D223" s="98">
        <v>13200</v>
      </c>
      <c r="E223" s="98">
        <v>10</v>
      </c>
      <c r="F223" s="98">
        <v>0</v>
      </c>
      <c r="G223" s="98">
        <v>0</v>
      </c>
      <c r="H223" s="98">
        <v>1</v>
      </c>
      <c r="I223" s="98">
        <v>0</v>
      </c>
      <c r="J223" s="98">
        <v>0</v>
      </c>
    </row>
    <row r="224" spans="1:10" x14ac:dyDescent="0.2">
      <c r="A224" s="98">
        <v>1987</v>
      </c>
      <c r="B224" s="98">
        <v>259</v>
      </c>
      <c r="C224" s="100">
        <v>26900000</v>
      </c>
      <c r="D224" s="98">
        <v>15038</v>
      </c>
      <c r="E224" s="98">
        <v>6</v>
      </c>
      <c r="F224" s="98">
        <v>1</v>
      </c>
      <c r="G224" s="98">
        <v>0</v>
      </c>
      <c r="H224" s="98">
        <v>0</v>
      </c>
      <c r="I224" s="98">
        <v>0</v>
      </c>
      <c r="J224" s="98">
        <v>150</v>
      </c>
    </row>
    <row r="225" spans="1:10" x14ac:dyDescent="0.2">
      <c r="A225" s="98">
        <v>1988</v>
      </c>
      <c r="B225" s="98">
        <v>331</v>
      </c>
      <c r="C225" s="100">
        <v>32200000</v>
      </c>
      <c r="D225" s="98">
        <v>15434</v>
      </c>
      <c r="E225" s="98">
        <v>21</v>
      </c>
      <c r="F225" s="98">
        <v>1</v>
      </c>
      <c r="G225" s="98">
        <v>1</v>
      </c>
      <c r="H225" s="98">
        <v>0</v>
      </c>
      <c r="I225" s="98">
        <v>1</v>
      </c>
      <c r="J225" s="98">
        <v>244</v>
      </c>
    </row>
    <row r="226" spans="1:10" x14ac:dyDescent="0.2">
      <c r="A226" s="98">
        <v>1989</v>
      </c>
      <c r="B226" s="98">
        <v>321</v>
      </c>
      <c r="C226" s="100">
        <v>31000000</v>
      </c>
      <c r="D226" s="98">
        <v>16307</v>
      </c>
      <c r="E226" s="98">
        <v>6</v>
      </c>
      <c r="F226" s="98">
        <v>1</v>
      </c>
      <c r="G226" s="98">
        <v>0</v>
      </c>
      <c r="H226" s="98">
        <v>1</v>
      </c>
      <c r="I226" s="98">
        <v>0</v>
      </c>
      <c r="J226" s="98">
        <v>180</v>
      </c>
    </row>
    <row r="227" spans="1:10" x14ac:dyDescent="0.2">
      <c r="A227" s="98">
        <v>1987</v>
      </c>
      <c r="B227" s="98">
        <v>35</v>
      </c>
      <c r="C227" s="100" t="s">
        <v>145</v>
      </c>
      <c r="D227" s="98" t="s">
        <v>145</v>
      </c>
      <c r="E227" s="98">
        <v>2</v>
      </c>
      <c r="F227" s="98">
        <v>0</v>
      </c>
      <c r="G227" s="98">
        <v>0</v>
      </c>
      <c r="H227" s="98">
        <v>0</v>
      </c>
      <c r="I227" s="98">
        <v>0</v>
      </c>
      <c r="J227" s="98">
        <v>35</v>
      </c>
    </row>
    <row r="228" spans="1:10" x14ac:dyDescent="0.2">
      <c r="A228" s="98">
        <v>1988</v>
      </c>
      <c r="B228" s="98">
        <v>34</v>
      </c>
      <c r="C228" s="100" t="s">
        <v>145</v>
      </c>
      <c r="D228" s="98" t="s">
        <v>145</v>
      </c>
      <c r="E228" s="98" t="s">
        <v>145</v>
      </c>
      <c r="F228" s="98">
        <v>0</v>
      </c>
      <c r="G228" s="98">
        <v>1</v>
      </c>
      <c r="H228" s="98">
        <v>0</v>
      </c>
      <c r="I228" s="98">
        <v>1</v>
      </c>
      <c r="J228" s="98">
        <v>34</v>
      </c>
    </row>
    <row r="229" spans="1:10" x14ac:dyDescent="0.2">
      <c r="A229" s="98">
        <v>1989</v>
      </c>
      <c r="B229" s="98">
        <v>36</v>
      </c>
      <c r="C229" s="100" t="s">
        <v>145</v>
      </c>
      <c r="D229" s="98" t="s">
        <v>145</v>
      </c>
      <c r="E229" s="98">
        <v>3</v>
      </c>
      <c r="F229" s="98">
        <v>0</v>
      </c>
      <c r="G229" s="98">
        <v>0</v>
      </c>
      <c r="H229" s="98">
        <v>1</v>
      </c>
      <c r="I229" s="98">
        <v>0</v>
      </c>
      <c r="J229" s="98">
        <v>36</v>
      </c>
    </row>
    <row r="230" spans="1:10" x14ac:dyDescent="0.2">
      <c r="A230" s="98">
        <v>1987</v>
      </c>
      <c r="B230" s="98">
        <v>60</v>
      </c>
      <c r="C230" s="100">
        <v>3870000</v>
      </c>
      <c r="D230" s="98">
        <v>19968</v>
      </c>
      <c r="E230" s="98">
        <v>50</v>
      </c>
      <c r="F230" s="98">
        <v>0</v>
      </c>
      <c r="G230" s="98">
        <v>0</v>
      </c>
      <c r="H230" s="98">
        <v>0</v>
      </c>
      <c r="I230" s="98">
        <v>0</v>
      </c>
      <c r="J230" s="98">
        <v>20</v>
      </c>
    </row>
    <row r="231" spans="1:10" x14ac:dyDescent="0.2">
      <c r="A231" s="98">
        <v>1988</v>
      </c>
      <c r="B231" s="98">
        <v>70</v>
      </c>
      <c r="C231" s="100">
        <v>3882000</v>
      </c>
      <c r="D231" s="98">
        <v>20800</v>
      </c>
      <c r="E231" s="98">
        <v>52</v>
      </c>
      <c r="F231" s="98">
        <v>0</v>
      </c>
      <c r="G231" s="98">
        <v>1</v>
      </c>
      <c r="H231" s="98">
        <v>0</v>
      </c>
      <c r="I231" s="98">
        <v>1</v>
      </c>
      <c r="J231" s="98">
        <v>41</v>
      </c>
    </row>
    <row r="232" spans="1:10" x14ac:dyDescent="0.2">
      <c r="A232" s="98">
        <v>1989</v>
      </c>
      <c r="B232" s="98">
        <v>70</v>
      </c>
      <c r="C232" s="100">
        <v>5330000</v>
      </c>
      <c r="D232" s="98">
        <v>21840</v>
      </c>
      <c r="E232" s="98">
        <v>50</v>
      </c>
      <c r="F232" s="98">
        <v>0</v>
      </c>
      <c r="G232" s="98">
        <v>0</v>
      </c>
      <c r="H232" s="98">
        <v>1</v>
      </c>
      <c r="I232" s="98">
        <v>0</v>
      </c>
      <c r="J232" s="98">
        <v>20</v>
      </c>
    </row>
    <row r="233" spans="1:10" x14ac:dyDescent="0.2">
      <c r="A233" s="98">
        <v>1987</v>
      </c>
      <c r="B233" s="98">
        <v>125</v>
      </c>
      <c r="C233" s="100">
        <v>26000000</v>
      </c>
      <c r="D233" s="98">
        <v>20000</v>
      </c>
      <c r="E233" s="98">
        <v>0</v>
      </c>
      <c r="F233" s="98">
        <v>1</v>
      </c>
      <c r="G233" s="98">
        <v>0</v>
      </c>
      <c r="H233" s="98">
        <v>0</v>
      </c>
      <c r="I233" s="98">
        <v>0</v>
      </c>
      <c r="J233" s="98">
        <v>0</v>
      </c>
    </row>
    <row r="234" spans="1:10" x14ac:dyDescent="0.2">
      <c r="A234" s="98">
        <v>1988</v>
      </c>
      <c r="B234" s="98">
        <v>120</v>
      </c>
      <c r="C234" s="100">
        <v>36000000</v>
      </c>
      <c r="D234" s="98">
        <v>20000</v>
      </c>
      <c r="E234" s="98" t="s">
        <v>145</v>
      </c>
      <c r="F234" s="98">
        <v>1</v>
      </c>
      <c r="G234" s="98">
        <v>1</v>
      </c>
      <c r="H234" s="98">
        <v>0</v>
      </c>
      <c r="I234" s="98">
        <v>1</v>
      </c>
      <c r="J234" s="98">
        <v>120</v>
      </c>
    </row>
    <row r="235" spans="1:10" x14ac:dyDescent="0.2">
      <c r="A235" s="98">
        <v>1989</v>
      </c>
      <c r="B235" s="98">
        <v>60</v>
      </c>
      <c r="C235" s="100">
        <v>22000000</v>
      </c>
      <c r="D235" s="98">
        <v>20000</v>
      </c>
      <c r="E235" s="98">
        <v>32</v>
      </c>
      <c r="F235" s="98">
        <v>1</v>
      </c>
      <c r="G235" s="98">
        <v>0</v>
      </c>
      <c r="H235" s="98">
        <v>1</v>
      </c>
      <c r="I235" s="98">
        <v>0</v>
      </c>
      <c r="J235" s="98">
        <v>20</v>
      </c>
    </row>
    <row r="236" spans="1:10" x14ac:dyDescent="0.2">
      <c r="A236" s="98">
        <v>1987</v>
      </c>
      <c r="B236" s="98">
        <v>40</v>
      </c>
      <c r="C236" s="100">
        <v>1200000</v>
      </c>
      <c r="D236" s="98">
        <v>10000</v>
      </c>
      <c r="E236" s="98">
        <v>200</v>
      </c>
      <c r="F236" s="98">
        <v>1</v>
      </c>
      <c r="G236" s="98">
        <v>0</v>
      </c>
      <c r="H236" s="98">
        <v>0</v>
      </c>
      <c r="I236" s="98">
        <v>0</v>
      </c>
      <c r="J236" s="98">
        <v>6</v>
      </c>
    </row>
    <row r="237" spans="1:10" x14ac:dyDescent="0.2">
      <c r="A237" s="98">
        <v>1988</v>
      </c>
      <c r="B237" s="98">
        <v>35</v>
      </c>
      <c r="C237" s="100">
        <v>1100000</v>
      </c>
      <c r="D237" s="98">
        <v>10300</v>
      </c>
      <c r="E237" s="98" t="s">
        <v>145</v>
      </c>
      <c r="F237" s="98">
        <v>1</v>
      </c>
      <c r="G237" s="98">
        <v>1</v>
      </c>
      <c r="H237" s="98">
        <v>0</v>
      </c>
      <c r="I237" s="98">
        <v>1</v>
      </c>
      <c r="J237" s="98">
        <v>35</v>
      </c>
    </row>
    <row r="238" spans="1:10" x14ac:dyDescent="0.2">
      <c r="A238" s="98">
        <v>1989</v>
      </c>
      <c r="B238" s="98">
        <v>50</v>
      </c>
      <c r="C238" s="100">
        <v>1300000</v>
      </c>
      <c r="D238" s="98">
        <v>10700</v>
      </c>
      <c r="E238" s="98">
        <v>200</v>
      </c>
      <c r="F238" s="98">
        <v>1</v>
      </c>
      <c r="G238" s="98">
        <v>0</v>
      </c>
      <c r="H238" s="98">
        <v>1</v>
      </c>
      <c r="I238" s="98">
        <v>0</v>
      </c>
      <c r="J238" s="98">
        <v>6</v>
      </c>
    </row>
    <row r="239" spans="1:10" x14ac:dyDescent="0.2">
      <c r="A239" s="98">
        <v>1987</v>
      </c>
      <c r="B239" s="98">
        <v>150</v>
      </c>
      <c r="C239" s="100">
        <v>11000000</v>
      </c>
      <c r="D239" s="98">
        <v>12000</v>
      </c>
      <c r="E239" s="98">
        <v>10</v>
      </c>
      <c r="F239" s="98">
        <v>0</v>
      </c>
      <c r="G239" s="98">
        <v>0</v>
      </c>
      <c r="H239" s="98">
        <v>0</v>
      </c>
      <c r="I239" s="98">
        <v>0</v>
      </c>
      <c r="J239" s="98">
        <v>20</v>
      </c>
    </row>
    <row r="240" spans="1:10" x14ac:dyDescent="0.2">
      <c r="A240" s="98">
        <v>1988</v>
      </c>
      <c r="B240" s="98">
        <v>175</v>
      </c>
      <c r="C240" s="100">
        <v>15000000</v>
      </c>
      <c r="D240" s="98">
        <v>14000</v>
      </c>
      <c r="E240" s="98">
        <v>30</v>
      </c>
      <c r="F240" s="98">
        <v>0</v>
      </c>
      <c r="G240" s="98">
        <v>1</v>
      </c>
      <c r="H240" s="98">
        <v>0</v>
      </c>
      <c r="I240" s="98">
        <v>1</v>
      </c>
      <c r="J240" s="98">
        <v>74</v>
      </c>
    </row>
    <row r="241" spans="1:10" x14ac:dyDescent="0.2">
      <c r="A241" s="98">
        <v>1989</v>
      </c>
      <c r="B241" s="98">
        <v>200</v>
      </c>
      <c r="C241" s="100">
        <v>18000000</v>
      </c>
      <c r="D241" s="98">
        <v>16000</v>
      </c>
      <c r="E241" s="98">
        <v>20</v>
      </c>
      <c r="F241" s="98">
        <v>0</v>
      </c>
      <c r="G241" s="98">
        <v>0</v>
      </c>
      <c r="H241" s="98">
        <v>1</v>
      </c>
      <c r="I241" s="98">
        <v>0</v>
      </c>
      <c r="J241" s="98">
        <v>50</v>
      </c>
    </row>
    <row r="242" spans="1:10" x14ac:dyDescent="0.2">
      <c r="A242" s="98">
        <v>1987</v>
      </c>
      <c r="B242" s="98">
        <v>80</v>
      </c>
      <c r="C242" s="100">
        <v>6000000</v>
      </c>
      <c r="D242" s="98">
        <v>12480</v>
      </c>
      <c r="E242" s="98">
        <v>5</v>
      </c>
      <c r="F242" s="98">
        <v>0</v>
      </c>
      <c r="G242" s="98">
        <v>0</v>
      </c>
      <c r="H242" s="98">
        <v>0</v>
      </c>
      <c r="I242" s="98">
        <v>0</v>
      </c>
      <c r="J242" s="98">
        <v>5</v>
      </c>
    </row>
    <row r="243" spans="1:10" x14ac:dyDescent="0.2">
      <c r="A243" s="98">
        <v>1988</v>
      </c>
      <c r="B243" s="98">
        <v>150</v>
      </c>
      <c r="C243" s="100">
        <v>7700000</v>
      </c>
      <c r="D243" s="98">
        <v>14560</v>
      </c>
      <c r="E243" s="98">
        <v>30</v>
      </c>
      <c r="F243" s="98">
        <v>0</v>
      </c>
      <c r="G243" s="98">
        <v>1</v>
      </c>
      <c r="H243" s="98">
        <v>0</v>
      </c>
      <c r="I243" s="98">
        <v>1</v>
      </c>
      <c r="J243" s="98">
        <v>14</v>
      </c>
    </row>
    <row r="244" spans="1:10" x14ac:dyDescent="0.2">
      <c r="A244" s="98">
        <v>1989</v>
      </c>
      <c r="B244" s="98">
        <v>120</v>
      </c>
      <c r="C244" s="100">
        <v>5643000</v>
      </c>
      <c r="D244" s="98">
        <v>16640</v>
      </c>
      <c r="E244" s="98">
        <v>0</v>
      </c>
      <c r="F244" s="98">
        <v>0</v>
      </c>
      <c r="G244" s="98">
        <v>0</v>
      </c>
      <c r="H244" s="98">
        <v>1</v>
      </c>
      <c r="I244" s="98">
        <v>0</v>
      </c>
      <c r="J244" s="98">
        <v>0</v>
      </c>
    </row>
    <row r="245" spans="1:10" x14ac:dyDescent="0.2">
      <c r="A245" s="98">
        <v>1987</v>
      </c>
      <c r="B245" s="98">
        <v>15</v>
      </c>
      <c r="C245" s="100" t="s">
        <v>145</v>
      </c>
      <c r="D245" s="98">
        <v>9360</v>
      </c>
      <c r="E245" s="98">
        <v>0</v>
      </c>
      <c r="F245" s="98">
        <v>0</v>
      </c>
      <c r="G245" s="98">
        <v>0</v>
      </c>
      <c r="H245" s="98">
        <v>0</v>
      </c>
      <c r="I245" s="98">
        <v>0</v>
      </c>
      <c r="J245" s="98">
        <v>0</v>
      </c>
    </row>
    <row r="246" spans="1:10" x14ac:dyDescent="0.2">
      <c r="A246" s="98">
        <v>1988</v>
      </c>
      <c r="B246" s="98">
        <v>18</v>
      </c>
      <c r="C246" s="100" t="s">
        <v>145</v>
      </c>
      <c r="D246" s="98">
        <v>10400</v>
      </c>
      <c r="E246" s="98">
        <v>40</v>
      </c>
      <c r="F246" s="98">
        <v>0</v>
      </c>
      <c r="G246" s="98">
        <v>1</v>
      </c>
      <c r="H246" s="98">
        <v>0</v>
      </c>
      <c r="I246" s="98">
        <v>1</v>
      </c>
      <c r="J246" s="98">
        <v>18</v>
      </c>
    </row>
    <row r="247" spans="1:10" x14ac:dyDescent="0.2">
      <c r="A247" s="98">
        <v>1989</v>
      </c>
      <c r="B247" s="98">
        <v>22</v>
      </c>
      <c r="C247" s="100" t="s">
        <v>145</v>
      </c>
      <c r="D247" s="98">
        <v>13520</v>
      </c>
      <c r="E247" s="98">
        <v>80</v>
      </c>
      <c r="F247" s="98">
        <v>0</v>
      </c>
      <c r="G247" s="98">
        <v>0</v>
      </c>
      <c r="H247" s="98">
        <v>1</v>
      </c>
      <c r="I247" s="98">
        <v>0</v>
      </c>
      <c r="J247" s="98">
        <v>3</v>
      </c>
    </row>
    <row r="248" spans="1:10" x14ac:dyDescent="0.2">
      <c r="A248" s="98">
        <v>1987</v>
      </c>
      <c r="B248" s="98">
        <v>10</v>
      </c>
      <c r="C248" s="100">
        <v>307501</v>
      </c>
      <c r="D248" s="98">
        <v>8500</v>
      </c>
      <c r="E248" s="98">
        <v>10</v>
      </c>
      <c r="F248" s="98">
        <v>0</v>
      </c>
      <c r="G248" s="98">
        <v>0</v>
      </c>
      <c r="H248" s="98">
        <v>0</v>
      </c>
      <c r="I248" s="98">
        <v>0</v>
      </c>
      <c r="J248" s="98">
        <v>10</v>
      </c>
    </row>
    <row r="249" spans="1:10" x14ac:dyDescent="0.2">
      <c r="A249" s="98">
        <v>1988</v>
      </c>
      <c r="B249" s="98">
        <v>25</v>
      </c>
      <c r="C249" s="100">
        <v>1961818</v>
      </c>
      <c r="D249" s="98">
        <v>9000</v>
      </c>
      <c r="E249" s="98">
        <v>83</v>
      </c>
      <c r="F249" s="98">
        <v>0</v>
      </c>
      <c r="G249" s="98">
        <v>1</v>
      </c>
      <c r="H249" s="98">
        <v>0</v>
      </c>
      <c r="I249" s="98">
        <v>1</v>
      </c>
      <c r="J249" s="98">
        <v>25</v>
      </c>
    </row>
    <row r="250" spans="1:10" x14ac:dyDescent="0.2">
      <c r="A250" s="98">
        <v>1989</v>
      </c>
      <c r="B250" s="98">
        <v>34</v>
      </c>
      <c r="C250" s="100">
        <v>2650786</v>
      </c>
      <c r="D250" s="98">
        <v>9400</v>
      </c>
      <c r="E250" s="98">
        <v>15</v>
      </c>
      <c r="F250" s="98">
        <v>0</v>
      </c>
      <c r="G250" s="98">
        <v>0</v>
      </c>
      <c r="H250" s="98">
        <v>1</v>
      </c>
      <c r="I250" s="98">
        <v>0</v>
      </c>
      <c r="J250" s="98">
        <v>30</v>
      </c>
    </row>
    <row r="251" spans="1:10" x14ac:dyDescent="0.2">
      <c r="A251" s="98">
        <v>1987</v>
      </c>
      <c r="B251" s="98">
        <v>6</v>
      </c>
      <c r="C251" s="100">
        <v>600000</v>
      </c>
      <c r="D251" s="98">
        <v>16640</v>
      </c>
      <c r="E251" s="98">
        <v>200</v>
      </c>
      <c r="F251" s="98">
        <v>0</v>
      </c>
      <c r="G251" s="98">
        <v>0</v>
      </c>
      <c r="H251" s="98">
        <v>0</v>
      </c>
      <c r="I251" s="98">
        <v>0</v>
      </c>
      <c r="J251" s="98">
        <v>3</v>
      </c>
    </row>
    <row r="252" spans="1:10" x14ac:dyDescent="0.2">
      <c r="A252" s="98">
        <v>1988</v>
      </c>
      <c r="B252" s="98">
        <v>12</v>
      </c>
      <c r="C252" s="100">
        <v>820000</v>
      </c>
      <c r="D252" s="98">
        <v>18304</v>
      </c>
      <c r="E252" s="98">
        <v>290</v>
      </c>
      <c r="F252" s="98">
        <v>0</v>
      </c>
      <c r="G252" s="98">
        <v>1</v>
      </c>
      <c r="H252" s="98">
        <v>0</v>
      </c>
      <c r="I252" s="98">
        <v>1</v>
      </c>
      <c r="J252" s="98">
        <v>5</v>
      </c>
    </row>
    <row r="253" spans="1:10" x14ac:dyDescent="0.2">
      <c r="A253" s="98">
        <v>1989</v>
      </c>
      <c r="B253" s="98">
        <v>14</v>
      </c>
      <c r="C253" s="100">
        <v>1200000</v>
      </c>
      <c r="D253" s="98">
        <v>19552</v>
      </c>
      <c r="E253" s="98">
        <v>320</v>
      </c>
      <c r="F253" s="98">
        <v>0</v>
      </c>
      <c r="G253" s="98">
        <v>0</v>
      </c>
      <c r="H253" s="98">
        <v>1</v>
      </c>
      <c r="I253" s="98">
        <v>0</v>
      </c>
      <c r="J253" s="98">
        <v>4</v>
      </c>
    </row>
    <row r="254" spans="1:10" x14ac:dyDescent="0.2">
      <c r="A254" s="98">
        <v>1987</v>
      </c>
      <c r="B254" s="98">
        <v>16</v>
      </c>
      <c r="C254" s="100">
        <v>1608573</v>
      </c>
      <c r="D254" s="98">
        <v>35000</v>
      </c>
      <c r="E254" s="98">
        <v>5</v>
      </c>
      <c r="F254" s="98">
        <v>0</v>
      </c>
      <c r="G254" s="98">
        <v>0</v>
      </c>
      <c r="H254" s="98">
        <v>0</v>
      </c>
      <c r="I254" s="98">
        <v>0</v>
      </c>
      <c r="J254" s="98">
        <v>10</v>
      </c>
    </row>
    <row r="255" spans="1:10" x14ac:dyDescent="0.2">
      <c r="A255" s="98">
        <v>1988</v>
      </c>
      <c r="B255" s="98">
        <v>16</v>
      </c>
      <c r="C255" s="100">
        <v>1342236</v>
      </c>
      <c r="D255" s="98">
        <v>38000</v>
      </c>
      <c r="E255" s="98">
        <v>25</v>
      </c>
      <c r="F255" s="98">
        <v>0</v>
      </c>
      <c r="G255" s="98">
        <v>1</v>
      </c>
      <c r="H255" s="98">
        <v>0</v>
      </c>
      <c r="I255" s="98">
        <v>1</v>
      </c>
      <c r="J255" s="98">
        <v>16</v>
      </c>
    </row>
    <row r="256" spans="1:10" x14ac:dyDescent="0.2">
      <c r="A256" s="98">
        <v>1989</v>
      </c>
      <c r="B256" s="98">
        <v>16</v>
      </c>
      <c r="C256" s="100">
        <v>1504283</v>
      </c>
      <c r="D256" s="98">
        <v>41000</v>
      </c>
      <c r="E256" s="98">
        <v>5</v>
      </c>
      <c r="F256" s="98">
        <v>0</v>
      </c>
      <c r="G256" s="98">
        <v>0</v>
      </c>
      <c r="H256" s="98">
        <v>1</v>
      </c>
      <c r="I256" s="98">
        <v>0</v>
      </c>
      <c r="J256" s="98">
        <v>10</v>
      </c>
    </row>
    <row r="257" spans="1:10" x14ac:dyDescent="0.2">
      <c r="A257" s="98">
        <v>1987</v>
      </c>
      <c r="B257" s="98">
        <v>15</v>
      </c>
      <c r="C257" s="100">
        <v>1600000</v>
      </c>
      <c r="D257" s="98">
        <v>12000</v>
      </c>
      <c r="E257" s="98">
        <v>0</v>
      </c>
      <c r="F257" s="98">
        <v>0</v>
      </c>
      <c r="G257" s="98">
        <v>0</v>
      </c>
      <c r="H257" s="98">
        <v>0</v>
      </c>
      <c r="I257" s="98">
        <v>0</v>
      </c>
      <c r="J257" s="98">
        <v>0</v>
      </c>
    </row>
    <row r="258" spans="1:10" x14ac:dyDescent="0.2">
      <c r="A258" s="98">
        <v>1988</v>
      </c>
      <c r="B258" s="98">
        <v>20</v>
      </c>
      <c r="C258" s="100">
        <v>1800000</v>
      </c>
      <c r="D258" s="98">
        <v>13000</v>
      </c>
      <c r="E258" s="98">
        <v>40</v>
      </c>
      <c r="F258" s="98">
        <v>0</v>
      </c>
      <c r="G258" s="98">
        <v>1</v>
      </c>
      <c r="H258" s="98">
        <v>0</v>
      </c>
      <c r="I258" s="98">
        <v>1</v>
      </c>
      <c r="J258" s="98">
        <v>9</v>
      </c>
    </row>
    <row r="259" spans="1:10" x14ac:dyDescent="0.2">
      <c r="A259" s="98">
        <v>1989</v>
      </c>
      <c r="B259" s="98">
        <v>26</v>
      </c>
      <c r="C259" s="100">
        <v>2000000</v>
      </c>
      <c r="D259" s="98">
        <v>16000</v>
      </c>
      <c r="E259" s="98">
        <v>8</v>
      </c>
      <c r="F259" s="98">
        <v>0</v>
      </c>
      <c r="G259" s="98">
        <v>0</v>
      </c>
      <c r="H259" s="98">
        <v>1</v>
      </c>
      <c r="I259" s="98">
        <v>0</v>
      </c>
      <c r="J259" s="98">
        <v>6</v>
      </c>
    </row>
    <row r="260" spans="1:10" x14ac:dyDescent="0.2">
      <c r="A260" s="98">
        <v>1987</v>
      </c>
      <c r="B260" s="98">
        <v>72</v>
      </c>
      <c r="C260" s="100">
        <v>10500000</v>
      </c>
      <c r="D260" s="98">
        <v>17700</v>
      </c>
      <c r="E260" s="98">
        <v>10</v>
      </c>
      <c r="F260" s="98">
        <v>0</v>
      </c>
      <c r="G260" s="98">
        <v>0</v>
      </c>
      <c r="H260" s="98">
        <v>0</v>
      </c>
      <c r="I260" s="98">
        <v>0</v>
      </c>
      <c r="J260" s="98">
        <v>67</v>
      </c>
    </row>
    <row r="261" spans="1:10" x14ac:dyDescent="0.2">
      <c r="A261" s="98">
        <v>1988</v>
      </c>
      <c r="B261" s="98">
        <v>128</v>
      </c>
      <c r="C261" s="100">
        <v>15400000</v>
      </c>
      <c r="D261" s="98">
        <v>19350</v>
      </c>
      <c r="E261" s="98">
        <v>31</v>
      </c>
      <c r="F261" s="98">
        <v>0</v>
      </c>
      <c r="G261" s="98">
        <v>1</v>
      </c>
      <c r="H261" s="98">
        <v>0</v>
      </c>
      <c r="I261" s="98">
        <v>1</v>
      </c>
      <c r="J261" s="98">
        <v>128</v>
      </c>
    </row>
    <row r="262" spans="1:10" x14ac:dyDescent="0.2">
      <c r="A262" s="98">
        <v>1989</v>
      </c>
      <c r="B262" s="98">
        <v>168</v>
      </c>
      <c r="C262" s="100">
        <v>23000000</v>
      </c>
      <c r="D262" s="98">
        <v>23250</v>
      </c>
      <c r="E262" s="98">
        <v>14</v>
      </c>
      <c r="F262" s="98">
        <v>0</v>
      </c>
      <c r="G262" s="98">
        <v>0</v>
      </c>
      <c r="H262" s="98">
        <v>1</v>
      </c>
      <c r="I262" s="98">
        <v>0</v>
      </c>
      <c r="J262" s="98">
        <v>108</v>
      </c>
    </row>
    <row r="263" spans="1:10" x14ac:dyDescent="0.2">
      <c r="A263" s="98">
        <v>1987</v>
      </c>
      <c r="B263" s="98">
        <v>60</v>
      </c>
      <c r="C263" s="100">
        <v>5600000</v>
      </c>
      <c r="D263" s="98">
        <v>23000</v>
      </c>
      <c r="E263" s="98">
        <v>30</v>
      </c>
      <c r="F263" s="98">
        <v>0</v>
      </c>
      <c r="G263" s="98">
        <v>0</v>
      </c>
      <c r="H263" s="98">
        <v>0</v>
      </c>
      <c r="I263" s="98">
        <v>0</v>
      </c>
      <c r="J263" s="98">
        <v>10</v>
      </c>
    </row>
    <row r="264" spans="1:10" x14ac:dyDescent="0.2">
      <c r="A264" s="98">
        <v>1988</v>
      </c>
      <c r="B264" s="98">
        <v>50</v>
      </c>
      <c r="C264" s="100">
        <v>6200000</v>
      </c>
      <c r="D264" s="98">
        <v>25000</v>
      </c>
      <c r="E264" s="98">
        <v>48</v>
      </c>
      <c r="F264" s="98">
        <v>0</v>
      </c>
      <c r="G264" s="98">
        <v>1</v>
      </c>
      <c r="H264" s="98">
        <v>0</v>
      </c>
      <c r="I264" s="98">
        <v>1</v>
      </c>
      <c r="J264" s="98">
        <v>50</v>
      </c>
    </row>
    <row r="265" spans="1:10" x14ac:dyDescent="0.2">
      <c r="A265" s="98">
        <v>1989</v>
      </c>
      <c r="B265" s="98">
        <v>48</v>
      </c>
      <c r="C265" s="100">
        <v>6300000</v>
      </c>
      <c r="D265" s="98">
        <v>27000</v>
      </c>
      <c r="E265" s="98">
        <v>30</v>
      </c>
      <c r="F265" s="98">
        <v>0</v>
      </c>
      <c r="G265" s="98">
        <v>0</v>
      </c>
      <c r="H265" s="98">
        <v>1</v>
      </c>
      <c r="I265" s="98">
        <v>0</v>
      </c>
      <c r="J265" s="98">
        <v>6</v>
      </c>
    </row>
    <row r="266" spans="1:10" x14ac:dyDescent="0.2">
      <c r="A266" s="98">
        <v>1987</v>
      </c>
      <c r="B266" s="98">
        <v>17</v>
      </c>
      <c r="C266" s="100" t="s">
        <v>145</v>
      </c>
      <c r="D266" s="98" t="s">
        <v>145</v>
      </c>
      <c r="E266" s="98">
        <v>0</v>
      </c>
      <c r="F266" s="98">
        <v>0</v>
      </c>
      <c r="G266" s="98">
        <v>0</v>
      </c>
      <c r="H266" s="98">
        <v>0</v>
      </c>
      <c r="I266" s="98">
        <v>0</v>
      </c>
      <c r="J266" s="98">
        <v>0</v>
      </c>
    </row>
    <row r="267" spans="1:10" x14ac:dyDescent="0.2">
      <c r="A267" s="98">
        <v>1988</v>
      </c>
      <c r="B267" s="98">
        <v>23</v>
      </c>
      <c r="C267" s="100" t="s">
        <v>145</v>
      </c>
      <c r="D267" s="98" t="s">
        <v>145</v>
      </c>
      <c r="E267" s="98">
        <v>80</v>
      </c>
      <c r="F267" s="98">
        <v>0</v>
      </c>
      <c r="G267" s="98">
        <v>1</v>
      </c>
      <c r="H267" s="98">
        <v>0</v>
      </c>
      <c r="I267" s="98">
        <v>1</v>
      </c>
      <c r="J267" s="98">
        <v>23</v>
      </c>
    </row>
    <row r="268" spans="1:10" x14ac:dyDescent="0.2">
      <c r="A268" s="98">
        <v>1989</v>
      </c>
      <c r="B268" s="98">
        <v>20</v>
      </c>
      <c r="C268" s="100" t="s">
        <v>145</v>
      </c>
      <c r="D268" s="98" t="s">
        <v>145</v>
      </c>
      <c r="E268" s="98">
        <v>40</v>
      </c>
      <c r="F268" s="98">
        <v>0</v>
      </c>
      <c r="G268" s="98">
        <v>0</v>
      </c>
      <c r="H268" s="98">
        <v>1</v>
      </c>
      <c r="I268" s="98">
        <v>0</v>
      </c>
      <c r="J268" s="98">
        <v>6</v>
      </c>
    </row>
    <row r="269" spans="1:10" x14ac:dyDescent="0.2">
      <c r="A269" s="98">
        <v>1987</v>
      </c>
      <c r="B269" s="98">
        <v>15</v>
      </c>
      <c r="C269" s="100">
        <v>726833</v>
      </c>
      <c r="D269" s="98">
        <v>9048</v>
      </c>
      <c r="E269" s="98">
        <v>0</v>
      </c>
      <c r="F269" s="98">
        <v>0</v>
      </c>
      <c r="G269" s="98">
        <v>0</v>
      </c>
      <c r="H269" s="98">
        <v>0</v>
      </c>
      <c r="I269" s="98">
        <v>0</v>
      </c>
      <c r="J269" s="98">
        <v>0</v>
      </c>
    </row>
    <row r="270" spans="1:10" x14ac:dyDescent="0.2">
      <c r="A270" s="98">
        <v>1988</v>
      </c>
      <c r="B270" s="98">
        <v>80</v>
      </c>
      <c r="C270" s="100">
        <v>4005963</v>
      </c>
      <c r="D270" s="98">
        <v>10088</v>
      </c>
      <c r="E270" s="98">
        <v>40</v>
      </c>
      <c r="F270" s="98">
        <v>0</v>
      </c>
      <c r="G270" s="98">
        <v>0</v>
      </c>
      <c r="H270" s="98">
        <v>0</v>
      </c>
      <c r="I270" s="98">
        <v>1</v>
      </c>
      <c r="J270" s="98">
        <v>40</v>
      </c>
    </row>
    <row r="271" spans="1:10" x14ac:dyDescent="0.2">
      <c r="A271" s="98">
        <v>1989</v>
      </c>
      <c r="B271" s="98">
        <v>30</v>
      </c>
      <c r="C271" s="100">
        <v>2089704</v>
      </c>
      <c r="D271" s="98">
        <v>10504</v>
      </c>
      <c r="E271" s="98">
        <v>0</v>
      </c>
      <c r="F271" s="98">
        <v>0</v>
      </c>
      <c r="G271" s="98">
        <v>0</v>
      </c>
      <c r="H271" s="98">
        <v>1</v>
      </c>
      <c r="I271" s="98">
        <v>0</v>
      </c>
      <c r="J271" s="98">
        <v>0</v>
      </c>
    </row>
    <row r="272" spans="1:10" x14ac:dyDescent="0.2">
      <c r="A272" s="98">
        <v>1987</v>
      </c>
      <c r="B272" s="98">
        <v>72</v>
      </c>
      <c r="C272" s="100">
        <v>7742994</v>
      </c>
      <c r="D272" s="98">
        <v>18305</v>
      </c>
      <c r="E272" s="98">
        <v>0</v>
      </c>
      <c r="F272" s="98">
        <v>1</v>
      </c>
      <c r="G272" s="98">
        <v>0</v>
      </c>
      <c r="H272" s="98">
        <v>0</v>
      </c>
      <c r="I272" s="98">
        <v>0</v>
      </c>
      <c r="J272" s="98">
        <v>0</v>
      </c>
    </row>
    <row r="273" spans="1:10" x14ac:dyDescent="0.2">
      <c r="A273" s="98">
        <v>1988</v>
      </c>
      <c r="B273" s="98">
        <v>70</v>
      </c>
      <c r="C273" s="100">
        <v>8273868</v>
      </c>
      <c r="D273" s="98">
        <v>19828</v>
      </c>
      <c r="E273" s="98">
        <v>40</v>
      </c>
      <c r="F273" s="98">
        <v>1</v>
      </c>
      <c r="G273" s="98">
        <v>1</v>
      </c>
      <c r="H273" s="98">
        <v>0</v>
      </c>
      <c r="I273" s="98">
        <v>1</v>
      </c>
      <c r="J273" s="98">
        <v>70</v>
      </c>
    </row>
    <row r="274" spans="1:10" x14ac:dyDescent="0.2">
      <c r="A274" s="98">
        <v>1989</v>
      </c>
      <c r="B274" s="98">
        <v>68</v>
      </c>
      <c r="C274" s="100">
        <v>8329656</v>
      </c>
      <c r="D274" s="98">
        <v>17893</v>
      </c>
      <c r="E274" s="98">
        <v>0</v>
      </c>
      <c r="F274" s="98">
        <v>1</v>
      </c>
      <c r="G274" s="98">
        <v>0</v>
      </c>
      <c r="H274" s="98">
        <v>1</v>
      </c>
      <c r="I274" s="98">
        <v>0</v>
      </c>
      <c r="J274" s="98">
        <v>0</v>
      </c>
    </row>
    <row r="275" spans="1:10" x14ac:dyDescent="0.2">
      <c r="A275" s="98">
        <v>1987</v>
      </c>
      <c r="B275" s="98">
        <v>7</v>
      </c>
      <c r="C275" s="100">
        <v>5449674</v>
      </c>
      <c r="D275" s="98" t="s">
        <v>145</v>
      </c>
      <c r="E275" s="98">
        <v>40</v>
      </c>
      <c r="F275" s="98">
        <v>0</v>
      </c>
      <c r="G275" s="98">
        <v>0</v>
      </c>
      <c r="H275" s="98">
        <v>0</v>
      </c>
      <c r="I275" s="98">
        <v>0</v>
      </c>
      <c r="J275" s="98">
        <v>7</v>
      </c>
    </row>
    <row r="276" spans="1:10" x14ac:dyDescent="0.2">
      <c r="A276" s="98">
        <v>1988</v>
      </c>
      <c r="B276" s="98">
        <v>7</v>
      </c>
      <c r="C276" s="100">
        <v>6131102</v>
      </c>
      <c r="D276" s="98" t="s">
        <v>145</v>
      </c>
      <c r="E276" s="98">
        <v>40</v>
      </c>
      <c r="F276" s="98">
        <v>0</v>
      </c>
      <c r="G276" s="98">
        <v>0</v>
      </c>
      <c r="H276" s="98">
        <v>0</v>
      </c>
      <c r="I276" s="98">
        <v>1</v>
      </c>
      <c r="J276" s="98">
        <v>7</v>
      </c>
    </row>
    <row r="277" spans="1:10" x14ac:dyDescent="0.2">
      <c r="A277" s="98">
        <v>1989</v>
      </c>
      <c r="B277" s="98">
        <v>8</v>
      </c>
      <c r="C277" s="100">
        <v>7332464</v>
      </c>
      <c r="D277" s="98" t="s">
        <v>145</v>
      </c>
      <c r="E277" s="98">
        <v>0</v>
      </c>
      <c r="F277" s="98">
        <v>0</v>
      </c>
      <c r="G277" s="98">
        <v>0</v>
      </c>
      <c r="H277" s="98">
        <v>1</v>
      </c>
      <c r="I277" s="98">
        <v>0</v>
      </c>
      <c r="J277" s="98">
        <v>0</v>
      </c>
    </row>
    <row r="278" spans="1:10" x14ac:dyDescent="0.2">
      <c r="A278" s="98">
        <v>1987</v>
      </c>
      <c r="B278" s="98">
        <v>120</v>
      </c>
      <c r="C278" s="100">
        <v>10000000</v>
      </c>
      <c r="D278" s="98">
        <v>28080</v>
      </c>
      <c r="E278" s="98">
        <v>20</v>
      </c>
      <c r="F278" s="98">
        <v>1</v>
      </c>
      <c r="G278" s="98">
        <v>0</v>
      </c>
      <c r="H278" s="98">
        <v>0</v>
      </c>
      <c r="I278" s="98">
        <v>0</v>
      </c>
      <c r="J278" s="98">
        <v>0</v>
      </c>
    </row>
    <row r="279" spans="1:10" x14ac:dyDescent="0.2">
      <c r="A279" s="98">
        <v>1988</v>
      </c>
      <c r="B279" s="98">
        <v>120</v>
      </c>
      <c r="C279" s="100">
        <v>12000000</v>
      </c>
      <c r="D279" s="98">
        <v>28080</v>
      </c>
      <c r="E279" s="98">
        <v>26</v>
      </c>
      <c r="F279" s="98">
        <v>1</v>
      </c>
      <c r="G279" s="98">
        <v>1</v>
      </c>
      <c r="H279" s="98">
        <v>0</v>
      </c>
      <c r="I279" s="98">
        <v>1</v>
      </c>
      <c r="J279" s="98">
        <v>120</v>
      </c>
    </row>
    <row r="280" spans="1:10" x14ac:dyDescent="0.2">
      <c r="A280" s="98">
        <v>1989</v>
      </c>
      <c r="B280" s="98">
        <v>120</v>
      </c>
      <c r="C280" s="100">
        <v>11000000</v>
      </c>
      <c r="D280" s="98">
        <v>28080</v>
      </c>
      <c r="E280" s="98">
        <v>14</v>
      </c>
      <c r="F280" s="98">
        <v>1</v>
      </c>
      <c r="G280" s="98">
        <v>0</v>
      </c>
      <c r="H280" s="98">
        <v>1</v>
      </c>
      <c r="I280" s="98">
        <v>0</v>
      </c>
      <c r="J280" s="98">
        <v>120</v>
      </c>
    </row>
    <row r="281" spans="1:10" x14ac:dyDescent="0.2">
      <c r="A281" s="98">
        <v>1987</v>
      </c>
      <c r="B281" s="98">
        <v>21</v>
      </c>
      <c r="C281" s="100" t="s">
        <v>145</v>
      </c>
      <c r="D281" s="98">
        <v>14800</v>
      </c>
      <c r="E281" s="98" t="s">
        <v>145</v>
      </c>
      <c r="F281" s="98">
        <v>0</v>
      </c>
      <c r="G281" s="98">
        <v>0</v>
      </c>
      <c r="H281" s="98">
        <v>0</v>
      </c>
      <c r="I281" s="98">
        <v>0</v>
      </c>
      <c r="J281" s="98">
        <v>21</v>
      </c>
    </row>
    <row r="282" spans="1:10" x14ac:dyDescent="0.2">
      <c r="A282" s="98">
        <v>1988</v>
      </c>
      <c r="B282" s="98">
        <v>25</v>
      </c>
      <c r="C282" s="100">
        <v>1800000</v>
      </c>
      <c r="D282" s="98">
        <v>15100</v>
      </c>
      <c r="E282" s="98" t="s">
        <v>145</v>
      </c>
      <c r="F282" s="98">
        <v>0</v>
      </c>
      <c r="G282" s="98">
        <v>0</v>
      </c>
      <c r="H282" s="98">
        <v>0</v>
      </c>
      <c r="I282" s="98">
        <v>1</v>
      </c>
      <c r="J282" s="98">
        <v>25</v>
      </c>
    </row>
    <row r="283" spans="1:10" x14ac:dyDescent="0.2">
      <c r="A283" s="98">
        <v>1989</v>
      </c>
      <c r="B283" s="98">
        <v>30</v>
      </c>
      <c r="C283" s="100">
        <v>2100000</v>
      </c>
      <c r="D283" s="98">
        <v>16500</v>
      </c>
      <c r="E283" s="98" t="s">
        <v>145</v>
      </c>
      <c r="F283" s="98">
        <v>0</v>
      </c>
      <c r="G283" s="98">
        <v>0</v>
      </c>
      <c r="H283" s="98">
        <v>1</v>
      </c>
      <c r="I283" s="98">
        <v>0</v>
      </c>
      <c r="J283" s="98">
        <v>30</v>
      </c>
    </row>
    <row r="284" spans="1:10" x14ac:dyDescent="0.2">
      <c r="A284" s="98">
        <v>1987</v>
      </c>
      <c r="B284" s="98">
        <v>31</v>
      </c>
      <c r="C284" s="100">
        <v>2000000</v>
      </c>
      <c r="D284" s="98">
        <v>30000</v>
      </c>
      <c r="E284" s="98" t="s">
        <v>145</v>
      </c>
      <c r="F284" s="98">
        <v>0</v>
      </c>
      <c r="G284" s="98">
        <v>0</v>
      </c>
      <c r="H284" s="98">
        <v>0</v>
      </c>
      <c r="I284" s="98">
        <v>0</v>
      </c>
      <c r="J284" s="98">
        <v>31</v>
      </c>
    </row>
    <row r="285" spans="1:10" x14ac:dyDescent="0.2">
      <c r="A285" s="98">
        <v>1988</v>
      </c>
      <c r="B285" s="98">
        <v>47</v>
      </c>
      <c r="C285" s="100">
        <v>2200000</v>
      </c>
      <c r="D285" s="98">
        <v>30000</v>
      </c>
      <c r="E285" s="98" t="s">
        <v>145</v>
      </c>
      <c r="F285" s="98">
        <v>0</v>
      </c>
      <c r="G285" s="98">
        <v>0</v>
      </c>
      <c r="H285" s="98">
        <v>0</v>
      </c>
      <c r="I285" s="98">
        <v>1</v>
      </c>
      <c r="J285" s="98">
        <v>47</v>
      </c>
    </row>
    <row r="286" spans="1:10" x14ac:dyDescent="0.2">
      <c r="A286" s="98">
        <v>1989</v>
      </c>
      <c r="B286" s="98">
        <v>32</v>
      </c>
      <c r="C286" s="100">
        <v>1800000</v>
      </c>
      <c r="D286" s="98">
        <v>30000</v>
      </c>
      <c r="E286" s="98" t="s">
        <v>145</v>
      </c>
      <c r="F286" s="98">
        <v>0</v>
      </c>
      <c r="G286" s="98">
        <v>0</v>
      </c>
      <c r="H286" s="98">
        <v>1</v>
      </c>
      <c r="I286" s="98">
        <v>0</v>
      </c>
      <c r="J286" s="98">
        <v>32</v>
      </c>
    </row>
    <row r="287" spans="1:10" x14ac:dyDescent="0.2">
      <c r="A287" s="98">
        <v>1987</v>
      </c>
      <c r="B287" s="98">
        <v>25</v>
      </c>
      <c r="C287" s="100">
        <v>1400000</v>
      </c>
      <c r="D287" s="98">
        <v>14000</v>
      </c>
      <c r="E287" s="98">
        <v>10</v>
      </c>
      <c r="F287" s="98">
        <v>0</v>
      </c>
      <c r="G287" s="98">
        <v>0</v>
      </c>
      <c r="H287" s="98">
        <v>0</v>
      </c>
      <c r="I287" s="98">
        <v>0</v>
      </c>
      <c r="J287" s="98">
        <v>3</v>
      </c>
    </row>
    <row r="288" spans="1:10" x14ac:dyDescent="0.2">
      <c r="A288" s="98">
        <v>1988</v>
      </c>
      <c r="B288" s="98">
        <v>30</v>
      </c>
      <c r="C288" s="100">
        <v>1680000</v>
      </c>
      <c r="D288" s="98">
        <v>16000</v>
      </c>
      <c r="E288" s="98" t="s">
        <v>145</v>
      </c>
      <c r="F288" s="98">
        <v>0</v>
      </c>
      <c r="G288" s="98">
        <v>1</v>
      </c>
      <c r="H288" s="98">
        <v>0</v>
      </c>
      <c r="I288" s="98">
        <v>1</v>
      </c>
      <c r="J288" s="98">
        <v>17</v>
      </c>
    </row>
    <row r="289" spans="1:10" x14ac:dyDescent="0.2">
      <c r="A289" s="98">
        <v>1989</v>
      </c>
      <c r="B289" s="98">
        <v>39</v>
      </c>
      <c r="C289" s="100">
        <v>2806000</v>
      </c>
      <c r="D289" s="98">
        <v>17000</v>
      </c>
      <c r="E289" s="98">
        <v>12</v>
      </c>
      <c r="F289" s="98">
        <v>0</v>
      </c>
      <c r="G289" s="98">
        <v>0</v>
      </c>
      <c r="H289" s="98">
        <v>1</v>
      </c>
      <c r="I289" s="98">
        <v>0</v>
      </c>
      <c r="J289" s="98">
        <v>4</v>
      </c>
    </row>
    <row r="290" spans="1:10" x14ac:dyDescent="0.2">
      <c r="A290" s="98">
        <v>1987</v>
      </c>
      <c r="B290" s="98">
        <v>19</v>
      </c>
      <c r="C290" s="100">
        <v>580000</v>
      </c>
      <c r="D290" s="98">
        <v>8840</v>
      </c>
      <c r="E290" s="98">
        <v>0</v>
      </c>
      <c r="F290" s="98">
        <v>0</v>
      </c>
      <c r="G290" s="98">
        <v>0</v>
      </c>
      <c r="H290" s="98">
        <v>0</v>
      </c>
      <c r="I290" s="98">
        <v>0</v>
      </c>
      <c r="J290" s="98">
        <v>0</v>
      </c>
    </row>
    <row r="291" spans="1:10" x14ac:dyDescent="0.2">
      <c r="A291" s="98">
        <v>1988</v>
      </c>
      <c r="B291" s="98">
        <v>21</v>
      </c>
      <c r="C291" s="100">
        <v>660000</v>
      </c>
      <c r="D291" s="98">
        <v>9360</v>
      </c>
      <c r="E291" s="98">
        <v>39</v>
      </c>
      <c r="F291" s="98">
        <v>0</v>
      </c>
      <c r="G291" s="98">
        <v>1</v>
      </c>
      <c r="H291" s="98">
        <v>0</v>
      </c>
      <c r="I291" s="98">
        <v>1</v>
      </c>
      <c r="J291" s="98">
        <v>21</v>
      </c>
    </row>
    <row r="292" spans="1:10" x14ac:dyDescent="0.2">
      <c r="A292" s="98">
        <v>1989</v>
      </c>
      <c r="B292" s="98">
        <v>30</v>
      </c>
      <c r="C292" s="100">
        <v>984000</v>
      </c>
      <c r="D292" s="98">
        <v>10720</v>
      </c>
      <c r="E292" s="98">
        <v>0</v>
      </c>
      <c r="F292" s="98">
        <v>0</v>
      </c>
      <c r="G292" s="98">
        <v>0</v>
      </c>
      <c r="H292" s="98">
        <v>1</v>
      </c>
      <c r="I292" s="98">
        <v>0</v>
      </c>
      <c r="J292" s="98">
        <v>0</v>
      </c>
    </row>
    <row r="293" spans="1:10" x14ac:dyDescent="0.2">
      <c r="A293" s="98">
        <v>1987</v>
      </c>
      <c r="B293" s="98">
        <v>15</v>
      </c>
      <c r="C293" s="100">
        <v>1300000</v>
      </c>
      <c r="D293" s="98">
        <v>13000</v>
      </c>
      <c r="E293" s="98">
        <v>0</v>
      </c>
      <c r="F293" s="98">
        <v>1</v>
      </c>
      <c r="G293" s="98">
        <v>0</v>
      </c>
      <c r="H293" s="98">
        <v>0</v>
      </c>
      <c r="I293" s="98">
        <v>0</v>
      </c>
      <c r="J293" s="98">
        <v>0</v>
      </c>
    </row>
    <row r="294" spans="1:10" x14ac:dyDescent="0.2">
      <c r="A294" s="98">
        <v>1988</v>
      </c>
      <c r="B294" s="98">
        <v>18</v>
      </c>
      <c r="C294" s="100">
        <v>1600000</v>
      </c>
      <c r="D294" s="98">
        <v>14040</v>
      </c>
      <c r="E294" s="98">
        <v>10</v>
      </c>
      <c r="F294" s="98">
        <v>1</v>
      </c>
      <c r="G294" s="98">
        <v>1</v>
      </c>
      <c r="H294" s="98">
        <v>0</v>
      </c>
      <c r="I294" s="98">
        <v>1</v>
      </c>
      <c r="J294" s="98">
        <v>18</v>
      </c>
    </row>
    <row r="295" spans="1:10" x14ac:dyDescent="0.2">
      <c r="A295" s="98">
        <v>1989</v>
      </c>
      <c r="B295" s="98">
        <v>28</v>
      </c>
      <c r="C295" s="100">
        <v>2300000</v>
      </c>
      <c r="D295" s="98">
        <v>15080</v>
      </c>
      <c r="E295" s="98">
        <v>0</v>
      </c>
      <c r="F295" s="98">
        <v>1</v>
      </c>
      <c r="G295" s="98">
        <v>0</v>
      </c>
      <c r="H295" s="98">
        <v>1</v>
      </c>
      <c r="I295" s="98">
        <v>0</v>
      </c>
      <c r="J295" s="98">
        <v>0</v>
      </c>
    </row>
    <row r="296" spans="1:10" x14ac:dyDescent="0.2">
      <c r="A296" s="98">
        <v>1987</v>
      </c>
      <c r="B296" s="98">
        <v>6</v>
      </c>
      <c r="C296" s="100">
        <v>490000</v>
      </c>
      <c r="D296" s="98">
        <v>14560</v>
      </c>
      <c r="E296" s="98">
        <v>0</v>
      </c>
      <c r="F296" s="98">
        <v>0</v>
      </c>
      <c r="G296" s="98">
        <v>0</v>
      </c>
      <c r="H296" s="98">
        <v>0</v>
      </c>
      <c r="I296" s="98">
        <v>0</v>
      </c>
      <c r="J296" s="98">
        <v>4</v>
      </c>
    </row>
    <row r="297" spans="1:10" x14ac:dyDescent="0.2">
      <c r="A297" s="98">
        <v>1988</v>
      </c>
      <c r="B297" s="98">
        <v>7</v>
      </c>
      <c r="C297" s="100">
        <v>580000</v>
      </c>
      <c r="D297" s="98">
        <v>15600</v>
      </c>
      <c r="E297" s="98">
        <v>0</v>
      </c>
      <c r="F297" s="98">
        <v>0</v>
      </c>
      <c r="G297" s="98">
        <v>0</v>
      </c>
      <c r="H297" s="98">
        <v>0</v>
      </c>
      <c r="I297" s="98">
        <v>1</v>
      </c>
      <c r="J297" s="98">
        <v>6</v>
      </c>
    </row>
    <row r="298" spans="1:10" x14ac:dyDescent="0.2">
      <c r="A298" s="98">
        <v>1989</v>
      </c>
      <c r="B298" s="98">
        <v>8</v>
      </c>
      <c r="C298" s="100">
        <v>660000</v>
      </c>
      <c r="D298" s="98">
        <v>16640</v>
      </c>
      <c r="E298" s="98">
        <v>0</v>
      </c>
      <c r="F298" s="98">
        <v>0</v>
      </c>
      <c r="G298" s="98">
        <v>0</v>
      </c>
      <c r="H298" s="98">
        <v>1</v>
      </c>
      <c r="I298" s="98">
        <v>0</v>
      </c>
      <c r="J298" s="98">
        <v>4</v>
      </c>
    </row>
    <row r="299" spans="1:10" x14ac:dyDescent="0.2">
      <c r="A299" s="98">
        <v>1987</v>
      </c>
      <c r="B299" s="98">
        <v>28</v>
      </c>
      <c r="C299" s="100">
        <v>4568907</v>
      </c>
      <c r="D299" s="98">
        <v>19042</v>
      </c>
      <c r="E299" s="98">
        <v>0</v>
      </c>
      <c r="F299" s="98">
        <v>1</v>
      </c>
      <c r="G299" s="98">
        <v>0</v>
      </c>
      <c r="H299" s="98">
        <v>0</v>
      </c>
      <c r="I299" s="98">
        <v>0</v>
      </c>
      <c r="J299" s="98">
        <v>0</v>
      </c>
    </row>
    <row r="300" spans="1:10" x14ac:dyDescent="0.2">
      <c r="A300" s="98">
        <v>1988</v>
      </c>
      <c r="B300" s="98">
        <v>28</v>
      </c>
      <c r="C300" s="100">
        <v>4904008</v>
      </c>
      <c r="D300" s="98">
        <v>19845</v>
      </c>
      <c r="E300" s="98">
        <v>12</v>
      </c>
      <c r="F300" s="98">
        <v>1</v>
      </c>
      <c r="G300" s="98">
        <v>1</v>
      </c>
      <c r="H300" s="98">
        <v>0</v>
      </c>
      <c r="I300" s="98">
        <v>1</v>
      </c>
      <c r="J300" s="98">
        <v>14</v>
      </c>
    </row>
    <row r="301" spans="1:10" x14ac:dyDescent="0.2">
      <c r="A301" s="98">
        <v>1989</v>
      </c>
      <c r="B301" s="98">
        <v>29</v>
      </c>
      <c r="C301" s="100">
        <v>5884603</v>
      </c>
      <c r="D301" s="98">
        <v>20426</v>
      </c>
      <c r="E301" s="98">
        <v>10</v>
      </c>
      <c r="F301" s="98">
        <v>1</v>
      </c>
      <c r="G301" s="98">
        <v>0</v>
      </c>
      <c r="H301" s="98">
        <v>1</v>
      </c>
      <c r="I301" s="98">
        <v>0</v>
      </c>
      <c r="J301" s="98">
        <v>4</v>
      </c>
    </row>
    <row r="302" spans="1:10" x14ac:dyDescent="0.2">
      <c r="A302" s="98">
        <v>1987</v>
      </c>
      <c r="B302" s="98">
        <v>80</v>
      </c>
      <c r="C302" s="100">
        <v>6900000</v>
      </c>
      <c r="D302" s="98">
        <v>13728</v>
      </c>
      <c r="E302" s="98">
        <v>20</v>
      </c>
      <c r="F302" s="98">
        <v>0</v>
      </c>
      <c r="G302" s="98">
        <v>0</v>
      </c>
      <c r="H302" s="98">
        <v>0</v>
      </c>
      <c r="I302" s="98">
        <v>0</v>
      </c>
      <c r="J302" s="98">
        <v>20</v>
      </c>
    </row>
    <row r="303" spans="1:10" x14ac:dyDescent="0.2">
      <c r="A303" s="98">
        <v>1988</v>
      </c>
      <c r="B303" s="98">
        <v>65</v>
      </c>
      <c r="C303" s="100">
        <v>8400000</v>
      </c>
      <c r="D303" s="98">
        <v>14664</v>
      </c>
      <c r="E303" s="98">
        <v>20</v>
      </c>
      <c r="F303" s="98">
        <v>0</v>
      </c>
      <c r="G303" s="98">
        <v>0</v>
      </c>
      <c r="H303" s="98">
        <v>0</v>
      </c>
      <c r="I303" s="98">
        <v>1</v>
      </c>
      <c r="J303" s="98">
        <v>25</v>
      </c>
    </row>
    <row r="304" spans="1:10" x14ac:dyDescent="0.2">
      <c r="A304" s="98">
        <v>1989</v>
      </c>
      <c r="B304" s="98">
        <v>75</v>
      </c>
      <c r="C304" s="100">
        <v>7100000</v>
      </c>
      <c r="D304" s="98">
        <v>15600</v>
      </c>
      <c r="E304" s="98">
        <v>20</v>
      </c>
      <c r="F304" s="98">
        <v>0</v>
      </c>
      <c r="G304" s="98">
        <v>0</v>
      </c>
      <c r="H304" s="98">
        <v>1</v>
      </c>
      <c r="I304" s="98">
        <v>0</v>
      </c>
      <c r="J304" s="98">
        <v>30</v>
      </c>
    </row>
    <row r="305" spans="1:10" x14ac:dyDescent="0.2">
      <c r="A305" s="98">
        <v>1987</v>
      </c>
      <c r="B305" s="98">
        <v>12</v>
      </c>
      <c r="C305" s="100" t="s">
        <v>145</v>
      </c>
      <c r="D305" s="98">
        <v>15000</v>
      </c>
      <c r="E305" s="98">
        <v>0</v>
      </c>
      <c r="F305" s="98">
        <v>0</v>
      </c>
      <c r="G305" s="98">
        <v>0</v>
      </c>
      <c r="H305" s="98">
        <v>0</v>
      </c>
      <c r="I305" s="98">
        <v>0</v>
      </c>
      <c r="J305" s="98">
        <v>0</v>
      </c>
    </row>
    <row r="306" spans="1:10" x14ac:dyDescent="0.2">
      <c r="A306" s="98">
        <v>1988</v>
      </c>
      <c r="B306" s="98">
        <v>14</v>
      </c>
      <c r="C306" s="100" t="s">
        <v>145</v>
      </c>
      <c r="D306" s="98">
        <v>15000</v>
      </c>
      <c r="E306" s="98">
        <v>0</v>
      </c>
      <c r="F306" s="98">
        <v>0</v>
      </c>
      <c r="G306" s="98">
        <v>0</v>
      </c>
      <c r="H306" s="98">
        <v>0</v>
      </c>
      <c r="I306" s="98">
        <v>1</v>
      </c>
      <c r="J306" s="98">
        <v>0</v>
      </c>
    </row>
    <row r="307" spans="1:10" x14ac:dyDescent="0.2">
      <c r="A307" s="98">
        <v>1989</v>
      </c>
      <c r="B307" s="98">
        <v>15</v>
      </c>
      <c r="C307" s="100" t="s">
        <v>145</v>
      </c>
      <c r="D307" s="98">
        <v>16000</v>
      </c>
      <c r="E307" s="98">
        <v>0</v>
      </c>
      <c r="F307" s="98">
        <v>0</v>
      </c>
      <c r="G307" s="98">
        <v>0</v>
      </c>
      <c r="H307" s="98">
        <v>1</v>
      </c>
      <c r="I307" s="98">
        <v>0</v>
      </c>
      <c r="J307" s="98">
        <v>0</v>
      </c>
    </row>
    <row r="308" spans="1:10" x14ac:dyDescent="0.2">
      <c r="A308" s="98">
        <v>1987</v>
      </c>
      <c r="B308" s="98">
        <v>25</v>
      </c>
      <c r="C308" s="100">
        <v>3000000</v>
      </c>
      <c r="D308" s="98">
        <v>20000</v>
      </c>
      <c r="E308" s="98">
        <v>0</v>
      </c>
      <c r="F308" s="98">
        <v>0</v>
      </c>
      <c r="G308" s="98">
        <v>0</v>
      </c>
      <c r="H308" s="98">
        <v>0</v>
      </c>
      <c r="I308" s="98">
        <v>0</v>
      </c>
      <c r="J308" s="98">
        <v>0</v>
      </c>
    </row>
    <row r="309" spans="1:10" x14ac:dyDescent="0.2">
      <c r="A309" s="98">
        <v>1988</v>
      </c>
      <c r="B309" s="98">
        <v>30</v>
      </c>
      <c r="C309" s="100">
        <v>4000000</v>
      </c>
      <c r="D309" s="98">
        <v>25000</v>
      </c>
      <c r="E309" s="98">
        <v>0</v>
      </c>
      <c r="F309" s="98">
        <v>0</v>
      </c>
      <c r="G309" s="98">
        <v>0</v>
      </c>
      <c r="H309" s="98">
        <v>0</v>
      </c>
      <c r="I309" s="98">
        <v>1</v>
      </c>
      <c r="J309" s="98">
        <v>0</v>
      </c>
    </row>
    <row r="310" spans="1:10" x14ac:dyDescent="0.2">
      <c r="A310" s="98">
        <v>1989</v>
      </c>
      <c r="B310" s="98">
        <v>40</v>
      </c>
      <c r="C310" s="100">
        <v>6000000</v>
      </c>
      <c r="D310" s="98">
        <v>30000</v>
      </c>
      <c r="E310" s="98">
        <v>0</v>
      </c>
      <c r="F310" s="98">
        <v>0</v>
      </c>
      <c r="G310" s="98">
        <v>0</v>
      </c>
      <c r="H310" s="98">
        <v>1</v>
      </c>
      <c r="I310" s="98">
        <v>0</v>
      </c>
      <c r="J310" s="98">
        <v>0</v>
      </c>
    </row>
    <row r="311" spans="1:10" x14ac:dyDescent="0.2">
      <c r="A311" s="98">
        <v>1987</v>
      </c>
      <c r="B311" s="98">
        <v>17</v>
      </c>
      <c r="C311" s="100">
        <v>1083644</v>
      </c>
      <c r="D311" s="98">
        <v>24000</v>
      </c>
      <c r="E311" s="98">
        <v>56</v>
      </c>
      <c r="F311" s="98">
        <v>0</v>
      </c>
      <c r="G311" s="98">
        <v>0</v>
      </c>
      <c r="H311" s="98">
        <v>0</v>
      </c>
      <c r="I311" s="98">
        <v>0</v>
      </c>
      <c r="J311" s="98">
        <v>6</v>
      </c>
    </row>
    <row r="312" spans="1:10" x14ac:dyDescent="0.2">
      <c r="A312" s="98">
        <v>1988</v>
      </c>
      <c r="B312" s="98">
        <v>13</v>
      </c>
      <c r="C312" s="100">
        <v>851605</v>
      </c>
      <c r="D312" s="98">
        <v>24000</v>
      </c>
      <c r="E312" s="98">
        <v>88</v>
      </c>
      <c r="F312" s="98">
        <v>0</v>
      </c>
      <c r="G312" s="98">
        <v>1</v>
      </c>
      <c r="H312" s="98">
        <v>0</v>
      </c>
      <c r="I312" s="98">
        <v>1</v>
      </c>
      <c r="J312" s="98">
        <v>13</v>
      </c>
    </row>
    <row r="313" spans="1:10" x14ac:dyDescent="0.2">
      <c r="A313" s="98">
        <v>1989</v>
      </c>
      <c r="B313" s="98">
        <v>9</v>
      </c>
      <c r="C313" s="100">
        <v>885852</v>
      </c>
      <c r="D313" s="98">
        <v>16000</v>
      </c>
      <c r="E313" s="98">
        <v>56</v>
      </c>
      <c r="F313" s="98">
        <v>0</v>
      </c>
      <c r="G313" s="98">
        <v>0</v>
      </c>
      <c r="H313" s="98">
        <v>1</v>
      </c>
      <c r="I313" s="98">
        <v>0</v>
      </c>
      <c r="J313" s="98">
        <v>1</v>
      </c>
    </row>
    <row r="314" spans="1:10" x14ac:dyDescent="0.2">
      <c r="A314" s="98">
        <v>1987</v>
      </c>
      <c r="B314" s="98">
        <v>20</v>
      </c>
      <c r="C314" s="100">
        <v>3499895</v>
      </c>
      <c r="D314" s="98">
        <v>14560</v>
      </c>
      <c r="E314" s="98">
        <v>0</v>
      </c>
      <c r="F314" s="98">
        <v>0</v>
      </c>
      <c r="G314" s="98">
        <v>0</v>
      </c>
      <c r="H314" s="98">
        <v>0</v>
      </c>
      <c r="I314" s="98">
        <v>0</v>
      </c>
      <c r="J314" s="98">
        <v>0</v>
      </c>
    </row>
    <row r="315" spans="1:10" x14ac:dyDescent="0.2">
      <c r="A315" s="98">
        <v>1988</v>
      </c>
      <c r="B315" s="98">
        <v>17</v>
      </c>
      <c r="C315" s="100">
        <v>4008997</v>
      </c>
      <c r="D315" s="98">
        <v>16848</v>
      </c>
      <c r="E315" s="98">
        <v>24</v>
      </c>
      <c r="F315" s="98">
        <v>0</v>
      </c>
      <c r="G315" s="98">
        <v>0</v>
      </c>
      <c r="H315" s="98">
        <v>0</v>
      </c>
      <c r="I315" s="98">
        <v>1</v>
      </c>
      <c r="J315" s="98">
        <v>6</v>
      </c>
    </row>
    <row r="316" spans="1:10" x14ac:dyDescent="0.2">
      <c r="A316" s="98">
        <v>1989</v>
      </c>
      <c r="B316" s="98">
        <v>13</v>
      </c>
      <c r="C316" s="100">
        <v>3379103</v>
      </c>
      <c r="D316" s="98">
        <v>18720</v>
      </c>
      <c r="E316" s="98">
        <v>0</v>
      </c>
      <c r="F316" s="98">
        <v>0</v>
      </c>
      <c r="G316" s="98">
        <v>0</v>
      </c>
      <c r="H316" s="98">
        <v>1</v>
      </c>
      <c r="I316" s="98">
        <v>0</v>
      </c>
      <c r="J316" s="98">
        <v>0</v>
      </c>
    </row>
    <row r="317" spans="1:10" x14ac:dyDescent="0.2">
      <c r="A317" s="98">
        <v>1987</v>
      </c>
      <c r="B317" s="98">
        <v>70</v>
      </c>
      <c r="C317" s="100">
        <v>6400000</v>
      </c>
      <c r="D317" s="98">
        <v>16141</v>
      </c>
      <c r="E317" s="98">
        <v>6</v>
      </c>
      <c r="F317" s="98">
        <v>1</v>
      </c>
      <c r="G317" s="98">
        <v>0</v>
      </c>
      <c r="H317" s="98">
        <v>0</v>
      </c>
      <c r="I317" s="98">
        <v>0</v>
      </c>
      <c r="J317" s="98">
        <v>60</v>
      </c>
    </row>
    <row r="318" spans="1:10" x14ac:dyDescent="0.2">
      <c r="A318" s="98">
        <v>1988</v>
      </c>
      <c r="B318" s="98">
        <v>65</v>
      </c>
      <c r="C318" s="100">
        <v>6800000</v>
      </c>
      <c r="D318" s="98">
        <v>16578</v>
      </c>
      <c r="E318" s="98">
        <v>36</v>
      </c>
      <c r="F318" s="98">
        <v>1</v>
      </c>
      <c r="G318" s="98">
        <v>1</v>
      </c>
      <c r="H318" s="98">
        <v>0</v>
      </c>
      <c r="I318" s="98">
        <v>1</v>
      </c>
      <c r="J318" s="98">
        <v>65</v>
      </c>
    </row>
    <row r="319" spans="1:10" x14ac:dyDescent="0.2">
      <c r="A319" s="98">
        <v>1989</v>
      </c>
      <c r="B319" s="98">
        <v>30</v>
      </c>
      <c r="C319" s="100">
        <v>2100000</v>
      </c>
      <c r="D319" s="98">
        <v>16952</v>
      </c>
      <c r="E319" s="98">
        <v>4</v>
      </c>
      <c r="F319" s="98">
        <v>1</v>
      </c>
      <c r="G319" s="98">
        <v>0</v>
      </c>
      <c r="H319" s="98">
        <v>1</v>
      </c>
      <c r="I319" s="98">
        <v>0</v>
      </c>
      <c r="J319" s="98">
        <v>30</v>
      </c>
    </row>
    <row r="320" spans="1:10" x14ac:dyDescent="0.2">
      <c r="A320" s="98">
        <v>1987</v>
      </c>
      <c r="B320" s="98">
        <v>6</v>
      </c>
      <c r="C320" s="100">
        <v>564694</v>
      </c>
      <c r="D320" s="98">
        <v>22866</v>
      </c>
      <c r="E320" s="98">
        <v>0</v>
      </c>
      <c r="F320" s="98">
        <v>0</v>
      </c>
      <c r="G320" s="98">
        <v>0</v>
      </c>
      <c r="H320" s="98">
        <v>0</v>
      </c>
      <c r="I320" s="98">
        <v>0</v>
      </c>
      <c r="J320" s="98">
        <v>0</v>
      </c>
    </row>
    <row r="321" spans="1:10" x14ac:dyDescent="0.2">
      <c r="A321" s="98">
        <v>1988</v>
      </c>
      <c r="B321" s="98">
        <v>6</v>
      </c>
      <c r="C321" s="100">
        <v>620439</v>
      </c>
      <c r="D321" s="98">
        <v>22995</v>
      </c>
      <c r="E321" s="98">
        <v>0</v>
      </c>
      <c r="F321" s="98">
        <v>0</v>
      </c>
      <c r="G321" s="98">
        <v>0</v>
      </c>
      <c r="H321" s="98">
        <v>0</v>
      </c>
      <c r="I321" s="98">
        <v>1</v>
      </c>
      <c r="J321" s="98">
        <v>0</v>
      </c>
    </row>
    <row r="322" spans="1:10" x14ac:dyDescent="0.2">
      <c r="A322" s="98">
        <v>1989</v>
      </c>
      <c r="B322" s="98">
        <v>6</v>
      </c>
      <c r="C322" s="100">
        <v>783261</v>
      </c>
      <c r="D322" s="98">
        <v>29114</v>
      </c>
      <c r="E322" s="98">
        <v>32</v>
      </c>
      <c r="F322" s="98">
        <v>0</v>
      </c>
      <c r="G322" s="98">
        <v>1</v>
      </c>
      <c r="H322" s="98">
        <v>1</v>
      </c>
      <c r="I322" s="98">
        <v>0</v>
      </c>
      <c r="J322" s="98">
        <v>6</v>
      </c>
    </row>
    <row r="323" spans="1:10" x14ac:dyDescent="0.2">
      <c r="A323" s="98">
        <v>1987</v>
      </c>
      <c r="B323" s="98">
        <v>35</v>
      </c>
      <c r="C323" s="100">
        <v>4200000</v>
      </c>
      <c r="D323" s="98">
        <v>31000</v>
      </c>
      <c r="E323" s="98">
        <v>60</v>
      </c>
      <c r="F323" s="98">
        <v>0</v>
      </c>
      <c r="G323" s="98">
        <v>0</v>
      </c>
      <c r="H323" s="98">
        <v>0</v>
      </c>
      <c r="I323" s="98">
        <v>0</v>
      </c>
      <c r="J323" s="98">
        <v>6</v>
      </c>
    </row>
    <row r="324" spans="1:10" x14ac:dyDescent="0.2">
      <c r="A324" s="98">
        <v>1988</v>
      </c>
      <c r="B324" s="98">
        <v>40</v>
      </c>
      <c r="C324" s="100">
        <v>4800000</v>
      </c>
      <c r="D324" s="98">
        <v>33000</v>
      </c>
      <c r="E324" s="98">
        <v>10</v>
      </c>
      <c r="F324" s="98">
        <v>0</v>
      </c>
      <c r="G324" s="98">
        <v>0</v>
      </c>
      <c r="H324" s="98">
        <v>0</v>
      </c>
      <c r="I324" s="98">
        <v>1</v>
      </c>
      <c r="J324" s="98">
        <v>8</v>
      </c>
    </row>
    <row r="325" spans="1:10" x14ac:dyDescent="0.2">
      <c r="A325" s="98">
        <v>1989</v>
      </c>
      <c r="B325" s="98">
        <v>43</v>
      </c>
      <c r="C325" s="100">
        <v>5200000</v>
      </c>
      <c r="D325" s="98">
        <v>34800</v>
      </c>
      <c r="E325" s="98">
        <v>80</v>
      </c>
      <c r="F325" s="98">
        <v>0</v>
      </c>
      <c r="G325" s="98">
        <v>1</v>
      </c>
      <c r="H325" s="98">
        <v>1</v>
      </c>
      <c r="I325" s="98">
        <v>0</v>
      </c>
      <c r="J325" s="98">
        <v>43</v>
      </c>
    </row>
    <row r="326" spans="1:10" x14ac:dyDescent="0.2">
      <c r="A326" s="98">
        <v>1987</v>
      </c>
      <c r="B326" s="98">
        <v>15</v>
      </c>
      <c r="C326" s="100">
        <v>930000</v>
      </c>
      <c r="D326" s="98">
        <v>30000</v>
      </c>
      <c r="E326" s="98">
        <v>100</v>
      </c>
      <c r="F326" s="98">
        <v>0</v>
      </c>
      <c r="G326" s="98">
        <v>0</v>
      </c>
      <c r="H326" s="98">
        <v>0</v>
      </c>
      <c r="I326" s="98">
        <v>0</v>
      </c>
      <c r="J326" s="98">
        <v>4</v>
      </c>
    </row>
    <row r="327" spans="1:10" x14ac:dyDescent="0.2">
      <c r="A327" s="98">
        <v>1988</v>
      </c>
      <c r="B327" s="98">
        <v>18</v>
      </c>
      <c r="C327" s="100">
        <v>980000</v>
      </c>
      <c r="D327" s="98">
        <v>33000</v>
      </c>
      <c r="E327" s="98">
        <v>100</v>
      </c>
      <c r="F327" s="98">
        <v>0</v>
      </c>
      <c r="G327" s="98">
        <v>0</v>
      </c>
      <c r="H327" s="98">
        <v>0</v>
      </c>
      <c r="I327" s="98">
        <v>1</v>
      </c>
      <c r="J327" s="98">
        <v>5</v>
      </c>
    </row>
    <row r="328" spans="1:10" x14ac:dyDescent="0.2">
      <c r="A328" s="98">
        <v>1989</v>
      </c>
      <c r="B328" s="98">
        <v>21</v>
      </c>
      <c r="C328" s="100">
        <v>1500000</v>
      </c>
      <c r="D328" s="98">
        <v>35000</v>
      </c>
      <c r="E328" s="98">
        <v>150</v>
      </c>
      <c r="F328" s="98">
        <v>0</v>
      </c>
      <c r="G328" s="98">
        <v>1</v>
      </c>
      <c r="H328" s="98">
        <v>1</v>
      </c>
      <c r="I328" s="98">
        <v>0</v>
      </c>
      <c r="J328" s="98">
        <v>10</v>
      </c>
    </row>
    <row r="329" spans="1:10" x14ac:dyDescent="0.2">
      <c r="A329" s="98">
        <v>1987</v>
      </c>
      <c r="B329" s="98">
        <v>12</v>
      </c>
      <c r="C329" s="100">
        <v>1200000</v>
      </c>
      <c r="D329" s="98">
        <v>28000</v>
      </c>
      <c r="E329" s="98" t="s">
        <v>145</v>
      </c>
      <c r="F329" s="98">
        <v>0</v>
      </c>
      <c r="G329" s="98">
        <v>0</v>
      </c>
      <c r="H329" s="98">
        <v>0</v>
      </c>
      <c r="I329" s="98">
        <v>0</v>
      </c>
      <c r="J329" s="98">
        <v>12</v>
      </c>
    </row>
    <row r="330" spans="1:10" x14ac:dyDescent="0.2">
      <c r="A330" s="98">
        <v>1988</v>
      </c>
      <c r="B330" s="98">
        <v>10</v>
      </c>
      <c r="C330" s="100">
        <v>1300000</v>
      </c>
      <c r="D330" s="98">
        <v>30000</v>
      </c>
      <c r="E330" s="98" t="s">
        <v>145</v>
      </c>
      <c r="F330" s="98">
        <v>0</v>
      </c>
      <c r="G330" s="98">
        <v>0</v>
      </c>
      <c r="H330" s="98">
        <v>0</v>
      </c>
      <c r="I330" s="98">
        <v>1</v>
      </c>
      <c r="J330" s="98">
        <v>10</v>
      </c>
    </row>
    <row r="331" spans="1:10" x14ac:dyDescent="0.2">
      <c r="A331" s="98">
        <v>1989</v>
      </c>
      <c r="B331" s="98">
        <v>8</v>
      </c>
      <c r="C331" s="100">
        <v>1100000</v>
      </c>
      <c r="D331" s="98">
        <v>30000</v>
      </c>
      <c r="E331" s="98" t="s">
        <v>145</v>
      </c>
      <c r="F331" s="98">
        <v>0</v>
      </c>
      <c r="G331" s="98">
        <v>0</v>
      </c>
      <c r="H331" s="98">
        <v>1</v>
      </c>
      <c r="I331" s="98">
        <v>0</v>
      </c>
      <c r="J331" s="98">
        <v>8</v>
      </c>
    </row>
    <row r="332" spans="1:10" x14ac:dyDescent="0.2">
      <c r="A332" s="98">
        <v>1987</v>
      </c>
      <c r="B332" s="98">
        <v>13</v>
      </c>
      <c r="C332" s="100">
        <v>1200000</v>
      </c>
      <c r="D332" s="98">
        <v>18720</v>
      </c>
      <c r="E332" s="98">
        <v>0</v>
      </c>
      <c r="F332" s="98">
        <v>0</v>
      </c>
      <c r="G332" s="98">
        <v>0</v>
      </c>
      <c r="H332" s="98">
        <v>0</v>
      </c>
      <c r="I332" s="98">
        <v>0</v>
      </c>
      <c r="J332" s="98">
        <v>0</v>
      </c>
    </row>
    <row r="333" spans="1:10" x14ac:dyDescent="0.2">
      <c r="A333" s="98">
        <v>1988</v>
      </c>
      <c r="B333" s="98">
        <v>14</v>
      </c>
      <c r="C333" s="100">
        <v>1350000</v>
      </c>
      <c r="D333" s="98">
        <v>20800</v>
      </c>
      <c r="E333" s="98">
        <v>0</v>
      </c>
      <c r="F333" s="98">
        <v>0</v>
      </c>
      <c r="G333" s="98">
        <v>0</v>
      </c>
      <c r="H333" s="98">
        <v>0</v>
      </c>
      <c r="I333" s="98">
        <v>1</v>
      </c>
      <c r="J333" s="98">
        <v>0</v>
      </c>
    </row>
    <row r="334" spans="1:10" x14ac:dyDescent="0.2">
      <c r="A334" s="98">
        <v>1989</v>
      </c>
      <c r="B334" s="98">
        <v>15</v>
      </c>
      <c r="C334" s="100">
        <v>1480000</v>
      </c>
      <c r="D334" s="98">
        <v>29120</v>
      </c>
      <c r="E334" s="98">
        <v>72</v>
      </c>
      <c r="F334" s="98">
        <v>0</v>
      </c>
      <c r="G334" s="98">
        <v>1</v>
      </c>
      <c r="H334" s="98">
        <v>1</v>
      </c>
      <c r="I334" s="98">
        <v>0</v>
      </c>
      <c r="J334" s="98">
        <v>15</v>
      </c>
    </row>
    <row r="335" spans="1:10" x14ac:dyDescent="0.2">
      <c r="A335" s="98">
        <v>1987</v>
      </c>
      <c r="B335" s="98">
        <v>150</v>
      </c>
      <c r="C335" s="100">
        <v>22700000</v>
      </c>
      <c r="D335" s="98">
        <v>22006</v>
      </c>
      <c r="E335" s="98">
        <v>50</v>
      </c>
      <c r="F335" s="98">
        <v>1</v>
      </c>
      <c r="G335" s="98">
        <v>0</v>
      </c>
      <c r="H335" s="98">
        <v>0</v>
      </c>
      <c r="I335" s="98">
        <v>0</v>
      </c>
      <c r="J335" s="98">
        <v>100</v>
      </c>
    </row>
    <row r="336" spans="1:10" x14ac:dyDescent="0.2">
      <c r="A336" s="98">
        <v>1988</v>
      </c>
      <c r="B336" s="98">
        <v>178</v>
      </c>
      <c r="C336" s="100">
        <v>30800000</v>
      </c>
      <c r="D336" s="98">
        <v>22027</v>
      </c>
      <c r="E336" s="98">
        <v>40</v>
      </c>
      <c r="F336" s="98">
        <v>1</v>
      </c>
      <c r="G336" s="98">
        <v>0</v>
      </c>
      <c r="H336" s="98">
        <v>0</v>
      </c>
      <c r="I336" s="98">
        <v>1</v>
      </c>
      <c r="J336" s="98">
        <v>60</v>
      </c>
    </row>
    <row r="337" spans="1:10" x14ac:dyDescent="0.2">
      <c r="A337" s="98">
        <v>1989</v>
      </c>
      <c r="B337" s="98">
        <v>171</v>
      </c>
      <c r="C337" s="100">
        <v>28400000</v>
      </c>
      <c r="D337" s="98">
        <v>24107</v>
      </c>
      <c r="E337" s="98">
        <v>20</v>
      </c>
      <c r="F337" s="98">
        <v>1</v>
      </c>
      <c r="G337" s="98">
        <v>0</v>
      </c>
      <c r="H337" s="98">
        <v>1</v>
      </c>
      <c r="I337" s="98">
        <v>0</v>
      </c>
      <c r="J337" s="98">
        <v>40</v>
      </c>
    </row>
    <row r="338" spans="1:10" x14ac:dyDescent="0.2">
      <c r="A338" s="98">
        <v>1987</v>
      </c>
      <c r="B338" s="98">
        <v>80</v>
      </c>
      <c r="C338" s="100">
        <v>10000000</v>
      </c>
      <c r="D338" s="98">
        <v>33280</v>
      </c>
      <c r="E338" s="98">
        <v>0</v>
      </c>
      <c r="F338" s="98">
        <v>1</v>
      </c>
      <c r="G338" s="98">
        <v>0</v>
      </c>
      <c r="H338" s="98">
        <v>0</v>
      </c>
      <c r="I338" s="98">
        <v>0</v>
      </c>
      <c r="J338" s="98">
        <v>0</v>
      </c>
    </row>
    <row r="339" spans="1:10" x14ac:dyDescent="0.2">
      <c r="A339" s="98">
        <v>1988</v>
      </c>
      <c r="B339" s="98">
        <v>70</v>
      </c>
      <c r="C339" s="100">
        <v>9000000</v>
      </c>
      <c r="D339" s="98">
        <v>32240</v>
      </c>
      <c r="E339" s="98">
        <v>0</v>
      </c>
      <c r="F339" s="98">
        <v>1</v>
      </c>
      <c r="G339" s="98">
        <v>0</v>
      </c>
      <c r="H339" s="98">
        <v>0</v>
      </c>
      <c r="I339" s="98">
        <v>1</v>
      </c>
      <c r="J339" s="98">
        <v>0</v>
      </c>
    </row>
    <row r="340" spans="1:10" x14ac:dyDescent="0.2">
      <c r="A340" s="98">
        <v>1989</v>
      </c>
      <c r="B340" s="98">
        <v>65</v>
      </c>
      <c r="C340" s="100">
        <v>9500000</v>
      </c>
      <c r="D340" s="98">
        <v>30784</v>
      </c>
      <c r="E340" s="98">
        <v>40</v>
      </c>
      <c r="F340" s="98">
        <v>1</v>
      </c>
      <c r="G340" s="98">
        <v>1</v>
      </c>
      <c r="H340" s="98">
        <v>1</v>
      </c>
      <c r="I340" s="98">
        <v>0</v>
      </c>
      <c r="J340" s="98">
        <v>60</v>
      </c>
    </row>
    <row r="341" spans="1:10" x14ac:dyDescent="0.2">
      <c r="A341" s="98">
        <v>1987</v>
      </c>
      <c r="B341" s="98">
        <v>333</v>
      </c>
      <c r="C341" s="100" t="s">
        <v>145</v>
      </c>
      <c r="D341" s="98">
        <v>22360</v>
      </c>
      <c r="E341" s="98">
        <v>0</v>
      </c>
      <c r="F341" s="98">
        <v>0</v>
      </c>
      <c r="G341" s="98">
        <v>0</v>
      </c>
      <c r="H341" s="98">
        <v>0</v>
      </c>
      <c r="I341" s="98">
        <v>0</v>
      </c>
      <c r="J341" s="98">
        <v>0</v>
      </c>
    </row>
    <row r="342" spans="1:10" x14ac:dyDescent="0.2">
      <c r="A342" s="98">
        <v>1988</v>
      </c>
      <c r="B342" s="98">
        <v>340</v>
      </c>
      <c r="C342" s="100" t="s">
        <v>145</v>
      </c>
      <c r="D342" s="98">
        <v>22360</v>
      </c>
      <c r="E342" s="98">
        <v>8</v>
      </c>
      <c r="F342" s="98">
        <v>0</v>
      </c>
      <c r="G342" s="98">
        <v>0</v>
      </c>
      <c r="H342" s="98">
        <v>0</v>
      </c>
      <c r="I342" s="98">
        <v>1</v>
      </c>
      <c r="J342" s="98">
        <v>24</v>
      </c>
    </row>
    <row r="343" spans="1:10" x14ac:dyDescent="0.2">
      <c r="A343" s="98">
        <v>1989</v>
      </c>
      <c r="B343" s="98">
        <v>337</v>
      </c>
      <c r="C343" s="100" t="s">
        <v>145</v>
      </c>
      <c r="D343" s="98">
        <v>22526</v>
      </c>
      <c r="E343" s="98">
        <v>12</v>
      </c>
      <c r="F343" s="98">
        <v>0</v>
      </c>
      <c r="G343" s="98">
        <v>1</v>
      </c>
      <c r="H343" s="98">
        <v>1</v>
      </c>
      <c r="I343" s="98">
        <v>0</v>
      </c>
      <c r="J343" s="98">
        <v>337</v>
      </c>
    </row>
    <row r="344" spans="1:10" x14ac:dyDescent="0.2">
      <c r="A344" s="98">
        <v>1987</v>
      </c>
      <c r="B344" s="98">
        <v>6</v>
      </c>
      <c r="C344" s="100">
        <v>875000</v>
      </c>
      <c r="D344" s="98">
        <v>13500</v>
      </c>
      <c r="E344" s="98">
        <v>0</v>
      </c>
      <c r="F344" s="98">
        <v>0</v>
      </c>
      <c r="G344" s="98">
        <v>0</v>
      </c>
      <c r="H344" s="98">
        <v>0</v>
      </c>
      <c r="I344" s="98">
        <v>0</v>
      </c>
      <c r="J344" s="98">
        <v>0</v>
      </c>
    </row>
    <row r="345" spans="1:10" x14ac:dyDescent="0.2">
      <c r="A345" s="98">
        <v>1988</v>
      </c>
      <c r="B345" s="98">
        <v>8</v>
      </c>
      <c r="C345" s="100">
        <v>15900000</v>
      </c>
      <c r="D345" s="98">
        <v>14100</v>
      </c>
      <c r="E345" s="98">
        <v>20</v>
      </c>
      <c r="F345" s="98">
        <v>0</v>
      </c>
      <c r="G345" s="98">
        <v>0</v>
      </c>
      <c r="H345" s="98">
        <v>0</v>
      </c>
      <c r="I345" s="98">
        <v>1</v>
      </c>
      <c r="J345" s="98">
        <v>2</v>
      </c>
    </row>
    <row r="346" spans="1:10" x14ac:dyDescent="0.2">
      <c r="A346" s="98">
        <v>1989</v>
      </c>
      <c r="B346" s="98">
        <v>11</v>
      </c>
      <c r="C346" s="100">
        <v>2250000</v>
      </c>
      <c r="D346" s="98">
        <v>15050</v>
      </c>
      <c r="E346" s="98">
        <v>75</v>
      </c>
      <c r="F346" s="98">
        <v>0</v>
      </c>
      <c r="G346" s="98">
        <v>1</v>
      </c>
      <c r="H346" s="98">
        <v>1</v>
      </c>
      <c r="I346" s="98">
        <v>0</v>
      </c>
      <c r="J346" s="98">
        <v>11</v>
      </c>
    </row>
    <row r="347" spans="1:10" x14ac:dyDescent="0.2">
      <c r="A347" s="98">
        <v>1987</v>
      </c>
      <c r="B347" s="98">
        <v>5</v>
      </c>
      <c r="C347" s="100" t="s">
        <v>145</v>
      </c>
      <c r="D347" s="98" t="s">
        <v>145</v>
      </c>
      <c r="E347" s="98">
        <v>0</v>
      </c>
      <c r="F347" s="98">
        <v>1</v>
      </c>
      <c r="G347" s="98">
        <v>0</v>
      </c>
      <c r="H347" s="98">
        <v>0</v>
      </c>
      <c r="I347" s="98">
        <v>0</v>
      </c>
      <c r="J347" s="98">
        <v>0</v>
      </c>
    </row>
    <row r="348" spans="1:10" x14ac:dyDescent="0.2">
      <c r="A348" s="98">
        <v>1988</v>
      </c>
      <c r="B348" s="98">
        <v>5</v>
      </c>
      <c r="C348" s="100" t="s">
        <v>145</v>
      </c>
      <c r="D348" s="98" t="s">
        <v>145</v>
      </c>
      <c r="E348" s="98">
        <v>0</v>
      </c>
      <c r="F348" s="98">
        <v>1</v>
      </c>
      <c r="G348" s="98">
        <v>0</v>
      </c>
      <c r="H348" s="98">
        <v>0</v>
      </c>
      <c r="I348" s="98">
        <v>1</v>
      </c>
      <c r="J348" s="98">
        <v>0</v>
      </c>
    </row>
    <row r="349" spans="1:10" x14ac:dyDescent="0.2">
      <c r="A349" s="98">
        <v>1989</v>
      </c>
      <c r="B349" s="98">
        <v>5</v>
      </c>
      <c r="C349" s="100" t="s">
        <v>145</v>
      </c>
      <c r="D349" s="98" t="s">
        <v>145</v>
      </c>
      <c r="E349" s="98">
        <v>9</v>
      </c>
      <c r="F349" s="98">
        <v>1</v>
      </c>
      <c r="G349" s="98">
        <v>1</v>
      </c>
      <c r="H349" s="98">
        <v>1</v>
      </c>
      <c r="I349" s="98">
        <v>0</v>
      </c>
      <c r="J349" s="98">
        <v>5</v>
      </c>
    </row>
    <row r="350" spans="1:10" x14ac:dyDescent="0.2">
      <c r="A350" s="98">
        <v>1987</v>
      </c>
      <c r="B350" s="98">
        <v>262</v>
      </c>
      <c r="C350" s="100">
        <v>18100000</v>
      </c>
      <c r="D350" s="98">
        <v>22360</v>
      </c>
      <c r="E350" s="98">
        <v>0</v>
      </c>
      <c r="F350" s="98">
        <v>0</v>
      </c>
      <c r="G350" s="98">
        <v>0</v>
      </c>
      <c r="H350" s="98">
        <v>0</v>
      </c>
      <c r="I350" s="98">
        <v>0</v>
      </c>
      <c r="J350" s="98">
        <v>4</v>
      </c>
    </row>
    <row r="351" spans="1:10" x14ac:dyDescent="0.2">
      <c r="A351" s="98">
        <v>1988</v>
      </c>
      <c r="B351" s="98">
        <v>264</v>
      </c>
      <c r="C351" s="100">
        <v>19300000</v>
      </c>
      <c r="D351" s="98">
        <v>23026</v>
      </c>
      <c r="E351" s="98">
        <v>24</v>
      </c>
      <c r="F351" s="98">
        <v>0</v>
      </c>
      <c r="G351" s="98">
        <v>0</v>
      </c>
      <c r="H351" s="98">
        <v>0</v>
      </c>
      <c r="I351" s="98">
        <v>1</v>
      </c>
      <c r="J351" s="98">
        <v>3</v>
      </c>
    </row>
    <row r="352" spans="1:10" x14ac:dyDescent="0.2">
      <c r="A352" s="98">
        <v>1989</v>
      </c>
      <c r="B352" s="98">
        <v>302</v>
      </c>
      <c r="C352" s="100">
        <v>22200000</v>
      </c>
      <c r="D352" s="98">
        <v>21736</v>
      </c>
      <c r="E352" s="98">
        <v>44</v>
      </c>
      <c r="F352" s="98">
        <v>0</v>
      </c>
      <c r="G352" s="98">
        <v>1</v>
      </c>
      <c r="H352" s="98">
        <v>1</v>
      </c>
      <c r="I352" s="98">
        <v>0</v>
      </c>
      <c r="J352" s="98">
        <v>302</v>
      </c>
    </row>
    <row r="353" spans="1:10" x14ac:dyDescent="0.2">
      <c r="A353" s="98">
        <v>1987</v>
      </c>
      <c r="B353" s="98">
        <v>6</v>
      </c>
      <c r="C353" s="100">
        <v>600000</v>
      </c>
      <c r="D353" s="98">
        <v>24960</v>
      </c>
      <c r="E353" s="98">
        <v>15</v>
      </c>
      <c r="F353" s="98">
        <v>0</v>
      </c>
      <c r="G353" s="98">
        <v>0</v>
      </c>
      <c r="H353" s="98">
        <v>0</v>
      </c>
      <c r="I353" s="98">
        <v>0</v>
      </c>
      <c r="J353" s="98">
        <v>6</v>
      </c>
    </row>
    <row r="354" spans="1:10" x14ac:dyDescent="0.2">
      <c r="A354" s="98">
        <v>1988</v>
      </c>
      <c r="B354" s="98">
        <v>9</v>
      </c>
      <c r="C354" s="100">
        <v>750000</v>
      </c>
      <c r="D354" s="98">
        <v>28080</v>
      </c>
      <c r="E354" s="98">
        <v>20</v>
      </c>
      <c r="F354" s="98">
        <v>0</v>
      </c>
      <c r="G354" s="98">
        <v>0</v>
      </c>
      <c r="H354" s="98">
        <v>0</v>
      </c>
      <c r="I354" s="98">
        <v>1</v>
      </c>
      <c r="J354" s="98">
        <v>9</v>
      </c>
    </row>
    <row r="355" spans="1:10" x14ac:dyDescent="0.2">
      <c r="A355" s="98">
        <v>1989</v>
      </c>
      <c r="B355" s="98">
        <v>12</v>
      </c>
      <c r="C355" s="100">
        <v>1000000</v>
      </c>
      <c r="D355" s="98">
        <v>30160</v>
      </c>
      <c r="E355" s="98">
        <v>55</v>
      </c>
      <c r="F355" s="98">
        <v>0</v>
      </c>
      <c r="G355" s="98">
        <v>1</v>
      </c>
      <c r="H355" s="98">
        <v>1</v>
      </c>
      <c r="I355" s="98">
        <v>0</v>
      </c>
      <c r="J355" s="98">
        <v>12</v>
      </c>
    </row>
    <row r="356" spans="1:10" x14ac:dyDescent="0.2">
      <c r="A356" s="98">
        <v>1987</v>
      </c>
      <c r="B356" s="98">
        <v>60</v>
      </c>
      <c r="C356" s="100">
        <v>5845000</v>
      </c>
      <c r="D356" s="98">
        <v>21133</v>
      </c>
      <c r="E356" s="98" t="s">
        <v>145</v>
      </c>
      <c r="F356" s="98">
        <v>0</v>
      </c>
      <c r="G356" s="98">
        <v>0</v>
      </c>
      <c r="H356" s="98">
        <v>0</v>
      </c>
      <c r="I356" s="98">
        <v>0</v>
      </c>
      <c r="J356" s="98">
        <v>60</v>
      </c>
    </row>
    <row r="357" spans="1:10" x14ac:dyDescent="0.2">
      <c r="A357" s="98">
        <v>1988</v>
      </c>
      <c r="B357" s="98">
        <v>71</v>
      </c>
      <c r="C357" s="100">
        <v>6927000</v>
      </c>
      <c r="D357" s="98">
        <v>20904</v>
      </c>
      <c r="E357" s="98" t="s">
        <v>145</v>
      </c>
      <c r="F357" s="98">
        <v>0</v>
      </c>
      <c r="G357" s="98">
        <v>0</v>
      </c>
      <c r="H357" s="98">
        <v>0</v>
      </c>
      <c r="I357" s="98">
        <v>1</v>
      </c>
      <c r="J357" s="98">
        <v>71</v>
      </c>
    </row>
    <row r="358" spans="1:10" x14ac:dyDescent="0.2">
      <c r="A358" s="98">
        <v>1989</v>
      </c>
      <c r="B358" s="98">
        <v>97</v>
      </c>
      <c r="C358" s="100">
        <v>11000000</v>
      </c>
      <c r="D358" s="98">
        <v>21445</v>
      </c>
      <c r="E358" s="98" t="s">
        <v>145</v>
      </c>
      <c r="F358" s="98">
        <v>0</v>
      </c>
      <c r="G358" s="98">
        <v>0</v>
      </c>
      <c r="H358" s="98">
        <v>1</v>
      </c>
      <c r="I358" s="98">
        <v>0</v>
      </c>
      <c r="J358" s="98">
        <v>97</v>
      </c>
    </row>
    <row r="359" spans="1:10" x14ac:dyDescent="0.2">
      <c r="A359" s="98">
        <v>1987</v>
      </c>
      <c r="B359" s="98">
        <v>60</v>
      </c>
      <c r="C359" s="100" t="s">
        <v>145</v>
      </c>
      <c r="D359" s="98" t="s">
        <v>145</v>
      </c>
      <c r="E359" s="98">
        <v>40</v>
      </c>
      <c r="F359" s="98">
        <v>0</v>
      </c>
      <c r="G359" s="98">
        <v>0</v>
      </c>
      <c r="H359" s="98">
        <v>0</v>
      </c>
      <c r="I359" s="98">
        <v>0</v>
      </c>
      <c r="J359" s="98">
        <v>60</v>
      </c>
    </row>
    <row r="360" spans="1:10" x14ac:dyDescent="0.2">
      <c r="A360" s="98">
        <v>1988</v>
      </c>
      <c r="B360" s="98">
        <v>69</v>
      </c>
      <c r="C360" s="100" t="s">
        <v>145</v>
      </c>
      <c r="D360" s="98" t="s">
        <v>145</v>
      </c>
      <c r="E360" s="98">
        <v>50</v>
      </c>
      <c r="F360" s="98">
        <v>0</v>
      </c>
      <c r="G360" s="98">
        <v>0</v>
      </c>
      <c r="H360" s="98">
        <v>0</v>
      </c>
      <c r="I360" s="98">
        <v>1</v>
      </c>
      <c r="J360" s="98">
        <v>69</v>
      </c>
    </row>
    <row r="361" spans="1:10" x14ac:dyDescent="0.2">
      <c r="A361" s="98">
        <v>1989</v>
      </c>
      <c r="B361" s="98">
        <v>78</v>
      </c>
      <c r="C361" s="100" t="s">
        <v>145</v>
      </c>
      <c r="D361" s="98" t="s">
        <v>145</v>
      </c>
      <c r="E361" s="98">
        <v>50</v>
      </c>
      <c r="F361" s="98">
        <v>0</v>
      </c>
      <c r="G361" s="98">
        <v>0</v>
      </c>
      <c r="H361" s="98">
        <v>1</v>
      </c>
      <c r="I361" s="98">
        <v>0</v>
      </c>
      <c r="J361" s="98">
        <v>78</v>
      </c>
    </row>
    <row r="362" spans="1:10" x14ac:dyDescent="0.2">
      <c r="A362" s="98">
        <v>1987</v>
      </c>
      <c r="B362" s="98">
        <v>27</v>
      </c>
      <c r="C362" s="100">
        <v>2700000</v>
      </c>
      <c r="D362" s="98" t="s">
        <v>145</v>
      </c>
      <c r="E362" s="98">
        <v>0</v>
      </c>
      <c r="F362" s="98">
        <v>1</v>
      </c>
      <c r="G362" s="98">
        <v>0</v>
      </c>
      <c r="H362" s="98">
        <v>0</v>
      </c>
      <c r="I362" s="98">
        <v>0</v>
      </c>
      <c r="J362" s="98">
        <v>0</v>
      </c>
    </row>
    <row r="363" spans="1:10" x14ac:dyDescent="0.2">
      <c r="A363" s="98">
        <v>1988</v>
      </c>
      <c r="B363" s="98">
        <v>27</v>
      </c>
      <c r="C363" s="100">
        <v>2800000</v>
      </c>
      <c r="D363" s="98" t="s">
        <v>145</v>
      </c>
      <c r="E363" s="98">
        <v>0</v>
      </c>
      <c r="F363" s="98">
        <v>1</v>
      </c>
      <c r="G363" s="98">
        <v>0</v>
      </c>
      <c r="H363" s="98">
        <v>0</v>
      </c>
      <c r="I363" s="98">
        <v>1</v>
      </c>
      <c r="J363" s="98">
        <v>0</v>
      </c>
    </row>
    <row r="364" spans="1:10" x14ac:dyDescent="0.2">
      <c r="A364" s="98">
        <v>1989</v>
      </c>
      <c r="B364" s="98">
        <v>27</v>
      </c>
      <c r="C364" s="100">
        <v>2800000</v>
      </c>
      <c r="D364" s="98" t="s">
        <v>145</v>
      </c>
      <c r="E364" s="98">
        <v>12</v>
      </c>
      <c r="F364" s="98">
        <v>1</v>
      </c>
      <c r="G364" s="98">
        <v>1</v>
      </c>
      <c r="H364" s="98">
        <v>1</v>
      </c>
      <c r="I364" s="98">
        <v>0</v>
      </c>
      <c r="J364" s="98">
        <v>27</v>
      </c>
    </row>
    <row r="365" spans="1:10" x14ac:dyDescent="0.2">
      <c r="A365" s="98">
        <v>1987</v>
      </c>
      <c r="B365" s="98">
        <v>57</v>
      </c>
      <c r="C365" s="100">
        <v>8486927</v>
      </c>
      <c r="D365" s="98">
        <v>40563</v>
      </c>
      <c r="E365" s="98">
        <v>0</v>
      </c>
      <c r="F365" s="98">
        <v>0</v>
      </c>
      <c r="G365" s="98">
        <v>0</v>
      </c>
      <c r="H365" s="98">
        <v>0</v>
      </c>
      <c r="I365" s="98">
        <v>0</v>
      </c>
      <c r="J365" s="98">
        <v>0</v>
      </c>
    </row>
    <row r="366" spans="1:10" x14ac:dyDescent="0.2">
      <c r="A366" s="98">
        <v>1988</v>
      </c>
      <c r="B366" s="98">
        <v>53</v>
      </c>
      <c r="C366" s="100">
        <v>4327519</v>
      </c>
      <c r="D366" s="98">
        <v>37429</v>
      </c>
      <c r="E366" s="98">
        <v>40</v>
      </c>
      <c r="F366" s="98">
        <v>0</v>
      </c>
      <c r="G366" s="98">
        <v>0</v>
      </c>
      <c r="H366" s="98">
        <v>0</v>
      </c>
      <c r="I366" s="98">
        <v>1</v>
      </c>
      <c r="J366" s="98">
        <v>10</v>
      </c>
    </row>
    <row r="367" spans="1:10" x14ac:dyDescent="0.2">
      <c r="A367" s="98">
        <v>1989</v>
      </c>
      <c r="B367" s="98">
        <v>62</v>
      </c>
      <c r="C367" s="100">
        <v>8533205</v>
      </c>
      <c r="D367" s="98">
        <v>42583</v>
      </c>
      <c r="E367" s="98">
        <v>40</v>
      </c>
      <c r="F367" s="98">
        <v>0</v>
      </c>
      <c r="G367" s="98">
        <v>0</v>
      </c>
      <c r="H367" s="98">
        <v>1</v>
      </c>
      <c r="I367" s="98">
        <v>0</v>
      </c>
      <c r="J367" s="98">
        <v>5</v>
      </c>
    </row>
    <row r="368" spans="1:10" x14ac:dyDescent="0.2">
      <c r="A368" s="98">
        <v>1987</v>
      </c>
      <c r="B368" s="98">
        <v>40</v>
      </c>
      <c r="C368" s="100">
        <v>8000000</v>
      </c>
      <c r="D368" s="98">
        <v>15000</v>
      </c>
      <c r="E368" s="98">
        <v>0</v>
      </c>
      <c r="F368" s="98">
        <v>1</v>
      </c>
      <c r="G368" s="98">
        <v>0</v>
      </c>
      <c r="H368" s="98">
        <v>0</v>
      </c>
      <c r="I368" s="98">
        <v>0</v>
      </c>
      <c r="J368" s="98">
        <v>0</v>
      </c>
    </row>
    <row r="369" spans="1:10" x14ac:dyDescent="0.2">
      <c r="A369" s="98">
        <v>1988</v>
      </c>
      <c r="B369" s="98">
        <v>40</v>
      </c>
      <c r="C369" s="100">
        <v>8500000</v>
      </c>
      <c r="D369" s="98">
        <v>15500</v>
      </c>
      <c r="E369" s="98">
        <v>0</v>
      </c>
      <c r="F369" s="98">
        <v>1</v>
      </c>
      <c r="G369" s="98">
        <v>0</v>
      </c>
      <c r="H369" s="98">
        <v>0</v>
      </c>
      <c r="I369" s="98">
        <v>1</v>
      </c>
      <c r="J369" s="98">
        <v>0</v>
      </c>
    </row>
    <row r="370" spans="1:10" x14ac:dyDescent="0.2">
      <c r="A370" s="98">
        <v>1989</v>
      </c>
      <c r="B370" s="98">
        <v>60</v>
      </c>
      <c r="C370" s="100">
        <v>10000000</v>
      </c>
      <c r="D370" s="98">
        <v>17000</v>
      </c>
      <c r="E370" s="98">
        <v>0</v>
      </c>
      <c r="F370" s="98">
        <v>1</v>
      </c>
      <c r="G370" s="98">
        <v>0</v>
      </c>
      <c r="H370" s="98">
        <v>1</v>
      </c>
      <c r="I370" s="98">
        <v>0</v>
      </c>
      <c r="J370" s="98">
        <v>0</v>
      </c>
    </row>
    <row r="371" spans="1:10" x14ac:dyDescent="0.2">
      <c r="A371" s="98">
        <v>1987</v>
      </c>
      <c r="B371" s="98">
        <v>100</v>
      </c>
      <c r="C371" s="100">
        <v>10000000</v>
      </c>
      <c r="D371" s="98">
        <v>15000</v>
      </c>
      <c r="E371" s="98">
        <v>70</v>
      </c>
      <c r="F371" s="98">
        <v>1</v>
      </c>
      <c r="G371" s="98">
        <v>0</v>
      </c>
      <c r="H371" s="98">
        <v>0</v>
      </c>
      <c r="I371" s="98">
        <v>0</v>
      </c>
      <c r="J371" s="98">
        <v>5</v>
      </c>
    </row>
    <row r="372" spans="1:10" x14ac:dyDescent="0.2">
      <c r="A372" s="98">
        <v>1988</v>
      </c>
      <c r="B372" s="98">
        <v>125</v>
      </c>
      <c r="C372" s="100">
        <v>12000000</v>
      </c>
      <c r="D372" s="98">
        <v>16000</v>
      </c>
      <c r="E372" s="98">
        <v>25</v>
      </c>
      <c r="F372" s="98">
        <v>1</v>
      </c>
      <c r="G372" s="98">
        <v>0</v>
      </c>
      <c r="H372" s="98">
        <v>0</v>
      </c>
      <c r="I372" s="98">
        <v>1</v>
      </c>
      <c r="J372" s="98">
        <v>21</v>
      </c>
    </row>
    <row r="373" spans="1:10" x14ac:dyDescent="0.2">
      <c r="A373" s="98">
        <v>1989</v>
      </c>
      <c r="B373" s="98">
        <v>290</v>
      </c>
      <c r="C373" s="100">
        <v>48000000</v>
      </c>
      <c r="D373" s="98">
        <v>18700</v>
      </c>
      <c r="E373" s="98">
        <v>17</v>
      </c>
      <c r="F373" s="98">
        <v>1</v>
      </c>
      <c r="G373" s="98">
        <v>1</v>
      </c>
      <c r="H373" s="98">
        <v>1</v>
      </c>
      <c r="I373" s="98">
        <v>0</v>
      </c>
      <c r="J373" s="98">
        <v>290</v>
      </c>
    </row>
    <row r="374" spans="1:10" x14ac:dyDescent="0.2">
      <c r="A374" s="98">
        <v>1987</v>
      </c>
      <c r="B374" s="98" t="s">
        <v>145</v>
      </c>
      <c r="C374" s="100" t="s">
        <v>145</v>
      </c>
      <c r="D374" s="98" t="s">
        <v>145</v>
      </c>
      <c r="E374" s="98">
        <v>0</v>
      </c>
      <c r="F374" s="98">
        <v>0</v>
      </c>
      <c r="G374" s="98">
        <v>0</v>
      </c>
      <c r="H374" s="98">
        <v>0</v>
      </c>
      <c r="I374" s="98">
        <v>0</v>
      </c>
      <c r="J374" s="98">
        <v>0</v>
      </c>
    </row>
    <row r="375" spans="1:10" x14ac:dyDescent="0.2">
      <c r="A375" s="98">
        <v>1988</v>
      </c>
      <c r="B375" s="98" t="s">
        <v>145</v>
      </c>
      <c r="C375" s="100" t="s">
        <v>145</v>
      </c>
      <c r="D375" s="98" t="s">
        <v>145</v>
      </c>
      <c r="E375" s="98">
        <v>0</v>
      </c>
      <c r="F375" s="98">
        <v>0</v>
      </c>
      <c r="G375" s="98">
        <v>0</v>
      </c>
      <c r="H375" s="98">
        <v>0</v>
      </c>
      <c r="I375" s="98">
        <v>1</v>
      </c>
      <c r="J375" s="98">
        <v>0</v>
      </c>
    </row>
    <row r="376" spans="1:10" x14ac:dyDescent="0.2">
      <c r="A376" s="98">
        <v>1989</v>
      </c>
      <c r="B376" s="98">
        <v>9</v>
      </c>
      <c r="C376" s="100">
        <v>1000000</v>
      </c>
      <c r="D376" s="98">
        <v>17000</v>
      </c>
      <c r="E376" s="98">
        <v>0</v>
      </c>
      <c r="F376" s="98">
        <v>0</v>
      </c>
      <c r="G376" s="98">
        <v>0</v>
      </c>
      <c r="H376" s="98">
        <v>1</v>
      </c>
      <c r="I376" s="98">
        <v>0</v>
      </c>
      <c r="J376" s="98">
        <v>0</v>
      </c>
    </row>
    <row r="377" spans="1:10" x14ac:dyDescent="0.2">
      <c r="A377" s="98">
        <v>1987</v>
      </c>
      <c r="B377" s="98" t="s">
        <v>145</v>
      </c>
      <c r="C377" s="100" t="s">
        <v>145</v>
      </c>
      <c r="D377" s="98" t="s">
        <v>145</v>
      </c>
      <c r="E377" s="98">
        <v>0</v>
      </c>
      <c r="F377" s="98">
        <v>0</v>
      </c>
      <c r="G377" s="98">
        <v>0</v>
      </c>
      <c r="H377" s="98">
        <v>0</v>
      </c>
      <c r="I377" s="98">
        <v>0</v>
      </c>
      <c r="J377" s="98">
        <v>20</v>
      </c>
    </row>
    <row r="378" spans="1:10" x14ac:dyDescent="0.2">
      <c r="A378" s="98">
        <v>1988</v>
      </c>
      <c r="B378" s="98" t="s">
        <v>145</v>
      </c>
      <c r="C378" s="100" t="s">
        <v>145</v>
      </c>
      <c r="D378" s="98" t="s">
        <v>145</v>
      </c>
      <c r="E378" s="98">
        <v>8</v>
      </c>
      <c r="F378" s="98">
        <v>0</v>
      </c>
      <c r="G378" s="98">
        <v>0</v>
      </c>
      <c r="H378" s="98">
        <v>0</v>
      </c>
      <c r="I378" s="98">
        <v>1</v>
      </c>
      <c r="J378" s="98">
        <v>25</v>
      </c>
    </row>
    <row r="379" spans="1:10" x14ac:dyDescent="0.2">
      <c r="A379" s="98">
        <v>1989</v>
      </c>
      <c r="B379" s="98" t="s">
        <v>145</v>
      </c>
      <c r="C379" s="100" t="s">
        <v>145</v>
      </c>
      <c r="D379" s="98" t="s">
        <v>145</v>
      </c>
      <c r="E379" s="98">
        <v>13</v>
      </c>
      <c r="F379" s="98">
        <v>0</v>
      </c>
      <c r="G379" s="98">
        <v>1</v>
      </c>
      <c r="H379" s="98">
        <v>1</v>
      </c>
      <c r="I379" s="98">
        <v>0</v>
      </c>
      <c r="J379" s="98">
        <v>81</v>
      </c>
    </row>
    <row r="380" spans="1:10" x14ac:dyDescent="0.2">
      <c r="A380" s="98">
        <v>1987</v>
      </c>
      <c r="B380" s="98">
        <v>12</v>
      </c>
      <c r="C380" s="100" t="s">
        <v>145</v>
      </c>
      <c r="D380" s="98">
        <v>18000</v>
      </c>
      <c r="E380" s="98">
        <v>0</v>
      </c>
      <c r="F380" s="98">
        <v>0</v>
      </c>
      <c r="G380" s="98">
        <v>0</v>
      </c>
      <c r="H380" s="98">
        <v>0</v>
      </c>
      <c r="I380" s="98">
        <v>0</v>
      </c>
      <c r="J380" s="98">
        <v>0</v>
      </c>
    </row>
    <row r="381" spans="1:10" x14ac:dyDescent="0.2">
      <c r="A381" s="98">
        <v>1988</v>
      </c>
      <c r="B381" s="98">
        <v>14</v>
      </c>
      <c r="C381" s="100" t="s">
        <v>145</v>
      </c>
      <c r="D381" s="98">
        <v>18000</v>
      </c>
      <c r="E381" s="98">
        <v>15</v>
      </c>
      <c r="F381" s="98">
        <v>0</v>
      </c>
      <c r="G381" s="98">
        <v>0</v>
      </c>
      <c r="H381" s="98">
        <v>0</v>
      </c>
      <c r="I381" s="98">
        <v>1</v>
      </c>
      <c r="J381" s="98">
        <v>0</v>
      </c>
    </row>
    <row r="382" spans="1:10" x14ac:dyDescent="0.2">
      <c r="A382" s="98">
        <v>1989</v>
      </c>
      <c r="B382" s="98">
        <v>14</v>
      </c>
      <c r="C382" s="100" t="s">
        <v>145</v>
      </c>
      <c r="D382" s="98">
        <v>19000</v>
      </c>
      <c r="E382" s="98">
        <v>25</v>
      </c>
      <c r="F382" s="98">
        <v>0</v>
      </c>
      <c r="G382" s="98">
        <v>1</v>
      </c>
      <c r="H382" s="98">
        <v>1</v>
      </c>
      <c r="I382" s="98">
        <v>0</v>
      </c>
      <c r="J382" s="98">
        <v>14</v>
      </c>
    </row>
    <row r="383" spans="1:10" x14ac:dyDescent="0.2">
      <c r="A383" s="98">
        <v>1987</v>
      </c>
      <c r="B383" s="98">
        <v>60</v>
      </c>
      <c r="C383" s="100">
        <v>6870314</v>
      </c>
      <c r="D383" s="98">
        <v>12750</v>
      </c>
      <c r="E383" s="98">
        <v>50</v>
      </c>
      <c r="F383" s="98">
        <v>0</v>
      </c>
      <c r="G383" s="98">
        <v>0</v>
      </c>
      <c r="H383" s="98">
        <v>0</v>
      </c>
      <c r="I383" s="98">
        <v>0</v>
      </c>
      <c r="J383" s="98">
        <v>60</v>
      </c>
    </row>
    <row r="384" spans="1:10" x14ac:dyDescent="0.2">
      <c r="A384" s="98">
        <v>1988</v>
      </c>
      <c r="B384" s="98">
        <v>65</v>
      </c>
      <c r="C384" s="100">
        <v>7079852</v>
      </c>
      <c r="D384" s="98">
        <v>11875</v>
      </c>
      <c r="E384" s="98">
        <v>75</v>
      </c>
      <c r="F384" s="98">
        <v>0</v>
      </c>
      <c r="G384" s="98">
        <v>0</v>
      </c>
      <c r="H384" s="98">
        <v>0</v>
      </c>
      <c r="I384" s="98">
        <v>1</v>
      </c>
      <c r="J384" s="98">
        <v>65</v>
      </c>
    </row>
    <row r="385" spans="1:10" x14ac:dyDescent="0.2">
      <c r="A385" s="98">
        <v>1989</v>
      </c>
      <c r="B385" s="98">
        <v>75</v>
      </c>
      <c r="C385" s="100">
        <v>8040128</v>
      </c>
      <c r="D385" s="98">
        <v>12625</v>
      </c>
      <c r="E385" s="98">
        <v>120</v>
      </c>
      <c r="F385" s="98">
        <v>0</v>
      </c>
      <c r="G385" s="98">
        <v>1</v>
      </c>
      <c r="H385" s="98">
        <v>1</v>
      </c>
      <c r="I385" s="98">
        <v>0</v>
      </c>
      <c r="J385" s="98">
        <v>75</v>
      </c>
    </row>
    <row r="386" spans="1:10" x14ac:dyDescent="0.2">
      <c r="A386" s="98">
        <v>1987</v>
      </c>
      <c r="B386" s="98" t="s">
        <v>145</v>
      </c>
      <c r="C386" s="100">
        <v>2900000</v>
      </c>
      <c r="D386" s="98" t="s">
        <v>145</v>
      </c>
      <c r="E386" s="98">
        <v>0</v>
      </c>
      <c r="F386" s="98">
        <v>0</v>
      </c>
      <c r="G386" s="98">
        <v>0</v>
      </c>
      <c r="H386" s="98">
        <v>0</v>
      </c>
      <c r="I386" s="98">
        <v>0</v>
      </c>
      <c r="J386" s="98">
        <v>0</v>
      </c>
    </row>
    <row r="387" spans="1:10" x14ac:dyDescent="0.2">
      <c r="A387" s="98">
        <v>1988</v>
      </c>
      <c r="B387" s="98" t="s">
        <v>145</v>
      </c>
      <c r="C387" s="100">
        <v>2500000</v>
      </c>
      <c r="D387" s="98" t="s">
        <v>145</v>
      </c>
      <c r="E387" s="98">
        <v>25</v>
      </c>
      <c r="F387" s="98">
        <v>0</v>
      </c>
      <c r="G387" s="98">
        <v>0</v>
      </c>
      <c r="H387" s="98">
        <v>0</v>
      </c>
      <c r="I387" s="98">
        <v>1</v>
      </c>
      <c r="J387" s="98">
        <v>10</v>
      </c>
    </row>
    <row r="388" spans="1:10" x14ac:dyDescent="0.2">
      <c r="A388" s="98">
        <v>1989</v>
      </c>
      <c r="B388" s="98" t="s">
        <v>145</v>
      </c>
      <c r="C388" s="100">
        <v>3100000</v>
      </c>
      <c r="D388" s="98" t="s">
        <v>145</v>
      </c>
      <c r="E388" s="98">
        <v>140</v>
      </c>
      <c r="F388" s="98">
        <v>0</v>
      </c>
      <c r="G388" s="98">
        <v>1</v>
      </c>
      <c r="H388" s="98">
        <v>1</v>
      </c>
      <c r="I388" s="98">
        <v>0</v>
      </c>
      <c r="J388" s="98">
        <v>8</v>
      </c>
    </row>
    <row r="389" spans="1:10" x14ac:dyDescent="0.2">
      <c r="A389" s="98">
        <v>1987</v>
      </c>
      <c r="B389" s="98">
        <v>32</v>
      </c>
      <c r="C389" s="100">
        <v>6000000</v>
      </c>
      <c r="D389" s="98">
        <v>15250</v>
      </c>
      <c r="E389" s="98">
        <v>2</v>
      </c>
      <c r="F389" s="98">
        <v>1</v>
      </c>
      <c r="G389" s="98">
        <v>0</v>
      </c>
      <c r="H389" s="98">
        <v>0</v>
      </c>
      <c r="I389" s="98">
        <v>0</v>
      </c>
      <c r="J389" s="98">
        <v>5</v>
      </c>
    </row>
    <row r="390" spans="1:10" x14ac:dyDescent="0.2">
      <c r="A390" s="98">
        <v>1988</v>
      </c>
      <c r="B390" s="98">
        <v>36</v>
      </c>
      <c r="C390" s="100">
        <v>6100000</v>
      </c>
      <c r="D390" s="98">
        <v>16290</v>
      </c>
      <c r="E390" s="98">
        <v>4</v>
      </c>
      <c r="F390" s="98">
        <v>1</v>
      </c>
      <c r="G390" s="98">
        <v>0</v>
      </c>
      <c r="H390" s="98">
        <v>0</v>
      </c>
      <c r="I390" s="98">
        <v>1</v>
      </c>
      <c r="J390" s="98">
        <v>10</v>
      </c>
    </row>
    <row r="391" spans="1:10" x14ac:dyDescent="0.2">
      <c r="A391" s="98">
        <v>1989</v>
      </c>
      <c r="B391" s="98">
        <v>40</v>
      </c>
      <c r="C391" s="100">
        <v>6300000</v>
      </c>
      <c r="D391" s="98">
        <v>17370</v>
      </c>
      <c r="E391" s="98">
        <v>38</v>
      </c>
      <c r="F391" s="98">
        <v>1</v>
      </c>
      <c r="G391" s="98">
        <v>1</v>
      </c>
      <c r="H391" s="98">
        <v>1</v>
      </c>
      <c r="I391" s="98">
        <v>0</v>
      </c>
      <c r="J391" s="98">
        <v>40</v>
      </c>
    </row>
    <row r="392" spans="1:10" x14ac:dyDescent="0.2">
      <c r="A392" s="98">
        <v>1987</v>
      </c>
      <c r="B392" s="98">
        <v>20</v>
      </c>
      <c r="C392" s="100">
        <v>2700000</v>
      </c>
      <c r="D392" s="98">
        <v>10920</v>
      </c>
      <c r="E392" s="98">
        <v>50</v>
      </c>
      <c r="F392" s="98">
        <v>0</v>
      </c>
      <c r="G392" s="98">
        <v>0</v>
      </c>
      <c r="H392" s="98">
        <v>0</v>
      </c>
      <c r="I392" s="98">
        <v>0</v>
      </c>
      <c r="J392" s="98">
        <v>5</v>
      </c>
    </row>
    <row r="393" spans="1:10" x14ac:dyDescent="0.2">
      <c r="A393" s="98">
        <v>1988</v>
      </c>
      <c r="B393" s="98">
        <v>22</v>
      </c>
      <c r="C393" s="100">
        <v>3100000</v>
      </c>
      <c r="D393" s="98">
        <v>11856</v>
      </c>
      <c r="E393" s="98">
        <v>75</v>
      </c>
      <c r="F393" s="98">
        <v>0</v>
      </c>
      <c r="G393" s="98">
        <v>0</v>
      </c>
      <c r="H393" s="98">
        <v>0</v>
      </c>
      <c r="I393" s="98">
        <v>1</v>
      </c>
      <c r="J393" s="98">
        <v>12</v>
      </c>
    </row>
    <row r="394" spans="1:10" x14ac:dyDescent="0.2">
      <c r="A394" s="98">
        <v>1989</v>
      </c>
      <c r="B394" s="98">
        <v>37</v>
      </c>
      <c r="C394" s="100">
        <v>4700000</v>
      </c>
      <c r="D394" s="98">
        <v>13520</v>
      </c>
      <c r="E394" s="98">
        <v>154</v>
      </c>
      <c r="F394" s="98">
        <v>0</v>
      </c>
      <c r="G394" s="98">
        <v>1</v>
      </c>
      <c r="H394" s="98">
        <v>1</v>
      </c>
      <c r="I394" s="98">
        <v>0</v>
      </c>
      <c r="J394" s="98">
        <v>37</v>
      </c>
    </row>
    <row r="395" spans="1:10" x14ac:dyDescent="0.2">
      <c r="A395" s="98">
        <v>1987</v>
      </c>
      <c r="B395" s="98">
        <v>201</v>
      </c>
      <c r="C395" s="100" t="s">
        <v>145</v>
      </c>
      <c r="D395" s="98">
        <v>23167</v>
      </c>
      <c r="E395" s="98">
        <v>0</v>
      </c>
      <c r="F395" s="98">
        <v>0</v>
      </c>
      <c r="G395" s="98">
        <v>0</v>
      </c>
      <c r="H395" s="98">
        <v>0</v>
      </c>
      <c r="I395" s="98">
        <v>0</v>
      </c>
      <c r="J395" s="98">
        <v>0</v>
      </c>
    </row>
    <row r="396" spans="1:10" x14ac:dyDescent="0.2">
      <c r="A396" s="98">
        <v>1988</v>
      </c>
      <c r="B396" s="98">
        <v>201</v>
      </c>
      <c r="C396" s="100" t="s">
        <v>145</v>
      </c>
      <c r="D396" s="98">
        <v>25929</v>
      </c>
      <c r="E396" s="98">
        <v>0</v>
      </c>
      <c r="F396" s="98">
        <v>0</v>
      </c>
      <c r="G396" s="98">
        <v>0</v>
      </c>
      <c r="H396" s="98">
        <v>0</v>
      </c>
      <c r="I396" s="98">
        <v>1</v>
      </c>
      <c r="J396" s="98">
        <v>0</v>
      </c>
    </row>
    <row r="397" spans="1:10" x14ac:dyDescent="0.2">
      <c r="A397" s="98">
        <v>1989</v>
      </c>
      <c r="B397" s="98">
        <v>237</v>
      </c>
      <c r="C397" s="100" t="s">
        <v>145</v>
      </c>
      <c r="D397" s="98">
        <v>24965</v>
      </c>
      <c r="E397" s="98">
        <v>24</v>
      </c>
      <c r="F397" s="98">
        <v>0</v>
      </c>
      <c r="G397" s="98">
        <v>1</v>
      </c>
      <c r="H397" s="98">
        <v>1</v>
      </c>
      <c r="I397" s="98">
        <v>0</v>
      </c>
      <c r="J397" s="98">
        <v>70</v>
      </c>
    </row>
    <row r="398" spans="1:10" x14ac:dyDescent="0.2">
      <c r="A398" s="98">
        <v>1987</v>
      </c>
      <c r="B398" s="98">
        <v>45</v>
      </c>
      <c r="C398" s="100">
        <v>10000000</v>
      </c>
      <c r="D398" s="98" t="s">
        <v>145</v>
      </c>
      <c r="E398" s="98">
        <v>0</v>
      </c>
      <c r="F398" s="98">
        <v>0</v>
      </c>
      <c r="G398" s="98">
        <v>0</v>
      </c>
      <c r="H398" s="98">
        <v>0</v>
      </c>
      <c r="I398" s="98">
        <v>0</v>
      </c>
      <c r="J398" s="98">
        <v>0</v>
      </c>
    </row>
    <row r="399" spans="1:10" x14ac:dyDescent="0.2">
      <c r="A399" s="98">
        <v>1988</v>
      </c>
      <c r="B399" s="98">
        <v>50</v>
      </c>
      <c r="C399" s="100">
        <v>10000000</v>
      </c>
      <c r="D399" s="98" t="s">
        <v>145</v>
      </c>
      <c r="E399" s="98">
        <v>0</v>
      </c>
      <c r="F399" s="98">
        <v>0</v>
      </c>
      <c r="G399" s="98">
        <v>0</v>
      </c>
      <c r="H399" s="98">
        <v>0</v>
      </c>
      <c r="I399" s="98">
        <v>1</v>
      </c>
      <c r="J399" s="98">
        <v>0</v>
      </c>
    </row>
    <row r="400" spans="1:10" x14ac:dyDescent="0.2">
      <c r="A400" s="98">
        <v>1989</v>
      </c>
      <c r="B400" s="98">
        <v>55</v>
      </c>
      <c r="C400" s="100">
        <v>12000000</v>
      </c>
      <c r="D400" s="98" t="s">
        <v>145</v>
      </c>
      <c r="E400" s="98">
        <v>10</v>
      </c>
      <c r="F400" s="98">
        <v>0</v>
      </c>
      <c r="G400" s="98">
        <v>0</v>
      </c>
      <c r="H400" s="98">
        <v>1</v>
      </c>
      <c r="I400" s="98">
        <v>0</v>
      </c>
      <c r="J400" s="98">
        <v>55</v>
      </c>
    </row>
    <row r="401" spans="1:10" x14ac:dyDescent="0.2">
      <c r="A401" s="98">
        <v>1987</v>
      </c>
      <c r="B401" s="98">
        <v>14</v>
      </c>
      <c r="C401" s="100">
        <v>1585000</v>
      </c>
      <c r="D401" s="98">
        <v>14560</v>
      </c>
      <c r="E401" s="98">
        <v>60</v>
      </c>
      <c r="F401" s="98">
        <v>0</v>
      </c>
      <c r="G401" s="98">
        <v>0</v>
      </c>
      <c r="H401" s="98">
        <v>0</v>
      </c>
      <c r="I401" s="98">
        <v>0</v>
      </c>
      <c r="J401" s="98">
        <v>1</v>
      </c>
    </row>
    <row r="402" spans="1:10" x14ac:dyDescent="0.2">
      <c r="A402" s="98">
        <v>1988</v>
      </c>
      <c r="B402" s="98">
        <v>11</v>
      </c>
      <c r="C402" s="100">
        <v>1560000</v>
      </c>
      <c r="D402" s="98">
        <v>19240</v>
      </c>
      <c r="E402" s="98">
        <v>0</v>
      </c>
      <c r="F402" s="98">
        <v>0</v>
      </c>
      <c r="G402" s="98">
        <v>0</v>
      </c>
      <c r="H402" s="98">
        <v>0</v>
      </c>
      <c r="I402" s="98">
        <v>1</v>
      </c>
      <c r="J402" s="98">
        <v>0</v>
      </c>
    </row>
    <row r="403" spans="1:10" x14ac:dyDescent="0.2">
      <c r="A403" s="98">
        <v>1989</v>
      </c>
      <c r="B403" s="98">
        <v>12</v>
      </c>
      <c r="C403" s="100">
        <v>1747000</v>
      </c>
      <c r="D403" s="98">
        <v>20280</v>
      </c>
      <c r="E403" s="98">
        <v>50</v>
      </c>
      <c r="F403" s="98">
        <v>0</v>
      </c>
      <c r="G403" s="98">
        <v>1</v>
      </c>
      <c r="H403" s="98">
        <v>1</v>
      </c>
      <c r="I403" s="98">
        <v>0</v>
      </c>
      <c r="J403" s="98">
        <v>12</v>
      </c>
    </row>
    <row r="404" spans="1:10" x14ac:dyDescent="0.2">
      <c r="A404" s="98">
        <v>1987</v>
      </c>
      <c r="B404" s="98">
        <v>50</v>
      </c>
      <c r="C404" s="100" t="s">
        <v>145</v>
      </c>
      <c r="D404" s="98">
        <v>24960</v>
      </c>
      <c r="E404" s="98">
        <v>0</v>
      </c>
      <c r="F404" s="98">
        <v>0</v>
      </c>
      <c r="G404" s="98">
        <v>0</v>
      </c>
      <c r="H404" s="98">
        <v>0</v>
      </c>
      <c r="I404" s="98">
        <v>0</v>
      </c>
      <c r="J404" s="98">
        <v>0</v>
      </c>
    </row>
    <row r="405" spans="1:10" x14ac:dyDescent="0.2">
      <c r="A405" s="98">
        <v>1988</v>
      </c>
      <c r="B405" s="98">
        <v>73</v>
      </c>
      <c r="C405" s="100" t="s">
        <v>145</v>
      </c>
      <c r="D405" s="98">
        <v>26520</v>
      </c>
      <c r="E405" s="98">
        <v>0</v>
      </c>
      <c r="F405" s="98">
        <v>0</v>
      </c>
      <c r="G405" s="98">
        <v>0</v>
      </c>
      <c r="H405" s="98">
        <v>0</v>
      </c>
      <c r="I405" s="98">
        <v>1</v>
      </c>
      <c r="J405" s="98">
        <v>2</v>
      </c>
    </row>
    <row r="406" spans="1:10" x14ac:dyDescent="0.2">
      <c r="A406" s="98">
        <v>1989</v>
      </c>
      <c r="B406" s="98">
        <v>83</v>
      </c>
      <c r="C406" s="100" t="s">
        <v>145</v>
      </c>
      <c r="D406" s="98">
        <v>28080</v>
      </c>
      <c r="E406" s="98">
        <v>110</v>
      </c>
      <c r="F406" s="98">
        <v>0</v>
      </c>
      <c r="G406" s="98">
        <v>1</v>
      </c>
      <c r="H406" s="98">
        <v>1</v>
      </c>
      <c r="I406" s="98">
        <v>0</v>
      </c>
      <c r="J406" s="98">
        <v>30</v>
      </c>
    </row>
    <row r="407" spans="1:10" x14ac:dyDescent="0.2">
      <c r="A407" s="98">
        <v>1987</v>
      </c>
      <c r="B407" s="98">
        <v>40</v>
      </c>
      <c r="C407" s="100">
        <v>2400000</v>
      </c>
      <c r="D407" s="98">
        <v>16307</v>
      </c>
      <c r="E407" s="98">
        <v>2</v>
      </c>
      <c r="F407" s="98">
        <v>0</v>
      </c>
      <c r="G407" s="98">
        <v>0</v>
      </c>
      <c r="H407" s="98">
        <v>0</v>
      </c>
      <c r="I407" s="98">
        <v>0</v>
      </c>
      <c r="J407" s="98">
        <v>10</v>
      </c>
    </row>
    <row r="408" spans="1:10" x14ac:dyDescent="0.2">
      <c r="A408" s="98">
        <v>1988</v>
      </c>
      <c r="B408" s="98">
        <v>36</v>
      </c>
      <c r="C408" s="100">
        <v>2300000</v>
      </c>
      <c r="D408" s="98">
        <v>16827</v>
      </c>
      <c r="E408" s="98">
        <v>4</v>
      </c>
      <c r="F408" s="98">
        <v>0</v>
      </c>
      <c r="G408" s="98">
        <v>0</v>
      </c>
      <c r="H408" s="98">
        <v>0</v>
      </c>
      <c r="I408" s="98">
        <v>1</v>
      </c>
      <c r="J408" s="98">
        <v>15</v>
      </c>
    </row>
    <row r="409" spans="1:10" x14ac:dyDescent="0.2">
      <c r="A409" s="98">
        <v>1989</v>
      </c>
      <c r="B409" s="98">
        <v>33</v>
      </c>
      <c r="C409" s="100">
        <v>2700000</v>
      </c>
      <c r="D409" s="98">
        <v>17347</v>
      </c>
      <c r="E409" s="98">
        <v>18</v>
      </c>
      <c r="F409" s="98">
        <v>0</v>
      </c>
      <c r="G409" s="98">
        <v>1</v>
      </c>
      <c r="H409" s="98">
        <v>1</v>
      </c>
      <c r="I409" s="98">
        <v>0</v>
      </c>
      <c r="J409" s="98">
        <v>33</v>
      </c>
    </row>
    <row r="410" spans="1:10" x14ac:dyDescent="0.2">
      <c r="A410" s="98">
        <v>1987</v>
      </c>
      <c r="B410" s="98">
        <v>15</v>
      </c>
      <c r="C410" s="100" t="s">
        <v>145</v>
      </c>
      <c r="D410" s="98">
        <v>18000</v>
      </c>
      <c r="E410" s="98" t="s">
        <v>145</v>
      </c>
      <c r="F410" s="98">
        <v>0</v>
      </c>
      <c r="G410" s="98">
        <v>0</v>
      </c>
      <c r="H410" s="98">
        <v>0</v>
      </c>
      <c r="I410" s="98">
        <v>0</v>
      </c>
      <c r="J410" s="98">
        <v>15</v>
      </c>
    </row>
    <row r="411" spans="1:10" x14ac:dyDescent="0.2">
      <c r="A411" s="98">
        <v>1988</v>
      </c>
      <c r="B411" s="98">
        <v>18</v>
      </c>
      <c r="C411" s="100" t="s">
        <v>145</v>
      </c>
      <c r="D411" s="98">
        <v>19500</v>
      </c>
      <c r="E411" s="98" t="s">
        <v>145</v>
      </c>
      <c r="F411" s="98">
        <v>0</v>
      </c>
      <c r="G411" s="98">
        <v>0</v>
      </c>
      <c r="H411" s="98">
        <v>0</v>
      </c>
      <c r="I411" s="98">
        <v>1</v>
      </c>
      <c r="J411" s="98">
        <v>18</v>
      </c>
    </row>
    <row r="412" spans="1:10" x14ac:dyDescent="0.2">
      <c r="A412" s="98">
        <v>1989</v>
      </c>
      <c r="B412" s="98">
        <v>21</v>
      </c>
      <c r="C412" s="100" t="s">
        <v>145</v>
      </c>
      <c r="D412" s="98">
        <v>20900</v>
      </c>
      <c r="E412" s="98" t="s">
        <v>145</v>
      </c>
      <c r="F412" s="98">
        <v>0</v>
      </c>
      <c r="G412" s="98">
        <v>0</v>
      </c>
      <c r="H412" s="98">
        <v>1</v>
      </c>
      <c r="I412" s="98">
        <v>0</v>
      </c>
      <c r="J412" s="98">
        <v>21</v>
      </c>
    </row>
    <row r="413" spans="1:10" x14ac:dyDescent="0.2">
      <c r="A413" s="98">
        <v>1987</v>
      </c>
      <c r="B413" s="98">
        <v>6</v>
      </c>
      <c r="C413" s="100">
        <v>373164</v>
      </c>
      <c r="D413" s="98">
        <v>17680</v>
      </c>
      <c r="E413" s="98">
        <v>170</v>
      </c>
      <c r="F413" s="98">
        <v>0</v>
      </c>
      <c r="G413" s="98">
        <v>0</v>
      </c>
      <c r="H413" s="98">
        <v>0</v>
      </c>
      <c r="I413" s="98">
        <v>0</v>
      </c>
      <c r="J413" s="98">
        <v>2</v>
      </c>
    </row>
    <row r="414" spans="1:10" x14ac:dyDescent="0.2">
      <c r="A414" s="98">
        <v>1988</v>
      </c>
      <c r="B414" s="98">
        <v>8</v>
      </c>
      <c r="C414" s="100">
        <v>422611</v>
      </c>
      <c r="D414" s="98">
        <v>17680</v>
      </c>
      <c r="E414" s="98">
        <v>170</v>
      </c>
      <c r="F414" s="98">
        <v>0</v>
      </c>
      <c r="G414" s="98">
        <v>0</v>
      </c>
      <c r="H414" s="98">
        <v>0</v>
      </c>
      <c r="I414" s="98">
        <v>1</v>
      </c>
      <c r="J414" s="98">
        <v>4</v>
      </c>
    </row>
    <row r="415" spans="1:10" x14ac:dyDescent="0.2">
      <c r="A415" s="98">
        <v>1989</v>
      </c>
      <c r="B415" s="98">
        <v>9</v>
      </c>
      <c r="C415" s="100">
        <v>390210</v>
      </c>
      <c r="D415" s="98">
        <v>17846</v>
      </c>
      <c r="E415" s="98">
        <v>170</v>
      </c>
      <c r="F415" s="98">
        <v>0</v>
      </c>
      <c r="G415" s="98">
        <v>0</v>
      </c>
      <c r="H415" s="98">
        <v>1</v>
      </c>
      <c r="I415" s="98">
        <v>0</v>
      </c>
      <c r="J415" s="98">
        <v>4</v>
      </c>
    </row>
    <row r="416" spans="1:10" x14ac:dyDescent="0.2">
      <c r="A416" s="98">
        <v>1987</v>
      </c>
      <c r="B416" s="98">
        <v>62</v>
      </c>
      <c r="C416" s="100">
        <v>5000000</v>
      </c>
      <c r="D416" s="98">
        <v>29000</v>
      </c>
      <c r="E416" s="98">
        <v>72</v>
      </c>
      <c r="F416" s="98">
        <v>0</v>
      </c>
      <c r="G416" s="98">
        <v>0</v>
      </c>
      <c r="H416" s="98">
        <v>0</v>
      </c>
      <c r="I416" s="98">
        <v>0</v>
      </c>
      <c r="J416" s="98">
        <v>13</v>
      </c>
    </row>
    <row r="417" spans="1:10" x14ac:dyDescent="0.2">
      <c r="A417" s="98">
        <v>1988</v>
      </c>
      <c r="B417" s="98">
        <v>74</v>
      </c>
      <c r="C417" s="100">
        <v>6000000</v>
      </c>
      <c r="D417" s="98">
        <v>34000</v>
      </c>
      <c r="E417" s="98">
        <v>72</v>
      </c>
      <c r="F417" s="98">
        <v>0</v>
      </c>
      <c r="G417" s="98">
        <v>0</v>
      </c>
      <c r="H417" s="98">
        <v>0</v>
      </c>
      <c r="I417" s="98">
        <v>1</v>
      </c>
      <c r="J417" s="98">
        <v>13</v>
      </c>
    </row>
    <row r="418" spans="1:10" x14ac:dyDescent="0.2">
      <c r="A418" s="98">
        <v>1989</v>
      </c>
      <c r="B418" s="98">
        <v>82</v>
      </c>
      <c r="C418" s="100">
        <v>8000000</v>
      </c>
      <c r="D418" s="98">
        <v>39000</v>
      </c>
      <c r="E418" s="98">
        <v>72</v>
      </c>
      <c r="F418" s="98">
        <v>0</v>
      </c>
      <c r="G418" s="98">
        <v>0</v>
      </c>
      <c r="H418" s="98">
        <v>1</v>
      </c>
      <c r="I418" s="98">
        <v>0</v>
      </c>
      <c r="J418" s="98">
        <v>13</v>
      </c>
    </row>
    <row r="419" spans="1:10" x14ac:dyDescent="0.2">
      <c r="A419" s="98">
        <v>1987</v>
      </c>
      <c r="B419" s="98" t="s">
        <v>145</v>
      </c>
      <c r="C419" s="100">
        <v>1842243</v>
      </c>
      <c r="D419" s="98" t="s">
        <v>145</v>
      </c>
      <c r="E419" s="98" t="s">
        <v>145</v>
      </c>
      <c r="F419" s="98">
        <v>0</v>
      </c>
      <c r="G419" s="98">
        <v>0</v>
      </c>
      <c r="H419" s="98">
        <v>0</v>
      </c>
      <c r="I419" s="98">
        <v>0</v>
      </c>
      <c r="J419" s="98" t="s">
        <v>145</v>
      </c>
    </row>
    <row r="420" spans="1:10" x14ac:dyDescent="0.2">
      <c r="A420" s="98">
        <v>1988</v>
      </c>
      <c r="B420" s="98" t="s">
        <v>145</v>
      </c>
      <c r="C420" s="100">
        <v>2072633</v>
      </c>
      <c r="D420" s="98" t="s">
        <v>145</v>
      </c>
      <c r="E420" s="98" t="s">
        <v>145</v>
      </c>
      <c r="F420" s="98">
        <v>0</v>
      </c>
      <c r="G420" s="98">
        <v>0</v>
      </c>
      <c r="H420" s="98">
        <v>0</v>
      </c>
      <c r="I420" s="98">
        <v>1</v>
      </c>
      <c r="J420" s="98" t="s">
        <v>145</v>
      </c>
    </row>
    <row r="421" spans="1:10" x14ac:dyDescent="0.2">
      <c r="A421" s="98">
        <v>1989</v>
      </c>
      <c r="B421" s="98" t="s">
        <v>145</v>
      </c>
      <c r="C421" s="100">
        <v>2314928</v>
      </c>
      <c r="D421" s="98" t="s">
        <v>145</v>
      </c>
      <c r="E421" s="98" t="s">
        <v>145</v>
      </c>
      <c r="F421" s="98">
        <v>0</v>
      </c>
      <c r="G421" s="98">
        <v>0</v>
      </c>
      <c r="H421" s="98">
        <v>1</v>
      </c>
      <c r="I421" s="98">
        <v>0</v>
      </c>
      <c r="J421" s="98" t="s">
        <v>145</v>
      </c>
    </row>
    <row r="422" spans="1:10" x14ac:dyDescent="0.2">
      <c r="A422" s="98">
        <v>1987</v>
      </c>
      <c r="B422" s="98">
        <v>75</v>
      </c>
      <c r="C422" s="100">
        <v>8450000</v>
      </c>
      <c r="D422" s="98">
        <v>13416</v>
      </c>
      <c r="E422" s="98">
        <v>20</v>
      </c>
      <c r="F422" s="98">
        <v>0</v>
      </c>
      <c r="G422" s="98">
        <v>0</v>
      </c>
      <c r="H422" s="98">
        <v>0</v>
      </c>
      <c r="I422" s="98">
        <v>0</v>
      </c>
      <c r="J422" s="98">
        <v>40</v>
      </c>
    </row>
    <row r="423" spans="1:10" x14ac:dyDescent="0.2">
      <c r="A423" s="98">
        <v>1988</v>
      </c>
      <c r="B423" s="98">
        <v>72</v>
      </c>
      <c r="C423" s="100">
        <v>10300000</v>
      </c>
      <c r="D423" s="98">
        <v>15184</v>
      </c>
      <c r="E423" s="98">
        <v>26</v>
      </c>
      <c r="F423" s="98">
        <v>0</v>
      </c>
      <c r="G423" s="98">
        <v>0</v>
      </c>
      <c r="H423" s="98">
        <v>0</v>
      </c>
      <c r="I423" s="98">
        <v>1</v>
      </c>
      <c r="J423" s="98">
        <v>72</v>
      </c>
    </row>
    <row r="424" spans="1:10" x14ac:dyDescent="0.2">
      <c r="A424" s="98">
        <v>1989</v>
      </c>
      <c r="B424" s="98">
        <v>75</v>
      </c>
      <c r="C424" s="100">
        <v>10200000</v>
      </c>
      <c r="D424" s="98">
        <v>17451</v>
      </c>
      <c r="E424" s="98">
        <v>60</v>
      </c>
      <c r="F424" s="98">
        <v>0</v>
      </c>
      <c r="G424" s="98">
        <v>1</v>
      </c>
      <c r="H424" s="98">
        <v>1</v>
      </c>
      <c r="I424" s="98">
        <v>0</v>
      </c>
      <c r="J424" s="98">
        <v>75</v>
      </c>
    </row>
    <row r="425" spans="1:10" x14ac:dyDescent="0.2">
      <c r="A425" s="98">
        <v>1987</v>
      </c>
      <c r="B425" s="98">
        <v>26</v>
      </c>
      <c r="C425" s="100" t="s">
        <v>145</v>
      </c>
      <c r="D425" s="98">
        <v>26667</v>
      </c>
      <c r="E425" s="98">
        <v>100</v>
      </c>
      <c r="F425" s="98">
        <v>0</v>
      </c>
      <c r="G425" s="98">
        <v>0</v>
      </c>
      <c r="H425" s="98">
        <v>0</v>
      </c>
      <c r="I425" s="98">
        <v>0</v>
      </c>
      <c r="J425" s="98">
        <v>6</v>
      </c>
    </row>
    <row r="426" spans="1:10" x14ac:dyDescent="0.2">
      <c r="A426" s="98">
        <v>1988</v>
      </c>
      <c r="B426" s="98">
        <v>24</v>
      </c>
      <c r="C426" s="100" t="s">
        <v>145</v>
      </c>
      <c r="D426" s="98">
        <v>24856</v>
      </c>
      <c r="E426" s="98">
        <v>100</v>
      </c>
      <c r="F426" s="98">
        <v>0</v>
      </c>
      <c r="G426" s="98">
        <v>0</v>
      </c>
      <c r="H426" s="98">
        <v>0</v>
      </c>
      <c r="I426" s="98">
        <v>1</v>
      </c>
      <c r="J426" s="98">
        <v>8</v>
      </c>
    </row>
    <row r="427" spans="1:10" x14ac:dyDescent="0.2">
      <c r="A427" s="98">
        <v>1989</v>
      </c>
      <c r="B427" s="98">
        <v>23</v>
      </c>
      <c r="C427" s="100" t="s">
        <v>145</v>
      </c>
      <c r="D427" s="98">
        <v>25280</v>
      </c>
      <c r="E427" s="98">
        <v>120</v>
      </c>
      <c r="F427" s="98">
        <v>0</v>
      </c>
      <c r="G427" s="98">
        <v>1</v>
      </c>
      <c r="H427" s="98">
        <v>1</v>
      </c>
      <c r="I427" s="98">
        <v>0</v>
      </c>
      <c r="J427" s="98">
        <v>23</v>
      </c>
    </row>
    <row r="428" spans="1:10" x14ac:dyDescent="0.2">
      <c r="A428" s="98">
        <v>1987</v>
      </c>
      <c r="B428" s="98">
        <v>19</v>
      </c>
      <c r="C428" s="100">
        <v>1980000</v>
      </c>
      <c r="D428" s="98">
        <v>15600</v>
      </c>
      <c r="E428" s="98">
        <v>0</v>
      </c>
      <c r="F428" s="98">
        <v>0</v>
      </c>
      <c r="G428" s="98">
        <v>0</v>
      </c>
      <c r="H428" s="98">
        <v>0</v>
      </c>
      <c r="I428" s="98">
        <v>0</v>
      </c>
      <c r="J428" s="98">
        <v>0</v>
      </c>
    </row>
    <row r="429" spans="1:10" x14ac:dyDescent="0.2">
      <c r="A429" s="98">
        <v>1988</v>
      </c>
      <c r="B429" s="98">
        <v>15</v>
      </c>
      <c r="C429" s="100">
        <v>1600000</v>
      </c>
      <c r="D429" s="98">
        <v>17160</v>
      </c>
      <c r="E429" s="98">
        <v>0</v>
      </c>
      <c r="F429" s="98">
        <v>0</v>
      </c>
      <c r="G429" s="98">
        <v>0</v>
      </c>
      <c r="H429" s="98">
        <v>0</v>
      </c>
      <c r="I429" s="98">
        <v>1</v>
      </c>
      <c r="J429" s="98">
        <v>0</v>
      </c>
    </row>
    <row r="430" spans="1:10" x14ac:dyDescent="0.2">
      <c r="A430" s="98">
        <v>1989</v>
      </c>
      <c r="B430" s="98">
        <v>12</v>
      </c>
      <c r="C430" s="100">
        <v>1430000</v>
      </c>
      <c r="D430" s="98">
        <v>18720</v>
      </c>
      <c r="E430" s="98">
        <v>80</v>
      </c>
      <c r="F430" s="98">
        <v>0</v>
      </c>
      <c r="G430" s="98">
        <v>1</v>
      </c>
      <c r="H430" s="98">
        <v>1</v>
      </c>
      <c r="I430" s="98">
        <v>0</v>
      </c>
      <c r="J430" s="98">
        <v>12</v>
      </c>
    </row>
    <row r="431" spans="1:10" x14ac:dyDescent="0.2">
      <c r="A431" s="98">
        <v>1987</v>
      </c>
      <c r="B431" s="98">
        <v>250</v>
      </c>
      <c r="C431" s="100">
        <v>6000000</v>
      </c>
      <c r="D431" s="98">
        <v>14352</v>
      </c>
      <c r="E431" s="98" t="s">
        <v>145</v>
      </c>
      <c r="F431" s="98">
        <v>0</v>
      </c>
      <c r="G431" s="98">
        <v>0</v>
      </c>
      <c r="H431" s="98">
        <v>0</v>
      </c>
      <c r="I431" s="98">
        <v>0</v>
      </c>
      <c r="J431" s="98">
        <v>250</v>
      </c>
    </row>
    <row r="432" spans="1:10" x14ac:dyDescent="0.2">
      <c r="A432" s="98">
        <v>1988</v>
      </c>
      <c r="B432" s="98">
        <v>290</v>
      </c>
      <c r="C432" s="100">
        <v>18000000</v>
      </c>
      <c r="D432" s="98">
        <v>15184</v>
      </c>
      <c r="E432" s="98" t="s">
        <v>145</v>
      </c>
      <c r="F432" s="98">
        <v>0</v>
      </c>
      <c r="G432" s="98">
        <v>0</v>
      </c>
      <c r="H432" s="98">
        <v>0</v>
      </c>
      <c r="I432" s="98">
        <v>1</v>
      </c>
      <c r="J432" s="98">
        <v>290</v>
      </c>
    </row>
    <row r="433" spans="1:10" x14ac:dyDescent="0.2">
      <c r="A433" s="98">
        <v>1989</v>
      </c>
      <c r="B433" s="98">
        <v>350</v>
      </c>
      <c r="C433" s="100">
        <v>54000000</v>
      </c>
      <c r="D433" s="98">
        <v>16432</v>
      </c>
      <c r="E433" s="98" t="s">
        <v>145</v>
      </c>
      <c r="F433" s="98">
        <v>0</v>
      </c>
      <c r="G433" s="98">
        <v>0</v>
      </c>
      <c r="H433" s="98">
        <v>1</v>
      </c>
      <c r="I433" s="98">
        <v>0</v>
      </c>
      <c r="J433" s="98">
        <v>350</v>
      </c>
    </row>
    <row r="434" spans="1:10" x14ac:dyDescent="0.2">
      <c r="A434" s="98">
        <v>1987</v>
      </c>
      <c r="B434" s="98">
        <v>19</v>
      </c>
      <c r="C434" s="100">
        <v>1700000</v>
      </c>
      <c r="D434" s="98">
        <v>16640</v>
      </c>
      <c r="E434" s="98">
        <v>50</v>
      </c>
      <c r="F434" s="98">
        <v>0</v>
      </c>
      <c r="G434" s="98">
        <v>0</v>
      </c>
      <c r="H434" s="98">
        <v>0</v>
      </c>
      <c r="I434" s="98">
        <v>0</v>
      </c>
      <c r="J434" s="98">
        <v>4</v>
      </c>
    </row>
    <row r="435" spans="1:10" x14ac:dyDescent="0.2">
      <c r="A435" s="98">
        <v>1988</v>
      </c>
      <c r="B435" s="98">
        <v>19</v>
      </c>
      <c r="C435" s="100">
        <v>2000000</v>
      </c>
      <c r="D435" s="98">
        <v>17160</v>
      </c>
      <c r="E435" s="98">
        <v>15</v>
      </c>
      <c r="F435" s="98">
        <v>0</v>
      </c>
      <c r="G435" s="98">
        <v>0</v>
      </c>
      <c r="H435" s="98">
        <v>0</v>
      </c>
      <c r="I435" s="98">
        <v>1</v>
      </c>
      <c r="J435" s="98">
        <v>19</v>
      </c>
    </row>
    <row r="436" spans="1:10" x14ac:dyDescent="0.2">
      <c r="A436" s="98">
        <v>1989</v>
      </c>
      <c r="B436" s="98">
        <v>21</v>
      </c>
      <c r="C436" s="100">
        <v>2200000</v>
      </c>
      <c r="D436" s="98">
        <v>17680</v>
      </c>
      <c r="E436" s="98">
        <v>49</v>
      </c>
      <c r="F436" s="98">
        <v>0</v>
      </c>
      <c r="G436" s="98">
        <v>1</v>
      </c>
      <c r="H436" s="98">
        <v>1</v>
      </c>
      <c r="I436" s="98">
        <v>0</v>
      </c>
      <c r="J436" s="98">
        <v>11</v>
      </c>
    </row>
    <row r="437" spans="1:10" x14ac:dyDescent="0.2">
      <c r="A437" s="98">
        <v>1987</v>
      </c>
      <c r="B437" s="98">
        <v>89</v>
      </c>
      <c r="C437" s="100">
        <v>11400000</v>
      </c>
      <c r="D437" s="98">
        <v>14394</v>
      </c>
      <c r="E437" s="98">
        <v>0</v>
      </c>
      <c r="F437" s="98">
        <v>0</v>
      </c>
      <c r="G437" s="98">
        <v>0</v>
      </c>
      <c r="H437" s="98">
        <v>0</v>
      </c>
      <c r="I437" s="98">
        <v>0</v>
      </c>
      <c r="J437" s="98">
        <v>0</v>
      </c>
    </row>
    <row r="438" spans="1:10" x14ac:dyDescent="0.2">
      <c r="A438" s="98">
        <v>1988</v>
      </c>
      <c r="B438" s="98">
        <v>59</v>
      </c>
      <c r="C438" s="100">
        <v>4748000</v>
      </c>
      <c r="D438" s="98">
        <v>15454</v>
      </c>
      <c r="E438" s="98">
        <v>0</v>
      </c>
      <c r="F438" s="98">
        <v>0</v>
      </c>
      <c r="G438" s="98">
        <v>0</v>
      </c>
      <c r="H438" s="98">
        <v>0</v>
      </c>
      <c r="I438" s="98">
        <v>1</v>
      </c>
      <c r="J438" s="98">
        <v>0</v>
      </c>
    </row>
    <row r="439" spans="1:10" x14ac:dyDescent="0.2">
      <c r="A439" s="98">
        <v>1989</v>
      </c>
      <c r="B439" s="98">
        <v>105</v>
      </c>
      <c r="C439" s="100">
        <v>7175000</v>
      </c>
      <c r="D439" s="98">
        <v>15558</v>
      </c>
      <c r="E439" s="98">
        <v>10</v>
      </c>
      <c r="F439" s="98">
        <v>0</v>
      </c>
      <c r="G439" s="98">
        <v>0</v>
      </c>
      <c r="H439" s="98">
        <v>1</v>
      </c>
      <c r="I439" s="98">
        <v>0</v>
      </c>
      <c r="J439" s="98">
        <v>105</v>
      </c>
    </row>
    <row r="440" spans="1:10" x14ac:dyDescent="0.2">
      <c r="A440" s="98">
        <v>1987</v>
      </c>
      <c r="B440" s="98">
        <v>40</v>
      </c>
      <c r="C440" s="100">
        <v>3317000</v>
      </c>
      <c r="D440" s="98">
        <v>16640</v>
      </c>
      <c r="E440" s="98">
        <v>30</v>
      </c>
      <c r="F440" s="98">
        <v>0</v>
      </c>
      <c r="G440" s="98">
        <v>0</v>
      </c>
      <c r="H440" s="98">
        <v>0</v>
      </c>
      <c r="I440" s="98">
        <v>0</v>
      </c>
      <c r="J440" s="98">
        <v>40</v>
      </c>
    </row>
    <row r="441" spans="1:10" x14ac:dyDescent="0.2">
      <c r="A441" s="98">
        <v>1988</v>
      </c>
      <c r="B441" s="98">
        <v>55</v>
      </c>
      <c r="C441" s="100">
        <v>3692000</v>
      </c>
      <c r="D441" s="98">
        <v>16640</v>
      </c>
      <c r="E441" s="98">
        <v>30</v>
      </c>
      <c r="F441" s="98">
        <v>0</v>
      </c>
      <c r="G441" s="98">
        <v>0</v>
      </c>
      <c r="H441" s="98">
        <v>0</v>
      </c>
      <c r="I441" s="98">
        <v>1</v>
      </c>
      <c r="J441" s="98">
        <v>55</v>
      </c>
    </row>
    <row r="442" spans="1:10" x14ac:dyDescent="0.2">
      <c r="A442" s="98">
        <v>1989</v>
      </c>
      <c r="B442" s="98">
        <v>65</v>
      </c>
      <c r="C442" s="100">
        <v>3252000</v>
      </c>
      <c r="D442" s="98">
        <v>16640</v>
      </c>
      <c r="E442" s="98">
        <v>30</v>
      </c>
      <c r="F442" s="98">
        <v>0</v>
      </c>
      <c r="G442" s="98">
        <v>0</v>
      </c>
      <c r="H442" s="98">
        <v>1</v>
      </c>
      <c r="I442" s="98">
        <v>0</v>
      </c>
      <c r="J442" s="98">
        <v>15</v>
      </c>
    </row>
    <row r="443" spans="1:10" x14ac:dyDescent="0.2">
      <c r="A443" s="98">
        <v>1987</v>
      </c>
      <c r="B443" s="98">
        <v>175</v>
      </c>
      <c r="C443" s="100">
        <v>12500000</v>
      </c>
      <c r="D443" s="98">
        <v>9360</v>
      </c>
      <c r="E443" s="98">
        <v>0</v>
      </c>
      <c r="F443" s="98">
        <v>0</v>
      </c>
      <c r="G443" s="98">
        <v>0</v>
      </c>
      <c r="H443" s="98">
        <v>0</v>
      </c>
      <c r="I443" s="98">
        <v>0</v>
      </c>
      <c r="J443" s="98">
        <v>0</v>
      </c>
    </row>
    <row r="444" spans="1:10" x14ac:dyDescent="0.2">
      <c r="A444" s="98">
        <v>1988</v>
      </c>
      <c r="B444" s="98">
        <v>225</v>
      </c>
      <c r="C444" s="100">
        <v>12500000</v>
      </c>
      <c r="D444" s="98">
        <v>10400</v>
      </c>
      <c r="E444" s="98">
        <v>0</v>
      </c>
      <c r="F444" s="98">
        <v>0</v>
      </c>
      <c r="G444" s="98">
        <v>0</v>
      </c>
      <c r="H444" s="98">
        <v>0</v>
      </c>
      <c r="I444" s="98">
        <v>1</v>
      </c>
      <c r="J444" s="98">
        <v>0</v>
      </c>
    </row>
    <row r="445" spans="1:10" x14ac:dyDescent="0.2">
      <c r="A445" s="98">
        <v>1989</v>
      </c>
      <c r="B445" s="98">
        <v>275</v>
      </c>
      <c r="C445" s="100">
        <v>18200000</v>
      </c>
      <c r="D445" s="98">
        <v>11440</v>
      </c>
      <c r="E445" s="98">
        <v>3</v>
      </c>
      <c r="F445" s="98">
        <v>0</v>
      </c>
      <c r="G445" s="98">
        <v>0</v>
      </c>
      <c r="H445" s="98">
        <v>1</v>
      </c>
      <c r="I445" s="98">
        <v>0</v>
      </c>
      <c r="J445" s="98">
        <v>200</v>
      </c>
    </row>
    <row r="446" spans="1:10" x14ac:dyDescent="0.2">
      <c r="A446" s="98">
        <v>1987</v>
      </c>
      <c r="B446" s="98">
        <v>110</v>
      </c>
      <c r="C446" s="100">
        <v>15100000</v>
      </c>
      <c r="D446" s="98">
        <v>21000</v>
      </c>
      <c r="E446" s="98">
        <v>20</v>
      </c>
      <c r="F446" s="98">
        <v>1</v>
      </c>
      <c r="G446" s="98">
        <v>0</v>
      </c>
      <c r="H446" s="98">
        <v>0</v>
      </c>
      <c r="I446" s="98">
        <v>0</v>
      </c>
      <c r="J446" s="98">
        <v>35</v>
      </c>
    </row>
    <row r="447" spans="1:10" x14ac:dyDescent="0.2">
      <c r="A447" s="98">
        <v>1988</v>
      </c>
      <c r="B447" s="98">
        <v>125</v>
      </c>
      <c r="C447" s="100">
        <v>16000000</v>
      </c>
      <c r="D447" s="98">
        <v>21000</v>
      </c>
      <c r="E447" s="98">
        <v>20</v>
      </c>
      <c r="F447" s="98">
        <v>1</v>
      </c>
      <c r="G447" s="98">
        <v>0</v>
      </c>
      <c r="H447" s="98">
        <v>0</v>
      </c>
      <c r="I447" s="98">
        <v>1</v>
      </c>
      <c r="J447" s="98">
        <v>40</v>
      </c>
    </row>
    <row r="448" spans="1:10" x14ac:dyDescent="0.2">
      <c r="A448" s="98">
        <v>1989</v>
      </c>
      <c r="B448" s="98">
        <v>225</v>
      </c>
      <c r="C448" s="100">
        <v>28900000</v>
      </c>
      <c r="D448" s="98">
        <v>21000</v>
      </c>
      <c r="E448" s="98">
        <v>20</v>
      </c>
      <c r="F448" s="98">
        <v>1</v>
      </c>
      <c r="G448" s="98">
        <v>0</v>
      </c>
      <c r="H448" s="98">
        <v>1</v>
      </c>
      <c r="I448" s="98">
        <v>0</v>
      </c>
      <c r="J448" s="98">
        <v>160</v>
      </c>
    </row>
    <row r="449" spans="1:10" x14ac:dyDescent="0.2">
      <c r="A449" s="98">
        <v>1987</v>
      </c>
      <c r="B449" s="98">
        <v>24</v>
      </c>
      <c r="C449" s="100" t="s">
        <v>145</v>
      </c>
      <c r="D449" s="98">
        <v>14800</v>
      </c>
      <c r="E449" s="98">
        <v>0</v>
      </c>
      <c r="F449" s="98">
        <v>0</v>
      </c>
      <c r="G449" s="98">
        <v>0</v>
      </c>
      <c r="H449" s="98">
        <v>0</v>
      </c>
      <c r="I449" s="98">
        <v>0</v>
      </c>
      <c r="J449" s="98">
        <v>0</v>
      </c>
    </row>
    <row r="450" spans="1:10" x14ac:dyDescent="0.2">
      <c r="A450" s="98">
        <v>1988</v>
      </c>
      <c r="B450" s="98">
        <v>23</v>
      </c>
      <c r="C450" s="100" t="s">
        <v>145</v>
      </c>
      <c r="D450" s="98">
        <v>15200</v>
      </c>
      <c r="E450" s="98">
        <v>0</v>
      </c>
      <c r="F450" s="98">
        <v>0</v>
      </c>
      <c r="G450" s="98">
        <v>0</v>
      </c>
      <c r="H450" s="98">
        <v>0</v>
      </c>
      <c r="I450" s="98">
        <v>1</v>
      </c>
      <c r="J450" s="98">
        <v>0</v>
      </c>
    </row>
    <row r="451" spans="1:10" x14ac:dyDescent="0.2">
      <c r="A451" s="98">
        <v>1989</v>
      </c>
      <c r="B451" s="98">
        <v>36</v>
      </c>
      <c r="C451" s="100" t="s">
        <v>145</v>
      </c>
      <c r="D451" s="98">
        <v>15800</v>
      </c>
      <c r="E451" s="98">
        <v>40</v>
      </c>
      <c r="F451" s="98">
        <v>0</v>
      </c>
      <c r="G451" s="98">
        <v>1</v>
      </c>
      <c r="H451" s="98">
        <v>1</v>
      </c>
      <c r="I451" s="98">
        <v>0</v>
      </c>
      <c r="J451" s="98">
        <v>30</v>
      </c>
    </row>
    <row r="452" spans="1:10" x14ac:dyDescent="0.2">
      <c r="A452" s="98">
        <v>1987</v>
      </c>
      <c r="B452" s="98">
        <v>4</v>
      </c>
      <c r="C452" s="100">
        <v>1494764</v>
      </c>
      <c r="D452" s="98">
        <v>30000</v>
      </c>
      <c r="E452" s="98">
        <v>80</v>
      </c>
      <c r="F452" s="98">
        <v>0</v>
      </c>
      <c r="G452" s="98">
        <v>0</v>
      </c>
      <c r="H452" s="98">
        <v>0</v>
      </c>
      <c r="I452" s="98">
        <v>0</v>
      </c>
      <c r="J452" s="98">
        <v>4</v>
      </c>
    </row>
    <row r="453" spans="1:10" x14ac:dyDescent="0.2">
      <c r="A453" s="98">
        <v>1988</v>
      </c>
      <c r="B453" s="98">
        <v>5</v>
      </c>
      <c r="C453" s="100">
        <v>2566104</v>
      </c>
      <c r="D453" s="98">
        <v>31000</v>
      </c>
      <c r="E453" s="98">
        <v>100</v>
      </c>
      <c r="F453" s="98">
        <v>0</v>
      </c>
      <c r="G453" s="98">
        <v>0</v>
      </c>
      <c r="H453" s="98">
        <v>0</v>
      </c>
      <c r="I453" s="98">
        <v>1</v>
      </c>
      <c r="J453" s="98">
        <v>5</v>
      </c>
    </row>
    <row r="454" spans="1:10" x14ac:dyDescent="0.2">
      <c r="A454" s="98">
        <v>1989</v>
      </c>
      <c r="B454" s="98">
        <v>10</v>
      </c>
      <c r="C454" s="100">
        <v>2191680</v>
      </c>
      <c r="D454" s="98">
        <v>35000</v>
      </c>
      <c r="E454" s="98">
        <v>100</v>
      </c>
      <c r="F454" s="98">
        <v>0</v>
      </c>
      <c r="G454" s="98">
        <v>0</v>
      </c>
      <c r="H454" s="98">
        <v>1</v>
      </c>
      <c r="I454" s="98">
        <v>0</v>
      </c>
      <c r="J454" s="98">
        <v>10</v>
      </c>
    </row>
    <row r="455" spans="1:10" x14ac:dyDescent="0.2">
      <c r="A455" s="98">
        <v>1987</v>
      </c>
      <c r="B455" s="98">
        <v>120</v>
      </c>
      <c r="C455" s="100" t="s">
        <v>145</v>
      </c>
      <c r="D455" s="98">
        <v>13000</v>
      </c>
      <c r="E455" s="98">
        <v>20</v>
      </c>
      <c r="F455" s="98">
        <v>0</v>
      </c>
      <c r="G455" s="98">
        <v>0</v>
      </c>
      <c r="H455" s="98">
        <v>0</v>
      </c>
      <c r="I455" s="98">
        <v>0</v>
      </c>
      <c r="J455" s="98">
        <v>25</v>
      </c>
    </row>
    <row r="456" spans="1:10" x14ac:dyDescent="0.2">
      <c r="A456" s="98">
        <v>1988</v>
      </c>
      <c r="B456" s="98">
        <v>100</v>
      </c>
      <c r="C456" s="100" t="s">
        <v>145</v>
      </c>
      <c r="D456" s="98">
        <v>13500</v>
      </c>
      <c r="E456" s="98">
        <v>20</v>
      </c>
      <c r="F456" s="98">
        <v>0</v>
      </c>
      <c r="G456" s="98">
        <v>0</v>
      </c>
      <c r="H456" s="98">
        <v>0</v>
      </c>
      <c r="I456" s="98">
        <v>1</v>
      </c>
      <c r="J456" s="98">
        <v>25</v>
      </c>
    </row>
    <row r="457" spans="1:10" x14ac:dyDescent="0.2">
      <c r="A457" s="98">
        <v>1989</v>
      </c>
      <c r="B457" s="98">
        <v>100</v>
      </c>
      <c r="C457" s="100" t="s">
        <v>145</v>
      </c>
      <c r="D457" s="98">
        <v>14000</v>
      </c>
      <c r="E457" s="98">
        <v>60</v>
      </c>
      <c r="F457" s="98">
        <v>0</v>
      </c>
      <c r="G457" s="98">
        <v>1</v>
      </c>
      <c r="H457" s="98">
        <v>1</v>
      </c>
      <c r="I457" s="98">
        <v>0</v>
      </c>
      <c r="J457" s="98">
        <v>100</v>
      </c>
    </row>
    <row r="458" spans="1:10" x14ac:dyDescent="0.2">
      <c r="A458" s="98">
        <v>1987</v>
      </c>
      <c r="B458" s="98">
        <v>18</v>
      </c>
      <c r="C458" s="100" t="s">
        <v>145</v>
      </c>
      <c r="D458" s="98" t="s">
        <v>145</v>
      </c>
      <c r="E458" s="98">
        <v>0</v>
      </c>
      <c r="F458" s="98">
        <v>1</v>
      </c>
      <c r="G458" s="98">
        <v>0</v>
      </c>
      <c r="H458" s="98">
        <v>0</v>
      </c>
      <c r="I458" s="98">
        <v>0</v>
      </c>
      <c r="J458" s="98">
        <v>0</v>
      </c>
    </row>
    <row r="459" spans="1:10" x14ac:dyDescent="0.2">
      <c r="A459" s="98">
        <v>1988</v>
      </c>
      <c r="B459" s="98">
        <v>18</v>
      </c>
      <c r="C459" s="100" t="s">
        <v>145</v>
      </c>
      <c r="D459" s="98" t="s">
        <v>145</v>
      </c>
      <c r="E459" s="98">
        <v>3</v>
      </c>
      <c r="F459" s="98">
        <v>1</v>
      </c>
      <c r="G459" s="98">
        <v>0</v>
      </c>
      <c r="H459" s="98">
        <v>0</v>
      </c>
      <c r="I459" s="98">
        <v>1</v>
      </c>
      <c r="J459" s="98">
        <v>18</v>
      </c>
    </row>
    <row r="460" spans="1:10" x14ac:dyDescent="0.2">
      <c r="A460" s="98">
        <v>1989</v>
      </c>
      <c r="B460" s="98">
        <v>18</v>
      </c>
      <c r="C460" s="100" t="s">
        <v>145</v>
      </c>
      <c r="D460" s="98" t="s">
        <v>145</v>
      </c>
      <c r="E460" s="98">
        <v>35</v>
      </c>
      <c r="F460" s="98">
        <v>1</v>
      </c>
      <c r="G460" s="98">
        <v>1</v>
      </c>
      <c r="H460" s="98">
        <v>1</v>
      </c>
      <c r="I460" s="98">
        <v>0</v>
      </c>
      <c r="J460" s="98">
        <v>18</v>
      </c>
    </row>
    <row r="461" spans="1:10" x14ac:dyDescent="0.2">
      <c r="A461" s="98">
        <v>1987</v>
      </c>
      <c r="B461" s="98" t="s">
        <v>145</v>
      </c>
      <c r="C461" s="100" t="s">
        <v>145</v>
      </c>
      <c r="D461" s="98" t="s">
        <v>145</v>
      </c>
      <c r="E461" s="98">
        <v>0</v>
      </c>
      <c r="F461" s="98">
        <v>0</v>
      </c>
      <c r="G461" s="98">
        <v>0</v>
      </c>
      <c r="H461" s="98">
        <v>0</v>
      </c>
      <c r="I461" s="98">
        <v>0</v>
      </c>
      <c r="J461" s="98">
        <v>0</v>
      </c>
    </row>
    <row r="462" spans="1:10" x14ac:dyDescent="0.2">
      <c r="A462" s="98">
        <v>1988</v>
      </c>
      <c r="B462" s="98">
        <v>30</v>
      </c>
      <c r="C462" s="100">
        <v>1503906</v>
      </c>
      <c r="D462" s="98">
        <v>15500</v>
      </c>
      <c r="E462" s="98">
        <v>0</v>
      </c>
      <c r="F462" s="98">
        <v>0</v>
      </c>
      <c r="G462" s="98">
        <v>0</v>
      </c>
      <c r="H462" s="98">
        <v>0</v>
      </c>
      <c r="I462" s="98">
        <v>1</v>
      </c>
      <c r="J462" s="98">
        <v>0</v>
      </c>
    </row>
    <row r="463" spans="1:10" x14ac:dyDescent="0.2">
      <c r="A463" s="98">
        <v>1989</v>
      </c>
      <c r="B463" s="98">
        <v>30</v>
      </c>
      <c r="C463" s="100">
        <v>1360372</v>
      </c>
      <c r="D463" s="98">
        <v>16500</v>
      </c>
      <c r="E463" s="98">
        <v>20</v>
      </c>
      <c r="F463" s="98">
        <v>0</v>
      </c>
      <c r="G463" s="98">
        <v>0</v>
      </c>
      <c r="H463" s="98">
        <v>1</v>
      </c>
      <c r="I463" s="98">
        <v>0</v>
      </c>
      <c r="J463" s="98">
        <v>13</v>
      </c>
    </row>
    <row r="464" spans="1:10" x14ac:dyDescent="0.2">
      <c r="A464" s="98">
        <v>1987</v>
      </c>
      <c r="B464" s="98">
        <v>15</v>
      </c>
      <c r="C464" s="100" t="s">
        <v>145</v>
      </c>
      <c r="D464" s="98" t="s">
        <v>145</v>
      </c>
      <c r="E464" s="98">
        <v>0</v>
      </c>
      <c r="F464" s="98">
        <v>0</v>
      </c>
      <c r="G464" s="98">
        <v>0</v>
      </c>
      <c r="H464" s="98">
        <v>0</v>
      </c>
      <c r="I464" s="98">
        <v>0</v>
      </c>
      <c r="J464" s="98">
        <v>0</v>
      </c>
    </row>
    <row r="465" spans="1:10" x14ac:dyDescent="0.2">
      <c r="A465" s="98">
        <v>1988</v>
      </c>
      <c r="B465" s="98">
        <v>15</v>
      </c>
      <c r="C465" s="100">
        <v>1000000</v>
      </c>
      <c r="D465" s="98">
        <v>10000</v>
      </c>
      <c r="E465" s="98">
        <v>0</v>
      </c>
      <c r="F465" s="98">
        <v>0</v>
      </c>
      <c r="G465" s="98">
        <v>0</v>
      </c>
      <c r="H465" s="98">
        <v>0</v>
      </c>
      <c r="I465" s="98">
        <v>1</v>
      </c>
      <c r="J465" s="98">
        <v>0</v>
      </c>
    </row>
    <row r="466" spans="1:10" x14ac:dyDescent="0.2">
      <c r="A466" s="98">
        <v>1989</v>
      </c>
      <c r="B466" s="98">
        <v>18</v>
      </c>
      <c r="C466" s="100">
        <v>1000000</v>
      </c>
      <c r="D466" s="98">
        <v>10000</v>
      </c>
      <c r="E466" s="98">
        <v>24</v>
      </c>
      <c r="F466" s="98">
        <v>0</v>
      </c>
      <c r="G466" s="98">
        <v>0</v>
      </c>
      <c r="H466" s="98">
        <v>1</v>
      </c>
      <c r="I466" s="98">
        <v>0</v>
      </c>
      <c r="J466" s="98">
        <v>18</v>
      </c>
    </row>
    <row r="467" spans="1:10" x14ac:dyDescent="0.2">
      <c r="A467" s="98">
        <v>1987</v>
      </c>
      <c r="B467" s="98">
        <v>133</v>
      </c>
      <c r="C467" s="100">
        <v>11000000</v>
      </c>
      <c r="D467" s="98">
        <v>13957</v>
      </c>
      <c r="E467" s="98">
        <v>0</v>
      </c>
      <c r="F467" s="98">
        <v>1</v>
      </c>
      <c r="G467" s="98">
        <v>0</v>
      </c>
      <c r="H467" s="98">
        <v>0</v>
      </c>
      <c r="I467" s="98">
        <v>0</v>
      </c>
      <c r="J467" s="98">
        <v>0</v>
      </c>
    </row>
    <row r="468" spans="1:10" x14ac:dyDescent="0.2">
      <c r="A468" s="98">
        <v>1988</v>
      </c>
      <c r="B468" s="98">
        <v>108</v>
      </c>
      <c r="C468" s="100">
        <v>11500000</v>
      </c>
      <c r="D468" s="98">
        <v>14810</v>
      </c>
      <c r="E468" s="98">
        <v>0</v>
      </c>
      <c r="F468" s="98">
        <v>1</v>
      </c>
      <c r="G468" s="98">
        <v>0</v>
      </c>
      <c r="H468" s="98">
        <v>0</v>
      </c>
      <c r="I468" s="98">
        <v>1</v>
      </c>
      <c r="J468" s="98">
        <v>0</v>
      </c>
    </row>
    <row r="469" spans="1:10" x14ac:dyDescent="0.2">
      <c r="A469" s="98">
        <v>1989</v>
      </c>
      <c r="B469" s="98">
        <v>129</v>
      </c>
      <c r="C469" s="100">
        <v>12000000</v>
      </c>
      <c r="D469" s="98">
        <v>14227</v>
      </c>
      <c r="E469" s="98">
        <v>20</v>
      </c>
      <c r="F469" s="98">
        <v>1</v>
      </c>
      <c r="G469" s="98">
        <v>0</v>
      </c>
      <c r="H469" s="98">
        <v>1</v>
      </c>
      <c r="I469" s="98">
        <v>0</v>
      </c>
      <c r="J469" s="98">
        <v>20</v>
      </c>
    </row>
    <row r="470" spans="1:10" x14ac:dyDescent="0.2">
      <c r="A470" s="98">
        <v>1987</v>
      </c>
      <c r="B470" s="98">
        <v>80</v>
      </c>
      <c r="C470" s="100">
        <v>7000000</v>
      </c>
      <c r="D470" s="98">
        <v>16000</v>
      </c>
      <c r="E470" s="98">
        <v>0</v>
      </c>
      <c r="F470" s="98">
        <v>0</v>
      </c>
      <c r="G470" s="98">
        <v>0</v>
      </c>
      <c r="H470" s="98">
        <v>0</v>
      </c>
      <c r="I470" s="98">
        <v>0</v>
      </c>
      <c r="J470" s="98">
        <v>0</v>
      </c>
    </row>
    <row r="471" spans="1:10" x14ac:dyDescent="0.2">
      <c r="A471" s="98">
        <v>1988</v>
      </c>
      <c r="B471" s="98">
        <v>90</v>
      </c>
      <c r="C471" s="100">
        <v>8500000</v>
      </c>
      <c r="D471" s="98">
        <v>17000</v>
      </c>
      <c r="E471" s="98">
        <v>0</v>
      </c>
      <c r="F471" s="98">
        <v>0</v>
      </c>
      <c r="G471" s="98">
        <v>0</v>
      </c>
      <c r="H471" s="98">
        <v>0</v>
      </c>
      <c r="I471" s="98">
        <v>1</v>
      </c>
      <c r="J471" s="98">
        <v>0</v>
      </c>
    </row>
    <row r="472" spans="1:10" x14ac:dyDescent="0.2">
      <c r="A472" s="98">
        <v>1989</v>
      </c>
      <c r="B472" s="98">
        <v>100</v>
      </c>
      <c r="C472" s="100">
        <v>9900000</v>
      </c>
      <c r="D472" s="98">
        <v>18000</v>
      </c>
      <c r="E472" s="98">
        <v>40</v>
      </c>
      <c r="F472" s="98">
        <v>0</v>
      </c>
      <c r="G472" s="98">
        <v>1</v>
      </c>
      <c r="H472" s="98">
        <v>1</v>
      </c>
      <c r="I472" s="98">
        <v>0</v>
      </c>
      <c r="J472" s="98">
        <v>90</v>
      </c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1C50A-7C5E-42CE-AE4D-B5F2B34E4603}">
  <dimension ref="A1:O370"/>
  <sheetViews>
    <sheetView showGridLines="0" zoomScale="90" zoomScaleNormal="90" workbookViewId="0">
      <selection sqref="A1:E1048576"/>
    </sheetView>
  </sheetViews>
  <sheetFormatPr baseColWidth="10" defaultRowHeight="12" x14ac:dyDescent="0.2"/>
  <cols>
    <col min="1" max="1" width="13.5703125" style="103" bestFit="1" customWidth="1"/>
    <col min="2" max="2" width="11.5703125" style="103" bestFit="1" customWidth="1"/>
    <col min="3" max="3" width="8" style="103" bestFit="1" customWidth="1"/>
    <col min="4" max="4" width="12.85546875" style="103" bestFit="1" customWidth="1"/>
    <col min="5" max="5" width="11.7109375" style="103" bestFit="1" customWidth="1"/>
    <col min="6" max="6" width="11.42578125" style="103"/>
    <col min="7" max="7" width="27.140625" style="103" customWidth="1"/>
    <col min="8" max="8" width="21.42578125" style="103" bestFit="1" customWidth="1"/>
    <col min="9" max="9" width="16" style="103" bestFit="1" customWidth="1"/>
    <col min="10" max="10" width="21.5703125" style="103" bestFit="1" customWidth="1"/>
    <col min="11" max="11" width="12.85546875" style="103" bestFit="1" customWidth="1"/>
    <col min="12" max="12" width="14.140625" style="103" bestFit="1" customWidth="1"/>
    <col min="13" max="13" width="13.42578125" style="103" customWidth="1"/>
    <col min="14" max="14" width="17" style="103" bestFit="1" customWidth="1"/>
    <col min="15" max="15" width="14.28515625" style="103" bestFit="1" customWidth="1"/>
    <col min="16" max="16384" width="11.42578125" style="103"/>
  </cols>
  <sheetData>
    <row r="1" spans="1:12" x14ac:dyDescent="0.2">
      <c r="A1" s="101" t="s">
        <v>132</v>
      </c>
      <c r="B1" s="101" t="s">
        <v>133</v>
      </c>
      <c r="C1" s="101" t="s">
        <v>129</v>
      </c>
      <c r="D1" s="101" t="s">
        <v>128</v>
      </c>
      <c r="E1" s="101" t="s">
        <v>131</v>
      </c>
      <c r="G1" s="104" t="s">
        <v>146</v>
      </c>
    </row>
    <row r="2" spans="1:12" x14ac:dyDescent="0.2">
      <c r="A2" s="102">
        <v>47000000</v>
      </c>
      <c r="B2" s="101">
        <v>35000</v>
      </c>
      <c r="C2" s="101">
        <v>0</v>
      </c>
      <c r="D2" s="101">
        <v>100</v>
      </c>
      <c r="E2" s="101">
        <v>100</v>
      </c>
    </row>
    <row r="3" spans="1:12" x14ac:dyDescent="0.2">
      <c r="A3" s="102">
        <v>43000000</v>
      </c>
      <c r="B3" s="101">
        <v>37000</v>
      </c>
      <c r="C3" s="101">
        <v>0</v>
      </c>
      <c r="D3" s="101">
        <v>50</v>
      </c>
      <c r="E3" s="101">
        <v>131</v>
      </c>
      <c r="G3" s="103" t="s">
        <v>59</v>
      </c>
    </row>
    <row r="4" spans="1:12" ht="12.75" thickBot="1" x14ac:dyDescent="0.25">
      <c r="A4" s="102">
        <v>49000000</v>
      </c>
      <c r="B4" s="101">
        <v>39000</v>
      </c>
      <c r="C4" s="101">
        <v>0</v>
      </c>
      <c r="D4" s="101">
        <v>50</v>
      </c>
      <c r="E4" s="101">
        <v>123</v>
      </c>
    </row>
    <row r="5" spans="1:12" x14ac:dyDescent="0.2">
      <c r="A5" s="102">
        <v>1560000</v>
      </c>
      <c r="B5" s="101">
        <v>10500</v>
      </c>
      <c r="C5" s="101">
        <v>0</v>
      </c>
      <c r="D5" s="101">
        <v>12</v>
      </c>
      <c r="E5" s="101">
        <v>12</v>
      </c>
      <c r="G5" s="105" t="s">
        <v>60</v>
      </c>
      <c r="H5" s="105"/>
    </row>
    <row r="6" spans="1:12" x14ac:dyDescent="0.2">
      <c r="A6" s="102">
        <v>1970000</v>
      </c>
      <c r="B6" s="101">
        <v>11000</v>
      </c>
      <c r="C6" s="101">
        <v>0</v>
      </c>
      <c r="D6" s="101">
        <v>13</v>
      </c>
      <c r="E6" s="101">
        <v>13</v>
      </c>
      <c r="G6" s="106" t="s">
        <v>61</v>
      </c>
      <c r="H6" s="106">
        <v>0.80651742165515439</v>
      </c>
    </row>
    <row r="7" spans="1:12" x14ac:dyDescent="0.2">
      <c r="A7" s="102">
        <v>2350000</v>
      </c>
      <c r="B7" s="101">
        <v>11500</v>
      </c>
      <c r="C7" s="101">
        <v>0</v>
      </c>
      <c r="D7" s="101">
        <v>14</v>
      </c>
      <c r="E7" s="101">
        <v>14</v>
      </c>
      <c r="G7" s="106" t="s">
        <v>62</v>
      </c>
      <c r="H7" s="106">
        <v>0.65047035143327814</v>
      </c>
    </row>
    <row r="8" spans="1:12" x14ac:dyDescent="0.2">
      <c r="A8" s="102">
        <v>750000</v>
      </c>
      <c r="B8" s="101">
        <v>17680</v>
      </c>
      <c r="C8" s="101">
        <v>0</v>
      </c>
      <c r="D8" s="101">
        <v>15</v>
      </c>
      <c r="E8" s="101">
        <v>20</v>
      </c>
      <c r="G8" s="106" t="s">
        <v>63</v>
      </c>
      <c r="H8" s="106">
        <v>0.64630928418843625</v>
      </c>
    </row>
    <row r="9" spans="1:12" x14ac:dyDescent="0.2">
      <c r="A9" s="102">
        <v>110000</v>
      </c>
      <c r="B9" s="101">
        <v>18720</v>
      </c>
      <c r="C9" s="101">
        <v>0</v>
      </c>
      <c r="D9" s="101">
        <v>10</v>
      </c>
      <c r="E9" s="101">
        <v>25</v>
      </c>
      <c r="G9" s="106" t="s">
        <v>64</v>
      </c>
      <c r="H9" s="106">
        <v>4878776.5025597392</v>
      </c>
    </row>
    <row r="10" spans="1:12" ht="12.75" thickBot="1" x14ac:dyDescent="0.25">
      <c r="A10" s="102">
        <v>950000</v>
      </c>
      <c r="B10" s="101">
        <v>19760</v>
      </c>
      <c r="C10" s="101">
        <v>0</v>
      </c>
      <c r="D10" s="101">
        <v>20</v>
      </c>
      <c r="E10" s="101">
        <v>24</v>
      </c>
      <c r="G10" s="107" t="s">
        <v>65</v>
      </c>
      <c r="H10" s="107">
        <v>341</v>
      </c>
    </row>
    <row r="11" spans="1:12" x14ac:dyDescent="0.2">
      <c r="A11" s="102">
        <v>23700000</v>
      </c>
      <c r="B11" s="101">
        <v>13729</v>
      </c>
      <c r="C11" s="101">
        <v>0</v>
      </c>
      <c r="D11" s="101">
        <v>0</v>
      </c>
      <c r="E11" s="101">
        <v>200</v>
      </c>
    </row>
    <row r="12" spans="1:12" ht="12.75" thickBot="1" x14ac:dyDescent="0.25">
      <c r="A12" s="102">
        <v>19700000</v>
      </c>
      <c r="B12" s="101">
        <v>14287</v>
      </c>
      <c r="C12" s="101">
        <v>0</v>
      </c>
      <c r="D12" s="101">
        <v>0</v>
      </c>
      <c r="E12" s="101">
        <v>155</v>
      </c>
      <c r="G12" s="103" t="s">
        <v>66</v>
      </c>
    </row>
    <row r="13" spans="1:12" x14ac:dyDescent="0.2">
      <c r="A13" s="102">
        <v>26000000</v>
      </c>
      <c r="B13" s="101">
        <v>15758</v>
      </c>
      <c r="C13" s="101">
        <v>0</v>
      </c>
      <c r="D13" s="101">
        <v>20</v>
      </c>
      <c r="E13" s="101">
        <v>80</v>
      </c>
      <c r="G13" s="108"/>
      <c r="H13" s="108" t="s">
        <v>70</v>
      </c>
      <c r="I13" s="108" t="s">
        <v>71</v>
      </c>
      <c r="J13" s="108" t="s">
        <v>72</v>
      </c>
      <c r="K13" s="108" t="s">
        <v>24</v>
      </c>
      <c r="L13" s="108" t="s">
        <v>73</v>
      </c>
    </row>
    <row r="14" spans="1:12" x14ac:dyDescent="0.2">
      <c r="A14" s="102">
        <v>3400000</v>
      </c>
      <c r="B14" s="101">
        <v>18500</v>
      </c>
      <c r="C14" s="101">
        <v>0</v>
      </c>
      <c r="D14" s="101">
        <v>0</v>
      </c>
      <c r="E14" s="101">
        <v>20</v>
      </c>
      <c r="G14" s="106" t="s">
        <v>67</v>
      </c>
      <c r="H14" s="106">
        <v>4</v>
      </c>
      <c r="I14" s="106">
        <v>1.4883484178919832E+16</v>
      </c>
      <c r="J14" s="106">
        <v>3720871044729958</v>
      </c>
      <c r="K14" s="106">
        <v>156.32296071148656</v>
      </c>
      <c r="L14" s="106">
        <v>2.2274517627739651E-75</v>
      </c>
    </row>
    <row r="15" spans="1:12" x14ac:dyDescent="0.2">
      <c r="A15" s="102">
        <v>1413900</v>
      </c>
      <c r="B15" s="101">
        <v>18465</v>
      </c>
      <c r="C15" s="101">
        <v>0</v>
      </c>
      <c r="D15" s="101">
        <v>0</v>
      </c>
      <c r="E15" s="101">
        <v>15</v>
      </c>
      <c r="G15" s="106" t="s">
        <v>68</v>
      </c>
      <c r="H15" s="106">
        <v>336</v>
      </c>
      <c r="I15" s="106">
        <v>7997626614408159</v>
      </c>
      <c r="J15" s="106">
        <v>23802460161929.043</v>
      </c>
      <c r="K15" s="106"/>
      <c r="L15" s="106"/>
    </row>
    <row r="16" spans="1:12" ht="12.75" thickBot="1" x14ac:dyDescent="0.25">
      <c r="A16" s="102">
        <v>1869348</v>
      </c>
      <c r="B16" s="101">
        <v>18972</v>
      </c>
      <c r="C16" s="101">
        <v>0</v>
      </c>
      <c r="D16" s="101">
        <v>0</v>
      </c>
      <c r="E16" s="101">
        <v>16</v>
      </c>
      <c r="G16" s="107" t="s">
        <v>29</v>
      </c>
      <c r="H16" s="107">
        <v>340</v>
      </c>
      <c r="I16" s="107">
        <v>2.2881110793327992E+16</v>
      </c>
      <c r="J16" s="107"/>
      <c r="K16" s="107"/>
      <c r="L16" s="107"/>
    </row>
    <row r="17" spans="1:15" ht="12.75" thickBot="1" x14ac:dyDescent="0.25">
      <c r="A17" s="102">
        <v>1857765</v>
      </c>
      <c r="B17" s="101">
        <v>19589</v>
      </c>
      <c r="C17" s="101">
        <v>0</v>
      </c>
      <c r="D17" s="101">
        <v>16</v>
      </c>
      <c r="E17" s="101">
        <v>16</v>
      </c>
    </row>
    <row r="18" spans="1:15" ht="12.75" x14ac:dyDescent="0.2">
      <c r="A18" s="102">
        <v>2160900</v>
      </c>
      <c r="B18" s="101">
        <v>14352</v>
      </c>
      <c r="C18" s="101">
        <v>0</v>
      </c>
      <c r="D18" s="101">
        <v>3</v>
      </c>
      <c r="E18" s="101">
        <v>48</v>
      </c>
      <c r="G18" s="120"/>
      <c r="H18" s="120" t="s">
        <v>74</v>
      </c>
      <c r="I18" s="120" t="s">
        <v>64</v>
      </c>
      <c r="J18" s="120" t="s">
        <v>75</v>
      </c>
      <c r="K18" s="120" t="s">
        <v>76</v>
      </c>
      <c r="L18" s="108" t="s">
        <v>77</v>
      </c>
      <c r="M18" s="108" t="s">
        <v>78</v>
      </c>
      <c r="N18" s="108" t="s">
        <v>79</v>
      </c>
      <c r="O18" s="108" t="s">
        <v>80</v>
      </c>
    </row>
    <row r="19" spans="1:15" ht="12.75" x14ac:dyDescent="0.2">
      <c r="A19" s="102">
        <v>2454500</v>
      </c>
      <c r="B19" s="101">
        <v>16328</v>
      </c>
      <c r="C19" s="101">
        <v>0</v>
      </c>
      <c r="D19" s="101">
        <v>3</v>
      </c>
      <c r="E19" s="101">
        <v>47</v>
      </c>
      <c r="G19" s="121" t="s">
        <v>69</v>
      </c>
      <c r="H19" s="121">
        <v>-3012831.5363123752</v>
      </c>
      <c r="I19" s="121">
        <v>821033.99609051598</v>
      </c>
      <c r="J19" s="121">
        <v>-3.6695575952499557</v>
      </c>
      <c r="K19" s="121">
        <v>2.8246142072044364E-4</v>
      </c>
      <c r="L19" s="106">
        <v>-4627845.9525315361</v>
      </c>
      <c r="M19" s="106">
        <v>-1397817.1200932146</v>
      </c>
      <c r="N19" s="106">
        <v>-4627845.9525315361</v>
      </c>
      <c r="O19" s="106">
        <v>-1397817.1200932146</v>
      </c>
    </row>
    <row r="20" spans="1:15" ht="12.75" x14ac:dyDescent="0.2">
      <c r="A20" s="102">
        <v>3359800</v>
      </c>
      <c r="B20" s="101">
        <v>17555</v>
      </c>
      <c r="C20" s="101">
        <v>0</v>
      </c>
      <c r="D20" s="101">
        <v>4</v>
      </c>
      <c r="E20" s="101">
        <v>66</v>
      </c>
      <c r="G20" s="121" t="s">
        <v>133</v>
      </c>
      <c r="H20" s="121">
        <v>192.63373047604023</v>
      </c>
      <c r="I20" s="121">
        <v>38.462398156019674</v>
      </c>
      <c r="J20" s="121">
        <v>5.0083650451185271</v>
      </c>
      <c r="K20" s="121">
        <v>8.8848118458682737E-7</v>
      </c>
      <c r="L20" s="106">
        <v>116.97629387765993</v>
      </c>
      <c r="M20" s="106">
        <v>268.29116707442051</v>
      </c>
      <c r="N20" s="106">
        <v>116.97629387765993</v>
      </c>
      <c r="O20" s="106">
        <v>268.29116707442051</v>
      </c>
    </row>
    <row r="21" spans="1:15" ht="12.75" x14ac:dyDescent="0.2">
      <c r="A21" s="102">
        <v>1453081</v>
      </c>
      <c r="B21" s="101">
        <v>16454</v>
      </c>
      <c r="C21" s="101">
        <v>0</v>
      </c>
      <c r="D21" s="101">
        <v>5</v>
      </c>
      <c r="E21" s="101">
        <v>17</v>
      </c>
      <c r="G21" s="123" t="s">
        <v>129</v>
      </c>
      <c r="H21" s="121">
        <v>-734315.00792259653</v>
      </c>
      <c r="I21" s="121">
        <v>803162.74582758325</v>
      </c>
      <c r="J21" s="121">
        <v>-0.9142792189221306</v>
      </c>
      <c r="K21" s="123">
        <v>0.36122576754541436</v>
      </c>
      <c r="L21" s="106">
        <v>-2314175.7923214799</v>
      </c>
      <c r="M21" s="106">
        <v>845545.77647628705</v>
      </c>
      <c r="N21" s="106">
        <v>-2314175.7923214799</v>
      </c>
      <c r="O21" s="106">
        <v>845545.77647628705</v>
      </c>
    </row>
    <row r="22" spans="1:15" ht="12.75" x14ac:dyDescent="0.2">
      <c r="A22" s="102">
        <v>1546911</v>
      </c>
      <c r="B22" s="101">
        <v>18529</v>
      </c>
      <c r="C22" s="101">
        <v>0</v>
      </c>
      <c r="D22" s="101">
        <v>3</v>
      </c>
      <c r="E22" s="101">
        <v>16</v>
      </c>
      <c r="G22" s="121" t="s">
        <v>128</v>
      </c>
      <c r="H22" s="121">
        <v>26790.903956560473</v>
      </c>
      <c r="I22" s="121">
        <v>8172.688161418826</v>
      </c>
      <c r="J22" s="121">
        <v>3.2781018224864482</v>
      </c>
      <c r="K22" s="121">
        <v>1.1543600411808442E-3</v>
      </c>
      <c r="L22" s="106">
        <v>10714.822743353403</v>
      </c>
      <c r="M22" s="106">
        <v>42866.98516976754</v>
      </c>
      <c r="N22" s="106">
        <v>10714.822743353403</v>
      </c>
      <c r="O22" s="106">
        <v>42866.98516976754</v>
      </c>
    </row>
    <row r="23" spans="1:15" ht="13.5" thickBot="1" x14ac:dyDescent="0.25">
      <c r="A23" s="102">
        <v>1672366</v>
      </c>
      <c r="B23" s="101">
        <v>26428</v>
      </c>
      <c r="C23" s="101">
        <v>0</v>
      </c>
      <c r="D23" s="101">
        <v>0</v>
      </c>
      <c r="E23" s="101">
        <v>14</v>
      </c>
      <c r="G23" s="122" t="s">
        <v>131</v>
      </c>
      <c r="H23" s="122">
        <v>88458.476124944806</v>
      </c>
      <c r="I23" s="122">
        <v>6008.8290454578191</v>
      </c>
      <c r="J23" s="122">
        <v>14.721416677981901</v>
      </c>
      <c r="K23" s="122">
        <v>3.3411382713258277E-38</v>
      </c>
      <c r="L23" s="107">
        <v>76638.812652762674</v>
      </c>
      <c r="M23" s="107">
        <v>100278.13959712694</v>
      </c>
      <c r="N23" s="107">
        <v>76638.812652762674</v>
      </c>
      <c r="O23" s="107">
        <v>100278.13959712694</v>
      </c>
    </row>
    <row r="24" spans="1:15" x14ac:dyDescent="0.2">
      <c r="A24" s="102">
        <v>8000000</v>
      </c>
      <c r="B24" s="101">
        <v>19760</v>
      </c>
      <c r="C24" s="101">
        <v>0</v>
      </c>
      <c r="D24" s="101">
        <v>35</v>
      </c>
      <c r="E24" s="101">
        <v>70</v>
      </c>
    </row>
    <row r="25" spans="1:15" x14ac:dyDescent="0.2">
      <c r="A25" s="102">
        <v>11000000</v>
      </c>
      <c r="B25" s="101">
        <v>22360</v>
      </c>
      <c r="C25" s="101">
        <v>0</v>
      </c>
      <c r="D25" s="101">
        <v>40</v>
      </c>
      <c r="E25" s="101">
        <v>85</v>
      </c>
    </row>
    <row r="26" spans="1:15" x14ac:dyDescent="0.2">
      <c r="A26" s="102">
        <v>15000000</v>
      </c>
      <c r="B26" s="101">
        <v>23920</v>
      </c>
      <c r="C26" s="101">
        <v>0</v>
      </c>
      <c r="D26" s="101">
        <v>40</v>
      </c>
      <c r="E26" s="101">
        <v>98</v>
      </c>
    </row>
    <row r="27" spans="1:15" x14ac:dyDescent="0.2">
      <c r="A27" s="102">
        <v>1535242</v>
      </c>
      <c r="B27" s="101">
        <v>20000</v>
      </c>
      <c r="C27" s="101">
        <v>0</v>
      </c>
      <c r="D27" s="101">
        <v>0</v>
      </c>
      <c r="E27" s="101">
        <v>45</v>
      </c>
      <c r="G27" s="103" t="s">
        <v>81</v>
      </c>
    </row>
    <row r="28" spans="1:15" ht="13.5" thickBot="1" x14ac:dyDescent="0.25">
      <c r="A28" s="102">
        <v>3209188</v>
      </c>
      <c r="B28" s="101">
        <v>22000</v>
      </c>
      <c r="C28" s="101">
        <v>0</v>
      </c>
      <c r="D28" s="101">
        <v>0</v>
      </c>
      <c r="E28" s="101">
        <v>47</v>
      </c>
      <c r="K28" s="119" t="s">
        <v>148</v>
      </c>
      <c r="L28" s="119"/>
      <c r="M28" s="119"/>
      <c r="N28" s="119"/>
      <c r="O28" s="119"/>
    </row>
    <row r="29" spans="1:15" ht="12.75" x14ac:dyDescent="0.2">
      <c r="A29" s="102">
        <v>4030352</v>
      </c>
      <c r="B29" s="101">
        <v>23650</v>
      </c>
      <c r="C29" s="101">
        <v>0</v>
      </c>
      <c r="D29" s="101">
        <v>2</v>
      </c>
      <c r="E29" s="101">
        <v>51</v>
      </c>
      <c r="G29" s="108" t="s">
        <v>82</v>
      </c>
      <c r="H29" s="108" t="s">
        <v>147</v>
      </c>
      <c r="I29" s="108" t="s">
        <v>68</v>
      </c>
      <c r="K29" s="109"/>
      <c r="L29" s="110" t="s">
        <v>149</v>
      </c>
      <c r="M29" s="111" t="s">
        <v>150</v>
      </c>
      <c r="N29" s="112" t="s">
        <v>151</v>
      </c>
      <c r="O29" s="111" t="s">
        <v>152</v>
      </c>
    </row>
    <row r="30" spans="1:15" ht="12.75" x14ac:dyDescent="0.2">
      <c r="A30" s="102">
        <v>10000000</v>
      </c>
      <c r="B30" s="101">
        <v>17500</v>
      </c>
      <c r="C30" s="101">
        <v>0</v>
      </c>
      <c r="D30" s="101">
        <v>0</v>
      </c>
      <c r="E30" s="101">
        <v>200</v>
      </c>
      <c r="G30" s="106">
        <v>1</v>
      </c>
      <c r="H30" s="106">
        <v>15254287.03849956</v>
      </c>
      <c r="I30" s="106">
        <v>31745712.96150044</v>
      </c>
      <c r="K30" s="113" t="s">
        <v>153</v>
      </c>
      <c r="L30" s="115">
        <f>+H19</f>
        <v>-3012831.5363123752</v>
      </c>
      <c r="M30" s="115">
        <f>+H20</f>
        <v>192.63373047604023</v>
      </c>
      <c r="N30" s="116">
        <f>+H22</f>
        <v>26790.903956560473</v>
      </c>
      <c r="O30" s="116">
        <f>+H23</f>
        <v>88458.476124944806</v>
      </c>
    </row>
    <row r="31" spans="1:15" ht="13.5" thickBot="1" x14ac:dyDescent="0.25">
      <c r="A31" s="102">
        <v>10000000</v>
      </c>
      <c r="B31" s="101">
        <v>18700</v>
      </c>
      <c r="C31" s="101">
        <v>0</v>
      </c>
      <c r="D31" s="101">
        <v>6</v>
      </c>
      <c r="E31" s="101">
        <v>200</v>
      </c>
      <c r="G31" s="106">
        <v>2</v>
      </c>
      <c r="H31" s="106">
        <v>17042222.061496906</v>
      </c>
      <c r="I31" s="106">
        <v>25957777.938503094</v>
      </c>
      <c r="K31" s="114" t="s">
        <v>154</v>
      </c>
      <c r="L31" s="117">
        <f>+H19+H21</f>
        <v>-3747146.5442349715</v>
      </c>
      <c r="M31" s="117">
        <f>+H20</f>
        <v>192.63373047604023</v>
      </c>
      <c r="N31" s="118">
        <f>+H22</f>
        <v>26790.903956560473</v>
      </c>
      <c r="O31" s="118">
        <f>+H23</f>
        <v>88458.476124944806</v>
      </c>
    </row>
    <row r="32" spans="1:15" ht="12.75" thickTop="1" x14ac:dyDescent="0.2">
      <c r="A32" s="102">
        <v>9000000</v>
      </c>
      <c r="B32" s="101">
        <v>18300</v>
      </c>
      <c r="C32" s="101">
        <v>0</v>
      </c>
      <c r="D32" s="101">
        <v>10</v>
      </c>
      <c r="E32" s="101">
        <v>190</v>
      </c>
      <c r="G32" s="106">
        <v>3</v>
      </c>
      <c r="H32" s="106">
        <v>16719821.713449428</v>
      </c>
      <c r="I32" s="106">
        <v>32280178.286550574</v>
      </c>
    </row>
    <row r="33" spans="1:9" x14ac:dyDescent="0.2">
      <c r="A33" s="102">
        <v>1600000</v>
      </c>
      <c r="B33" s="101">
        <v>11500</v>
      </c>
      <c r="C33" s="101">
        <v>0</v>
      </c>
      <c r="D33" s="101">
        <v>3</v>
      </c>
      <c r="E33" s="101">
        <v>14</v>
      </c>
      <c r="G33" s="106">
        <v>4</v>
      </c>
      <c r="H33" s="106">
        <v>392815.19466411066</v>
      </c>
      <c r="I33" s="106">
        <v>1167184.8053358893</v>
      </c>
    </row>
    <row r="34" spans="1:9" x14ac:dyDescent="0.2">
      <c r="A34" s="102">
        <v>900000</v>
      </c>
      <c r="B34" s="101">
        <v>13000</v>
      </c>
      <c r="C34" s="101">
        <v>0</v>
      </c>
      <c r="D34" s="101">
        <v>5</v>
      </c>
      <c r="E34" s="101">
        <v>12</v>
      </c>
      <c r="G34" s="106">
        <v>5</v>
      </c>
      <c r="H34" s="106">
        <v>604381.43998363591</v>
      </c>
      <c r="I34" s="106">
        <v>1365618.5600163641</v>
      </c>
    </row>
    <row r="35" spans="1:9" x14ac:dyDescent="0.2">
      <c r="A35" s="102">
        <v>1300000</v>
      </c>
      <c r="B35" s="101">
        <v>14700</v>
      </c>
      <c r="C35" s="101">
        <v>0</v>
      </c>
      <c r="D35" s="101">
        <v>9</v>
      </c>
      <c r="E35" s="101">
        <v>16</v>
      </c>
      <c r="G35" s="106">
        <v>6</v>
      </c>
      <c r="H35" s="106">
        <v>815947.68530316115</v>
      </c>
      <c r="I35" s="106">
        <v>1534052.3146968388</v>
      </c>
    </row>
    <row r="36" spans="1:9" x14ac:dyDescent="0.2">
      <c r="A36" s="102">
        <v>420664</v>
      </c>
      <c r="B36" s="101">
        <v>4237</v>
      </c>
      <c r="C36" s="101">
        <v>0</v>
      </c>
      <c r="D36" s="101">
        <v>0</v>
      </c>
      <c r="E36" s="101">
        <v>10</v>
      </c>
      <c r="G36" s="106">
        <v>7</v>
      </c>
      <c r="H36" s="106">
        <v>2563965.900351319</v>
      </c>
      <c r="I36" s="106">
        <v>-1813965.900351319</v>
      </c>
    </row>
    <row r="37" spans="1:9" x14ac:dyDescent="0.2">
      <c r="A37" s="102">
        <v>544602</v>
      </c>
      <c r="B37" s="101">
        <v>7484</v>
      </c>
      <c r="C37" s="101">
        <v>0</v>
      </c>
      <c r="D37" s="101">
        <v>0</v>
      </c>
      <c r="E37" s="101">
        <v>11</v>
      </c>
      <c r="G37" s="106">
        <v>8</v>
      </c>
      <c r="H37" s="106">
        <v>3072642.8408883223</v>
      </c>
      <c r="I37" s="106">
        <v>-2962642.8408883223</v>
      </c>
    </row>
    <row r="38" spans="1:9" x14ac:dyDescent="0.2">
      <c r="A38" s="102">
        <v>495331</v>
      </c>
      <c r="B38" s="101">
        <v>9548</v>
      </c>
      <c r="C38" s="101">
        <v>0</v>
      </c>
      <c r="D38" s="101">
        <v>0</v>
      </c>
      <c r="E38" s="101">
        <v>9</v>
      </c>
      <c r="G38" s="106">
        <v>9</v>
      </c>
      <c r="H38" s="106">
        <v>3452432.4840240641</v>
      </c>
      <c r="I38" s="106">
        <v>-2502432.4840240641</v>
      </c>
    </row>
    <row r="39" spans="1:9" x14ac:dyDescent="0.2">
      <c r="A39" s="102">
        <v>1502502</v>
      </c>
      <c r="B39" s="101">
        <v>11742</v>
      </c>
      <c r="C39" s="101">
        <v>0</v>
      </c>
      <c r="D39" s="101">
        <v>2</v>
      </c>
      <c r="E39" s="101">
        <v>15</v>
      </c>
      <c r="G39" s="106">
        <v>10</v>
      </c>
      <c r="H39" s="106">
        <v>17323532.174382143</v>
      </c>
      <c r="I39" s="106">
        <v>6376467.8256178573</v>
      </c>
    </row>
    <row r="40" spans="1:9" x14ac:dyDescent="0.2">
      <c r="A40" s="102">
        <v>1840912</v>
      </c>
      <c r="B40" s="101">
        <v>12740</v>
      </c>
      <c r="C40" s="101">
        <v>0</v>
      </c>
      <c r="D40" s="101">
        <v>2</v>
      </c>
      <c r="E40" s="101">
        <v>16</v>
      </c>
      <c r="G40" s="106">
        <v>11</v>
      </c>
      <c r="H40" s="106">
        <v>13450390.370365256</v>
      </c>
      <c r="I40" s="106">
        <v>6249609.6296347436</v>
      </c>
    </row>
    <row r="41" spans="1:9" x14ac:dyDescent="0.2">
      <c r="A41" s="102">
        <v>2273869</v>
      </c>
      <c r="B41" s="101">
        <v>13700</v>
      </c>
      <c r="C41" s="101">
        <v>0</v>
      </c>
      <c r="D41" s="101">
        <v>3</v>
      </c>
      <c r="E41" s="101">
        <v>18</v>
      </c>
      <c r="G41" s="106">
        <v>12</v>
      </c>
      <c r="H41" s="106">
        <v>7635186.957655861</v>
      </c>
      <c r="I41" s="106">
        <v>18364813.042344138</v>
      </c>
    </row>
    <row r="42" spans="1:9" x14ac:dyDescent="0.2">
      <c r="A42" s="102">
        <v>5286605</v>
      </c>
      <c r="B42" s="101">
        <v>20800</v>
      </c>
      <c r="C42" s="101">
        <v>0</v>
      </c>
      <c r="D42" s="101">
        <v>50</v>
      </c>
      <c r="E42" s="101">
        <v>60</v>
      </c>
      <c r="G42" s="106">
        <v>13</v>
      </c>
      <c r="H42" s="106">
        <v>2320061.9999932647</v>
      </c>
      <c r="I42" s="106">
        <v>1079938.0000067353</v>
      </c>
    </row>
    <row r="43" spans="1:9" x14ac:dyDescent="0.2">
      <c r="A43" s="102">
        <v>5200000</v>
      </c>
      <c r="B43" s="101">
        <v>20000</v>
      </c>
      <c r="C43" s="101">
        <v>0</v>
      </c>
      <c r="D43" s="101">
        <v>0</v>
      </c>
      <c r="E43" s="101">
        <v>50</v>
      </c>
      <c r="G43" s="106">
        <v>14</v>
      </c>
      <c r="H43" s="106">
        <v>1871027.4388018798</v>
      </c>
      <c r="I43" s="106">
        <v>-457127.43880187976</v>
      </c>
    </row>
    <row r="44" spans="1:9" x14ac:dyDescent="0.2">
      <c r="A44" s="102">
        <v>6500000</v>
      </c>
      <c r="B44" s="101">
        <v>23000</v>
      </c>
      <c r="C44" s="101">
        <v>0</v>
      </c>
      <c r="D44" s="101">
        <v>0</v>
      </c>
      <c r="E44" s="101">
        <v>50</v>
      </c>
      <c r="G44" s="106">
        <v>15</v>
      </c>
      <c r="H44" s="106">
        <v>2057151.2162781768</v>
      </c>
      <c r="I44" s="106">
        <v>-187803.21627817675</v>
      </c>
    </row>
    <row r="45" spans="1:9" x14ac:dyDescent="0.2">
      <c r="A45" s="102">
        <v>5600000</v>
      </c>
      <c r="B45" s="101">
        <v>25000</v>
      </c>
      <c r="C45" s="101">
        <v>0</v>
      </c>
      <c r="D45" s="101">
        <v>0</v>
      </c>
      <c r="E45" s="101">
        <v>55</v>
      </c>
      <c r="G45" s="106">
        <v>16</v>
      </c>
      <c r="H45" s="106">
        <v>2604660.6912868614</v>
      </c>
      <c r="I45" s="106">
        <v>-746895.69128686143</v>
      </c>
    </row>
    <row r="46" spans="1:9" x14ac:dyDescent="0.2">
      <c r="A46" s="102">
        <v>10000000</v>
      </c>
      <c r="B46" s="101">
        <v>12500</v>
      </c>
      <c r="C46" s="101">
        <v>0</v>
      </c>
      <c r="D46" s="101">
        <v>7</v>
      </c>
      <c r="E46" s="101">
        <v>153</v>
      </c>
      <c r="G46" s="106">
        <v>17</v>
      </c>
      <c r="H46" s="106">
        <v>4078227.3293467863</v>
      </c>
      <c r="I46" s="106">
        <v>-1917327.3293467863</v>
      </c>
    </row>
    <row r="47" spans="1:9" x14ac:dyDescent="0.2">
      <c r="A47" s="102">
        <v>11000000</v>
      </c>
      <c r="B47" s="101">
        <v>13000</v>
      </c>
      <c r="C47" s="101">
        <v>0</v>
      </c>
      <c r="D47" s="101">
        <v>6</v>
      </c>
      <c r="E47" s="101">
        <v>134</v>
      </c>
      <c r="G47" s="106">
        <v>18</v>
      </c>
      <c r="H47" s="106">
        <v>4370413.1046424974</v>
      </c>
      <c r="I47" s="106">
        <v>-1915913.1046424974</v>
      </c>
    </row>
    <row r="48" spans="1:9" x14ac:dyDescent="0.2">
      <c r="A48" s="102">
        <v>12000000</v>
      </c>
      <c r="B48" s="101">
        <v>13500</v>
      </c>
      <c r="C48" s="101">
        <v>0</v>
      </c>
      <c r="D48" s="101">
        <v>28</v>
      </c>
      <c r="E48" s="101">
        <v>146</v>
      </c>
      <c r="G48" s="106">
        <v>19</v>
      </c>
      <c r="H48" s="106">
        <v>6314276.6422671098</v>
      </c>
      <c r="I48" s="106">
        <v>-2954476.6422671098</v>
      </c>
    </row>
    <row r="49" spans="1:9" x14ac:dyDescent="0.2">
      <c r="A49" s="102">
        <v>2300000</v>
      </c>
      <c r="B49" s="101">
        <v>20000</v>
      </c>
      <c r="C49" s="101">
        <v>0</v>
      </c>
      <c r="D49" s="101">
        <v>0</v>
      </c>
      <c r="E49" s="101">
        <v>20</v>
      </c>
      <c r="G49" s="106">
        <v>20</v>
      </c>
      <c r="H49" s="106">
        <v>1794512.4788472545</v>
      </c>
      <c r="I49" s="106">
        <v>-341431.47884725453</v>
      </c>
    </row>
    <row r="50" spans="1:9" x14ac:dyDescent="0.2">
      <c r="A50" s="102">
        <v>2500000</v>
      </c>
      <c r="B50" s="101">
        <v>23000</v>
      </c>
      <c r="C50" s="101">
        <v>0</v>
      </c>
      <c r="D50" s="101">
        <v>0</v>
      </c>
      <c r="E50" s="101">
        <v>23</v>
      </c>
      <c r="G50" s="106">
        <v>21</v>
      </c>
      <c r="H50" s="106">
        <v>2052187.1855469723</v>
      </c>
      <c r="I50" s="106">
        <v>-505276.18554697232</v>
      </c>
    </row>
    <row r="51" spans="1:9" x14ac:dyDescent="0.2">
      <c r="A51" s="102">
        <v>3000000</v>
      </c>
      <c r="B51" s="101">
        <v>25000</v>
      </c>
      <c r="C51" s="101">
        <v>0</v>
      </c>
      <c r="D51" s="101">
        <v>1</v>
      </c>
      <c r="E51" s="101">
        <v>25</v>
      </c>
      <c r="G51" s="106">
        <v>22</v>
      </c>
      <c r="H51" s="106">
        <v>3316511.3584576431</v>
      </c>
      <c r="I51" s="106">
        <v>-1644145.3584576431</v>
      </c>
    </row>
    <row r="52" spans="1:9" x14ac:dyDescent="0.2">
      <c r="A52" s="102">
        <v>7588770</v>
      </c>
      <c r="B52" s="101">
        <v>16640</v>
      </c>
      <c r="C52" s="101">
        <v>0</v>
      </c>
      <c r="D52" s="101">
        <v>0</v>
      </c>
      <c r="E52" s="101">
        <v>131</v>
      </c>
      <c r="G52" s="106">
        <v>23</v>
      </c>
      <c r="H52" s="106">
        <v>7923385.9451199323</v>
      </c>
      <c r="I52" s="106">
        <v>76614.054880067706</v>
      </c>
    </row>
    <row r="53" spans="1:9" x14ac:dyDescent="0.2">
      <c r="A53" s="102">
        <v>725000</v>
      </c>
      <c r="B53" s="101">
        <v>9000</v>
      </c>
      <c r="C53" s="101">
        <v>0</v>
      </c>
      <c r="D53" s="101">
        <v>0</v>
      </c>
      <c r="E53" s="101">
        <v>22</v>
      </c>
      <c r="G53" s="106">
        <v>24</v>
      </c>
      <c r="H53" s="106">
        <v>9885065.3060146123</v>
      </c>
      <c r="I53" s="106">
        <v>1114934.6939853877</v>
      </c>
    </row>
    <row r="54" spans="1:9" x14ac:dyDescent="0.2">
      <c r="A54" s="102">
        <v>785000</v>
      </c>
      <c r="B54" s="101">
        <v>9000</v>
      </c>
      <c r="C54" s="101">
        <v>0</v>
      </c>
      <c r="D54" s="101">
        <v>0</v>
      </c>
      <c r="E54" s="101">
        <v>25</v>
      </c>
      <c r="G54" s="106">
        <v>25</v>
      </c>
      <c r="H54" s="106">
        <v>11335534.115181517</v>
      </c>
      <c r="I54" s="106">
        <v>3664465.8848184831</v>
      </c>
    </row>
    <row r="55" spans="1:9" x14ac:dyDescent="0.2">
      <c r="A55" s="102">
        <v>785000</v>
      </c>
      <c r="B55" s="101">
        <v>10000</v>
      </c>
      <c r="C55" s="101">
        <v>0</v>
      </c>
      <c r="D55" s="101">
        <v>0</v>
      </c>
      <c r="E55" s="101">
        <v>23</v>
      </c>
      <c r="G55" s="106">
        <v>26</v>
      </c>
      <c r="H55" s="106">
        <v>4820474.4988309462</v>
      </c>
      <c r="I55" s="106">
        <v>-3285232.4988309462</v>
      </c>
    </row>
    <row r="56" spans="1:9" x14ac:dyDescent="0.2">
      <c r="A56" s="102">
        <v>4000000</v>
      </c>
      <c r="B56" s="101">
        <v>32000</v>
      </c>
      <c r="C56" s="101">
        <v>0</v>
      </c>
      <c r="D56" s="101">
        <v>2</v>
      </c>
      <c r="E56" s="101">
        <v>15</v>
      </c>
      <c r="G56" s="106">
        <v>27</v>
      </c>
      <c r="H56" s="106">
        <v>5382658.9120329153</v>
      </c>
      <c r="I56" s="106">
        <v>-2173470.9120329153</v>
      </c>
    </row>
    <row r="57" spans="1:9" x14ac:dyDescent="0.2">
      <c r="A57" s="102">
        <v>5000000</v>
      </c>
      <c r="B57" s="101">
        <v>34000</v>
      </c>
      <c r="C57" s="101">
        <v>0</v>
      </c>
      <c r="D57" s="101">
        <v>2</v>
      </c>
      <c r="E57" s="101">
        <v>18</v>
      </c>
      <c r="G57" s="106">
        <v>28</v>
      </c>
      <c r="H57" s="106">
        <v>6107920.279731282</v>
      </c>
      <c r="I57" s="106">
        <v>-2077568.279731282</v>
      </c>
    </row>
    <row r="58" spans="1:9" x14ac:dyDescent="0.2">
      <c r="A58" s="102">
        <v>7000000</v>
      </c>
      <c r="B58" s="101">
        <v>38000</v>
      </c>
      <c r="C58" s="101">
        <v>0</v>
      </c>
      <c r="D58" s="101">
        <v>6</v>
      </c>
      <c r="E58" s="101">
        <v>19</v>
      </c>
      <c r="G58" s="106">
        <v>29</v>
      </c>
      <c r="H58" s="106">
        <v>18049953.97200729</v>
      </c>
      <c r="I58" s="106">
        <v>-8049953.9720072895</v>
      </c>
    </row>
    <row r="59" spans="1:9" x14ac:dyDescent="0.2">
      <c r="A59" s="102">
        <v>5300000</v>
      </c>
      <c r="B59" s="101">
        <v>21500</v>
      </c>
      <c r="C59" s="101">
        <v>0</v>
      </c>
      <c r="D59" s="101">
        <v>0</v>
      </c>
      <c r="E59" s="101">
        <v>73</v>
      </c>
      <c r="G59" s="106">
        <v>30</v>
      </c>
      <c r="H59" s="106">
        <v>18441859.872317899</v>
      </c>
      <c r="I59" s="106">
        <v>-8441859.872317899</v>
      </c>
    </row>
    <row r="60" spans="1:9" x14ac:dyDescent="0.2">
      <c r="A60" s="102">
        <v>5800000</v>
      </c>
      <c r="B60" s="101">
        <v>22200</v>
      </c>
      <c r="C60" s="101">
        <v>0</v>
      </c>
      <c r="D60" s="101">
        <v>0</v>
      </c>
      <c r="E60" s="101">
        <v>76</v>
      </c>
      <c r="G60" s="106">
        <v>31</v>
      </c>
      <c r="H60" s="106">
        <v>17587385.234704278</v>
      </c>
      <c r="I60" s="106">
        <v>-8587385.2347042784</v>
      </c>
    </row>
    <row r="61" spans="1:9" x14ac:dyDescent="0.2">
      <c r="A61" s="102">
        <v>6400000</v>
      </c>
      <c r="B61" s="101">
        <v>23000</v>
      </c>
      <c r="C61" s="101">
        <v>0</v>
      </c>
      <c r="D61" s="101">
        <v>8</v>
      </c>
      <c r="E61" s="101">
        <v>80</v>
      </c>
      <c r="G61" s="106">
        <v>32</v>
      </c>
      <c r="H61" s="106">
        <v>521247.74178099597</v>
      </c>
      <c r="I61" s="106">
        <v>1078752.2582190041</v>
      </c>
    </row>
    <row r="62" spans="1:9" x14ac:dyDescent="0.2">
      <c r="A62" s="102">
        <v>21800000</v>
      </c>
      <c r="B62" s="101">
        <v>20180</v>
      </c>
      <c r="C62" s="101">
        <v>0</v>
      </c>
      <c r="D62" s="101">
        <v>0</v>
      </c>
      <c r="E62" s="101">
        <v>112</v>
      </c>
      <c r="G62" s="106">
        <v>33</v>
      </c>
      <c r="H62" s="106">
        <v>686863.19315828755</v>
      </c>
      <c r="I62" s="106">
        <v>213136.80684171245</v>
      </c>
    </row>
    <row r="63" spans="1:9" x14ac:dyDescent="0.2">
      <c r="A63" s="102">
        <v>25800000</v>
      </c>
      <c r="B63" s="101">
        <v>21500</v>
      </c>
      <c r="C63" s="101">
        <v>0</v>
      </c>
      <c r="D63" s="101">
        <v>128</v>
      </c>
      <c r="E63" s="101">
        <v>128</v>
      </c>
      <c r="G63" s="106">
        <v>34</v>
      </c>
      <c r="H63" s="106">
        <v>1475338.0552935773</v>
      </c>
      <c r="I63" s="106">
        <v>-175338.05529357726</v>
      </c>
    </row>
    <row r="64" spans="1:9" x14ac:dyDescent="0.2">
      <c r="A64" s="102">
        <v>2101581</v>
      </c>
      <c r="B64" s="101">
        <v>14850</v>
      </c>
      <c r="C64" s="101">
        <v>0</v>
      </c>
      <c r="D64" s="101">
        <v>12</v>
      </c>
      <c r="E64" s="101">
        <v>14</v>
      </c>
      <c r="G64" s="106">
        <v>35</v>
      </c>
      <c r="H64" s="106">
        <v>-1312057.6590359444</v>
      </c>
      <c r="I64" s="106">
        <v>1732721.6590359444</v>
      </c>
    </row>
    <row r="65" spans="1:9" x14ac:dyDescent="0.2">
      <c r="A65" s="102">
        <v>2400723</v>
      </c>
      <c r="B65" s="101">
        <v>18100</v>
      </c>
      <c r="C65" s="101">
        <v>0</v>
      </c>
      <c r="D65" s="101">
        <v>10</v>
      </c>
      <c r="E65" s="101">
        <v>16</v>
      </c>
      <c r="G65" s="106">
        <v>36</v>
      </c>
      <c r="H65" s="106">
        <v>-598117.46005529724</v>
      </c>
      <c r="I65" s="106">
        <v>1142719.4600552972</v>
      </c>
    </row>
    <row r="66" spans="1:9" x14ac:dyDescent="0.2">
      <c r="A66" s="102">
        <v>2470633</v>
      </c>
      <c r="B66" s="101">
        <v>20500</v>
      </c>
      <c r="C66" s="101">
        <v>0</v>
      </c>
      <c r="D66" s="101">
        <v>10</v>
      </c>
      <c r="E66" s="101">
        <v>13</v>
      </c>
      <c r="G66" s="106">
        <v>37</v>
      </c>
      <c r="H66" s="106">
        <v>-377438.39260263974</v>
      </c>
      <c r="I66" s="106">
        <v>872769.39260263974</v>
      </c>
    </row>
    <row r="67" spans="1:9" x14ac:dyDescent="0.2">
      <c r="A67" s="102">
        <v>3000000</v>
      </c>
      <c r="B67" s="101">
        <v>10000</v>
      </c>
      <c r="C67" s="101">
        <v>0</v>
      </c>
      <c r="D67" s="101">
        <v>0</v>
      </c>
      <c r="E67" s="101">
        <v>40</v>
      </c>
      <c r="G67" s="106">
        <v>38</v>
      </c>
      <c r="H67" s="106">
        <v>629532.67672458233</v>
      </c>
      <c r="I67" s="106">
        <v>872969.32327541767</v>
      </c>
    </row>
    <row r="68" spans="1:9" x14ac:dyDescent="0.2">
      <c r="A68" s="102">
        <v>3800000</v>
      </c>
      <c r="B68" s="101">
        <v>11000</v>
      </c>
      <c r="C68" s="101">
        <v>0</v>
      </c>
      <c r="D68" s="101">
        <v>0</v>
      </c>
      <c r="E68" s="101">
        <v>48</v>
      </c>
      <c r="G68" s="106">
        <v>39</v>
      </c>
      <c r="H68" s="106">
        <v>910239.61586461507</v>
      </c>
      <c r="I68" s="106">
        <v>930672.38413538493</v>
      </c>
    </row>
    <row r="69" spans="1:9" x14ac:dyDescent="0.2">
      <c r="A69" s="102">
        <v>3100000</v>
      </c>
      <c r="B69" s="101">
        <v>11500</v>
      </c>
      <c r="C69" s="101">
        <v>0</v>
      </c>
      <c r="D69" s="101">
        <v>50</v>
      </c>
      <c r="E69" s="101">
        <v>50</v>
      </c>
      <c r="G69" s="106">
        <v>40</v>
      </c>
      <c r="H69" s="106">
        <v>1298875.8533280639</v>
      </c>
      <c r="I69" s="106">
        <v>974993.14667193615</v>
      </c>
    </row>
    <row r="70" spans="1:9" x14ac:dyDescent="0.2">
      <c r="A70" s="102">
        <v>755050</v>
      </c>
      <c r="B70" s="101">
        <v>10400</v>
      </c>
      <c r="C70" s="101">
        <v>0</v>
      </c>
      <c r="D70" s="101">
        <v>17</v>
      </c>
      <c r="E70" s="101">
        <v>17</v>
      </c>
      <c r="G70" s="106">
        <v>41</v>
      </c>
      <c r="H70" s="106">
        <v>7641003.8229139727</v>
      </c>
      <c r="I70" s="106">
        <v>-2354398.8229139727</v>
      </c>
    </row>
    <row r="71" spans="1:9" x14ac:dyDescent="0.2">
      <c r="A71" s="102">
        <v>1102723</v>
      </c>
      <c r="B71" s="101">
        <v>10400</v>
      </c>
      <c r="C71" s="101">
        <v>0</v>
      </c>
      <c r="D71" s="101">
        <v>15</v>
      </c>
      <c r="E71" s="101">
        <v>15</v>
      </c>
      <c r="G71" s="106">
        <v>42</v>
      </c>
      <c r="H71" s="106">
        <v>5262766.8794556689</v>
      </c>
      <c r="I71" s="106">
        <v>-62766.879455668852</v>
      </c>
    </row>
    <row r="72" spans="1:9" x14ac:dyDescent="0.2">
      <c r="A72" s="102">
        <v>1073785</v>
      </c>
      <c r="B72" s="101">
        <v>10400</v>
      </c>
      <c r="C72" s="101">
        <v>0</v>
      </c>
      <c r="D72" s="101">
        <v>10</v>
      </c>
      <c r="E72" s="101">
        <v>20</v>
      </c>
      <c r="G72" s="106">
        <v>43</v>
      </c>
      <c r="H72" s="106">
        <v>5840668.07088379</v>
      </c>
      <c r="I72" s="106">
        <v>659331.92911620997</v>
      </c>
    </row>
    <row r="73" spans="1:9" x14ac:dyDescent="0.2">
      <c r="A73" s="102">
        <v>4750000</v>
      </c>
      <c r="B73" s="101">
        <v>16120</v>
      </c>
      <c r="C73" s="101">
        <v>0</v>
      </c>
      <c r="D73" s="101">
        <v>30</v>
      </c>
      <c r="E73" s="101">
        <v>75</v>
      </c>
      <c r="G73" s="106">
        <v>44</v>
      </c>
      <c r="H73" s="106">
        <v>6668227.9124605954</v>
      </c>
      <c r="I73" s="106">
        <v>-1068227.9124605954</v>
      </c>
    </row>
    <row r="74" spans="1:9" x14ac:dyDescent="0.2">
      <c r="A74" s="102">
        <v>5100000</v>
      </c>
      <c r="B74" s="101">
        <v>16432</v>
      </c>
      <c r="C74" s="101">
        <v>0</v>
      </c>
      <c r="D74" s="101">
        <v>35</v>
      </c>
      <c r="E74" s="101">
        <v>80</v>
      </c>
      <c r="G74" s="106">
        <v>45</v>
      </c>
      <c r="H74" s="106">
        <v>13116773.269450607</v>
      </c>
      <c r="I74" s="106">
        <v>-3116773.2694506068</v>
      </c>
    </row>
    <row r="75" spans="1:9" x14ac:dyDescent="0.2">
      <c r="A75" s="102">
        <v>5500000</v>
      </c>
      <c r="B75" s="101">
        <v>16640</v>
      </c>
      <c r="C75" s="101">
        <v>0</v>
      </c>
      <c r="D75" s="101">
        <v>35</v>
      </c>
      <c r="E75" s="101">
        <v>94</v>
      </c>
      <c r="G75" s="106">
        <v>46</v>
      </c>
      <c r="H75" s="106">
        <v>11505588.184358114</v>
      </c>
      <c r="I75" s="106">
        <v>-505588.18435811438</v>
      </c>
    </row>
    <row r="76" spans="1:9" x14ac:dyDescent="0.2">
      <c r="A76" s="102">
        <v>11000000</v>
      </c>
      <c r="B76" s="101">
        <v>23500</v>
      </c>
      <c r="C76" s="101">
        <v>0</v>
      </c>
      <c r="D76" s="101">
        <v>96</v>
      </c>
      <c r="E76" s="101">
        <v>116</v>
      </c>
      <c r="G76" s="106">
        <v>47</v>
      </c>
      <c r="H76" s="106">
        <v>13252806.650139803</v>
      </c>
      <c r="I76" s="106">
        <v>-1252806.6501398031</v>
      </c>
    </row>
    <row r="77" spans="1:9" x14ac:dyDescent="0.2">
      <c r="A77" s="102">
        <v>11000000</v>
      </c>
      <c r="B77" s="101">
        <v>24000</v>
      </c>
      <c r="C77" s="101">
        <v>0</v>
      </c>
      <c r="D77" s="101">
        <v>94</v>
      </c>
      <c r="E77" s="101">
        <v>114</v>
      </c>
      <c r="G77" s="106">
        <v>48</v>
      </c>
      <c r="H77" s="106">
        <v>2609012.5957073253</v>
      </c>
      <c r="I77" s="106">
        <v>-309012.59570732526</v>
      </c>
    </row>
    <row r="78" spans="1:9" x14ac:dyDescent="0.2">
      <c r="A78" s="102">
        <v>11000000</v>
      </c>
      <c r="B78" s="101">
        <v>24600</v>
      </c>
      <c r="C78" s="101">
        <v>0</v>
      </c>
      <c r="D78" s="101">
        <v>99</v>
      </c>
      <c r="E78" s="101">
        <v>119</v>
      </c>
      <c r="G78" s="106">
        <v>49</v>
      </c>
      <c r="H78" s="106">
        <v>3452289.2155102808</v>
      </c>
      <c r="I78" s="106">
        <v>-952289.2155102808</v>
      </c>
    </row>
    <row r="79" spans="1:9" x14ac:dyDescent="0.2">
      <c r="A79" s="102">
        <v>990400</v>
      </c>
      <c r="B79" s="101">
        <v>12480</v>
      </c>
      <c r="C79" s="101">
        <v>0</v>
      </c>
      <c r="D79" s="101">
        <v>8</v>
      </c>
      <c r="E79" s="101">
        <v>8</v>
      </c>
      <c r="G79" s="106">
        <v>50</v>
      </c>
      <c r="H79" s="106">
        <v>4041264.5326688113</v>
      </c>
      <c r="I79" s="106">
        <v>-1041264.5326688113</v>
      </c>
    </row>
    <row r="80" spans="1:9" x14ac:dyDescent="0.2">
      <c r="A80" s="102">
        <v>1166100</v>
      </c>
      <c r="B80" s="101">
        <v>13520</v>
      </c>
      <c r="C80" s="101">
        <v>0</v>
      </c>
      <c r="D80" s="101">
        <v>16</v>
      </c>
      <c r="E80" s="101">
        <v>16</v>
      </c>
      <c r="G80" s="106">
        <v>51</v>
      </c>
      <c r="H80" s="106">
        <v>11780654.111176703</v>
      </c>
      <c r="I80" s="106">
        <v>-4191884.1111767031</v>
      </c>
    </row>
    <row r="81" spans="1:9" x14ac:dyDescent="0.2">
      <c r="A81" s="102">
        <v>1815900</v>
      </c>
      <c r="B81" s="101">
        <v>14560</v>
      </c>
      <c r="C81" s="101">
        <v>0</v>
      </c>
      <c r="D81" s="101">
        <v>20</v>
      </c>
      <c r="E81" s="101">
        <v>20</v>
      </c>
      <c r="G81" s="106">
        <v>52</v>
      </c>
      <c r="H81" s="106">
        <v>666958.51272077253</v>
      </c>
      <c r="I81" s="106">
        <v>58041.487279227469</v>
      </c>
    </row>
    <row r="82" spans="1:9" x14ac:dyDescent="0.2">
      <c r="A82" s="102">
        <v>1212478</v>
      </c>
      <c r="B82" s="101">
        <v>12700</v>
      </c>
      <c r="C82" s="101">
        <v>0</v>
      </c>
      <c r="D82" s="101">
        <v>4</v>
      </c>
      <c r="E82" s="101">
        <v>10</v>
      </c>
      <c r="G82" s="106">
        <v>53</v>
      </c>
      <c r="H82" s="106">
        <v>932333.94109560689</v>
      </c>
      <c r="I82" s="106">
        <v>-147333.94109560689</v>
      </c>
    </row>
    <row r="83" spans="1:9" x14ac:dyDescent="0.2">
      <c r="A83" s="102">
        <v>1159622</v>
      </c>
      <c r="B83" s="101">
        <v>13600</v>
      </c>
      <c r="C83" s="101">
        <v>0</v>
      </c>
      <c r="D83" s="101">
        <v>3</v>
      </c>
      <c r="E83" s="101">
        <v>14</v>
      </c>
      <c r="G83" s="106">
        <v>54</v>
      </c>
      <c r="H83" s="106">
        <v>948050.71932175756</v>
      </c>
      <c r="I83" s="106">
        <v>-163050.71932175756</v>
      </c>
    </row>
    <row r="84" spans="1:9" x14ac:dyDescent="0.2">
      <c r="A84" s="102">
        <v>1612170</v>
      </c>
      <c r="B84" s="101">
        <v>14900</v>
      </c>
      <c r="C84" s="101">
        <v>0</v>
      </c>
      <c r="D84" s="101">
        <v>0</v>
      </c>
      <c r="E84" s="101">
        <v>17</v>
      </c>
      <c r="G84" s="106">
        <v>55</v>
      </c>
      <c r="H84" s="106">
        <v>4531906.7887082044</v>
      </c>
      <c r="I84" s="106">
        <v>-531906.7887082044</v>
      </c>
    </row>
    <row r="85" spans="1:9" x14ac:dyDescent="0.2">
      <c r="A85" s="102">
        <v>12200000</v>
      </c>
      <c r="B85" s="101">
        <v>14538</v>
      </c>
      <c r="C85" s="101">
        <v>0</v>
      </c>
      <c r="D85" s="101">
        <v>30</v>
      </c>
      <c r="E85" s="101">
        <v>127</v>
      </c>
      <c r="G85" s="106">
        <v>56</v>
      </c>
      <c r="H85" s="106">
        <v>5182549.6780351195</v>
      </c>
      <c r="I85" s="106">
        <v>-182549.67803511955</v>
      </c>
    </row>
    <row r="86" spans="1:9" x14ac:dyDescent="0.2">
      <c r="A86" s="102">
        <v>12000000</v>
      </c>
      <c r="B86" s="101">
        <v>14865</v>
      </c>
      <c r="C86" s="101">
        <v>0</v>
      </c>
      <c r="D86" s="101">
        <v>87</v>
      </c>
      <c r="E86" s="101">
        <v>128</v>
      </c>
      <c r="G86" s="106">
        <v>57</v>
      </c>
      <c r="H86" s="106">
        <v>6148706.691890467</v>
      </c>
      <c r="I86" s="106">
        <v>851293.30810953304</v>
      </c>
    </row>
    <row r="87" spans="1:9" x14ac:dyDescent="0.2">
      <c r="A87" s="102">
        <v>1650831</v>
      </c>
      <c r="B87" s="101">
        <v>24900</v>
      </c>
      <c r="C87" s="101">
        <v>0</v>
      </c>
      <c r="D87" s="101">
        <v>0</v>
      </c>
      <c r="E87" s="101">
        <v>22</v>
      </c>
      <c r="G87" s="106">
        <v>58</v>
      </c>
      <c r="H87" s="106">
        <v>7586262.4260434601</v>
      </c>
      <c r="I87" s="106">
        <v>-2286262.4260434601</v>
      </c>
    </row>
    <row r="88" spans="1:9" x14ac:dyDescent="0.2">
      <c r="A88" s="102">
        <v>1817961</v>
      </c>
      <c r="B88" s="101">
        <v>23000</v>
      </c>
      <c r="C88" s="101">
        <v>0</v>
      </c>
      <c r="D88" s="101">
        <v>0</v>
      </c>
      <c r="E88" s="101">
        <v>37</v>
      </c>
      <c r="G88" s="106">
        <v>59</v>
      </c>
      <c r="H88" s="106">
        <v>7986481.4657515232</v>
      </c>
      <c r="I88" s="106">
        <v>-2186481.4657515232</v>
      </c>
    </row>
    <row r="89" spans="1:9" x14ac:dyDescent="0.2">
      <c r="A89" s="102">
        <v>1642441</v>
      </c>
      <c r="B89" s="101">
        <v>23200</v>
      </c>
      <c r="C89" s="101">
        <v>0</v>
      </c>
      <c r="D89" s="101">
        <v>0</v>
      </c>
      <c r="E89" s="101">
        <v>44</v>
      </c>
      <c r="G89" s="106">
        <v>60</v>
      </c>
      <c r="H89" s="106">
        <v>8708749.5862846188</v>
      </c>
      <c r="I89" s="106">
        <v>-2308749.5862846188</v>
      </c>
    </row>
    <row r="90" spans="1:9" x14ac:dyDescent="0.2">
      <c r="A90" s="102">
        <v>7000000</v>
      </c>
      <c r="B90" s="101">
        <v>8840</v>
      </c>
      <c r="C90" s="101">
        <v>0</v>
      </c>
      <c r="D90" s="101">
        <v>60</v>
      </c>
      <c r="E90" s="101">
        <v>60</v>
      </c>
      <c r="G90" s="106">
        <v>61</v>
      </c>
      <c r="H90" s="106">
        <v>10781866.470687933</v>
      </c>
      <c r="I90" s="106">
        <v>11018133.529312067</v>
      </c>
    </row>
    <row r="91" spans="1:9" x14ac:dyDescent="0.2">
      <c r="A91" s="102">
        <v>8500000</v>
      </c>
      <c r="B91" s="101">
        <v>9880</v>
      </c>
      <c r="C91" s="101">
        <v>0</v>
      </c>
      <c r="D91" s="101">
        <v>65</v>
      </c>
      <c r="E91" s="101">
        <v>65</v>
      </c>
      <c r="G91" s="106">
        <v>62</v>
      </c>
      <c r="H91" s="106">
        <v>15880714.319355166</v>
      </c>
      <c r="I91" s="106">
        <v>9919285.6806448344</v>
      </c>
    </row>
    <row r="92" spans="1:9" x14ac:dyDescent="0.2">
      <c r="A92" s="102">
        <v>11000000</v>
      </c>
      <c r="B92" s="101">
        <v>10920</v>
      </c>
      <c r="C92" s="101">
        <v>0</v>
      </c>
      <c r="D92" s="101">
        <v>70</v>
      </c>
      <c r="E92" s="101">
        <v>70</v>
      </c>
      <c r="G92" s="106">
        <v>63</v>
      </c>
      <c r="H92" s="106">
        <v>1407688.8744847749</v>
      </c>
      <c r="I92" s="106">
        <v>693892.12551522511</v>
      </c>
    </row>
    <row r="93" spans="1:9" x14ac:dyDescent="0.2">
      <c r="A93" s="102">
        <v>4600000</v>
      </c>
      <c r="B93" s="101">
        <v>18000</v>
      </c>
      <c r="C93" s="101">
        <v>0</v>
      </c>
      <c r="D93" s="101">
        <v>3</v>
      </c>
      <c r="E93" s="101">
        <v>27</v>
      </c>
      <c r="G93" s="106">
        <v>64</v>
      </c>
      <c r="H93" s="106">
        <v>2157083.6428686744</v>
      </c>
      <c r="I93" s="106">
        <v>243639.35713132564</v>
      </c>
    </row>
    <row r="94" spans="1:9" x14ac:dyDescent="0.2">
      <c r="A94" s="102">
        <v>4900000</v>
      </c>
      <c r="B94" s="101">
        <v>19000</v>
      </c>
      <c r="C94" s="101">
        <v>0</v>
      </c>
      <c r="D94" s="101">
        <v>2</v>
      </c>
      <c r="E94" s="101">
        <v>28</v>
      </c>
      <c r="G94" s="106">
        <v>65</v>
      </c>
      <c r="H94" s="106">
        <v>2354029.1676363368</v>
      </c>
      <c r="I94" s="106">
        <v>116603.83236366324</v>
      </c>
    </row>
    <row r="95" spans="1:9" x14ac:dyDescent="0.2">
      <c r="A95" s="102">
        <v>5600000</v>
      </c>
      <c r="B95" s="101">
        <v>21000</v>
      </c>
      <c r="C95" s="101">
        <v>0</v>
      </c>
      <c r="D95" s="101">
        <v>6</v>
      </c>
      <c r="E95" s="101">
        <v>30</v>
      </c>
      <c r="G95" s="106">
        <v>66</v>
      </c>
      <c r="H95" s="106">
        <v>2451844.8134458195</v>
      </c>
      <c r="I95" s="106">
        <v>548155.18655418046</v>
      </c>
    </row>
    <row r="96" spans="1:9" x14ac:dyDescent="0.2">
      <c r="A96" s="102">
        <v>2900000</v>
      </c>
      <c r="B96" s="101">
        <v>21830</v>
      </c>
      <c r="C96" s="101">
        <v>0</v>
      </c>
      <c r="D96" s="101">
        <v>25</v>
      </c>
      <c r="E96" s="101">
        <v>25</v>
      </c>
      <c r="G96" s="106">
        <v>67</v>
      </c>
      <c r="H96" s="106">
        <v>3352146.3529214179</v>
      </c>
      <c r="I96" s="106">
        <v>447853.64707858209</v>
      </c>
    </row>
    <row r="97" spans="1:9" x14ac:dyDescent="0.2">
      <c r="A97" s="102">
        <v>2800000</v>
      </c>
      <c r="B97" s="101">
        <v>22454</v>
      </c>
      <c r="C97" s="101">
        <v>0</v>
      </c>
      <c r="D97" s="101">
        <v>25</v>
      </c>
      <c r="E97" s="101">
        <v>25</v>
      </c>
      <c r="G97" s="106">
        <v>68</v>
      </c>
      <c r="H97" s="106">
        <v>4964925.3682373511</v>
      </c>
      <c r="I97" s="106">
        <v>-1864925.3682373511</v>
      </c>
    </row>
    <row r="98" spans="1:9" x14ac:dyDescent="0.2">
      <c r="A98" s="102">
        <v>2900000</v>
      </c>
      <c r="B98" s="101">
        <v>23078</v>
      </c>
      <c r="C98" s="101">
        <v>0</v>
      </c>
      <c r="D98" s="101">
        <v>25</v>
      </c>
      <c r="E98" s="101">
        <v>25</v>
      </c>
      <c r="G98" s="106">
        <v>69</v>
      </c>
      <c r="H98" s="106">
        <v>949798.72202403285</v>
      </c>
      <c r="I98" s="106">
        <v>-194748.72202403285</v>
      </c>
    </row>
    <row r="99" spans="1:9" x14ac:dyDescent="0.2">
      <c r="A99" s="102">
        <v>1100000</v>
      </c>
      <c r="B99" s="101">
        <v>18500</v>
      </c>
      <c r="C99" s="101">
        <v>0</v>
      </c>
      <c r="D99" s="101">
        <v>16</v>
      </c>
      <c r="E99" s="101">
        <v>16</v>
      </c>
      <c r="G99" s="106">
        <v>70</v>
      </c>
      <c r="H99" s="106">
        <v>719299.96186102217</v>
      </c>
      <c r="I99" s="106">
        <v>383423.03813897783</v>
      </c>
    </row>
    <row r="100" spans="1:9" x14ac:dyDescent="0.2">
      <c r="A100" s="102">
        <v>2050000</v>
      </c>
      <c r="B100" s="101">
        <v>21000</v>
      </c>
      <c r="C100" s="101">
        <v>0</v>
      </c>
      <c r="D100" s="101">
        <v>19</v>
      </c>
      <c r="E100" s="101">
        <v>19</v>
      </c>
      <c r="G100" s="106">
        <v>71</v>
      </c>
      <c r="H100" s="106">
        <v>1027637.8227029438</v>
      </c>
      <c r="I100" s="106">
        <v>46147.177297056187</v>
      </c>
    </row>
    <row r="101" spans="1:9" x14ac:dyDescent="0.2">
      <c r="A101" s="102">
        <v>2260000</v>
      </c>
      <c r="B101" s="101">
        <v>23500</v>
      </c>
      <c r="C101" s="101">
        <v>0</v>
      </c>
      <c r="D101" s="101">
        <v>23</v>
      </c>
      <c r="E101" s="101">
        <v>23</v>
      </c>
      <c r="G101" s="106">
        <v>72</v>
      </c>
      <c r="H101" s="106">
        <v>7530537.0270290682</v>
      </c>
      <c r="I101" s="106">
        <v>-2780537.0270290682</v>
      </c>
    </row>
    <row r="102" spans="1:9" x14ac:dyDescent="0.2">
      <c r="A102" s="102">
        <v>20000000</v>
      </c>
      <c r="B102" s="101">
        <v>22000</v>
      </c>
      <c r="C102" s="101">
        <v>0</v>
      </c>
      <c r="D102" s="101">
        <v>0</v>
      </c>
      <c r="E102" s="101">
        <v>100</v>
      </c>
      <c r="G102" s="106">
        <v>73</v>
      </c>
      <c r="H102" s="106">
        <v>8166885.6513451189</v>
      </c>
      <c r="I102" s="106">
        <v>-3066885.6513451189</v>
      </c>
    </row>
    <row r="103" spans="1:9" x14ac:dyDescent="0.2">
      <c r="A103" s="102">
        <v>18000000</v>
      </c>
      <c r="B103" s="101">
        <v>22000</v>
      </c>
      <c r="C103" s="101">
        <v>0</v>
      </c>
      <c r="D103" s="101">
        <v>1</v>
      </c>
      <c r="E103" s="101">
        <v>95</v>
      </c>
      <c r="G103" s="106">
        <v>74</v>
      </c>
      <c r="H103" s="106">
        <v>9445372.1330333631</v>
      </c>
      <c r="I103" s="106">
        <v>-3945372.1330333631</v>
      </c>
    </row>
    <row r="104" spans="1:9" x14ac:dyDescent="0.2">
      <c r="A104" s="102">
        <v>16000000</v>
      </c>
      <c r="B104" s="101">
        <v>22000</v>
      </c>
      <c r="C104" s="101">
        <v>0</v>
      </c>
      <c r="D104" s="101">
        <v>50</v>
      </c>
      <c r="E104" s="101">
        <v>85</v>
      </c>
      <c r="G104" s="106">
        <v>75</v>
      </c>
      <c r="H104" s="106">
        <v>14347171.140197974</v>
      </c>
      <c r="I104" s="106">
        <v>-3347171.1401979737</v>
      </c>
    </row>
    <row r="105" spans="1:9" x14ac:dyDescent="0.2">
      <c r="A105" s="102">
        <v>386807</v>
      </c>
      <c r="B105" s="101">
        <v>14110</v>
      </c>
      <c r="C105" s="101">
        <v>0</v>
      </c>
      <c r="D105" s="101">
        <v>8</v>
      </c>
      <c r="E105" s="101">
        <v>8</v>
      </c>
      <c r="G105" s="106">
        <v>76</v>
      </c>
      <c r="H105" s="106">
        <v>14212989.245272983</v>
      </c>
      <c r="I105" s="106">
        <v>-3212989.2452729829</v>
      </c>
    </row>
    <row r="106" spans="1:9" x14ac:dyDescent="0.2">
      <c r="A106" s="102">
        <v>734613</v>
      </c>
      <c r="B106" s="101">
        <v>14040</v>
      </c>
      <c r="C106" s="101">
        <v>0</v>
      </c>
      <c r="D106" s="101">
        <v>10</v>
      </c>
      <c r="E106" s="101">
        <v>10</v>
      </c>
      <c r="G106" s="106">
        <v>77</v>
      </c>
      <c r="H106" s="106">
        <v>14904816.383966133</v>
      </c>
      <c r="I106" s="106">
        <v>-3904816.383966133</v>
      </c>
    </row>
    <row r="107" spans="1:9" x14ac:dyDescent="0.2">
      <c r="A107" s="102">
        <v>518842</v>
      </c>
      <c r="B107" s="101">
        <v>14126</v>
      </c>
      <c r="C107" s="101">
        <v>0</v>
      </c>
      <c r="D107" s="101">
        <v>8</v>
      </c>
      <c r="E107" s="101">
        <v>8</v>
      </c>
      <c r="G107" s="106">
        <v>78</v>
      </c>
      <c r="H107" s="106">
        <v>313232.46068064915</v>
      </c>
      <c r="I107" s="106">
        <v>677167.53931935085</v>
      </c>
    </row>
    <row r="108" spans="1:9" x14ac:dyDescent="0.2">
      <c r="A108" s="102">
        <v>14000000</v>
      </c>
      <c r="B108" s="101">
        <v>20384</v>
      </c>
      <c r="C108" s="101">
        <v>0</v>
      </c>
      <c r="D108" s="101">
        <v>50</v>
      </c>
      <c r="E108" s="101">
        <v>135</v>
      </c>
      <c r="G108" s="106">
        <v>79</v>
      </c>
      <c r="H108" s="106">
        <v>1435566.5810277732</v>
      </c>
      <c r="I108" s="106">
        <v>-269466.58102777321</v>
      </c>
    </row>
    <row r="109" spans="1:9" x14ac:dyDescent="0.2">
      <c r="A109" s="102">
        <v>15000000</v>
      </c>
      <c r="B109" s="101">
        <v>20800</v>
      </c>
      <c r="C109" s="101">
        <v>0</v>
      </c>
      <c r="D109" s="101">
        <v>75</v>
      </c>
      <c r="E109" s="101">
        <v>135</v>
      </c>
      <c r="G109" s="106">
        <v>80</v>
      </c>
      <c r="H109" s="106">
        <v>2096903.1810488761</v>
      </c>
      <c r="I109" s="106">
        <v>-281003.18104887614</v>
      </c>
    </row>
    <row r="110" spans="1:9" x14ac:dyDescent="0.2">
      <c r="A110" s="102">
        <v>15500000</v>
      </c>
      <c r="B110" s="101">
        <v>20592</v>
      </c>
      <c r="C110" s="101">
        <v>0</v>
      </c>
      <c r="D110" s="101">
        <v>100</v>
      </c>
      <c r="E110" s="101">
        <v>144</v>
      </c>
      <c r="G110" s="106">
        <v>81</v>
      </c>
      <c r="H110" s="106">
        <v>425365.21780902578</v>
      </c>
      <c r="I110" s="106">
        <v>787112.78219097422</v>
      </c>
    </row>
    <row r="111" spans="1:9" x14ac:dyDescent="0.2">
      <c r="A111" s="102">
        <v>1656000</v>
      </c>
      <c r="B111" s="101">
        <v>19266</v>
      </c>
      <c r="C111" s="101">
        <v>0</v>
      </c>
      <c r="D111" s="101">
        <v>3</v>
      </c>
      <c r="E111" s="101">
        <v>13</v>
      </c>
      <c r="G111" s="106">
        <v>82</v>
      </c>
      <c r="H111" s="106">
        <v>925778.57578068064</v>
      </c>
      <c r="I111" s="106">
        <v>233843.42421931936</v>
      </c>
    </row>
    <row r="112" spans="1:9" x14ac:dyDescent="0.2">
      <c r="A112" s="102">
        <v>1527000</v>
      </c>
      <c r="B112" s="101">
        <v>20867</v>
      </c>
      <c r="C112" s="101">
        <v>0</v>
      </c>
      <c r="D112" s="101">
        <v>2</v>
      </c>
      <c r="E112" s="101">
        <v>11</v>
      </c>
      <c r="G112" s="106">
        <v>83</v>
      </c>
      <c r="H112" s="106">
        <v>1361205.1419046859</v>
      </c>
      <c r="I112" s="106">
        <v>250964.85809531412</v>
      </c>
    </row>
    <row r="113" spans="1:9" x14ac:dyDescent="0.2">
      <c r="A113" s="102">
        <v>1454000</v>
      </c>
      <c r="B113" s="101">
        <v>25154</v>
      </c>
      <c r="C113" s="101">
        <v>0</v>
      </c>
      <c r="D113" s="101">
        <v>2</v>
      </c>
      <c r="E113" s="101">
        <v>13</v>
      </c>
      <c r="G113" s="106">
        <v>84</v>
      </c>
      <c r="H113" s="106">
        <v>11825631.223913103</v>
      </c>
      <c r="I113" s="106">
        <v>374368.77608689666</v>
      </c>
    </row>
    <row r="114" spans="1:9" x14ac:dyDescent="0.2">
      <c r="A114" s="102">
        <v>2100000</v>
      </c>
      <c r="B114" s="101">
        <v>25500</v>
      </c>
      <c r="C114" s="101">
        <v>0</v>
      </c>
      <c r="D114" s="101">
        <v>30</v>
      </c>
      <c r="E114" s="101">
        <v>30</v>
      </c>
      <c r="G114" s="106">
        <v>85</v>
      </c>
      <c r="H114" s="106">
        <v>13504162.455427658</v>
      </c>
      <c r="I114" s="106">
        <v>-1504162.4554276578</v>
      </c>
    </row>
    <row r="115" spans="1:9" x14ac:dyDescent="0.2">
      <c r="A115" s="102">
        <v>2252000</v>
      </c>
      <c r="B115" s="101">
        <v>26000</v>
      </c>
      <c r="C115" s="101">
        <v>0</v>
      </c>
      <c r="D115" s="101">
        <v>27</v>
      </c>
      <c r="E115" s="101">
        <v>27</v>
      </c>
      <c r="G115" s="106">
        <v>86</v>
      </c>
      <c r="H115" s="106">
        <v>3729834.8272898123</v>
      </c>
      <c r="I115" s="106">
        <v>-2079003.8272898123</v>
      </c>
    </row>
    <row r="116" spans="1:9" x14ac:dyDescent="0.2">
      <c r="A116" s="102">
        <v>1866064</v>
      </c>
      <c r="B116" s="101">
        <v>28000</v>
      </c>
      <c r="C116" s="101">
        <v>0</v>
      </c>
      <c r="D116" s="101">
        <v>24</v>
      </c>
      <c r="E116" s="101">
        <v>24</v>
      </c>
      <c r="G116" s="106">
        <v>87</v>
      </c>
      <c r="H116" s="106">
        <v>4690707.8812595084</v>
      </c>
      <c r="I116" s="106">
        <v>-2872746.8812595084</v>
      </c>
    </row>
    <row r="117" spans="1:9" x14ac:dyDescent="0.2">
      <c r="A117" s="102">
        <v>1950000</v>
      </c>
      <c r="B117" s="101">
        <v>16000</v>
      </c>
      <c r="C117" s="101">
        <v>0</v>
      </c>
      <c r="D117" s="101">
        <v>14</v>
      </c>
      <c r="E117" s="101">
        <v>14</v>
      </c>
      <c r="G117" s="106">
        <v>88</v>
      </c>
      <c r="H117" s="106">
        <v>5348443.9602293288</v>
      </c>
      <c r="I117" s="106">
        <v>-3706002.9602293288</v>
      </c>
    </row>
    <row r="118" spans="1:9" x14ac:dyDescent="0.2">
      <c r="A118" s="102">
        <v>1850000</v>
      </c>
      <c r="B118" s="101">
        <v>17000</v>
      </c>
      <c r="C118" s="101">
        <v>0</v>
      </c>
      <c r="D118" s="101">
        <v>13</v>
      </c>
      <c r="E118" s="101">
        <v>13</v>
      </c>
      <c r="G118" s="106">
        <v>89</v>
      </c>
      <c r="H118" s="106">
        <v>5605013.4459861368</v>
      </c>
      <c r="I118" s="106">
        <v>1394986.5540138632</v>
      </c>
    </row>
    <row r="119" spans="1:9" x14ac:dyDescent="0.2">
      <c r="A119" s="102">
        <v>1550000</v>
      </c>
      <c r="B119" s="101">
        <v>18000</v>
      </c>
      <c r="C119" s="101">
        <v>0</v>
      </c>
      <c r="D119" s="101">
        <v>12</v>
      </c>
      <c r="E119" s="101">
        <v>12</v>
      </c>
      <c r="G119" s="106">
        <v>90</v>
      </c>
      <c r="H119" s="106">
        <v>6381599.4260887457</v>
      </c>
      <c r="I119" s="106">
        <v>2118400.5739112543</v>
      </c>
    </row>
    <row r="120" spans="1:9" x14ac:dyDescent="0.2">
      <c r="A120" s="102">
        <v>1000000</v>
      </c>
      <c r="B120" s="101">
        <v>29120</v>
      </c>
      <c r="C120" s="101">
        <v>0</v>
      </c>
      <c r="D120" s="101">
        <v>2</v>
      </c>
      <c r="E120" s="101">
        <v>12</v>
      </c>
      <c r="G120" s="106">
        <v>91</v>
      </c>
      <c r="H120" s="106">
        <v>7158185.4061913528</v>
      </c>
      <c r="I120" s="106">
        <v>3841814.5938086472</v>
      </c>
    </row>
    <row r="121" spans="1:9" x14ac:dyDescent="0.2">
      <c r="A121" s="102">
        <v>1200000</v>
      </c>
      <c r="B121" s="101">
        <v>29120</v>
      </c>
      <c r="C121" s="101">
        <v>0</v>
      </c>
      <c r="D121" s="101">
        <v>4</v>
      </c>
      <c r="E121" s="101">
        <v>14</v>
      </c>
      <c r="G121" s="106">
        <v>92</v>
      </c>
      <c r="H121" s="106">
        <v>2923327.17949954</v>
      </c>
      <c r="I121" s="106">
        <v>1676672.82050046</v>
      </c>
    </row>
    <row r="122" spans="1:9" x14ac:dyDescent="0.2">
      <c r="A122" s="102">
        <v>2873000</v>
      </c>
      <c r="B122" s="101">
        <v>19762</v>
      </c>
      <c r="C122" s="101">
        <v>0</v>
      </c>
      <c r="D122" s="101">
        <v>14</v>
      </c>
      <c r="E122" s="101">
        <v>27</v>
      </c>
      <c r="G122" s="106">
        <v>93</v>
      </c>
      <c r="H122" s="106">
        <v>3177628.4821439642</v>
      </c>
      <c r="I122" s="106">
        <v>1722371.5178560358</v>
      </c>
    </row>
    <row r="123" spans="1:9" x14ac:dyDescent="0.2">
      <c r="A123" s="102">
        <v>6097000</v>
      </c>
      <c r="B123" s="101">
        <v>21120</v>
      </c>
      <c r="C123" s="101">
        <v>0</v>
      </c>
      <c r="D123" s="101">
        <v>5</v>
      </c>
      <c r="E123" s="101">
        <v>61</v>
      </c>
      <c r="G123" s="106">
        <v>94</v>
      </c>
      <c r="H123" s="106">
        <v>3846976.5111721763</v>
      </c>
      <c r="I123" s="106">
        <v>1753023.4888278237</v>
      </c>
    </row>
    <row r="124" spans="1:9" x14ac:dyDescent="0.2">
      <c r="A124" s="102">
        <v>5670000</v>
      </c>
      <c r="B124" s="101">
        <v>22360</v>
      </c>
      <c r="C124" s="101">
        <v>0</v>
      </c>
      <c r="D124" s="101">
        <v>9</v>
      </c>
      <c r="E124" s="101">
        <v>52</v>
      </c>
      <c r="G124" s="106">
        <v>95</v>
      </c>
      <c r="H124" s="106">
        <v>4073597.3020172152</v>
      </c>
      <c r="I124" s="106">
        <v>-1173597.3020172152</v>
      </c>
    </row>
    <row r="125" spans="1:9" x14ac:dyDescent="0.2">
      <c r="A125" s="102">
        <v>2213235</v>
      </c>
      <c r="B125" s="101">
        <v>20004</v>
      </c>
      <c r="C125" s="101">
        <v>0</v>
      </c>
      <c r="D125" s="101">
        <v>24</v>
      </c>
      <c r="E125" s="101">
        <v>24</v>
      </c>
      <c r="G125" s="106">
        <v>96</v>
      </c>
      <c r="H125" s="106">
        <v>4193800.7498342642</v>
      </c>
      <c r="I125" s="106">
        <v>-1393800.7498342642</v>
      </c>
    </row>
    <row r="126" spans="1:9" x14ac:dyDescent="0.2">
      <c r="A126" s="102">
        <v>2100943</v>
      </c>
      <c r="B126" s="101">
        <v>19078</v>
      </c>
      <c r="C126" s="101">
        <v>0</v>
      </c>
      <c r="D126" s="101">
        <v>20</v>
      </c>
      <c r="E126" s="101">
        <v>20</v>
      </c>
      <c r="G126" s="106">
        <v>97</v>
      </c>
      <c r="H126" s="106">
        <v>4314004.1976513136</v>
      </c>
      <c r="I126" s="106">
        <v>-1414004.1976513136</v>
      </c>
    </row>
    <row r="127" spans="1:9" x14ac:dyDescent="0.2">
      <c r="A127" s="102">
        <v>2174049</v>
      </c>
      <c r="B127" s="101">
        <v>21099</v>
      </c>
      <c r="C127" s="101">
        <v>0</v>
      </c>
      <c r="D127" s="101">
        <v>20</v>
      </c>
      <c r="E127" s="101">
        <v>20</v>
      </c>
      <c r="G127" s="106">
        <v>98</v>
      </c>
      <c r="H127" s="106">
        <v>2394882.5587984533</v>
      </c>
      <c r="I127" s="106">
        <v>-1294882.5587984533</v>
      </c>
    </row>
    <row r="128" spans="1:9" x14ac:dyDescent="0.2">
      <c r="A128" s="102">
        <v>2100000</v>
      </c>
      <c r="B128" s="101">
        <v>16640</v>
      </c>
      <c r="C128" s="101">
        <v>0</v>
      </c>
      <c r="D128" s="101">
        <v>0</v>
      </c>
      <c r="E128" s="101">
        <v>6</v>
      </c>
      <c r="G128" s="106">
        <v>99</v>
      </c>
      <c r="H128" s="106">
        <v>3222215.0252330699</v>
      </c>
      <c r="I128" s="106">
        <v>-1172215.0252330699</v>
      </c>
    </row>
    <row r="129" spans="1:9" x14ac:dyDescent="0.2">
      <c r="A129" s="102">
        <v>1800000</v>
      </c>
      <c r="B129" s="101">
        <v>18720</v>
      </c>
      <c r="C129" s="101">
        <v>0</v>
      </c>
      <c r="D129" s="101">
        <v>2</v>
      </c>
      <c r="E129" s="101">
        <v>7</v>
      </c>
      <c r="G129" s="106">
        <v>100</v>
      </c>
      <c r="H129" s="106">
        <v>4164796.8717491915</v>
      </c>
      <c r="I129" s="106">
        <v>-1904796.8717491915</v>
      </c>
    </row>
    <row r="130" spans="1:9" x14ac:dyDescent="0.2">
      <c r="A130" s="102">
        <v>1600000</v>
      </c>
      <c r="B130" s="101">
        <v>20800</v>
      </c>
      <c r="C130" s="101">
        <v>0</v>
      </c>
      <c r="D130" s="101">
        <v>0</v>
      </c>
      <c r="E130" s="101">
        <v>6</v>
      </c>
      <c r="G130" s="106">
        <v>101</v>
      </c>
      <c r="H130" s="106">
        <v>10070958.14665499</v>
      </c>
      <c r="I130" s="106">
        <v>9929041.8533450104</v>
      </c>
    </row>
    <row r="131" spans="1:9" x14ac:dyDescent="0.2">
      <c r="A131" s="102">
        <v>2200000</v>
      </c>
      <c r="B131" s="101">
        <v>10712</v>
      </c>
      <c r="C131" s="101">
        <v>0</v>
      </c>
      <c r="D131" s="101">
        <v>26</v>
      </c>
      <c r="E131" s="101">
        <v>26</v>
      </c>
      <c r="G131" s="106">
        <v>102</v>
      </c>
      <c r="H131" s="106">
        <v>9655456.6699868273</v>
      </c>
      <c r="I131" s="106">
        <v>8344543.3300131727</v>
      </c>
    </row>
    <row r="132" spans="1:9" x14ac:dyDescent="0.2">
      <c r="A132" s="102">
        <v>1800000</v>
      </c>
      <c r="B132" s="101">
        <v>10940</v>
      </c>
      <c r="C132" s="101">
        <v>0</v>
      </c>
      <c r="D132" s="101">
        <v>24</v>
      </c>
      <c r="E132" s="101">
        <v>24</v>
      </c>
      <c r="G132" s="106">
        <v>103</v>
      </c>
      <c r="H132" s="106">
        <v>10083626.202608842</v>
      </c>
      <c r="I132" s="106">
        <v>5916373.7973911576</v>
      </c>
    </row>
    <row r="133" spans="1:9" x14ac:dyDescent="0.2">
      <c r="A133" s="102">
        <v>1700000</v>
      </c>
      <c r="B133" s="101">
        <v>11148</v>
      </c>
      <c r="C133" s="101">
        <v>0</v>
      </c>
      <c r="D133" s="101">
        <v>21</v>
      </c>
      <c r="E133" s="101">
        <v>21</v>
      </c>
      <c r="G133" s="106">
        <v>104</v>
      </c>
      <c r="H133" s="106">
        <v>627225.44135659467</v>
      </c>
      <c r="I133" s="106">
        <v>-240418.44135659467</v>
      </c>
    </row>
    <row r="134" spans="1:9" x14ac:dyDescent="0.2">
      <c r="A134" s="102">
        <v>1100000</v>
      </c>
      <c r="B134" s="101">
        <v>20000</v>
      </c>
      <c r="C134" s="101">
        <v>0</v>
      </c>
      <c r="D134" s="101">
        <v>1</v>
      </c>
      <c r="E134" s="101">
        <v>12</v>
      </c>
      <c r="G134" s="106">
        <v>105</v>
      </c>
      <c r="H134" s="106">
        <v>844239.84038628219</v>
      </c>
      <c r="I134" s="106">
        <v>-109626.84038628219</v>
      </c>
    </row>
    <row r="135" spans="1:9" x14ac:dyDescent="0.2">
      <c r="A135" s="102">
        <v>4200000</v>
      </c>
      <c r="B135" s="101">
        <v>12400</v>
      </c>
      <c r="C135" s="101">
        <v>0</v>
      </c>
      <c r="D135" s="101">
        <v>0</v>
      </c>
      <c r="E135" s="101">
        <v>70</v>
      </c>
      <c r="G135" s="106">
        <v>106</v>
      </c>
      <c r="H135" s="106">
        <v>630307.58104421152</v>
      </c>
      <c r="I135" s="106">
        <v>-111465.58104421152</v>
      </c>
    </row>
    <row r="136" spans="1:9" x14ac:dyDescent="0.2">
      <c r="A136" s="102">
        <v>3740000</v>
      </c>
      <c r="B136" s="101">
        <v>13400</v>
      </c>
      <c r="C136" s="101">
        <v>1</v>
      </c>
      <c r="D136" s="101">
        <v>10</v>
      </c>
      <c r="E136" s="101">
        <v>50</v>
      </c>
      <c r="G136" s="106">
        <v>107</v>
      </c>
      <c r="H136" s="106">
        <v>14195253.9004068</v>
      </c>
      <c r="I136" s="106">
        <v>-195253.90040680021</v>
      </c>
    </row>
    <row r="137" spans="1:9" x14ac:dyDescent="0.2">
      <c r="A137" s="102">
        <v>2040000</v>
      </c>
      <c r="B137" s="101">
        <v>14000</v>
      </c>
      <c r="C137" s="101">
        <v>0</v>
      </c>
      <c r="D137" s="101">
        <v>5</v>
      </c>
      <c r="E137" s="101">
        <v>30</v>
      </c>
      <c r="G137" s="106">
        <v>108</v>
      </c>
      <c r="H137" s="106">
        <v>14945162.131198846</v>
      </c>
      <c r="I137" s="106">
        <v>54837.868801154196</v>
      </c>
    </row>
    <row r="138" spans="1:9" x14ac:dyDescent="0.2">
      <c r="A138" s="102">
        <v>750000</v>
      </c>
      <c r="B138" s="101">
        <v>14560</v>
      </c>
      <c r="C138" s="101">
        <v>0</v>
      </c>
      <c r="D138" s="101">
        <v>2</v>
      </c>
      <c r="E138" s="101">
        <v>20</v>
      </c>
      <c r="G138" s="106">
        <v>109</v>
      </c>
      <c r="H138" s="106">
        <v>16370993.199298345</v>
      </c>
      <c r="I138" s="106">
        <v>-870993.19929834455</v>
      </c>
    </row>
    <row r="139" spans="1:9" x14ac:dyDescent="0.2">
      <c r="A139" s="102">
        <v>800000</v>
      </c>
      <c r="B139" s="101">
        <v>16640</v>
      </c>
      <c r="C139" s="101">
        <v>1</v>
      </c>
      <c r="D139" s="101">
        <v>3</v>
      </c>
      <c r="E139" s="101">
        <v>18</v>
      </c>
      <c r="G139" s="106">
        <v>110</v>
      </c>
      <c r="H139" s="106">
        <v>1928782.8165329797</v>
      </c>
      <c r="I139" s="106">
        <v>-272782.81653297972</v>
      </c>
    </row>
    <row r="140" spans="1:9" x14ac:dyDescent="0.2">
      <c r="A140" s="102">
        <v>950000</v>
      </c>
      <c r="B140" s="101">
        <v>17680</v>
      </c>
      <c r="C140" s="101">
        <v>0</v>
      </c>
      <c r="D140" s="101">
        <v>3</v>
      </c>
      <c r="E140" s="101">
        <v>20</v>
      </c>
      <c r="G140" s="106">
        <v>111</v>
      </c>
      <c r="H140" s="106">
        <v>2033481.5628186697</v>
      </c>
      <c r="I140" s="106">
        <v>-506481.56281866971</v>
      </c>
    </row>
    <row r="141" spans="1:9" x14ac:dyDescent="0.2">
      <c r="A141" s="102">
        <v>6802180</v>
      </c>
      <c r="B141" s="101">
        <v>13478</v>
      </c>
      <c r="C141" s="101">
        <v>0</v>
      </c>
      <c r="D141" s="101">
        <v>2</v>
      </c>
      <c r="E141" s="101">
        <v>9</v>
      </c>
      <c r="G141" s="106">
        <v>112</v>
      </c>
      <c r="H141" s="106">
        <v>3036219.3176193442</v>
      </c>
      <c r="I141" s="106">
        <v>-1582219.3176193442</v>
      </c>
    </row>
    <row r="142" spans="1:9" x14ac:dyDescent="0.2">
      <c r="A142" s="102">
        <v>936477</v>
      </c>
      <c r="B142" s="101">
        <v>14269</v>
      </c>
      <c r="C142" s="101">
        <v>1</v>
      </c>
      <c r="D142" s="101">
        <v>7</v>
      </c>
      <c r="E142" s="101">
        <v>12</v>
      </c>
      <c r="G142" s="106">
        <v>113</v>
      </c>
      <c r="H142" s="106">
        <v>5356809.9932718091</v>
      </c>
      <c r="I142" s="106">
        <v>-3256809.9932718091</v>
      </c>
    </row>
    <row r="143" spans="1:9" x14ac:dyDescent="0.2">
      <c r="A143" s="102">
        <v>1437883</v>
      </c>
      <c r="B143" s="101">
        <v>15558</v>
      </c>
      <c r="C143" s="101">
        <v>0</v>
      </c>
      <c r="D143" s="101">
        <v>5</v>
      </c>
      <c r="E143" s="101">
        <v>17</v>
      </c>
      <c r="G143" s="106">
        <v>114</v>
      </c>
      <c r="H143" s="106">
        <v>5107378.7182653127</v>
      </c>
      <c r="I143" s="106">
        <v>-2855378.7182653127</v>
      </c>
    </row>
    <row r="144" spans="1:9" x14ac:dyDescent="0.2">
      <c r="A144" s="102">
        <v>1850000</v>
      </c>
      <c r="B144" s="101">
        <v>12500</v>
      </c>
      <c r="C144" s="101">
        <v>0</v>
      </c>
      <c r="D144" s="101">
        <v>0</v>
      </c>
      <c r="E144" s="101">
        <v>11</v>
      </c>
      <c r="G144" s="106">
        <v>115</v>
      </c>
      <c r="H144" s="106">
        <v>5146898.0389728779</v>
      </c>
      <c r="I144" s="106">
        <v>-3280834.0389728779</v>
      </c>
    </row>
    <row r="145" spans="1:9" x14ac:dyDescent="0.2">
      <c r="A145" s="102">
        <v>2078000</v>
      </c>
      <c r="B145" s="101">
        <v>13100</v>
      </c>
      <c r="C145" s="101">
        <v>1</v>
      </c>
      <c r="D145" s="101">
        <v>2</v>
      </c>
      <c r="E145" s="101">
        <v>13</v>
      </c>
      <c r="G145" s="106">
        <v>116</v>
      </c>
      <c r="H145" s="106">
        <v>1682799.472445342</v>
      </c>
      <c r="I145" s="106">
        <v>267200.52755465801</v>
      </c>
    </row>
    <row r="146" spans="1:9" x14ac:dyDescent="0.2">
      <c r="A146" s="102">
        <v>2040000</v>
      </c>
      <c r="B146" s="101">
        <v>13800</v>
      </c>
      <c r="C146" s="101">
        <v>0</v>
      </c>
      <c r="D146" s="101">
        <v>2</v>
      </c>
      <c r="E146" s="101">
        <v>13</v>
      </c>
      <c r="G146" s="106">
        <v>117</v>
      </c>
      <c r="H146" s="106">
        <v>1760183.8228398773</v>
      </c>
      <c r="I146" s="106">
        <v>89816.177160122665</v>
      </c>
    </row>
    <row r="147" spans="1:9" x14ac:dyDescent="0.2">
      <c r="A147" s="102">
        <v>5500000</v>
      </c>
      <c r="B147" s="101">
        <v>10400</v>
      </c>
      <c r="C147" s="101">
        <v>0</v>
      </c>
      <c r="D147" s="101">
        <v>0</v>
      </c>
      <c r="E147" s="101">
        <v>40</v>
      </c>
      <c r="G147" s="106">
        <v>118</v>
      </c>
      <c r="H147" s="106">
        <v>1837568.1732344124</v>
      </c>
      <c r="I147" s="106">
        <v>-287568.17323441245</v>
      </c>
    </row>
    <row r="148" spans="1:9" x14ac:dyDescent="0.2">
      <c r="A148" s="102">
        <v>6000000</v>
      </c>
      <c r="B148" s="101">
        <v>10400</v>
      </c>
      <c r="C148" s="101">
        <v>1</v>
      </c>
      <c r="D148" s="101">
        <v>57</v>
      </c>
      <c r="E148" s="101">
        <v>60</v>
      </c>
      <c r="G148" s="106">
        <v>119</v>
      </c>
      <c r="H148" s="106">
        <v>3711746.2165623745</v>
      </c>
      <c r="I148" s="106">
        <v>-2711746.2165623745</v>
      </c>
    </row>
    <row r="149" spans="1:9" x14ac:dyDescent="0.2">
      <c r="A149" s="102">
        <v>7000000</v>
      </c>
      <c r="B149" s="101">
        <v>11020</v>
      </c>
      <c r="C149" s="101">
        <v>0</v>
      </c>
      <c r="D149" s="101">
        <v>10</v>
      </c>
      <c r="E149" s="101">
        <v>100</v>
      </c>
      <c r="G149" s="106">
        <v>120</v>
      </c>
      <c r="H149" s="106">
        <v>3942244.9767253851</v>
      </c>
      <c r="I149" s="106">
        <v>-2742244.9767253851</v>
      </c>
    </row>
    <row r="150" spans="1:9" x14ac:dyDescent="0.2">
      <c r="A150" s="102">
        <v>1269000</v>
      </c>
      <c r="B150" s="101">
        <v>14000</v>
      </c>
      <c r="C150" s="101">
        <v>0</v>
      </c>
      <c r="D150" s="101">
        <v>0</v>
      </c>
      <c r="E150" s="101">
        <v>30</v>
      </c>
      <c r="G150" s="106">
        <v>121</v>
      </c>
      <c r="H150" s="106">
        <v>3557447.756120488</v>
      </c>
      <c r="I150" s="106">
        <v>-684447.75612048805</v>
      </c>
    </row>
    <row r="151" spans="1:9" x14ac:dyDescent="0.2">
      <c r="A151" s="102">
        <v>1681000</v>
      </c>
      <c r="B151" s="101">
        <v>14500</v>
      </c>
      <c r="C151" s="101">
        <v>1</v>
      </c>
      <c r="D151" s="101">
        <v>24</v>
      </c>
      <c r="E151" s="101">
        <v>30</v>
      </c>
      <c r="G151" s="106">
        <v>122</v>
      </c>
      <c r="H151" s="106">
        <v>6585514.4147460302</v>
      </c>
      <c r="I151" s="106">
        <v>-488514.41474603023</v>
      </c>
    </row>
    <row r="152" spans="1:9" x14ac:dyDescent="0.2">
      <c r="A152" s="102">
        <v>1814000</v>
      </c>
      <c r="B152" s="101">
        <v>15000</v>
      </c>
      <c r="C152" s="101">
        <v>0</v>
      </c>
      <c r="D152" s="101">
        <v>0</v>
      </c>
      <c r="E152" s="101">
        <v>31</v>
      </c>
      <c r="G152" s="106">
        <v>123</v>
      </c>
      <c r="H152" s="106">
        <v>6135417.5712380596</v>
      </c>
      <c r="I152" s="106">
        <v>-465417.57123805955</v>
      </c>
    </row>
    <row r="153" spans="1:9" x14ac:dyDescent="0.2">
      <c r="A153" s="102">
        <v>2000000</v>
      </c>
      <c r="B153" s="101">
        <v>18000</v>
      </c>
      <c r="C153" s="101">
        <v>0</v>
      </c>
      <c r="D153" s="101">
        <v>2</v>
      </c>
      <c r="E153" s="101">
        <v>15</v>
      </c>
      <c r="G153" s="106">
        <v>124</v>
      </c>
      <c r="H153" s="106">
        <v>3606598.7300864602</v>
      </c>
      <c r="I153" s="106">
        <v>-1393363.7300864602</v>
      </c>
    </row>
    <row r="154" spans="1:9" x14ac:dyDescent="0.2">
      <c r="A154" s="102">
        <v>2500000</v>
      </c>
      <c r="B154" s="101">
        <v>20000</v>
      </c>
      <c r="C154" s="101">
        <v>0</v>
      </c>
      <c r="D154" s="101">
        <v>3</v>
      </c>
      <c r="E154" s="101">
        <v>15</v>
      </c>
      <c r="G154" s="106">
        <v>125</v>
      </c>
      <c r="H154" s="106">
        <v>2967222.3753396254</v>
      </c>
      <c r="I154" s="106">
        <v>-866279.3753396254</v>
      </c>
    </row>
    <row r="155" spans="1:9" x14ac:dyDescent="0.2">
      <c r="A155" s="102">
        <v>3500000</v>
      </c>
      <c r="B155" s="101">
        <v>22000</v>
      </c>
      <c r="C155" s="101">
        <v>0</v>
      </c>
      <c r="D155" s="101">
        <v>15</v>
      </c>
      <c r="E155" s="101">
        <v>15</v>
      </c>
      <c r="G155" s="106">
        <v>126</v>
      </c>
      <c r="H155" s="106">
        <v>3356535.1446317034</v>
      </c>
      <c r="I155" s="106">
        <v>-1182486.1446317034</v>
      </c>
    </row>
    <row r="156" spans="1:9" x14ac:dyDescent="0.2">
      <c r="A156" s="102">
        <v>400000</v>
      </c>
      <c r="B156" s="101">
        <v>25861</v>
      </c>
      <c r="C156" s="101">
        <v>0</v>
      </c>
      <c r="D156" s="101">
        <v>0</v>
      </c>
      <c r="E156" s="101">
        <v>6</v>
      </c>
      <c r="G156" s="106">
        <v>127</v>
      </c>
      <c r="H156" s="106">
        <v>723344.59555860294</v>
      </c>
      <c r="I156" s="106">
        <v>1376655.4044413972</v>
      </c>
    </row>
    <row r="157" spans="1:9" x14ac:dyDescent="0.2">
      <c r="A157" s="102">
        <v>500000</v>
      </c>
      <c r="B157" s="101">
        <v>25168</v>
      </c>
      <c r="C157" s="101">
        <v>1</v>
      </c>
      <c r="D157" s="101">
        <v>5</v>
      </c>
      <c r="E157" s="101">
        <v>5</v>
      </c>
      <c r="G157" s="106">
        <v>128</v>
      </c>
      <c r="H157" s="106">
        <v>1266063.0389868324</v>
      </c>
      <c r="I157" s="106">
        <v>533936.96101316763</v>
      </c>
    </row>
    <row r="158" spans="1:9" x14ac:dyDescent="0.2">
      <c r="A158" s="102">
        <v>600000</v>
      </c>
      <c r="B158" s="101">
        <v>23625</v>
      </c>
      <c r="C158" s="101">
        <v>0</v>
      </c>
      <c r="D158" s="101">
        <v>0</v>
      </c>
      <c r="E158" s="101">
        <v>7</v>
      </c>
      <c r="G158" s="106">
        <v>129</v>
      </c>
      <c r="H158" s="106">
        <v>1524700.91433893</v>
      </c>
      <c r="I158" s="106">
        <v>75299.085661069956</v>
      </c>
    </row>
    <row r="159" spans="1:9" x14ac:dyDescent="0.2">
      <c r="A159" s="102">
        <v>3330457</v>
      </c>
      <c r="B159" s="101">
        <v>11500</v>
      </c>
      <c r="C159" s="101">
        <v>0</v>
      </c>
      <c r="D159" s="101">
        <v>3</v>
      </c>
      <c r="E159" s="101">
        <v>60</v>
      </c>
      <c r="G159" s="106">
        <v>130</v>
      </c>
      <c r="H159" s="106">
        <v>2047144.8666661051</v>
      </c>
      <c r="I159" s="106">
        <v>152855.13333389489</v>
      </c>
    </row>
    <row r="160" spans="1:9" x14ac:dyDescent="0.2">
      <c r="A160" s="102">
        <v>3765312</v>
      </c>
      <c r="B160" s="101">
        <v>12500</v>
      </c>
      <c r="C160" s="101">
        <v>1</v>
      </c>
      <c r="D160" s="101">
        <v>3</v>
      </c>
      <c r="E160" s="101">
        <v>65</v>
      </c>
      <c r="G160" s="106">
        <v>131</v>
      </c>
      <c r="H160" s="106">
        <v>1860566.5970516317</v>
      </c>
      <c r="I160" s="106">
        <v>-60566.597051631659</v>
      </c>
    </row>
    <row r="161" spans="1:9" x14ac:dyDescent="0.2">
      <c r="A161" s="102">
        <v>3533090</v>
      </c>
      <c r="B161" s="101">
        <v>13200</v>
      </c>
      <c r="C161" s="101">
        <v>0</v>
      </c>
      <c r="D161" s="101">
        <v>0</v>
      </c>
      <c r="E161" s="101">
        <v>56</v>
      </c>
      <c r="G161" s="106">
        <v>132</v>
      </c>
      <c r="H161" s="106">
        <v>1554886.272746132</v>
      </c>
      <c r="I161" s="106">
        <v>145113.72725386801</v>
      </c>
    </row>
    <row r="162" spans="1:9" x14ac:dyDescent="0.2">
      <c r="A162" s="102">
        <v>26900000</v>
      </c>
      <c r="B162" s="101">
        <v>15038</v>
      </c>
      <c r="C162" s="101">
        <v>0</v>
      </c>
      <c r="D162" s="101">
        <v>150</v>
      </c>
      <c r="E162" s="101">
        <v>259</v>
      </c>
      <c r="G162" s="106">
        <v>133</v>
      </c>
      <c r="H162" s="106">
        <v>1928135.6906643275</v>
      </c>
      <c r="I162" s="106">
        <v>-828135.69066432747</v>
      </c>
    </row>
    <row r="163" spans="1:9" x14ac:dyDescent="0.2">
      <c r="A163" s="102">
        <v>32200000</v>
      </c>
      <c r="B163" s="101">
        <v>15434</v>
      </c>
      <c r="C163" s="101">
        <v>1</v>
      </c>
      <c r="D163" s="101">
        <v>244</v>
      </c>
      <c r="E163" s="101">
        <v>331</v>
      </c>
      <c r="G163" s="106">
        <v>134</v>
      </c>
      <c r="H163" s="106">
        <v>5567920.0503366599</v>
      </c>
      <c r="I163" s="106">
        <v>-1367920.0503366599</v>
      </c>
    </row>
    <row r="164" spans="1:9" x14ac:dyDescent="0.2">
      <c r="A164" s="102">
        <v>31000000</v>
      </c>
      <c r="B164" s="101">
        <v>16307</v>
      </c>
      <c r="C164" s="101">
        <v>0</v>
      </c>
      <c r="D164" s="101">
        <v>180</v>
      </c>
      <c r="E164" s="101">
        <v>321</v>
      </c>
      <c r="G164" s="106">
        <v>135</v>
      </c>
      <c r="H164" s="106">
        <v>3524978.2899568118</v>
      </c>
      <c r="I164" s="106">
        <v>215021.71004318818</v>
      </c>
    </row>
    <row r="165" spans="1:9" x14ac:dyDescent="0.2">
      <c r="A165" s="102">
        <v>3870000</v>
      </c>
      <c r="B165" s="101">
        <v>19968</v>
      </c>
      <c r="C165" s="101">
        <v>0</v>
      </c>
      <c r="D165" s="101">
        <v>20</v>
      </c>
      <c r="E165" s="101">
        <v>60</v>
      </c>
      <c r="G165" s="106">
        <v>136</v>
      </c>
      <c r="H165" s="106">
        <v>2471749.4938833346</v>
      </c>
      <c r="I165" s="106">
        <v>-431749.49388333457</v>
      </c>
    </row>
    <row r="166" spans="1:9" x14ac:dyDescent="0.2">
      <c r="A166" s="102">
        <v>3882000</v>
      </c>
      <c r="B166" s="101">
        <v>20800</v>
      </c>
      <c r="C166" s="101">
        <v>1</v>
      </c>
      <c r="D166" s="101">
        <v>41</v>
      </c>
      <c r="E166" s="101">
        <v>70</v>
      </c>
      <c r="G166" s="106">
        <v>137</v>
      </c>
      <c r="H166" s="106">
        <v>1614666.9098307877</v>
      </c>
      <c r="I166" s="106">
        <v>-864666.90983078768</v>
      </c>
    </row>
    <row r="167" spans="1:9" x14ac:dyDescent="0.2">
      <c r="A167" s="102">
        <v>5330000</v>
      </c>
      <c r="B167" s="101">
        <v>21840</v>
      </c>
      <c r="C167" s="101">
        <v>0</v>
      </c>
      <c r="D167" s="101">
        <v>20</v>
      </c>
      <c r="E167" s="101">
        <v>70</v>
      </c>
      <c r="G167" s="106">
        <v>138</v>
      </c>
      <c r="H167" s="106">
        <v>1130904.0130050257</v>
      </c>
      <c r="I167" s="106">
        <v>-330904.01300502568</v>
      </c>
    </row>
    <row r="168" spans="1:9" x14ac:dyDescent="0.2">
      <c r="A168" s="102">
        <v>26000000</v>
      </c>
      <c r="B168" s="101">
        <v>20000</v>
      </c>
      <c r="C168" s="101">
        <v>0</v>
      </c>
      <c r="D168" s="101">
        <v>0</v>
      </c>
      <c r="E168" s="101">
        <v>125</v>
      </c>
      <c r="G168" s="106">
        <v>139</v>
      </c>
      <c r="H168" s="106">
        <v>2242475.0528725935</v>
      </c>
      <c r="I168" s="106">
        <v>-1292475.0528725935</v>
      </c>
    </row>
    <row r="169" spans="1:9" x14ac:dyDescent="0.2">
      <c r="A169" s="102">
        <v>36000000</v>
      </c>
      <c r="B169" s="101">
        <v>20000</v>
      </c>
      <c r="C169" s="101">
        <v>1</v>
      </c>
      <c r="D169" s="101">
        <v>120</v>
      </c>
      <c r="E169" s="101">
        <v>120</v>
      </c>
      <c r="G169" s="106">
        <v>140</v>
      </c>
      <c r="H169" s="106">
        <v>433193.97608131904</v>
      </c>
      <c r="I169" s="106">
        <v>6368986.0239186808</v>
      </c>
    </row>
    <row r="170" spans="1:9" x14ac:dyDescent="0.2">
      <c r="A170" s="102">
        <v>22000000</v>
      </c>
      <c r="B170" s="101">
        <v>20000</v>
      </c>
      <c r="C170" s="101">
        <v>0</v>
      </c>
      <c r="D170" s="101">
        <v>20</v>
      </c>
      <c r="E170" s="101">
        <v>60</v>
      </c>
      <c r="G170" s="106">
        <v>141</v>
      </c>
      <c r="H170" s="106">
        <v>250582.19712290715</v>
      </c>
      <c r="I170" s="106">
        <v>685894.80287709285</v>
      </c>
    </row>
    <row r="171" spans="1:9" x14ac:dyDescent="0.2">
      <c r="A171" s="102">
        <v>1200000</v>
      </c>
      <c r="B171" s="101">
        <v>10000</v>
      </c>
      <c r="C171" s="101">
        <v>0</v>
      </c>
      <c r="D171" s="101">
        <v>6</v>
      </c>
      <c r="E171" s="101">
        <v>40</v>
      </c>
      <c r="G171" s="106">
        <v>142</v>
      </c>
      <c r="H171" s="106">
        <v>1621912.6563407229</v>
      </c>
      <c r="I171" s="106">
        <v>-184029.65634072293</v>
      </c>
    </row>
    <row r="172" spans="1:9" x14ac:dyDescent="0.2">
      <c r="A172" s="102">
        <v>1100000</v>
      </c>
      <c r="B172" s="101">
        <v>10300</v>
      </c>
      <c r="C172" s="101">
        <v>1</v>
      </c>
      <c r="D172" s="101">
        <v>35</v>
      </c>
      <c r="E172" s="101">
        <v>35</v>
      </c>
      <c r="G172" s="106">
        <v>143</v>
      </c>
      <c r="H172" s="106">
        <v>368133.33201252064</v>
      </c>
      <c r="I172" s="106">
        <v>1481866.6679874794</v>
      </c>
    </row>
    <row r="173" spans="1:9" x14ac:dyDescent="0.2">
      <c r="A173" s="102">
        <v>1300000</v>
      </c>
      <c r="B173" s="101">
        <v>10700</v>
      </c>
      <c r="C173" s="101">
        <v>0</v>
      </c>
      <c r="D173" s="101">
        <v>6</v>
      </c>
      <c r="E173" s="101">
        <v>50</v>
      </c>
      <c r="G173" s="106">
        <v>144</v>
      </c>
      <c r="H173" s="106">
        <v>-20102.677461441373</v>
      </c>
      <c r="I173" s="106">
        <v>2098102.6774614416</v>
      </c>
    </row>
    <row r="174" spans="1:9" x14ac:dyDescent="0.2">
      <c r="A174" s="102">
        <v>11000000</v>
      </c>
      <c r="B174" s="101">
        <v>12000</v>
      </c>
      <c r="C174" s="101">
        <v>0</v>
      </c>
      <c r="D174" s="101">
        <v>20</v>
      </c>
      <c r="E174" s="101">
        <v>150</v>
      </c>
      <c r="G174" s="106">
        <v>145</v>
      </c>
      <c r="H174" s="106">
        <v>849055.94179438346</v>
      </c>
      <c r="I174" s="106">
        <v>1190944.0582056167</v>
      </c>
    </row>
    <row r="175" spans="1:9" x14ac:dyDescent="0.2">
      <c r="A175" s="102">
        <v>15000000</v>
      </c>
      <c r="B175" s="101">
        <v>14000</v>
      </c>
      <c r="C175" s="101">
        <v>1</v>
      </c>
      <c r="D175" s="101">
        <v>74</v>
      </c>
      <c r="E175" s="101">
        <v>175</v>
      </c>
      <c r="G175" s="106">
        <v>146</v>
      </c>
      <c r="H175" s="106">
        <v>2528898.3056362355</v>
      </c>
      <c r="I175" s="106">
        <v>2971101.6943637645</v>
      </c>
    </row>
    <row r="176" spans="1:9" x14ac:dyDescent="0.2">
      <c r="A176" s="102">
        <v>18000000</v>
      </c>
      <c r="B176" s="101">
        <v>16000</v>
      </c>
      <c r="C176" s="101">
        <v>0</v>
      </c>
      <c r="D176" s="101">
        <v>50</v>
      </c>
      <c r="E176" s="101">
        <v>200</v>
      </c>
      <c r="G176" s="106">
        <v>147</v>
      </c>
      <c r="H176" s="106">
        <v>5090834.3457364812</v>
      </c>
      <c r="I176" s="106">
        <v>909165.65426351875</v>
      </c>
    </row>
    <row r="177" spans="1:9" x14ac:dyDescent="0.2">
      <c r="A177" s="102">
        <v>6000000</v>
      </c>
      <c r="B177" s="101">
        <v>12480</v>
      </c>
      <c r="C177" s="101">
        <v>0</v>
      </c>
      <c r="D177" s="101">
        <v>5</v>
      </c>
      <c r="E177" s="101">
        <v>80</v>
      </c>
      <c r="G177" s="106">
        <v>148</v>
      </c>
      <c r="H177" s="106">
        <v>8223748.8255936727</v>
      </c>
      <c r="I177" s="106">
        <v>-1223748.8255936727</v>
      </c>
    </row>
    <row r="178" spans="1:9" x14ac:dyDescent="0.2">
      <c r="A178" s="102">
        <v>7700000</v>
      </c>
      <c r="B178" s="101">
        <v>14560</v>
      </c>
      <c r="C178" s="101">
        <v>1</v>
      </c>
      <c r="D178" s="101">
        <v>14</v>
      </c>
      <c r="E178" s="101">
        <v>150</v>
      </c>
      <c r="G178" s="106">
        <v>149</v>
      </c>
      <c r="H178" s="106">
        <v>2337794.974100532</v>
      </c>
      <c r="I178" s="106">
        <v>-1068794.974100532</v>
      </c>
    </row>
    <row r="179" spans="1:9" x14ac:dyDescent="0.2">
      <c r="A179" s="102">
        <v>5643000</v>
      </c>
      <c r="B179" s="101">
        <v>16640</v>
      </c>
      <c r="C179" s="101">
        <v>0</v>
      </c>
      <c r="D179" s="101">
        <v>0</v>
      </c>
      <c r="E179" s="101">
        <v>120</v>
      </c>
      <c r="G179" s="106">
        <v>150</v>
      </c>
      <c r="H179" s="106">
        <v>2342778.5263734069</v>
      </c>
      <c r="I179" s="106">
        <v>-661778.52637340687</v>
      </c>
    </row>
    <row r="180" spans="1:9" x14ac:dyDescent="0.2">
      <c r="A180" s="102">
        <v>307501</v>
      </c>
      <c r="B180" s="101">
        <v>8500</v>
      </c>
      <c r="C180" s="101">
        <v>0</v>
      </c>
      <c r="D180" s="101">
        <v>10</v>
      </c>
      <c r="E180" s="101">
        <v>10</v>
      </c>
      <c r="G180" s="106">
        <v>151</v>
      </c>
      <c r="H180" s="106">
        <v>2618887.1807015175</v>
      </c>
      <c r="I180" s="106">
        <v>-804887.1807015175</v>
      </c>
    </row>
    <row r="181" spans="1:9" x14ac:dyDescent="0.2">
      <c r="A181" s="102">
        <v>1961818</v>
      </c>
      <c r="B181" s="101">
        <v>9000</v>
      </c>
      <c r="C181" s="101">
        <v>1</v>
      </c>
      <c r="D181" s="101">
        <v>25</v>
      </c>
      <c r="E181" s="101">
        <v>25</v>
      </c>
      <c r="G181" s="106">
        <v>152</v>
      </c>
      <c r="H181" s="106">
        <v>1835034.5620436422</v>
      </c>
      <c r="I181" s="106">
        <v>164965.43795635784</v>
      </c>
    </row>
    <row r="182" spans="1:9" x14ac:dyDescent="0.2">
      <c r="A182" s="102">
        <v>2650786</v>
      </c>
      <c r="B182" s="101">
        <v>9400</v>
      </c>
      <c r="C182" s="101">
        <v>0</v>
      </c>
      <c r="D182" s="101">
        <v>30</v>
      </c>
      <c r="E182" s="101">
        <v>34</v>
      </c>
      <c r="G182" s="106">
        <v>153</v>
      </c>
      <c r="H182" s="106">
        <v>2247092.9269522829</v>
      </c>
      <c r="I182" s="106">
        <v>252907.0730477171</v>
      </c>
    </row>
    <row r="183" spans="1:9" x14ac:dyDescent="0.2">
      <c r="A183" s="102">
        <v>600000</v>
      </c>
      <c r="B183" s="101">
        <v>16640</v>
      </c>
      <c r="C183" s="101">
        <v>0</v>
      </c>
      <c r="D183" s="101">
        <v>3</v>
      </c>
      <c r="E183" s="101">
        <v>6</v>
      </c>
      <c r="G183" s="106">
        <v>154</v>
      </c>
      <c r="H183" s="106">
        <v>2953851.2353830887</v>
      </c>
      <c r="I183" s="106">
        <v>546148.7646169113</v>
      </c>
    </row>
    <row r="184" spans="1:9" x14ac:dyDescent="0.2">
      <c r="A184" s="102">
        <v>820000</v>
      </c>
      <c r="B184" s="101">
        <v>18304</v>
      </c>
      <c r="C184" s="101">
        <v>1</v>
      </c>
      <c r="D184" s="101">
        <v>5</v>
      </c>
      <c r="E184" s="101">
        <v>12</v>
      </c>
      <c r="G184" s="106">
        <v>155</v>
      </c>
      <c r="H184" s="106">
        <v>2499620.2242781697</v>
      </c>
      <c r="I184" s="106">
        <v>-2099620.2242781697</v>
      </c>
    </row>
    <row r="185" spans="1:9" x14ac:dyDescent="0.2">
      <c r="A185" s="102">
        <v>1200000</v>
      </c>
      <c r="B185" s="101">
        <v>19552</v>
      </c>
      <c r="C185" s="101">
        <v>0</v>
      </c>
      <c r="D185" s="101">
        <v>4</v>
      </c>
      <c r="E185" s="101">
        <v>14</v>
      </c>
      <c r="G185" s="106">
        <v>156</v>
      </c>
      <c r="H185" s="106">
        <v>1677306.0847935355</v>
      </c>
      <c r="I185" s="106">
        <v>-1177306.0847935355</v>
      </c>
    </row>
    <row r="186" spans="1:9" x14ac:dyDescent="0.2">
      <c r="A186" s="102">
        <v>1608573</v>
      </c>
      <c r="B186" s="101">
        <v>35000</v>
      </c>
      <c r="C186" s="101">
        <v>0</v>
      </c>
      <c r="D186" s="101">
        <v>10</v>
      </c>
      <c r="E186" s="101">
        <v>16</v>
      </c>
      <c r="G186" s="106">
        <v>157</v>
      </c>
      <c r="H186" s="106">
        <v>2157349.6790586887</v>
      </c>
      <c r="I186" s="106">
        <v>-1557349.6790586887</v>
      </c>
    </row>
    <row r="187" spans="1:9" x14ac:dyDescent="0.2">
      <c r="A187" s="102">
        <v>1342236</v>
      </c>
      <c r="B187" s="101">
        <v>38000</v>
      </c>
      <c r="C187" s="101">
        <v>1</v>
      </c>
      <c r="D187" s="101">
        <v>16</v>
      </c>
      <c r="E187" s="101">
        <v>16</v>
      </c>
      <c r="G187" s="106">
        <v>158</v>
      </c>
      <c r="H187" s="106">
        <v>4590337.6435284568</v>
      </c>
      <c r="I187" s="106">
        <v>-1259880.6435284568</v>
      </c>
    </row>
    <row r="188" spans="1:9" x14ac:dyDescent="0.2">
      <c r="A188" s="102">
        <v>1504283</v>
      </c>
      <c r="B188" s="101">
        <v>41000</v>
      </c>
      <c r="C188" s="101">
        <v>0</v>
      </c>
      <c r="D188" s="101">
        <v>10</v>
      </c>
      <c r="E188" s="101">
        <v>16</v>
      </c>
      <c r="G188" s="106">
        <v>159</v>
      </c>
      <c r="H188" s="106">
        <v>4490948.7467066254</v>
      </c>
      <c r="I188" s="106">
        <v>-725636.74670662545</v>
      </c>
    </row>
    <row r="189" spans="1:9" x14ac:dyDescent="0.2">
      <c r="A189" s="102">
        <v>1600000</v>
      </c>
      <c r="B189" s="101">
        <v>12000</v>
      </c>
      <c r="C189" s="101">
        <v>0</v>
      </c>
      <c r="D189" s="101">
        <v>0</v>
      </c>
      <c r="E189" s="101">
        <v>15</v>
      </c>
      <c r="G189" s="106">
        <v>160</v>
      </c>
      <c r="H189" s="106">
        <v>4483608.3689682651</v>
      </c>
      <c r="I189" s="106">
        <v>-950518.36896826513</v>
      </c>
    </row>
    <row r="190" spans="1:9" x14ac:dyDescent="0.2">
      <c r="A190" s="102">
        <v>1800000</v>
      </c>
      <c r="B190" s="101">
        <v>13000</v>
      </c>
      <c r="C190" s="101">
        <v>1</v>
      </c>
      <c r="D190" s="101">
        <v>9</v>
      </c>
      <c r="E190" s="101">
        <v>20</v>
      </c>
      <c r="G190" s="106">
        <v>161</v>
      </c>
      <c r="H190" s="106">
        <v>26813375.412431095</v>
      </c>
      <c r="I190" s="106">
        <v>86624.587568905205</v>
      </c>
    </row>
    <row r="191" spans="1:9" x14ac:dyDescent="0.2">
      <c r="A191" s="102">
        <v>2000000</v>
      </c>
      <c r="B191" s="101">
        <v>16000</v>
      </c>
      <c r="C191" s="101">
        <v>0</v>
      </c>
      <c r="D191" s="101">
        <v>6</v>
      </c>
      <c r="E191" s="101">
        <v>26</v>
      </c>
      <c r="G191" s="106">
        <v>162</v>
      </c>
      <c r="H191" s="106">
        <v>35042698.614689715</v>
      </c>
      <c r="I191" s="106">
        <v>-2842698.6146897152</v>
      </c>
    </row>
    <row r="192" spans="1:9" x14ac:dyDescent="0.2">
      <c r="A192" s="102">
        <v>10500000</v>
      </c>
      <c r="B192" s="101">
        <v>17700</v>
      </c>
      <c r="C192" s="101">
        <v>0</v>
      </c>
      <c r="D192" s="101">
        <v>67</v>
      </c>
      <c r="E192" s="101">
        <v>72</v>
      </c>
      <c r="G192" s="106">
        <v>163</v>
      </c>
      <c r="H192" s="106">
        <v>33345980.254848585</v>
      </c>
      <c r="I192" s="106">
        <v>-2345980.2548485845</v>
      </c>
    </row>
    <row r="193" spans="1:9" x14ac:dyDescent="0.2">
      <c r="A193" s="102">
        <v>15400000</v>
      </c>
      <c r="B193" s="101">
        <v>19350</v>
      </c>
      <c r="C193" s="101">
        <v>1</v>
      </c>
      <c r="D193" s="101">
        <v>128</v>
      </c>
      <c r="E193" s="101">
        <v>128</v>
      </c>
      <c r="G193" s="106">
        <v>164</v>
      </c>
      <c r="H193" s="106">
        <v>6677005.4404610936</v>
      </c>
      <c r="I193" s="106">
        <v>-2807005.4404610936</v>
      </c>
    </row>
    <row r="194" spans="1:9" x14ac:dyDescent="0.2">
      <c r="A194" s="102">
        <v>23000000</v>
      </c>
      <c r="B194" s="101">
        <v>23250</v>
      </c>
      <c r="C194" s="101">
        <v>0</v>
      </c>
      <c r="D194" s="101">
        <v>108</v>
      </c>
      <c r="E194" s="101">
        <v>168</v>
      </c>
      <c r="G194" s="106">
        <v>165</v>
      </c>
      <c r="H194" s="106">
        <v>7550155.4406317808</v>
      </c>
      <c r="I194" s="106">
        <v>-3668155.4406317808</v>
      </c>
    </row>
    <row r="195" spans="1:9" x14ac:dyDescent="0.2">
      <c r="A195" s="102">
        <v>5600000</v>
      </c>
      <c r="B195" s="101">
        <v>23000</v>
      </c>
      <c r="C195" s="101">
        <v>0</v>
      </c>
      <c r="D195" s="101">
        <v>10</v>
      </c>
      <c r="E195" s="101">
        <v>60</v>
      </c>
      <c r="G195" s="106">
        <v>166</v>
      </c>
      <c r="H195" s="106">
        <v>7922200.5451616887</v>
      </c>
      <c r="I195" s="106">
        <v>-2592200.5451616887</v>
      </c>
    </row>
    <row r="196" spans="1:9" x14ac:dyDescent="0.2">
      <c r="A196" s="102">
        <v>6200000</v>
      </c>
      <c r="B196" s="101">
        <v>25000</v>
      </c>
      <c r="C196" s="101">
        <v>1</v>
      </c>
      <c r="D196" s="101">
        <v>50</v>
      </c>
      <c r="E196" s="101">
        <v>50</v>
      </c>
      <c r="G196" s="106">
        <v>167</v>
      </c>
      <c r="H196" s="106">
        <v>11897152.58882653</v>
      </c>
      <c r="I196" s="106">
        <v>14102847.41117347</v>
      </c>
    </row>
    <row r="197" spans="1:9" x14ac:dyDescent="0.2">
      <c r="A197" s="102">
        <v>6300000</v>
      </c>
      <c r="B197" s="101">
        <v>27000</v>
      </c>
      <c r="C197" s="101">
        <v>0</v>
      </c>
      <c r="D197" s="101">
        <v>6</v>
      </c>
      <c r="E197" s="101">
        <v>48</v>
      </c>
      <c r="G197" s="106">
        <v>168</v>
      </c>
      <c r="H197" s="106">
        <v>13935453.675066466</v>
      </c>
      <c r="I197" s="106">
        <v>22064546.324933536</v>
      </c>
    </row>
    <row r="198" spans="1:9" x14ac:dyDescent="0.2">
      <c r="A198" s="102">
        <v>726833</v>
      </c>
      <c r="B198" s="101">
        <v>9048</v>
      </c>
      <c r="C198" s="101">
        <v>0</v>
      </c>
      <c r="D198" s="101">
        <v>0</v>
      </c>
      <c r="E198" s="101">
        <v>15</v>
      </c>
      <c r="G198" s="106">
        <v>169</v>
      </c>
      <c r="H198" s="106">
        <v>6683169.7198363263</v>
      </c>
      <c r="I198" s="106">
        <v>15316830.280163674</v>
      </c>
    </row>
    <row r="199" spans="1:9" x14ac:dyDescent="0.2">
      <c r="A199" s="102">
        <v>4005963</v>
      </c>
      <c r="B199" s="101">
        <v>10088</v>
      </c>
      <c r="C199" s="101">
        <v>0</v>
      </c>
      <c r="D199" s="101">
        <v>40</v>
      </c>
      <c r="E199" s="101">
        <v>80</v>
      </c>
      <c r="G199" s="106">
        <v>170</v>
      </c>
      <c r="H199" s="106">
        <v>2612590.237185182</v>
      </c>
      <c r="I199" s="106">
        <v>-1412590.237185182</v>
      </c>
    </row>
    <row r="200" spans="1:9" x14ac:dyDescent="0.2">
      <c r="A200" s="102">
        <v>2089704</v>
      </c>
      <c r="B200" s="101">
        <v>10504</v>
      </c>
      <c r="C200" s="101">
        <v>0</v>
      </c>
      <c r="D200" s="101">
        <v>0</v>
      </c>
      <c r="E200" s="101">
        <v>30</v>
      </c>
      <c r="G200" s="106">
        <v>171</v>
      </c>
      <c r="H200" s="106">
        <v>2270709.1825209269</v>
      </c>
      <c r="I200" s="106">
        <v>-1170709.1825209269</v>
      </c>
    </row>
    <row r="201" spans="1:9" x14ac:dyDescent="0.2">
      <c r="A201" s="102">
        <v>7742994</v>
      </c>
      <c r="B201" s="101">
        <v>18305</v>
      </c>
      <c r="C201" s="101">
        <v>0</v>
      </c>
      <c r="D201" s="101">
        <v>0</v>
      </c>
      <c r="E201" s="101">
        <v>72</v>
      </c>
      <c r="G201" s="106">
        <v>172</v>
      </c>
      <c r="H201" s="106">
        <v>3632018.6097678579</v>
      </c>
      <c r="I201" s="106">
        <v>-2332018.6097678579</v>
      </c>
    </row>
    <row r="202" spans="1:9" x14ac:dyDescent="0.2">
      <c r="A202" s="102">
        <v>8273868</v>
      </c>
      <c r="B202" s="101">
        <v>19828</v>
      </c>
      <c r="C202" s="101">
        <v>1</v>
      </c>
      <c r="D202" s="101">
        <v>70</v>
      </c>
      <c r="E202" s="101">
        <v>70</v>
      </c>
      <c r="G202" s="106">
        <v>173</v>
      </c>
      <c r="H202" s="106">
        <v>13103362.72727304</v>
      </c>
      <c r="I202" s="106">
        <v>-2103362.7272730395</v>
      </c>
    </row>
    <row r="203" spans="1:9" x14ac:dyDescent="0.2">
      <c r="A203" s="102">
        <v>8329656</v>
      </c>
      <c r="B203" s="101">
        <v>17893</v>
      </c>
      <c r="C203" s="101">
        <v>0</v>
      </c>
      <c r="D203" s="101">
        <v>0</v>
      </c>
      <c r="E203" s="101">
        <v>68</v>
      </c>
      <c r="G203" s="106">
        <v>174</v>
      </c>
      <c r="H203" s="106">
        <v>16412485.897080407</v>
      </c>
      <c r="I203" s="106">
        <v>-1412485.8970804065</v>
      </c>
    </row>
    <row r="204" spans="1:9" x14ac:dyDescent="0.2">
      <c r="A204" s="102">
        <v>10000000</v>
      </c>
      <c r="B204" s="101">
        <v>28080</v>
      </c>
      <c r="C204" s="101">
        <v>0</v>
      </c>
      <c r="D204" s="101">
        <v>0</v>
      </c>
      <c r="E204" s="101">
        <v>120</v>
      </c>
      <c r="G204" s="106">
        <v>175</v>
      </c>
      <c r="H204" s="106">
        <v>19100548.574121252</v>
      </c>
      <c r="I204" s="106">
        <v>-1100548.5741212517</v>
      </c>
    </row>
    <row r="205" spans="1:9" x14ac:dyDescent="0.2">
      <c r="A205" s="102">
        <v>12000000</v>
      </c>
      <c r="B205" s="101">
        <v>28080</v>
      </c>
      <c r="C205" s="101">
        <v>1</v>
      </c>
      <c r="D205" s="101">
        <v>120</v>
      </c>
      <c r="E205" s="101">
        <v>120</v>
      </c>
      <c r="G205" s="106">
        <v>176</v>
      </c>
      <c r="H205" s="106">
        <v>6601870.0298069939</v>
      </c>
      <c r="I205" s="106">
        <v>-601870.0298069939</v>
      </c>
    </row>
    <row r="206" spans="1:9" x14ac:dyDescent="0.2">
      <c r="A206" s="102">
        <v>11000000</v>
      </c>
      <c r="B206" s="101">
        <v>28080</v>
      </c>
      <c r="C206" s="101">
        <v>0</v>
      </c>
      <c r="D206" s="101">
        <v>120</v>
      </c>
      <c r="E206" s="101">
        <v>120</v>
      </c>
      <c r="G206" s="106">
        <v>177</v>
      </c>
      <c r="H206" s="106">
        <v>12701444.645629741</v>
      </c>
      <c r="I206" s="106">
        <v>-5001444.6456297413</v>
      </c>
    </row>
    <row r="207" spans="1:9" x14ac:dyDescent="0.2">
      <c r="A207" s="102">
        <v>1800000</v>
      </c>
      <c r="B207" s="101">
        <v>15100</v>
      </c>
      <c r="C207" s="101">
        <v>0</v>
      </c>
      <c r="D207" s="101">
        <v>25</v>
      </c>
      <c r="E207" s="101">
        <v>25</v>
      </c>
      <c r="G207" s="106">
        <v>178</v>
      </c>
      <c r="H207" s="106">
        <v>10807610.87380231</v>
      </c>
      <c r="I207" s="106">
        <v>-5164610.8738023099</v>
      </c>
    </row>
    <row r="208" spans="1:9" x14ac:dyDescent="0.2">
      <c r="A208" s="102">
        <v>2100000</v>
      </c>
      <c r="B208" s="101">
        <v>16500</v>
      </c>
      <c r="C208" s="101">
        <v>0</v>
      </c>
      <c r="D208" s="101">
        <v>30</v>
      </c>
      <c r="E208" s="101">
        <v>30</v>
      </c>
      <c r="G208" s="106">
        <v>179</v>
      </c>
      <c r="H208" s="106">
        <v>-222951.02645098057</v>
      </c>
      <c r="I208" s="106">
        <v>530452.02645098057</v>
      </c>
    </row>
    <row r="209" spans="1:9" x14ac:dyDescent="0.2">
      <c r="A209" s="102">
        <v>2000000</v>
      </c>
      <c r="B209" s="101">
        <v>30000</v>
      </c>
      <c r="C209" s="101">
        <v>0</v>
      </c>
      <c r="D209" s="101">
        <v>31</v>
      </c>
      <c r="E209" s="101">
        <v>31</v>
      </c>
      <c r="G209" s="106">
        <v>180</v>
      </c>
      <c r="H209" s="106">
        <v>867791.53208702221</v>
      </c>
      <c r="I209" s="106">
        <v>1094026.4679129778</v>
      </c>
    </row>
    <row r="210" spans="1:9" x14ac:dyDescent="0.2">
      <c r="A210" s="102">
        <v>2200000</v>
      </c>
      <c r="B210" s="101">
        <v>30000</v>
      </c>
      <c r="C210" s="101">
        <v>0</v>
      </c>
      <c r="D210" s="101">
        <v>47</v>
      </c>
      <c r="E210" s="101">
        <v>47</v>
      </c>
      <c r="G210" s="106">
        <v>181</v>
      </c>
      <c r="H210" s="106">
        <v>2609240.8371073408</v>
      </c>
      <c r="I210" s="106">
        <v>41545.162892659195</v>
      </c>
    </row>
    <row r="211" spans="1:9" x14ac:dyDescent="0.2">
      <c r="A211" s="102">
        <v>1800000</v>
      </c>
      <c r="B211" s="101">
        <v>30000</v>
      </c>
      <c r="C211" s="101">
        <v>0</v>
      </c>
      <c r="D211" s="101">
        <v>32</v>
      </c>
      <c r="E211" s="101">
        <v>32</v>
      </c>
      <c r="G211" s="106">
        <v>182</v>
      </c>
      <c r="H211" s="106">
        <v>803717.30742828432</v>
      </c>
      <c r="I211" s="106">
        <v>-203717.30742828432</v>
      </c>
    </row>
    <row r="212" spans="1:9" x14ac:dyDescent="0.2">
      <c r="A212" s="102">
        <v>1400000</v>
      </c>
      <c r="B212" s="101">
        <v>14000</v>
      </c>
      <c r="C212" s="101">
        <v>0</v>
      </c>
      <c r="D212" s="101">
        <v>3</v>
      </c>
      <c r="E212" s="101">
        <v>25</v>
      </c>
      <c r="G212" s="106">
        <v>183</v>
      </c>
      <c r="H212" s="106">
        <v>974277.49168060836</v>
      </c>
      <c r="I212" s="106">
        <v>-154277.49168060836</v>
      </c>
    </row>
    <row r="213" spans="1:9" x14ac:dyDescent="0.2">
      <c r="A213" s="102">
        <v>1680000</v>
      </c>
      <c r="B213" s="101">
        <v>16000</v>
      </c>
      <c r="C213" s="101">
        <v>1</v>
      </c>
      <c r="D213" s="101">
        <v>17</v>
      </c>
      <c r="E213" s="101">
        <v>30</v>
      </c>
      <c r="G213" s="106">
        <v>184</v>
      </c>
      <c r="H213" s="106">
        <v>2099125.4435306322</v>
      </c>
      <c r="I213" s="106">
        <v>-899125.44353063218</v>
      </c>
    </row>
    <row r="214" spans="1:9" x14ac:dyDescent="0.2">
      <c r="A214" s="102">
        <v>2806000</v>
      </c>
      <c r="B214" s="101">
        <v>17000</v>
      </c>
      <c r="C214" s="101">
        <v>0</v>
      </c>
      <c r="D214" s="101">
        <v>4</v>
      </c>
      <c r="E214" s="101">
        <v>39</v>
      </c>
      <c r="G214" s="106">
        <v>185</v>
      </c>
      <c r="H214" s="106">
        <v>5412593.687913755</v>
      </c>
      <c r="I214" s="106">
        <v>-3804020.687913755</v>
      </c>
    </row>
    <row r="215" spans="1:9" x14ac:dyDescent="0.2">
      <c r="A215" s="102">
        <v>580000</v>
      </c>
      <c r="B215" s="101">
        <v>8840</v>
      </c>
      <c r="C215" s="101">
        <v>0</v>
      </c>
      <c r="D215" s="101">
        <v>0</v>
      </c>
      <c r="E215" s="101">
        <v>19</v>
      </c>
      <c r="G215" s="106">
        <v>186</v>
      </c>
      <c r="H215" s="106">
        <v>5416925.2951586414</v>
      </c>
      <c r="I215" s="106">
        <v>-4074689.2951586414</v>
      </c>
    </row>
    <row r="216" spans="1:9" x14ac:dyDescent="0.2">
      <c r="A216" s="102">
        <v>660000</v>
      </c>
      <c r="B216" s="101">
        <v>9360</v>
      </c>
      <c r="C216" s="101">
        <v>1</v>
      </c>
      <c r="D216" s="101">
        <v>21</v>
      </c>
      <c r="E216" s="101">
        <v>21</v>
      </c>
      <c r="G216" s="106">
        <v>187</v>
      </c>
      <c r="H216" s="106">
        <v>6568396.0707699964</v>
      </c>
      <c r="I216" s="106">
        <v>-5064113.0707699964</v>
      </c>
    </row>
    <row r="217" spans="1:9" x14ac:dyDescent="0.2">
      <c r="A217" s="102">
        <v>984000</v>
      </c>
      <c r="B217" s="101">
        <v>10720</v>
      </c>
      <c r="C217" s="101">
        <v>0</v>
      </c>
      <c r="D217" s="101">
        <v>0</v>
      </c>
      <c r="E217" s="101">
        <v>30</v>
      </c>
      <c r="G217" s="106">
        <v>188</v>
      </c>
      <c r="H217" s="106">
        <v>625650.37127427966</v>
      </c>
      <c r="I217" s="106">
        <v>974349.62872572034</v>
      </c>
    </row>
    <row r="218" spans="1:9" x14ac:dyDescent="0.2">
      <c r="A218" s="102">
        <v>1300000</v>
      </c>
      <c r="B218" s="101">
        <v>13000</v>
      </c>
      <c r="C218" s="101">
        <v>0</v>
      </c>
      <c r="D218" s="101">
        <v>0</v>
      </c>
      <c r="E218" s="101">
        <v>15</v>
      </c>
      <c r="G218" s="106">
        <v>189</v>
      </c>
      <c r="H218" s="106">
        <v>767379.61006149137</v>
      </c>
      <c r="I218" s="106">
        <v>1032620.3899385086</v>
      </c>
    </row>
    <row r="219" spans="1:9" x14ac:dyDescent="0.2">
      <c r="A219" s="102">
        <v>1600000</v>
      </c>
      <c r="B219" s="101">
        <v>14040</v>
      </c>
      <c r="C219" s="101">
        <v>1</v>
      </c>
      <c r="D219" s="101">
        <v>18</v>
      </c>
      <c r="E219" s="101">
        <v>18</v>
      </c>
      <c r="G219" s="106">
        <v>190</v>
      </c>
      <c r="H219" s="106">
        <v>2529973.9542921963</v>
      </c>
      <c r="I219" s="106">
        <v>-529973.95429219631</v>
      </c>
    </row>
    <row r="220" spans="1:9" x14ac:dyDescent="0.2">
      <c r="A220" s="102">
        <v>2300000</v>
      </c>
      <c r="B220" s="101">
        <v>15080</v>
      </c>
      <c r="C220" s="101">
        <v>0</v>
      </c>
      <c r="D220" s="101">
        <v>0</v>
      </c>
      <c r="E220" s="101">
        <v>28</v>
      </c>
      <c r="G220" s="106">
        <v>191</v>
      </c>
      <c r="H220" s="106">
        <v>8560786.3391991146</v>
      </c>
      <c r="I220" s="106">
        <v>1939213.6608008854</v>
      </c>
    </row>
    <row r="221" spans="1:9" x14ac:dyDescent="0.2">
      <c r="A221" s="102">
        <v>490000</v>
      </c>
      <c r="B221" s="101">
        <v>14560</v>
      </c>
      <c r="C221" s="101">
        <v>0</v>
      </c>
      <c r="D221" s="101">
        <v>4</v>
      </c>
      <c r="E221" s="101">
        <v>6</v>
      </c>
      <c r="G221" s="106">
        <v>192</v>
      </c>
      <c r="H221" s="106">
        <v>14732236.790909082</v>
      </c>
      <c r="I221" s="106">
        <v>667763.2090909183</v>
      </c>
    </row>
    <row r="222" spans="1:9" x14ac:dyDescent="0.2">
      <c r="A222" s="102">
        <v>580000</v>
      </c>
      <c r="B222" s="101">
        <v>15600</v>
      </c>
      <c r="C222" s="101">
        <v>0</v>
      </c>
      <c r="D222" s="101">
        <v>6</v>
      </c>
      <c r="E222" s="101">
        <v>7</v>
      </c>
      <c r="G222" s="106">
        <v>193</v>
      </c>
      <c r="H222" s="106">
        <v>19220344.31355482</v>
      </c>
      <c r="I222" s="106">
        <v>3779655.6864451803</v>
      </c>
    </row>
    <row r="223" spans="1:9" x14ac:dyDescent="0.2">
      <c r="A223" s="102">
        <v>660000</v>
      </c>
      <c r="B223" s="101">
        <v>16640</v>
      </c>
      <c r="C223" s="101">
        <v>0</v>
      </c>
      <c r="D223" s="101">
        <v>4</v>
      </c>
      <c r="E223" s="101">
        <v>8</v>
      </c>
      <c r="G223" s="106">
        <v>194</v>
      </c>
      <c r="H223" s="106">
        <v>6993161.8716988433</v>
      </c>
      <c r="I223" s="106">
        <v>-1393161.8716988433</v>
      </c>
    </row>
    <row r="224" spans="1:9" x14ac:dyDescent="0.2">
      <c r="A224" s="102">
        <v>4568907</v>
      </c>
      <c r="B224" s="101">
        <v>19042</v>
      </c>
      <c r="C224" s="101">
        <v>0</v>
      </c>
      <c r="D224" s="101">
        <v>0</v>
      </c>
      <c r="E224" s="101">
        <v>28</v>
      </c>
      <c r="G224" s="106">
        <v>195</v>
      </c>
      <c r="H224" s="106">
        <v>6831165.7217412982</v>
      </c>
      <c r="I224" s="106">
        <v>-631165.72174129821</v>
      </c>
    </row>
    <row r="225" spans="1:9" x14ac:dyDescent="0.2">
      <c r="A225" s="102">
        <v>4904008</v>
      </c>
      <c r="B225" s="101">
        <v>19845</v>
      </c>
      <c r="C225" s="101">
        <v>1</v>
      </c>
      <c r="D225" s="101">
        <v>14</v>
      </c>
      <c r="E225" s="101">
        <v>28</v>
      </c>
      <c r="G225" s="106">
        <v>196</v>
      </c>
      <c r="H225" s="106">
        <v>6595031.4642774239</v>
      </c>
      <c r="I225" s="106">
        <v>-295031.46427742392</v>
      </c>
    </row>
    <row r="226" spans="1:9" x14ac:dyDescent="0.2">
      <c r="A226" s="102">
        <v>5884603</v>
      </c>
      <c r="B226" s="101">
        <v>20426</v>
      </c>
      <c r="C226" s="101">
        <v>0</v>
      </c>
      <c r="D226" s="101">
        <v>4</v>
      </c>
      <c r="E226" s="101">
        <v>29</v>
      </c>
      <c r="G226" s="106">
        <v>197</v>
      </c>
      <c r="H226" s="106">
        <v>56995.598909008782</v>
      </c>
      <c r="I226" s="106">
        <v>669837.40109099122</v>
      </c>
    </row>
    <row r="227" spans="1:9" x14ac:dyDescent="0.2">
      <c r="A227" s="102">
        <v>6900000</v>
      </c>
      <c r="B227" s="101">
        <v>13728</v>
      </c>
      <c r="C227" s="101">
        <v>0</v>
      </c>
      <c r="D227" s="101">
        <v>20</v>
      </c>
      <c r="E227" s="101">
        <v>80</v>
      </c>
      <c r="G227" s="106">
        <v>198</v>
      </c>
      <c r="H227" s="106">
        <v>7078771.7849879218</v>
      </c>
      <c r="I227" s="106">
        <v>-3072808.7849879218</v>
      </c>
    </row>
    <row r="228" spans="1:9" x14ac:dyDescent="0.2">
      <c r="A228" s="102">
        <v>8400000</v>
      </c>
      <c r="B228" s="101">
        <v>14664</v>
      </c>
      <c r="C228" s="101">
        <v>0</v>
      </c>
      <c r="D228" s="101">
        <v>25</v>
      </c>
      <c r="E228" s="101">
        <v>65</v>
      </c>
      <c r="G228" s="106">
        <v>199</v>
      </c>
      <c r="H228" s="106">
        <v>1664347.4523562954</v>
      </c>
      <c r="I228" s="106">
        <v>425356.54764370457</v>
      </c>
    </row>
    <row r="229" spans="1:9" x14ac:dyDescent="0.2">
      <c r="A229" s="102">
        <v>7100000</v>
      </c>
      <c r="B229" s="101">
        <v>15600</v>
      </c>
      <c r="C229" s="101">
        <v>0</v>
      </c>
      <c r="D229" s="101">
        <v>30</v>
      </c>
      <c r="E229" s="101">
        <v>75</v>
      </c>
      <c r="G229" s="106">
        <v>200</v>
      </c>
      <c r="H229" s="106">
        <v>6882339.1810475681</v>
      </c>
      <c r="I229" s="106">
        <v>860654.8189524319</v>
      </c>
    </row>
    <row r="230" spans="1:9" x14ac:dyDescent="0.2">
      <c r="A230" s="102">
        <v>3000000</v>
      </c>
      <c r="B230" s="101">
        <v>20000</v>
      </c>
      <c r="C230" s="101">
        <v>0</v>
      </c>
      <c r="D230" s="101">
        <v>0</v>
      </c>
      <c r="E230" s="101">
        <v>25</v>
      </c>
      <c r="G230" s="106">
        <v>201</v>
      </c>
      <c r="H230" s="106">
        <v>8139851.669349323</v>
      </c>
      <c r="I230" s="106">
        <v>134016.33065067697</v>
      </c>
    </row>
    <row r="231" spans="1:9" x14ac:dyDescent="0.2">
      <c r="A231" s="102">
        <v>4000000</v>
      </c>
      <c r="B231" s="101">
        <v>25000</v>
      </c>
      <c r="C231" s="101">
        <v>0</v>
      </c>
      <c r="D231" s="101">
        <v>0</v>
      </c>
      <c r="E231" s="101">
        <v>30</v>
      </c>
      <c r="G231" s="106">
        <v>202</v>
      </c>
      <c r="H231" s="106">
        <v>6449140.1795916595</v>
      </c>
      <c r="I231" s="106">
        <v>1880515.8204083405</v>
      </c>
    </row>
    <row r="232" spans="1:9" x14ac:dyDescent="0.2">
      <c r="A232" s="102">
        <v>6000000</v>
      </c>
      <c r="B232" s="101">
        <v>30000</v>
      </c>
      <c r="C232" s="101">
        <v>0</v>
      </c>
      <c r="D232" s="101">
        <v>0</v>
      </c>
      <c r="E232" s="101">
        <v>40</v>
      </c>
      <c r="G232" s="106">
        <v>203</v>
      </c>
      <c r="H232" s="106">
        <v>13011340.75044821</v>
      </c>
      <c r="I232" s="106">
        <v>-3011340.7504482102</v>
      </c>
    </row>
    <row r="233" spans="1:9" x14ac:dyDescent="0.2">
      <c r="A233" s="102">
        <v>1083644</v>
      </c>
      <c r="B233" s="101">
        <v>24000</v>
      </c>
      <c r="C233" s="101">
        <v>0</v>
      </c>
      <c r="D233" s="101">
        <v>6</v>
      </c>
      <c r="E233" s="101">
        <v>17</v>
      </c>
      <c r="G233" s="106">
        <v>204</v>
      </c>
      <c r="H233" s="106">
        <v>15491934.217312871</v>
      </c>
      <c r="I233" s="106">
        <v>-3491934.2173128705</v>
      </c>
    </row>
    <row r="234" spans="1:9" x14ac:dyDescent="0.2">
      <c r="A234" s="102">
        <v>851605</v>
      </c>
      <c r="B234" s="101">
        <v>24000</v>
      </c>
      <c r="C234" s="101">
        <v>1</v>
      </c>
      <c r="D234" s="101">
        <v>13</v>
      </c>
      <c r="E234" s="101">
        <v>13</v>
      </c>
      <c r="G234" s="106">
        <v>205</v>
      </c>
      <c r="H234" s="106">
        <v>16226249.225235466</v>
      </c>
      <c r="I234" s="106">
        <v>-5226249.2252354659</v>
      </c>
    </row>
    <row r="235" spans="1:9" x14ac:dyDescent="0.2">
      <c r="A235" s="102">
        <v>885852</v>
      </c>
      <c r="B235" s="101">
        <v>16000</v>
      </c>
      <c r="C235" s="101">
        <v>0</v>
      </c>
      <c r="D235" s="101">
        <v>1</v>
      </c>
      <c r="E235" s="101">
        <v>9</v>
      </c>
      <c r="G235" s="106">
        <v>206</v>
      </c>
      <c r="H235" s="106">
        <v>2777172.2959134639</v>
      </c>
      <c r="I235" s="106">
        <v>-977172.29591346392</v>
      </c>
    </row>
    <row r="236" spans="1:9" x14ac:dyDescent="0.2">
      <c r="A236" s="102">
        <v>3499895</v>
      </c>
      <c r="B236" s="101">
        <v>14560</v>
      </c>
      <c r="C236" s="101">
        <v>0</v>
      </c>
      <c r="D236" s="101">
        <v>0</v>
      </c>
      <c r="E236" s="101">
        <v>20</v>
      </c>
      <c r="G236" s="106">
        <v>207</v>
      </c>
      <c r="H236" s="106">
        <v>3623106.4189874465</v>
      </c>
      <c r="I236" s="106">
        <v>-1523106.4189874465</v>
      </c>
    </row>
    <row r="237" spans="1:9" x14ac:dyDescent="0.2">
      <c r="A237" s="102">
        <v>4008997</v>
      </c>
      <c r="B237" s="101">
        <v>16848</v>
      </c>
      <c r="C237" s="101">
        <v>0</v>
      </c>
      <c r="D237" s="101">
        <v>6</v>
      </c>
      <c r="E237" s="101">
        <v>17</v>
      </c>
      <c r="G237" s="106">
        <v>208</v>
      </c>
      <c r="H237" s="106">
        <v>6338911.1604954954</v>
      </c>
      <c r="I237" s="106">
        <v>-4338911.1604954954</v>
      </c>
    </row>
    <row r="238" spans="1:9" x14ac:dyDescent="0.2">
      <c r="A238" s="102">
        <v>3379103</v>
      </c>
      <c r="B238" s="101">
        <v>18720</v>
      </c>
      <c r="C238" s="101">
        <v>0</v>
      </c>
      <c r="D238" s="101">
        <v>0</v>
      </c>
      <c r="E238" s="101">
        <v>13</v>
      </c>
      <c r="G238" s="106">
        <v>209</v>
      </c>
      <c r="H238" s="106">
        <v>8182901.2417995799</v>
      </c>
      <c r="I238" s="106">
        <v>-5982901.2417995799</v>
      </c>
    </row>
    <row r="239" spans="1:9" x14ac:dyDescent="0.2">
      <c r="A239" s="102">
        <v>6400000</v>
      </c>
      <c r="B239" s="101">
        <v>16141</v>
      </c>
      <c r="C239" s="101">
        <v>0</v>
      </c>
      <c r="D239" s="101">
        <v>60</v>
      </c>
      <c r="E239" s="101">
        <v>70</v>
      </c>
      <c r="G239" s="106">
        <v>210</v>
      </c>
      <c r="H239" s="106">
        <v>6454160.5405770009</v>
      </c>
      <c r="I239" s="106">
        <v>-4654160.5405770009</v>
      </c>
    </row>
    <row r="240" spans="1:9" x14ac:dyDescent="0.2">
      <c r="A240" s="102">
        <v>6800000</v>
      </c>
      <c r="B240" s="101">
        <v>16578</v>
      </c>
      <c r="C240" s="101">
        <v>1</v>
      </c>
      <c r="D240" s="101">
        <v>65</v>
      </c>
      <c r="E240" s="101">
        <v>65</v>
      </c>
      <c r="G240" s="106">
        <v>211</v>
      </c>
      <c r="H240" s="106">
        <v>1975875.3053454894</v>
      </c>
      <c r="I240" s="106">
        <v>-575875.30534548941</v>
      </c>
    </row>
    <row r="241" spans="1:9" x14ac:dyDescent="0.2">
      <c r="A241" s="102">
        <v>2100000</v>
      </c>
      <c r="B241" s="101">
        <v>16952</v>
      </c>
      <c r="C241" s="101">
        <v>0</v>
      </c>
      <c r="D241" s="101">
        <v>30</v>
      </c>
      <c r="E241" s="101">
        <v>30</v>
      </c>
      <c r="G241" s="106">
        <v>212</v>
      </c>
      <c r="H241" s="106">
        <v>2444192.7943915436</v>
      </c>
      <c r="I241" s="106">
        <v>-764192.7943915436</v>
      </c>
    </row>
    <row r="242" spans="1:9" x14ac:dyDescent="0.2">
      <c r="A242" s="102">
        <v>564694</v>
      </c>
      <c r="B242" s="101">
        <v>22866</v>
      </c>
      <c r="C242" s="101">
        <v>0</v>
      </c>
      <c r="D242" s="101">
        <v>0</v>
      </c>
      <c r="E242" s="101">
        <v>6</v>
      </c>
      <c r="G242" s="106">
        <v>213</v>
      </c>
      <c r="H242" s="106">
        <v>3818986.0664793979</v>
      </c>
      <c r="I242" s="106">
        <v>-1012986.0664793979</v>
      </c>
    </row>
    <row r="243" spans="1:9" x14ac:dyDescent="0.2">
      <c r="A243" s="102">
        <v>620439</v>
      </c>
      <c r="B243" s="101">
        <v>22995</v>
      </c>
      <c r="C243" s="101">
        <v>0</v>
      </c>
      <c r="D243" s="101">
        <v>0</v>
      </c>
      <c r="E243" s="101">
        <v>6</v>
      </c>
      <c r="G243" s="106">
        <v>214</v>
      </c>
      <c r="H243" s="106">
        <v>370761.6874697716</v>
      </c>
      <c r="I243" s="106">
        <v>209238.3125302284</v>
      </c>
    </row>
    <row r="244" spans="1:9" x14ac:dyDescent="0.2">
      <c r="A244" s="102">
        <v>783261</v>
      </c>
      <c r="B244" s="101">
        <v>29114</v>
      </c>
      <c r="C244" s="101">
        <v>1</v>
      </c>
      <c r="D244" s="101">
        <v>6</v>
      </c>
      <c r="E244" s="101">
        <v>6</v>
      </c>
      <c r="G244" s="106">
        <v>215</v>
      </c>
      <c r="H244" s="106">
        <v>476142.15473237564</v>
      </c>
      <c r="I244" s="106">
        <v>183857.84526762436</v>
      </c>
    </row>
    <row r="245" spans="1:9" x14ac:dyDescent="0.2">
      <c r="A245" s="102">
        <v>4200000</v>
      </c>
      <c r="B245" s="101">
        <v>31000</v>
      </c>
      <c r="C245" s="101">
        <v>0</v>
      </c>
      <c r="D245" s="101">
        <v>6</v>
      </c>
      <c r="E245" s="101">
        <v>35</v>
      </c>
      <c r="G245" s="106">
        <v>216</v>
      </c>
      <c r="H245" s="106">
        <v>1705956.33813912</v>
      </c>
      <c r="I245" s="106">
        <v>-721956.33813912002</v>
      </c>
    </row>
    <row r="246" spans="1:9" x14ac:dyDescent="0.2">
      <c r="A246" s="102">
        <v>4800000</v>
      </c>
      <c r="B246" s="101">
        <v>33000</v>
      </c>
      <c r="C246" s="101">
        <v>0</v>
      </c>
      <c r="D246" s="101">
        <v>8</v>
      </c>
      <c r="E246" s="101">
        <v>40</v>
      </c>
      <c r="G246" s="106">
        <v>217</v>
      </c>
      <c r="H246" s="106">
        <v>818284.10175031959</v>
      </c>
      <c r="I246" s="106">
        <v>481715.89824968041</v>
      </c>
    </row>
    <row r="247" spans="1:9" x14ac:dyDescent="0.2">
      <c r="A247" s="102">
        <v>5200000</v>
      </c>
      <c r="B247" s="101">
        <v>34800</v>
      </c>
      <c r="C247" s="101">
        <v>1</v>
      </c>
      <c r="D247" s="101">
        <v>43</v>
      </c>
      <c r="E247" s="101">
        <v>43</v>
      </c>
      <c r="G247" s="106">
        <v>218</v>
      </c>
      <c r="H247" s="106">
        <v>1031919.8731157279</v>
      </c>
      <c r="I247" s="106">
        <v>568080.12688427209</v>
      </c>
    </row>
    <row r="248" spans="1:9" x14ac:dyDescent="0.2">
      <c r="A248" s="102">
        <v>930000</v>
      </c>
      <c r="B248" s="101">
        <v>30000</v>
      </c>
      <c r="C248" s="101">
        <v>0</v>
      </c>
      <c r="D248" s="101">
        <v>4</v>
      </c>
      <c r="E248" s="101">
        <v>15</v>
      </c>
      <c r="G248" s="106">
        <v>219</v>
      </c>
      <c r="H248" s="106">
        <v>2368922.450764766</v>
      </c>
      <c r="I248" s="106">
        <v>-68922.450764765963</v>
      </c>
    </row>
    <row r="249" spans="1:9" x14ac:dyDescent="0.2">
      <c r="A249" s="102">
        <v>980000</v>
      </c>
      <c r="B249" s="101">
        <v>33000</v>
      </c>
      <c r="C249" s="101">
        <v>0</v>
      </c>
      <c r="D249" s="101">
        <v>5</v>
      </c>
      <c r="E249" s="101">
        <v>18</v>
      </c>
      <c r="G249" s="106">
        <v>220</v>
      </c>
      <c r="H249" s="106">
        <v>429830.05199468124</v>
      </c>
      <c r="I249" s="106">
        <v>60169.948005318758</v>
      </c>
    </row>
    <row r="250" spans="1:9" x14ac:dyDescent="0.2">
      <c r="A250" s="102">
        <v>1500000</v>
      </c>
      <c r="B250" s="101">
        <v>35000</v>
      </c>
      <c r="C250" s="101">
        <v>1</v>
      </c>
      <c r="D250" s="101">
        <v>10</v>
      </c>
      <c r="E250" s="101">
        <v>21</v>
      </c>
      <c r="G250" s="106">
        <v>221</v>
      </c>
      <c r="H250" s="106">
        <v>772209.41572782875</v>
      </c>
      <c r="I250" s="106">
        <v>-192209.41572782875</v>
      </c>
    </row>
    <row r="251" spans="1:9" x14ac:dyDescent="0.2">
      <c r="A251" s="102">
        <v>1200000</v>
      </c>
      <c r="B251" s="101">
        <v>28000</v>
      </c>
      <c r="C251" s="101">
        <v>0</v>
      </c>
      <c r="D251" s="101">
        <v>12</v>
      </c>
      <c r="E251" s="101">
        <v>12</v>
      </c>
      <c r="G251" s="106">
        <v>222</v>
      </c>
      <c r="H251" s="106">
        <v>1007425.1636347345</v>
      </c>
      <c r="I251" s="106">
        <v>-347425.16363473446</v>
      </c>
    </row>
    <row r="252" spans="1:9" x14ac:dyDescent="0.2">
      <c r="A252" s="102">
        <v>1300000</v>
      </c>
      <c r="B252" s="101">
        <v>30000</v>
      </c>
      <c r="C252" s="101">
        <v>0</v>
      </c>
      <c r="D252" s="101">
        <v>10</v>
      </c>
      <c r="E252" s="101">
        <v>10</v>
      </c>
      <c r="G252" s="106">
        <v>223</v>
      </c>
      <c r="H252" s="106">
        <v>3132137.2909108372</v>
      </c>
      <c r="I252" s="106">
        <v>1436769.7090891628</v>
      </c>
    </row>
    <row r="253" spans="1:9" x14ac:dyDescent="0.2">
      <c r="A253" s="102">
        <v>1100000</v>
      </c>
      <c r="B253" s="101">
        <v>30000</v>
      </c>
      <c r="C253" s="101">
        <v>0</v>
      </c>
      <c r="D253" s="101">
        <v>8</v>
      </c>
      <c r="E253" s="101">
        <v>8</v>
      </c>
      <c r="G253" s="106">
        <v>224</v>
      </c>
      <c r="H253" s="106">
        <v>2927579.8239523475</v>
      </c>
      <c r="I253" s="106">
        <v>1976428.1760476525</v>
      </c>
    </row>
    <row r="254" spans="1:9" x14ac:dyDescent="0.2">
      <c r="A254" s="102">
        <v>1200000</v>
      </c>
      <c r="B254" s="101">
        <v>18720</v>
      </c>
      <c r="C254" s="101">
        <v>0</v>
      </c>
      <c r="D254" s="101">
        <v>0</v>
      </c>
      <c r="E254" s="101">
        <v>13</v>
      </c>
      <c r="G254" s="106">
        <v>225</v>
      </c>
      <c r="H254" s="106">
        <v>3594364.465840864</v>
      </c>
      <c r="I254" s="106">
        <v>2290238.534159136</v>
      </c>
    </row>
    <row r="255" spans="1:9" x14ac:dyDescent="0.2">
      <c r="A255" s="102">
        <v>1350000</v>
      </c>
      <c r="B255" s="101">
        <v>20800</v>
      </c>
      <c r="C255" s="101">
        <v>0</v>
      </c>
      <c r="D255" s="101">
        <v>0</v>
      </c>
      <c r="E255" s="101">
        <v>14</v>
      </c>
      <c r="G255" s="106">
        <v>226</v>
      </c>
      <c r="H255" s="106">
        <v>7244140.4847894991</v>
      </c>
      <c r="I255" s="106">
        <v>-344140.48478949908</v>
      </c>
    </row>
    <row r="256" spans="1:9" x14ac:dyDescent="0.2">
      <c r="A256" s="102">
        <v>1480000</v>
      </c>
      <c r="B256" s="101">
        <v>29120</v>
      </c>
      <c r="C256" s="101">
        <v>1</v>
      </c>
      <c r="D256" s="101">
        <v>15</v>
      </c>
      <c r="E256" s="101">
        <v>15</v>
      </c>
      <c r="G256" s="106">
        <v>227</v>
      </c>
      <c r="H256" s="106">
        <v>6231523.0344237033</v>
      </c>
      <c r="I256" s="106">
        <v>2168476.9655762967</v>
      </c>
    </row>
    <row r="257" spans="1:9" x14ac:dyDescent="0.2">
      <c r="A257" s="102">
        <v>22700000</v>
      </c>
      <c r="B257" s="101">
        <v>22006</v>
      </c>
      <c r="C257" s="101">
        <v>0</v>
      </c>
      <c r="D257" s="101">
        <v>100</v>
      </c>
      <c r="E257" s="101">
        <v>150</v>
      </c>
      <c r="G257" s="106">
        <v>228</v>
      </c>
      <c r="H257" s="106">
        <v>7430367.4871815275</v>
      </c>
      <c r="I257" s="106">
        <v>-330367.48718152754</v>
      </c>
    </row>
    <row r="258" spans="1:9" x14ac:dyDescent="0.2">
      <c r="A258" s="102">
        <v>30800000</v>
      </c>
      <c r="B258" s="101">
        <v>22027</v>
      </c>
      <c r="C258" s="101">
        <v>0</v>
      </c>
      <c r="D258" s="101">
        <v>60</v>
      </c>
      <c r="E258" s="101">
        <v>178</v>
      </c>
      <c r="G258" s="106">
        <v>229</v>
      </c>
      <c r="H258" s="106">
        <v>3051304.9763320494</v>
      </c>
      <c r="I258" s="106">
        <v>-51304.976332049351</v>
      </c>
    </row>
    <row r="259" spans="1:9" x14ac:dyDescent="0.2">
      <c r="A259" s="102">
        <v>28400000</v>
      </c>
      <c r="B259" s="101">
        <v>24107</v>
      </c>
      <c r="C259" s="101">
        <v>0</v>
      </c>
      <c r="D259" s="101">
        <v>40</v>
      </c>
      <c r="E259" s="101">
        <v>171</v>
      </c>
      <c r="G259" s="106">
        <v>230</v>
      </c>
      <c r="H259" s="106">
        <v>4456766.0093369745</v>
      </c>
      <c r="I259" s="106">
        <v>-456766.00933697447</v>
      </c>
    </row>
    <row r="260" spans="1:9" x14ac:dyDescent="0.2">
      <c r="A260" s="102">
        <v>10000000</v>
      </c>
      <c r="B260" s="101">
        <v>33280</v>
      </c>
      <c r="C260" s="101">
        <v>0</v>
      </c>
      <c r="D260" s="101">
        <v>0</v>
      </c>
      <c r="E260" s="101">
        <v>80</v>
      </c>
      <c r="G260" s="106">
        <v>231</v>
      </c>
      <c r="H260" s="106">
        <v>6304519.4229666237</v>
      </c>
      <c r="I260" s="106">
        <v>-304519.42296662368</v>
      </c>
    </row>
    <row r="261" spans="1:9" x14ac:dyDescent="0.2">
      <c r="A261" s="102">
        <v>9000000</v>
      </c>
      <c r="B261" s="101">
        <v>32240</v>
      </c>
      <c r="C261" s="101">
        <v>0</v>
      </c>
      <c r="D261" s="101">
        <v>0</v>
      </c>
      <c r="E261" s="101">
        <v>70</v>
      </c>
      <c r="G261" s="106">
        <v>232</v>
      </c>
      <c r="H261" s="106">
        <v>3274917.512976015</v>
      </c>
      <c r="I261" s="106">
        <v>-2191273.512976015</v>
      </c>
    </row>
    <row r="262" spans="1:9" x14ac:dyDescent="0.2">
      <c r="A262" s="102">
        <v>9500000</v>
      </c>
      <c r="B262" s="101">
        <v>30784</v>
      </c>
      <c r="C262" s="101">
        <v>1</v>
      </c>
      <c r="D262" s="101">
        <v>60</v>
      </c>
      <c r="E262" s="101">
        <v>65</v>
      </c>
      <c r="G262" s="106">
        <v>233</v>
      </c>
      <c r="H262" s="106">
        <v>2374304.9282495626</v>
      </c>
      <c r="I262" s="106">
        <v>-1522699.9282495626</v>
      </c>
    </row>
    <row r="263" spans="1:9" x14ac:dyDescent="0.2">
      <c r="A263" s="102">
        <v>875000</v>
      </c>
      <c r="B263" s="101">
        <v>13500</v>
      </c>
      <c r="C263" s="101">
        <v>0</v>
      </c>
      <c r="D263" s="101">
        <v>0</v>
      </c>
      <c r="E263" s="101">
        <v>6</v>
      </c>
      <c r="G263" s="106">
        <v>234</v>
      </c>
      <c r="H263" s="106">
        <v>892225.34038533201</v>
      </c>
      <c r="I263" s="106">
        <v>-6373.3403853320051</v>
      </c>
    </row>
    <row r="264" spans="1:9" x14ac:dyDescent="0.2">
      <c r="A264" s="102">
        <v>15900000</v>
      </c>
      <c r="B264" s="101">
        <v>14100</v>
      </c>
      <c r="C264" s="101">
        <v>0</v>
      </c>
      <c r="D264" s="101">
        <v>2</v>
      </c>
      <c r="E264" s="101">
        <v>8</v>
      </c>
      <c r="G264" s="106">
        <v>235</v>
      </c>
      <c r="H264" s="106">
        <v>1561085.1019176666</v>
      </c>
      <c r="I264" s="106">
        <v>1938809.8980823334</v>
      </c>
    </row>
    <row r="265" spans="1:9" x14ac:dyDescent="0.2">
      <c r="A265" s="102">
        <v>2250000</v>
      </c>
      <c r="B265" s="101">
        <v>15050</v>
      </c>
      <c r="C265" s="101">
        <v>1</v>
      </c>
      <c r="D265" s="101">
        <v>11</v>
      </c>
      <c r="E265" s="101">
        <v>11</v>
      </c>
      <c r="G265" s="106">
        <v>236</v>
      </c>
      <c r="H265" s="106">
        <v>1897201.0726113752</v>
      </c>
      <c r="I265" s="106">
        <v>2111795.9273886248</v>
      </c>
    </row>
    <row r="266" spans="1:9" x14ac:dyDescent="0.2">
      <c r="A266" s="102">
        <v>18100000</v>
      </c>
      <c r="B266" s="101">
        <v>22360</v>
      </c>
      <c r="C266" s="101">
        <v>0</v>
      </c>
      <c r="D266" s="101">
        <v>4</v>
      </c>
      <c r="E266" s="101">
        <v>262</v>
      </c>
      <c r="G266" s="106">
        <v>237</v>
      </c>
      <c r="H266" s="106">
        <v>1743232.0878233803</v>
      </c>
      <c r="I266" s="106">
        <v>1635870.9121766197</v>
      </c>
    </row>
    <row r="267" spans="1:9" x14ac:dyDescent="0.2">
      <c r="A267" s="102">
        <v>19300000</v>
      </c>
      <c r="B267" s="101">
        <v>23026</v>
      </c>
      <c r="C267" s="101">
        <v>0</v>
      </c>
      <c r="D267" s="101">
        <v>3</v>
      </c>
      <c r="E267" s="101">
        <v>264</v>
      </c>
      <c r="G267" s="106">
        <v>238</v>
      </c>
      <c r="H267" s="106">
        <v>7896017.0734411553</v>
      </c>
      <c r="I267" s="106">
        <v>-1496017.0734411553</v>
      </c>
    </row>
    <row r="268" spans="1:9" x14ac:dyDescent="0.2">
      <c r="A268" s="102">
        <v>22200000</v>
      </c>
      <c r="B268" s="101">
        <v>21736</v>
      </c>
      <c r="C268" s="101">
        <v>1</v>
      </c>
      <c r="D268" s="101">
        <v>302</v>
      </c>
      <c r="E268" s="101">
        <v>302</v>
      </c>
      <c r="G268" s="106">
        <v>239</v>
      </c>
      <c r="H268" s="106">
        <v>6937545.144894667</v>
      </c>
      <c r="I268" s="106">
        <v>-137545.14489466697</v>
      </c>
    </row>
    <row r="269" spans="1:9" x14ac:dyDescent="0.2">
      <c r="A269" s="102">
        <v>600000</v>
      </c>
      <c r="B269" s="101">
        <v>24960</v>
      </c>
      <c r="C269" s="101">
        <v>0</v>
      </c>
      <c r="D269" s="101">
        <v>6</v>
      </c>
      <c r="E269" s="101">
        <v>6</v>
      </c>
      <c r="G269" s="106">
        <v>240</v>
      </c>
      <c r="H269" s="106">
        <v>3710176.8651626166</v>
      </c>
      <c r="I269" s="106">
        <v>-1610176.8651626166</v>
      </c>
    </row>
    <row r="270" spans="1:9" x14ac:dyDescent="0.2">
      <c r="A270" s="102">
        <v>750000</v>
      </c>
      <c r="B270" s="101">
        <v>28080</v>
      </c>
      <c r="C270" s="101">
        <v>0</v>
      </c>
      <c r="D270" s="101">
        <v>9</v>
      </c>
      <c r="E270" s="101">
        <v>9</v>
      </c>
      <c r="G270" s="106">
        <v>241</v>
      </c>
      <c r="H270" s="106">
        <v>1922682.2015024293</v>
      </c>
      <c r="I270" s="106">
        <v>-1357988.2015024293</v>
      </c>
    </row>
    <row r="271" spans="1:9" x14ac:dyDescent="0.2">
      <c r="A271" s="102">
        <v>1000000</v>
      </c>
      <c r="B271" s="101">
        <v>30160</v>
      </c>
      <c r="C271" s="101">
        <v>1</v>
      </c>
      <c r="D271" s="101">
        <v>12</v>
      </c>
      <c r="E271" s="101">
        <v>12</v>
      </c>
      <c r="G271" s="106">
        <v>242</v>
      </c>
      <c r="H271" s="106">
        <v>1947531.9527338389</v>
      </c>
      <c r="I271" s="106">
        <v>-1327092.9527338389</v>
      </c>
    </row>
    <row r="272" spans="1:9" x14ac:dyDescent="0.2">
      <c r="A272" s="102">
        <v>5845000</v>
      </c>
      <c r="B272" s="101">
        <v>21133</v>
      </c>
      <c r="C272" s="101">
        <v>0</v>
      </c>
      <c r="D272" s="101">
        <v>60</v>
      </c>
      <c r="E272" s="101">
        <v>60</v>
      </c>
      <c r="G272" s="106">
        <v>243</v>
      </c>
      <c r="H272" s="106">
        <v>2552688.1653334945</v>
      </c>
      <c r="I272" s="106">
        <v>-1769427.1653334945</v>
      </c>
    </row>
    <row r="273" spans="1:9" x14ac:dyDescent="0.2">
      <c r="A273" s="102">
        <v>6927000</v>
      </c>
      <c r="B273" s="101">
        <v>20904</v>
      </c>
      <c r="C273" s="101">
        <v>0</v>
      </c>
      <c r="D273" s="101">
        <v>71</v>
      </c>
      <c r="E273" s="101">
        <v>71</v>
      </c>
      <c r="G273" s="106">
        <v>244</v>
      </c>
      <c r="H273" s="106">
        <v>6215606.196557302</v>
      </c>
      <c r="I273" s="106">
        <v>-2015606.196557302</v>
      </c>
    </row>
    <row r="274" spans="1:9" x14ac:dyDescent="0.2">
      <c r="A274" s="102">
        <v>11000000</v>
      </c>
      <c r="B274" s="101">
        <v>21445</v>
      </c>
      <c r="C274" s="101">
        <v>0</v>
      </c>
      <c r="D274" s="101">
        <v>97</v>
      </c>
      <c r="E274" s="101">
        <v>97</v>
      </c>
      <c r="G274" s="106">
        <v>245</v>
      </c>
      <c r="H274" s="106">
        <v>7096747.8460472282</v>
      </c>
      <c r="I274" s="106">
        <v>-2296747.8460472282</v>
      </c>
    </row>
    <row r="275" spans="1:9" x14ac:dyDescent="0.2">
      <c r="A275" s="102">
        <v>8486927</v>
      </c>
      <c r="B275" s="101">
        <v>40563</v>
      </c>
      <c r="C275" s="101">
        <v>0</v>
      </c>
      <c r="D275" s="101">
        <v>0</v>
      </c>
      <c r="E275" s="101">
        <v>57</v>
      </c>
      <c r="G275" s="106">
        <v>246</v>
      </c>
      <c r="H275" s="106">
        <v>7912230.6198359551</v>
      </c>
      <c r="I275" s="106">
        <v>-2712230.6198359551</v>
      </c>
    </row>
    <row r="276" spans="1:9" x14ac:dyDescent="0.2">
      <c r="A276" s="102">
        <v>4327519</v>
      </c>
      <c r="B276" s="101">
        <v>37429</v>
      </c>
      <c r="C276" s="101">
        <v>0</v>
      </c>
      <c r="D276" s="101">
        <v>10</v>
      </c>
      <c r="E276" s="101">
        <v>53</v>
      </c>
      <c r="G276" s="106">
        <v>247</v>
      </c>
      <c r="H276" s="106">
        <v>4200221.1356692454</v>
      </c>
      <c r="I276" s="106">
        <v>-3270221.1356692454</v>
      </c>
    </row>
    <row r="277" spans="1:9" x14ac:dyDescent="0.2">
      <c r="A277" s="102">
        <v>8533205</v>
      </c>
      <c r="B277" s="101">
        <v>42583</v>
      </c>
      <c r="C277" s="101">
        <v>0</v>
      </c>
      <c r="D277" s="101">
        <v>5</v>
      </c>
      <c r="E277" s="101">
        <v>62</v>
      </c>
      <c r="G277" s="106">
        <v>248</v>
      </c>
      <c r="H277" s="106">
        <v>5070288.6594287613</v>
      </c>
      <c r="I277" s="106">
        <v>-4090288.6594287613</v>
      </c>
    </row>
    <row r="278" spans="1:9" x14ac:dyDescent="0.2">
      <c r="A278" s="102">
        <v>8000000</v>
      </c>
      <c r="B278" s="101">
        <v>15000</v>
      </c>
      <c r="C278" s="101">
        <v>0</v>
      </c>
      <c r="D278" s="101">
        <v>0</v>
      </c>
      <c r="E278" s="101">
        <v>40</v>
      </c>
      <c r="G278" s="106">
        <v>249</v>
      </c>
      <c r="H278" s="106">
        <v>5120571.0606158823</v>
      </c>
      <c r="I278" s="106">
        <v>-3620571.0606158823</v>
      </c>
    </row>
    <row r="279" spans="1:9" x14ac:dyDescent="0.2">
      <c r="A279" s="102">
        <v>8500000</v>
      </c>
      <c r="B279" s="101">
        <v>15500</v>
      </c>
      <c r="C279" s="101">
        <v>0</v>
      </c>
      <c r="D279" s="101">
        <v>0</v>
      </c>
      <c r="E279" s="101">
        <v>40</v>
      </c>
      <c r="G279" s="106">
        <v>250</v>
      </c>
      <c r="H279" s="106">
        <v>3763905.4779948145</v>
      </c>
      <c r="I279" s="106">
        <v>-2563905.4779948145</v>
      </c>
    </row>
    <row r="280" spans="1:9" x14ac:dyDescent="0.2">
      <c r="A280" s="102">
        <v>10000000</v>
      </c>
      <c r="B280" s="101">
        <v>17000</v>
      </c>
      <c r="C280" s="101">
        <v>0</v>
      </c>
      <c r="D280" s="101">
        <v>0</v>
      </c>
      <c r="E280" s="101">
        <v>60</v>
      </c>
      <c r="G280" s="106">
        <v>251</v>
      </c>
      <c r="H280" s="106">
        <v>3918674.1787838847</v>
      </c>
      <c r="I280" s="106">
        <v>-2618674.1787838847</v>
      </c>
    </row>
    <row r="281" spans="1:9" x14ac:dyDescent="0.2">
      <c r="A281" s="102">
        <v>10000000</v>
      </c>
      <c r="B281" s="101">
        <v>15000</v>
      </c>
      <c r="C281" s="101">
        <v>0</v>
      </c>
      <c r="D281" s="101">
        <v>5</v>
      </c>
      <c r="E281" s="101">
        <v>100</v>
      </c>
      <c r="G281" s="106">
        <v>252</v>
      </c>
      <c r="H281" s="106">
        <v>3688175.4186208742</v>
      </c>
      <c r="I281" s="106">
        <v>-2588175.4186208742</v>
      </c>
    </row>
    <row r="282" spans="1:9" x14ac:dyDescent="0.2">
      <c r="A282" s="102">
        <v>12000000</v>
      </c>
      <c r="B282" s="101">
        <v>16000</v>
      </c>
      <c r="C282" s="101">
        <v>0</v>
      </c>
      <c r="D282" s="101">
        <v>21</v>
      </c>
      <c r="E282" s="101">
        <v>125</v>
      </c>
      <c r="G282" s="106">
        <v>253</v>
      </c>
      <c r="H282" s="106">
        <v>1743232.0878233803</v>
      </c>
      <c r="I282" s="106">
        <v>-543232.08782338025</v>
      </c>
    </row>
    <row r="283" spans="1:9" x14ac:dyDescent="0.2">
      <c r="A283" s="102">
        <v>48000000</v>
      </c>
      <c r="B283" s="101">
        <v>18700</v>
      </c>
      <c r="C283" s="101">
        <v>1</v>
      </c>
      <c r="D283" s="101">
        <v>290</v>
      </c>
      <c r="E283" s="101">
        <v>290</v>
      </c>
      <c r="G283" s="106">
        <v>254</v>
      </c>
      <c r="H283" s="106">
        <v>2232368.7233384885</v>
      </c>
      <c r="I283" s="106">
        <v>-882368.72333848849</v>
      </c>
    </row>
    <row r="284" spans="1:9" x14ac:dyDescent="0.2">
      <c r="A284" s="102">
        <v>1000000</v>
      </c>
      <c r="B284" s="101">
        <v>17000</v>
      </c>
      <c r="C284" s="101">
        <v>0</v>
      </c>
      <c r="D284" s="101">
        <v>0</v>
      </c>
      <c r="E284" s="101">
        <v>9</v>
      </c>
      <c r="G284" s="106">
        <v>255</v>
      </c>
      <c r="H284" s="106">
        <v>3591088.3884498989</v>
      </c>
      <c r="I284" s="106">
        <v>-2111088.3884498989</v>
      </c>
    </row>
    <row r="285" spans="1:9" x14ac:dyDescent="0.2">
      <c r="A285" s="102">
        <v>6870314</v>
      </c>
      <c r="B285" s="101">
        <v>12750</v>
      </c>
      <c r="C285" s="101">
        <v>0</v>
      </c>
      <c r="D285" s="101">
        <v>60</v>
      </c>
      <c r="E285" s="101">
        <v>60</v>
      </c>
      <c r="G285" s="106">
        <v>256</v>
      </c>
      <c r="H285" s="106">
        <v>17174128.150941133</v>
      </c>
      <c r="I285" s="106">
        <v>5525871.8490588665</v>
      </c>
    </row>
    <row r="286" spans="1:9" x14ac:dyDescent="0.2">
      <c r="A286" s="102">
        <v>7079852</v>
      </c>
      <c r="B286" s="101">
        <v>11875</v>
      </c>
      <c r="C286" s="101">
        <v>0</v>
      </c>
      <c r="D286" s="101">
        <v>65</v>
      </c>
      <c r="E286" s="101">
        <v>65</v>
      </c>
      <c r="G286" s="106">
        <v>257</v>
      </c>
      <c r="H286" s="106">
        <v>18583374.632517166</v>
      </c>
      <c r="I286" s="106">
        <v>12216625.367482834</v>
      </c>
    </row>
    <row r="287" spans="1:9" x14ac:dyDescent="0.2">
      <c r="A287" s="102">
        <v>8040128</v>
      </c>
      <c r="B287" s="101">
        <v>12625</v>
      </c>
      <c r="C287" s="101">
        <v>1</v>
      </c>
      <c r="D287" s="101">
        <v>75</v>
      </c>
      <c r="E287" s="101">
        <v>75</v>
      </c>
      <c r="G287" s="106">
        <v>258</v>
      </c>
      <c r="H287" s="106">
        <v>17829025.379901506</v>
      </c>
      <c r="I287" s="106">
        <v>10570974.620098494</v>
      </c>
    </row>
    <row r="288" spans="1:9" x14ac:dyDescent="0.2">
      <c r="A288" s="102">
        <v>6000000</v>
      </c>
      <c r="B288" s="101">
        <v>15250</v>
      </c>
      <c r="C288" s="101">
        <v>0</v>
      </c>
      <c r="D288" s="101">
        <v>5</v>
      </c>
      <c r="E288" s="101">
        <v>32</v>
      </c>
      <c r="G288" s="106">
        <v>259</v>
      </c>
      <c r="H288" s="106">
        <v>10474697.103925828</v>
      </c>
      <c r="I288" s="106">
        <v>-474697.10392582789</v>
      </c>
    </row>
    <row r="289" spans="1:9" x14ac:dyDescent="0.2">
      <c r="A289" s="102">
        <v>6100000</v>
      </c>
      <c r="B289" s="101">
        <v>16290</v>
      </c>
      <c r="C289" s="101">
        <v>0</v>
      </c>
      <c r="D289" s="101">
        <v>10</v>
      </c>
      <c r="E289" s="101">
        <v>36</v>
      </c>
      <c r="G289" s="106">
        <v>260</v>
      </c>
      <c r="H289" s="106">
        <v>9389773.2629812993</v>
      </c>
      <c r="I289" s="106">
        <v>-389773.26298129931</v>
      </c>
    </row>
    <row r="290" spans="1:9" x14ac:dyDescent="0.2">
      <c r="A290" s="102">
        <v>6300000</v>
      </c>
      <c r="B290" s="101">
        <v>17370</v>
      </c>
      <c r="C290" s="101">
        <v>1</v>
      </c>
      <c r="D290" s="101">
        <v>40</v>
      </c>
      <c r="E290" s="101">
        <v>40</v>
      </c>
      <c r="G290" s="106">
        <v>261</v>
      </c>
      <c r="H290" s="106">
        <v>9540145.4002544917</v>
      </c>
      <c r="I290" s="106">
        <v>-40145.400254491717</v>
      </c>
    </row>
    <row r="291" spans="1:9" x14ac:dyDescent="0.2">
      <c r="A291" s="102">
        <v>2700000</v>
      </c>
      <c r="B291" s="101">
        <v>10920</v>
      </c>
      <c r="C291" s="101">
        <v>0</v>
      </c>
      <c r="D291" s="101">
        <v>5</v>
      </c>
      <c r="E291" s="101">
        <v>20</v>
      </c>
      <c r="G291" s="106">
        <v>262</v>
      </c>
      <c r="H291" s="106">
        <v>118474.68186383659</v>
      </c>
      <c r="I291" s="106">
        <v>756525.31813616341</v>
      </c>
    </row>
    <row r="292" spans="1:9" x14ac:dyDescent="0.2">
      <c r="A292" s="102">
        <v>3100000</v>
      </c>
      <c r="B292" s="101">
        <v>11856</v>
      </c>
      <c r="C292" s="101">
        <v>0</v>
      </c>
      <c r="D292" s="101">
        <v>12</v>
      </c>
      <c r="E292" s="101">
        <v>22</v>
      </c>
      <c r="G292" s="106">
        <v>263</v>
      </c>
      <c r="H292" s="106">
        <v>464553.68031247158</v>
      </c>
      <c r="I292" s="106">
        <v>15435446.319687529</v>
      </c>
    </row>
    <row r="293" spans="1:9" x14ac:dyDescent="0.2">
      <c r="A293" s="102">
        <v>4700000</v>
      </c>
      <c r="B293" s="101">
        <v>13520</v>
      </c>
      <c r="C293" s="101">
        <v>1</v>
      </c>
      <c r="D293" s="101">
        <v>37</v>
      </c>
      <c r="E293" s="101">
        <v>37</v>
      </c>
      <c r="G293" s="106">
        <v>264</v>
      </c>
      <c r="H293" s="106">
        <v>419734.28032599145</v>
      </c>
      <c r="I293" s="106">
        <v>1830265.7196740084</v>
      </c>
    </row>
    <row r="294" spans="1:9" x14ac:dyDescent="0.2">
      <c r="A294" s="102">
        <v>1585000</v>
      </c>
      <c r="B294" s="101">
        <v>14560</v>
      </c>
      <c r="C294" s="101">
        <v>0</v>
      </c>
      <c r="D294" s="101">
        <v>1</v>
      </c>
      <c r="E294" s="101">
        <v>14</v>
      </c>
      <c r="G294" s="106">
        <v>265</v>
      </c>
      <c r="H294" s="106">
        <v>24577743.037693664</v>
      </c>
      <c r="I294" s="106">
        <v>-6477743.0376936644</v>
      </c>
    </row>
    <row r="295" spans="1:9" x14ac:dyDescent="0.2">
      <c r="A295" s="102">
        <v>1560000</v>
      </c>
      <c r="B295" s="101">
        <v>19240</v>
      </c>
      <c r="C295" s="101">
        <v>0</v>
      </c>
      <c r="D295" s="101">
        <v>0</v>
      </c>
      <c r="E295" s="101">
        <v>11</v>
      </c>
      <c r="G295" s="106">
        <v>266</v>
      </c>
      <c r="H295" s="106">
        <v>24856163.150484037</v>
      </c>
      <c r="I295" s="106">
        <v>-5556163.1504840367</v>
      </c>
    </row>
    <row r="296" spans="1:9" x14ac:dyDescent="0.2">
      <c r="A296" s="102">
        <v>1747000</v>
      </c>
      <c r="B296" s="101">
        <v>20280</v>
      </c>
      <c r="C296" s="101">
        <v>1</v>
      </c>
      <c r="D296" s="101">
        <v>12</v>
      </c>
      <c r="E296" s="101">
        <v>12</v>
      </c>
      <c r="G296" s="106">
        <v>267</v>
      </c>
      <c r="H296" s="106">
        <v>35245253.006006837</v>
      </c>
      <c r="I296" s="106">
        <v>-13045253.006006837</v>
      </c>
    </row>
    <row r="297" spans="1:9" x14ac:dyDescent="0.2">
      <c r="A297" s="102">
        <v>2400000</v>
      </c>
      <c r="B297" s="101">
        <v>16307</v>
      </c>
      <c r="C297" s="101">
        <v>0</v>
      </c>
      <c r="D297" s="101">
        <v>10</v>
      </c>
      <c r="E297" s="101">
        <v>40</v>
      </c>
      <c r="G297" s="106">
        <v>268</v>
      </c>
      <c r="H297" s="106">
        <v>2486802.6568586207</v>
      </c>
      <c r="I297" s="106">
        <v>-1886802.6568586207</v>
      </c>
    </row>
    <row r="298" spans="1:9" x14ac:dyDescent="0.2">
      <c r="A298" s="102">
        <v>2300000</v>
      </c>
      <c r="B298" s="101">
        <v>16827</v>
      </c>
      <c r="C298" s="101">
        <v>0</v>
      </c>
      <c r="D298" s="101">
        <v>15</v>
      </c>
      <c r="E298" s="101">
        <v>36</v>
      </c>
      <c r="G298" s="106">
        <v>269</v>
      </c>
      <c r="H298" s="106">
        <v>3433568.0361883817</v>
      </c>
      <c r="I298" s="106">
        <v>-2683568.0361883817</v>
      </c>
    </row>
    <row r="299" spans="1:9" x14ac:dyDescent="0.2">
      <c r="A299" s="102">
        <v>2700000</v>
      </c>
      <c r="B299" s="101">
        <v>17347</v>
      </c>
      <c r="C299" s="101">
        <v>1</v>
      </c>
      <c r="D299" s="101">
        <v>33</v>
      </c>
      <c r="E299" s="101">
        <v>33</v>
      </c>
      <c r="G299" s="106">
        <v>270</v>
      </c>
      <c r="H299" s="106">
        <v>3445679.3279004656</v>
      </c>
      <c r="I299" s="106">
        <v>-2445679.3279004656</v>
      </c>
    </row>
    <row r="300" spans="1:9" x14ac:dyDescent="0.2">
      <c r="A300" s="102">
        <v>373164</v>
      </c>
      <c r="B300" s="101">
        <v>17680</v>
      </c>
      <c r="C300" s="101">
        <v>0</v>
      </c>
      <c r="D300" s="101">
        <v>2</v>
      </c>
      <c r="E300" s="101">
        <v>6</v>
      </c>
      <c r="G300" s="106">
        <v>271</v>
      </c>
      <c r="H300" s="106">
        <v>7973059.8947280999</v>
      </c>
      <c r="I300" s="106">
        <v>-2128059.8947280999</v>
      </c>
    </row>
    <row r="301" spans="1:9" x14ac:dyDescent="0.2">
      <c r="A301" s="102">
        <v>422611</v>
      </c>
      <c r="B301" s="101">
        <v>17680</v>
      </c>
      <c r="C301" s="101">
        <v>0</v>
      </c>
      <c r="D301" s="101">
        <v>4</v>
      </c>
      <c r="E301" s="101">
        <v>8</v>
      </c>
      <c r="G301" s="106">
        <v>272</v>
      </c>
      <c r="H301" s="106">
        <v>9196689.9513456449</v>
      </c>
      <c r="I301" s="106">
        <v>-2269689.9513456449</v>
      </c>
    </row>
    <row r="302" spans="1:9" x14ac:dyDescent="0.2">
      <c r="A302" s="102">
        <v>390210</v>
      </c>
      <c r="B302" s="101">
        <v>17846</v>
      </c>
      <c r="C302" s="101">
        <v>0</v>
      </c>
      <c r="D302" s="101">
        <v>4</v>
      </c>
      <c r="E302" s="101">
        <v>9</v>
      </c>
      <c r="G302" s="106">
        <v>273</v>
      </c>
      <c r="H302" s="106">
        <v>12297388.681652319</v>
      </c>
      <c r="I302" s="106">
        <v>-1297388.6816523187</v>
      </c>
    </row>
    <row r="303" spans="1:9" x14ac:dyDescent="0.2">
      <c r="A303" s="102">
        <v>5000000</v>
      </c>
      <c r="B303" s="101">
        <v>29000</v>
      </c>
      <c r="C303" s="101">
        <v>0</v>
      </c>
      <c r="D303" s="101">
        <v>13</v>
      </c>
      <c r="E303" s="101">
        <v>62</v>
      </c>
      <c r="G303" s="106">
        <v>274</v>
      </c>
      <c r="H303" s="106">
        <v>9843103.6121090986</v>
      </c>
      <c r="I303" s="106">
        <v>-1356176.6121090986</v>
      </c>
    </row>
    <row r="304" spans="1:9" x14ac:dyDescent="0.2">
      <c r="A304" s="102">
        <v>6000000</v>
      </c>
      <c r="B304" s="101">
        <v>34000</v>
      </c>
      <c r="C304" s="101">
        <v>0</v>
      </c>
      <c r="D304" s="101">
        <v>13</v>
      </c>
      <c r="E304" s="101">
        <v>74</v>
      </c>
      <c r="G304" s="106">
        <v>275</v>
      </c>
      <c r="H304" s="106">
        <v>9153464.6358630136</v>
      </c>
      <c r="I304" s="106">
        <v>-4825945.6358630136</v>
      </c>
    </row>
    <row r="305" spans="1:9" x14ac:dyDescent="0.2">
      <c r="A305" s="102">
        <v>8000000</v>
      </c>
      <c r="B305" s="101">
        <v>39000</v>
      </c>
      <c r="C305" s="101">
        <v>0</v>
      </c>
      <c r="D305" s="101">
        <v>13</v>
      </c>
      <c r="E305" s="101">
        <v>82</v>
      </c>
      <c r="G305" s="106">
        <v>276</v>
      </c>
      <c r="H305" s="106">
        <v>10808470.648078226</v>
      </c>
      <c r="I305" s="106">
        <v>-2275265.6480782256</v>
      </c>
    </row>
    <row r="306" spans="1:9" x14ac:dyDescent="0.2">
      <c r="A306" s="102">
        <v>8450000</v>
      </c>
      <c r="B306" s="101">
        <v>13416</v>
      </c>
      <c r="C306" s="101">
        <v>0</v>
      </c>
      <c r="D306" s="101">
        <v>40</v>
      </c>
      <c r="E306" s="101">
        <v>75</v>
      </c>
      <c r="G306" s="106">
        <v>277</v>
      </c>
      <c r="H306" s="106">
        <v>3415013.4658260206</v>
      </c>
      <c r="I306" s="106">
        <v>4584986.5341739794</v>
      </c>
    </row>
    <row r="307" spans="1:9" x14ac:dyDescent="0.2">
      <c r="A307" s="102">
        <v>10300000</v>
      </c>
      <c r="B307" s="101">
        <v>15184</v>
      </c>
      <c r="C307" s="101">
        <v>0</v>
      </c>
      <c r="D307" s="101">
        <v>72</v>
      </c>
      <c r="E307" s="101">
        <v>72</v>
      </c>
      <c r="G307" s="106">
        <v>278</v>
      </c>
      <c r="H307" s="106">
        <v>3511330.3310640403</v>
      </c>
      <c r="I307" s="106">
        <v>4988669.6689359602</v>
      </c>
    </row>
    <row r="308" spans="1:9" x14ac:dyDescent="0.2">
      <c r="A308" s="102">
        <v>10200000</v>
      </c>
      <c r="B308" s="101">
        <v>17451</v>
      </c>
      <c r="C308" s="101">
        <v>1</v>
      </c>
      <c r="D308" s="101">
        <v>75</v>
      </c>
      <c r="E308" s="101">
        <v>75</v>
      </c>
      <c r="G308" s="106">
        <v>279</v>
      </c>
      <c r="H308" s="106">
        <v>5569450.4492769968</v>
      </c>
      <c r="I308" s="106">
        <v>4430549.5507230032</v>
      </c>
    </row>
    <row r="309" spans="1:9" x14ac:dyDescent="0.2">
      <c r="A309" s="102">
        <v>1980000</v>
      </c>
      <c r="B309" s="101">
        <v>15600</v>
      </c>
      <c r="C309" s="101">
        <v>0</v>
      </c>
      <c r="D309" s="101">
        <v>0</v>
      </c>
      <c r="E309" s="101">
        <v>19</v>
      </c>
      <c r="G309" s="106">
        <v>280</v>
      </c>
      <c r="H309" s="106">
        <v>8856476.5531055108</v>
      </c>
      <c r="I309" s="106">
        <v>1143523.4468944892</v>
      </c>
    </row>
    <row r="310" spans="1:9" x14ac:dyDescent="0.2">
      <c r="A310" s="102">
        <v>1600000</v>
      </c>
      <c r="B310" s="101">
        <v>17160</v>
      </c>
      <c r="C310" s="101">
        <v>0</v>
      </c>
      <c r="D310" s="101">
        <v>0</v>
      </c>
      <c r="E310" s="101">
        <v>15</v>
      </c>
      <c r="G310" s="106">
        <v>281</v>
      </c>
      <c r="H310" s="106">
        <v>11689226.650010139</v>
      </c>
      <c r="I310" s="106">
        <v>310773.34998986125</v>
      </c>
    </row>
    <row r="311" spans="1:9" x14ac:dyDescent="0.2">
      <c r="A311" s="102">
        <v>1430000</v>
      </c>
      <c r="B311" s="101">
        <v>18720</v>
      </c>
      <c r="C311" s="101">
        <v>1</v>
      </c>
      <c r="D311" s="101">
        <v>12</v>
      </c>
      <c r="E311" s="101">
        <v>12</v>
      </c>
      <c r="G311" s="106">
        <v>282</v>
      </c>
      <c r="H311" s="106">
        <v>33277424.43930351</v>
      </c>
      <c r="I311" s="106">
        <v>14722575.56069649</v>
      </c>
    </row>
    <row r="312" spans="1:9" x14ac:dyDescent="0.2">
      <c r="A312" s="102">
        <v>6000000</v>
      </c>
      <c r="B312" s="101">
        <v>14352</v>
      </c>
      <c r="C312" s="101">
        <v>0</v>
      </c>
      <c r="D312" s="101">
        <v>250</v>
      </c>
      <c r="E312" s="101">
        <v>250</v>
      </c>
      <c r="G312" s="106">
        <v>283</v>
      </c>
      <c r="H312" s="106">
        <v>1058068.166904812</v>
      </c>
      <c r="I312" s="106">
        <v>-58068.16690481198</v>
      </c>
    </row>
    <row r="313" spans="1:9" x14ac:dyDescent="0.2">
      <c r="A313" s="102">
        <v>18000000</v>
      </c>
      <c r="B313" s="101">
        <v>15184</v>
      </c>
      <c r="C313" s="101">
        <v>0</v>
      </c>
      <c r="D313" s="101">
        <v>290</v>
      </c>
      <c r="E313" s="101">
        <v>290</v>
      </c>
      <c r="G313" s="106">
        <v>284</v>
      </c>
      <c r="H313" s="106">
        <v>6358211.3321474539</v>
      </c>
      <c r="I313" s="106">
        <v>512102.66785254609</v>
      </c>
    </row>
    <row r="314" spans="1:9" x14ac:dyDescent="0.2">
      <c r="A314" s="102">
        <v>54000000</v>
      </c>
      <c r="B314" s="101">
        <v>16432</v>
      </c>
      <c r="C314" s="101">
        <v>0</v>
      </c>
      <c r="D314" s="101">
        <v>350</v>
      </c>
      <c r="E314" s="101">
        <v>350</v>
      </c>
      <c r="G314" s="106">
        <v>285</v>
      </c>
      <c r="H314" s="106">
        <v>6765903.7183884457</v>
      </c>
      <c r="I314" s="106">
        <v>313948.28161155432</v>
      </c>
    </row>
    <row r="315" spans="1:9" x14ac:dyDescent="0.2">
      <c r="A315" s="102">
        <v>1700000</v>
      </c>
      <c r="B315" s="101">
        <v>16640</v>
      </c>
      <c r="C315" s="101">
        <v>0</v>
      </c>
      <c r="D315" s="101">
        <v>4</v>
      </c>
      <c r="E315" s="101">
        <v>19</v>
      </c>
      <c r="G315" s="106">
        <v>286</v>
      </c>
      <c r="H315" s="106">
        <v>7328557.809137933</v>
      </c>
      <c r="I315" s="106">
        <v>711570.19086206704</v>
      </c>
    </row>
    <row r="316" spans="1:9" x14ac:dyDescent="0.2">
      <c r="A316" s="102">
        <v>2000000</v>
      </c>
      <c r="B316" s="101">
        <v>17160</v>
      </c>
      <c r="C316" s="101">
        <v>0</v>
      </c>
      <c r="D316" s="101">
        <v>19</v>
      </c>
      <c r="E316" s="101">
        <v>19</v>
      </c>
      <c r="G316" s="106">
        <v>287</v>
      </c>
      <c r="H316" s="106">
        <v>2889458.6092282748</v>
      </c>
      <c r="I316" s="106">
        <v>3110541.3907717252</v>
      </c>
    </row>
    <row r="317" spans="1:9" x14ac:dyDescent="0.2">
      <c r="A317" s="102">
        <v>2200000</v>
      </c>
      <c r="B317" s="101">
        <v>17680</v>
      </c>
      <c r="C317" s="101">
        <v>1</v>
      </c>
      <c r="D317" s="101">
        <v>11</v>
      </c>
      <c r="E317" s="101">
        <v>21</v>
      </c>
      <c r="G317" s="106">
        <v>288</v>
      </c>
      <c r="H317" s="106">
        <v>3577586.1132059381</v>
      </c>
      <c r="I317" s="106">
        <v>2522413.8867940619</v>
      </c>
    </row>
    <row r="318" spans="1:9" x14ac:dyDescent="0.2">
      <c r="A318" s="102">
        <v>11400000</v>
      </c>
      <c r="B318" s="101">
        <v>14394</v>
      </c>
      <c r="C318" s="101">
        <v>0</v>
      </c>
      <c r="D318" s="101">
        <v>0</v>
      </c>
      <c r="E318" s="101">
        <v>89</v>
      </c>
      <c r="G318" s="106">
        <v>289</v>
      </c>
      <c r="H318" s="106">
        <v>4208876.5573940575</v>
      </c>
      <c r="I318" s="106">
        <v>2091123.4426059425</v>
      </c>
    </row>
    <row r="319" spans="1:9" x14ac:dyDescent="0.2">
      <c r="A319" s="102">
        <v>4748000</v>
      </c>
      <c r="B319" s="101">
        <v>15454</v>
      </c>
      <c r="C319" s="101">
        <v>0</v>
      </c>
      <c r="D319" s="101">
        <v>0</v>
      </c>
      <c r="E319" s="101">
        <v>59</v>
      </c>
      <c r="G319" s="106">
        <v>290</v>
      </c>
      <c r="H319" s="106">
        <v>993852.84276768239</v>
      </c>
      <c r="I319" s="106">
        <v>1706147.1572323176</v>
      </c>
    </row>
    <row r="320" spans="1:9" x14ac:dyDescent="0.2">
      <c r="A320" s="102">
        <v>7175000</v>
      </c>
      <c r="B320" s="101">
        <v>15558</v>
      </c>
      <c r="C320" s="101">
        <v>0</v>
      </c>
      <c r="D320" s="101">
        <v>105</v>
      </c>
      <c r="E320" s="101">
        <v>105</v>
      </c>
      <c r="G320" s="106">
        <v>291</v>
      </c>
      <c r="H320" s="106">
        <v>1538611.2944390692</v>
      </c>
      <c r="I320" s="106">
        <v>1561388.7055609308</v>
      </c>
    </row>
    <row r="321" spans="1:9" x14ac:dyDescent="0.2">
      <c r="A321" s="102">
        <v>3317000</v>
      </c>
      <c r="B321" s="101">
        <v>16640</v>
      </c>
      <c r="C321" s="101">
        <v>0</v>
      </c>
      <c r="D321" s="101">
        <v>40</v>
      </c>
      <c r="E321" s="101">
        <v>40</v>
      </c>
      <c r="G321" s="106">
        <v>292</v>
      </c>
      <c r="H321" s="106">
        <v>3121488.5548167876</v>
      </c>
      <c r="I321" s="106">
        <v>1578511.4451832124</v>
      </c>
    </row>
    <row r="322" spans="1:9" x14ac:dyDescent="0.2">
      <c r="A322" s="102">
        <v>3692000</v>
      </c>
      <c r="B322" s="101">
        <v>16640</v>
      </c>
      <c r="C322" s="101">
        <v>0</v>
      </c>
      <c r="D322" s="101">
        <v>55</v>
      </c>
      <c r="E322" s="101">
        <v>55</v>
      </c>
      <c r="G322" s="106">
        <v>293</v>
      </c>
      <c r="H322" s="106">
        <v>1057125.1491245581</v>
      </c>
      <c r="I322" s="106">
        <v>527874.85087544192</v>
      </c>
    </row>
    <row r="323" spans="1:9" x14ac:dyDescent="0.2">
      <c r="A323" s="102">
        <v>3252000</v>
      </c>
      <c r="B323" s="101">
        <v>16640</v>
      </c>
      <c r="C323" s="101">
        <v>0</v>
      </c>
      <c r="D323" s="101">
        <v>15</v>
      </c>
      <c r="E323" s="101">
        <v>65</v>
      </c>
      <c r="G323" s="106">
        <v>294</v>
      </c>
      <c r="H323" s="106">
        <v>1666484.6754210317</v>
      </c>
      <c r="I323" s="106">
        <v>-106484.67542103166</v>
      </c>
    </row>
    <row r="324" spans="1:9" x14ac:dyDescent="0.2">
      <c r="A324" s="102">
        <v>12500000</v>
      </c>
      <c r="B324" s="101">
        <v>9360</v>
      </c>
      <c r="C324" s="101">
        <v>0</v>
      </c>
      <c r="D324" s="101">
        <v>0</v>
      </c>
      <c r="E324" s="101">
        <v>175</v>
      </c>
      <c r="G324" s="106">
        <v>295</v>
      </c>
      <c r="H324" s="106">
        <v>1542458.0707971875</v>
      </c>
      <c r="I324" s="106">
        <v>204541.92920281249</v>
      </c>
    </row>
    <row r="325" spans="1:9" x14ac:dyDescent="0.2">
      <c r="A325" s="102">
        <v>12500000</v>
      </c>
      <c r="B325" s="101">
        <v>10400</v>
      </c>
      <c r="C325" s="101">
        <v>0</v>
      </c>
      <c r="D325" s="101">
        <v>0</v>
      </c>
      <c r="E325" s="101">
        <v>225</v>
      </c>
      <c r="G325" s="106">
        <v>296</v>
      </c>
      <c r="H325" s="106">
        <v>3934694.7911238098</v>
      </c>
      <c r="I325" s="106">
        <v>-1534694.7911238098</v>
      </c>
    </row>
    <row r="326" spans="1:9" x14ac:dyDescent="0.2">
      <c r="A326" s="102">
        <v>18200000</v>
      </c>
      <c r="B326" s="101">
        <v>11440</v>
      </c>
      <c r="C326" s="101">
        <v>0</v>
      </c>
      <c r="D326" s="101">
        <v>200</v>
      </c>
      <c r="E326" s="101">
        <v>275</v>
      </c>
      <c r="G326" s="106">
        <v>297</v>
      </c>
      <c r="H326" s="106">
        <v>3814984.946254374</v>
      </c>
      <c r="I326" s="106">
        <v>-1514984.946254374</v>
      </c>
    </row>
    <row r="327" spans="1:9" x14ac:dyDescent="0.2">
      <c r="A327" s="102">
        <v>15100000</v>
      </c>
      <c r="B327" s="101">
        <v>21000</v>
      </c>
      <c r="C327" s="101">
        <v>0</v>
      </c>
      <c r="D327" s="101">
        <v>35</v>
      </c>
      <c r="E327" s="101">
        <v>110</v>
      </c>
      <c r="G327" s="106">
        <v>298</v>
      </c>
      <c r="H327" s="106">
        <v>3397700.321022572</v>
      </c>
      <c r="I327" s="106">
        <v>-697700.321022572</v>
      </c>
    </row>
    <row r="328" spans="1:9" x14ac:dyDescent="0.2">
      <c r="A328" s="102">
        <v>16000000</v>
      </c>
      <c r="B328" s="101">
        <v>21000</v>
      </c>
      <c r="C328" s="101">
        <v>0</v>
      </c>
      <c r="D328" s="101">
        <v>40</v>
      </c>
      <c r="E328" s="101">
        <v>125</v>
      </c>
      <c r="G328" s="106">
        <v>299</v>
      </c>
      <c r="H328" s="106">
        <v>977265.4831668057</v>
      </c>
      <c r="I328" s="106">
        <v>-604101.4831668057</v>
      </c>
    </row>
    <row r="329" spans="1:9" x14ac:dyDescent="0.2">
      <c r="A329" s="102">
        <v>28900000</v>
      </c>
      <c r="B329" s="101">
        <v>21000</v>
      </c>
      <c r="C329" s="101">
        <v>0</v>
      </c>
      <c r="D329" s="101">
        <v>160</v>
      </c>
      <c r="E329" s="101">
        <v>225</v>
      </c>
      <c r="G329" s="106">
        <v>300</v>
      </c>
      <c r="H329" s="106">
        <v>1207764.2433298163</v>
      </c>
      <c r="I329" s="106">
        <v>-785153.24332981627</v>
      </c>
    </row>
    <row r="330" spans="1:9" x14ac:dyDescent="0.2">
      <c r="A330" s="102">
        <v>1494764</v>
      </c>
      <c r="B330" s="101">
        <v>30000</v>
      </c>
      <c r="C330" s="101">
        <v>0</v>
      </c>
      <c r="D330" s="101">
        <v>4</v>
      </c>
      <c r="E330" s="101">
        <v>4</v>
      </c>
      <c r="G330" s="106">
        <v>301</v>
      </c>
      <c r="H330" s="106">
        <v>1328199.9187137838</v>
      </c>
      <c r="I330" s="106">
        <v>-937989.91871378385</v>
      </c>
    </row>
    <row r="331" spans="1:9" x14ac:dyDescent="0.2">
      <c r="A331" s="102">
        <v>2566104</v>
      </c>
      <c r="B331" s="101">
        <v>31000</v>
      </c>
      <c r="C331" s="101">
        <v>0</v>
      </c>
      <c r="D331" s="101">
        <v>5</v>
      </c>
      <c r="E331" s="101">
        <v>5</v>
      </c>
      <c r="G331" s="106">
        <v>302</v>
      </c>
      <c r="H331" s="106">
        <v>8406253.9186746553</v>
      </c>
      <c r="I331" s="106">
        <v>-3406253.9186746553</v>
      </c>
    </row>
    <row r="332" spans="1:9" x14ac:dyDescent="0.2">
      <c r="A332" s="102">
        <v>2191680</v>
      </c>
      <c r="B332" s="101">
        <v>35000</v>
      </c>
      <c r="C332" s="101">
        <v>0</v>
      </c>
      <c r="D332" s="101">
        <v>10</v>
      </c>
      <c r="E332" s="101">
        <v>10</v>
      </c>
      <c r="G332" s="106">
        <v>303</v>
      </c>
      <c r="H332" s="106">
        <v>10430924.284554195</v>
      </c>
      <c r="I332" s="106">
        <v>-4430924.2845541947</v>
      </c>
    </row>
    <row r="333" spans="1:9" x14ac:dyDescent="0.2">
      <c r="A333" s="102">
        <v>1503906</v>
      </c>
      <c r="B333" s="101">
        <v>15500</v>
      </c>
      <c r="C333" s="101">
        <v>0</v>
      </c>
      <c r="D333" s="101">
        <v>0</v>
      </c>
      <c r="E333" s="101">
        <v>30</v>
      </c>
      <c r="G333" s="106">
        <v>304</v>
      </c>
      <c r="H333" s="106">
        <v>12101760.745933954</v>
      </c>
      <c r="I333" s="106">
        <v>-4101760.7459339537</v>
      </c>
    </row>
    <row r="334" spans="1:9" x14ac:dyDescent="0.2">
      <c r="A334" s="102">
        <v>1360372</v>
      </c>
      <c r="B334" s="101">
        <v>16500</v>
      </c>
      <c r="C334" s="101">
        <v>0</v>
      </c>
      <c r="D334" s="101">
        <v>13</v>
      </c>
      <c r="E334" s="101">
        <v>30</v>
      </c>
      <c r="G334" s="106">
        <v>305</v>
      </c>
      <c r="H334" s="106">
        <v>7277564.4593874598</v>
      </c>
      <c r="I334" s="106">
        <v>1172435.5406125402</v>
      </c>
    </row>
    <row r="335" spans="1:9" x14ac:dyDescent="0.2">
      <c r="A335" s="102">
        <v>1000000</v>
      </c>
      <c r="B335" s="101">
        <v>10000</v>
      </c>
      <c r="C335" s="101">
        <v>0</v>
      </c>
      <c r="D335" s="101">
        <v>0</v>
      </c>
      <c r="E335" s="101">
        <v>15</v>
      </c>
      <c r="G335" s="106">
        <v>306</v>
      </c>
      <c r="H335" s="106">
        <v>8210074.3931042003</v>
      </c>
      <c r="I335" s="106">
        <v>2089925.6068957997</v>
      </c>
    </row>
    <row r="336" spans="1:9" x14ac:dyDescent="0.2">
      <c r="A336" s="102">
        <v>1000000</v>
      </c>
      <c r="B336" s="101">
        <v>10000</v>
      </c>
      <c r="C336" s="101">
        <v>0</v>
      </c>
      <c r="D336" s="101">
        <v>18</v>
      </c>
      <c r="E336" s="101">
        <v>18</v>
      </c>
      <c r="G336" s="106">
        <v>307</v>
      </c>
      <c r="H336" s="106">
        <v>8258208.1924153026</v>
      </c>
      <c r="I336" s="106">
        <v>1941791.8075846974</v>
      </c>
    </row>
    <row r="337" spans="1:9" x14ac:dyDescent="0.2">
      <c r="A337" s="102">
        <v>11000000</v>
      </c>
      <c r="B337" s="101">
        <v>13957</v>
      </c>
      <c r="C337" s="101">
        <v>0</v>
      </c>
      <c r="D337" s="101">
        <v>0</v>
      </c>
      <c r="E337" s="101">
        <v>133</v>
      </c>
      <c r="G337" s="106">
        <v>308</v>
      </c>
      <c r="H337" s="106">
        <v>1672965.7054878036</v>
      </c>
      <c r="I337" s="106">
        <v>307034.29451219644</v>
      </c>
    </row>
    <row r="338" spans="1:9" x14ac:dyDescent="0.2">
      <c r="A338" s="102">
        <v>11500000</v>
      </c>
      <c r="B338" s="101">
        <v>14810</v>
      </c>
      <c r="C338" s="101">
        <v>0</v>
      </c>
      <c r="D338" s="101">
        <v>0</v>
      </c>
      <c r="E338" s="101">
        <v>108</v>
      </c>
      <c r="G338" s="106">
        <v>309</v>
      </c>
      <c r="H338" s="106">
        <v>1619640.4205306473</v>
      </c>
      <c r="I338" s="106">
        <v>-19640.420530647272</v>
      </c>
    </row>
    <row r="339" spans="1:9" x14ac:dyDescent="0.2">
      <c r="A339" s="102">
        <v>12000000</v>
      </c>
      <c r="B339" s="101">
        <v>14227</v>
      </c>
      <c r="C339" s="101">
        <v>0</v>
      </c>
      <c r="D339" s="101">
        <v>20</v>
      </c>
      <c r="E339" s="101">
        <v>129</v>
      </c>
      <c r="G339" s="106">
        <v>310</v>
      </c>
      <c r="H339" s="106">
        <v>1241949.4512545646</v>
      </c>
      <c r="I339" s="106">
        <v>188050.54874543543</v>
      </c>
    </row>
    <row r="340" spans="1:9" x14ac:dyDescent="0.2">
      <c r="A340" s="102">
        <v>7000000</v>
      </c>
      <c r="B340" s="101">
        <v>16000</v>
      </c>
      <c r="C340" s="101">
        <v>0</v>
      </c>
      <c r="D340" s="101">
        <v>0</v>
      </c>
      <c r="E340" s="101">
        <v>80</v>
      </c>
      <c r="G340" s="106">
        <v>311</v>
      </c>
      <c r="H340" s="106">
        <v>28564192.783856075</v>
      </c>
      <c r="I340" s="106">
        <v>-22564192.783856075</v>
      </c>
    </row>
    <row r="341" spans="1:9" x14ac:dyDescent="0.2">
      <c r="A341" s="102">
        <v>8500000</v>
      </c>
      <c r="B341" s="101">
        <v>17000</v>
      </c>
      <c r="C341" s="101">
        <v>0</v>
      </c>
      <c r="D341" s="101">
        <v>0</v>
      </c>
      <c r="E341" s="101">
        <v>90</v>
      </c>
      <c r="G341" s="106">
        <v>312</v>
      </c>
      <c r="H341" s="106">
        <v>33334439.250872351</v>
      </c>
      <c r="I341" s="106">
        <v>-15334439.250872351</v>
      </c>
    </row>
    <row r="342" spans="1:9" x14ac:dyDescent="0.2">
      <c r="A342" s="102">
        <v>9900000</v>
      </c>
      <c r="B342" s="101">
        <v>18000</v>
      </c>
      <c r="C342" s="101">
        <v>1</v>
      </c>
      <c r="D342" s="101">
        <v>90</v>
      </c>
      <c r="E342" s="101">
        <v>100</v>
      </c>
      <c r="G342" s="106">
        <v>313</v>
      </c>
      <c r="H342" s="106">
        <v>40489808.951396763</v>
      </c>
      <c r="I342" s="106">
        <v>13510191.048603237</v>
      </c>
    </row>
    <row r="343" spans="1:9" x14ac:dyDescent="0.2">
      <c r="A343" s="101"/>
      <c r="B343" s="101"/>
      <c r="C343" s="101"/>
      <c r="D343" s="101"/>
      <c r="E343" s="101"/>
      <c r="G343" s="106">
        <v>314</v>
      </c>
      <c r="H343" s="106">
        <v>1980468.4010091273</v>
      </c>
      <c r="I343" s="106">
        <v>-280468.40100912726</v>
      </c>
    </row>
    <row r="344" spans="1:9" x14ac:dyDescent="0.2">
      <c r="A344" s="101"/>
      <c r="B344" s="101"/>
      <c r="C344" s="101"/>
      <c r="D344" s="101"/>
      <c r="E344" s="101"/>
      <c r="G344" s="106">
        <v>315</v>
      </c>
      <c r="H344" s="106">
        <v>2482501.5002050754</v>
      </c>
      <c r="I344" s="106">
        <v>-482501.50020507537</v>
      </c>
    </row>
    <row r="345" spans="1:9" x14ac:dyDescent="0.2">
      <c r="A345" s="101"/>
      <c r="B345" s="101"/>
      <c r="C345" s="101"/>
      <c r="D345" s="101"/>
      <c r="E345" s="101"/>
      <c r="G345" s="106">
        <v>316</v>
      </c>
      <c r="H345" s="106">
        <v>1810945.7527274257</v>
      </c>
      <c r="I345" s="106">
        <v>389054.24727257434</v>
      </c>
    </row>
    <row r="346" spans="1:9" x14ac:dyDescent="0.2">
      <c r="A346" s="101"/>
      <c r="B346" s="101"/>
      <c r="C346" s="101"/>
      <c r="D346" s="101"/>
      <c r="E346" s="101"/>
      <c r="G346" s="106">
        <v>317</v>
      </c>
      <c r="H346" s="106">
        <v>7632742.7552798353</v>
      </c>
      <c r="I346" s="106">
        <v>3767257.2447201647</v>
      </c>
    </row>
    <row r="347" spans="1:9" x14ac:dyDescent="0.2">
      <c r="A347" s="101"/>
      <c r="B347" s="101"/>
      <c r="C347" s="101"/>
      <c r="D347" s="101"/>
      <c r="E347" s="101"/>
      <c r="G347" s="106">
        <v>318</v>
      </c>
      <c r="H347" s="106">
        <v>5183180.2258360945</v>
      </c>
      <c r="I347" s="106">
        <v>-435180.22583609447</v>
      </c>
    </row>
    <row r="348" spans="1:9" x14ac:dyDescent="0.2">
      <c r="A348" s="101"/>
      <c r="B348" s="101"/>
      <c r="C348" s="101"/>
      <c r="D348" s="101"/>
      <c r="E348" s="101"/>
      <c r="G348" s="106">
        <v>319</v>
      </c>
      <c r="H348" s="106">
        <v>12085348.950991914</v>
      </c>
      <c r="I348" s="106">
        <v>-4910348.9509919137</v>
      </c>
    </row>
    <row r="349" spans="1:9" x14ac:dyDescent="0.2">
      <c r="A349" s="101"/>
      <c r="B349" s="101"/>
      <c r="C349" s="101"/>
      <c r="D349" s="101"/>
      <c r="E349" s="101"/>
      <c r="G349" s="106">
        <v>320</v>
      </c>
      <c r="H349" s="106">
        <v>4802568.9420691449</v>
      </c>
      <c r="I349" s="106">
        <v>-1485568.9420691449</v>
      </c>
    </row>
    <row r="350" spans="1:9" x14ac:dyDescent="0.2">
      <c r="A350" s="101"/>
      <c r="B350" s="101"/>
      <c r="C350" s="101"/>
      <c r="D350" s="101"/>
      <c r="E350" s="101"/>
      <c r="G350" s="106">
        <v>321</v>
      </c>
      <c r="H350" s="106">
        <v>6531309.6432917248</v>
      </c>
      <c r="I350" s="106">
        <v>-2839309.6432917248</v>
      </c>
    </row>
    <row r="351" spans="1:9" x14ac:dyDescent="0.2">
      <c r="A351" s="101"/>
      <c r="B351" s="101"/>
      <c r="C351" s="101"/>
      <c r="D351" s="101"/>
      <c r="E351" s="101"/>
      <c r="G351" s="106">
        <v>322</v>
      </c>
      <c r="H351" s="106">
        <v>6344258.2462787535</v>
      </c>
      <c r="I351" s="106">
        <v>-3092258.2462787535</v>
      </c>
    </row>
    <row r="352" spans="1:9" x14ac:dyDescent="0.2">
      <c r="A352" s="101"/>
      <c r="B352" s="101"/>
      <c r="C352" s="101"/>
      <c r="D352" s="101"/>
      <c r="E352" s="101"/>
      <c r="G352" s="106">
        <v>323</v>
      </c>
      <c r="H352" s="106">
        <v>14270453.502808701</v>
      </c>
      <c r="I352" s="106">
        <v>-1770453.5028087012</v>
      </c>
    </row>
    <row r="353" spans="7:9" x14ac:dyDescent="0.2">
      <c r="G353" s="106">
        <v>324</v>
      </c>
      <c r="H353" s="106">
        <v>18893716.388751023</v>
      </c>
      <c r="I353" s="106">
        <v>-6393716.3887510225</v>
      </c>
    </row>
    <row r="354" spans="7:9" x14ac:dyDescent="0.2">
      <c r="G354" s="106">
        <v>325</v>
      </c>
      <c r="H354" s="106">
        <v>28875160.066005442</v>
      </c>
      <c r="I354" s="106">
        <v>-10675160.066005442</v>
      </c>
    </row>
    <row r="355" spans="7:9" x14ac:dyDescent="0.2">
      <c r="G355" s="106">
        <v>326</v>
      </c>
      <c r="H355" s="106">
        <v>11700590.815908015</v>
      </c>
      <c r="I355" s="106">
        <v>3399409.1840919852</v>
      </c>
    </row>
    <row r="356" spans="7:9" x14ac:dyDescent="0.2">
      <c r="G356" s="106">
        <v>327</v>
      </c>
      <c r="H356" s="106">
        <v>13161422.477564991</v>
      </c>
      <c r="I356" s="106">
        <v>2838577.5224350095</v>
      </c>
    </row>
    <row r="357" spans="7:9" x14ac:dyDescent="0.2">
      <c r="G357" s="106">
        <v>328</v>
      </c>
      <c r="H357" s="106">
        <v>25222178.564846724</v>
      </c>
      <c r="I357" s="106">
        <v>3677821.4351532757</v>
      </c>
    </row>
    <row r="358" spans="7:9" x14ac:dyDescent="0.2">
      <c r="G358" s="106">
        <v>329</v>
      </c>
      <c r="H358" s="106">
        <v>3227177.898294853</v>
      </c>
      <c r="I358" s="106">
        <v>-1732413.898294853</v>
      </c>
    </row>
    <row r="359" spans="7:9" x14ac:dyDescent="0.2">
      <c r="G359" s="106">
        <v>330</v>
      </c>
      <c r="H359" s="106">
        <v>3535061.008852398</v>
      </c>
      <c r="I359" s="106">
        <v>-968957.00885239802</v>
      </c>
    </row>
    <row r="360" spans="7:9" x14ac:dyDescent="0.2">
      <c r="G360" s="106">
        <v>331</v>
      </c>
      <c r="H360" s="106">
        <v>4881842.8311640853</v>
      </c>
      <c r="I360" s="106">
        <v>-2690162.8311640853</v>
      </c>
    </row>
    <row r="361" spans="7:9" x14ac:dyDescent="0.2">
      <c r="G361" s="106">
        <v>332</v>
      </c>
      <c r="H361" s="106">
        <v>2626745.5698145921</v>
      </c>
      <c r="I361" s="106">
        <v>-1122839.5698145921</v>
      </c>
    </row>
    <row r="362" spans="7:9" x14ac:dyDescent="0.2">
      <c r="G362" s="106">
        <v>333</v>
      </c>
      <c r="H362" s="106">
        <v>3167661.0517259184</v>
      </c>
      <c r="I362" s="106">
        <v>-1807289.0517259184</v>
      </c>
    </row>
    <row r="363" spans="7:9" x14ac:dyDescent="0.2">
      <c r="G363" s="106">
        <v>334</v>
      </c>
      <c r="H363" s="106">
        <v>240382.91032219911</v>
      </c>
      <c r="I363" s="106">
        <v>759617.08967780089</v>
      </c>
    </row>
    <row r="364" spans="7:9" x14ac:dyDescent="0.2">
      <c r="G364" s="106">
        <v>335</v>
      </c>
      <c r="H364" s="106">
        <v>987994.60991512216</v>
      </c>
      <c r="I364" s="106">
        <v>12005.390084877843</v>
      </c>
    </row>
    <row r="365" spans="7:9" x14ac:dyDescent="0.2">
      <c r="G365" s="106">
        <v>336</v>
      </c>
      <c r="H365" s="106">
        <v>11440734.764559377</v>
      </c>
      <c r="I365" s="106">
        <v>-440734.76455937698</v>
      </c>
    </row>
    <row r="366" spans="7:9" x14ac:dyDescent="0.2">
      <c r="G366" s="106">
        <v>337</v>
      </c>
      <c r="H366" s="106">
        <v>9393589.4335318189</v>
      </c>
      <c r="I366" s="106">
        <v>2106410.5664681811</v>
      </c>
    </row>
    <row r="367" spans="7:9" x14ac:dyDescent="0.2">
      <c r="G367" s="106">
        <v>338</v>
      </c>
      <c r="H367" s="106">
        <v>11674730.046419337</v>
      </c>
      <c r="I367" s="106">
        <v>325269.95358066261</v>
      </c>
    </row>
    <row r="368" spans="7:9" x14ac:dyDescent="0.2">
      <c r="G368" s="106">
        <v>339</v>
      </c>
      <c r="H368" s="106">
        <v>7145986.2412998527</v>
      </c>
      <c r="I368" s="106">
        <v>-145986.24129985273</v>
      </c>
    </row>
    <row r="369" spans="7:9" x14ac:dyDescent="0.2">
      <c r="G369" s="106">
        <v>340</v>
      </c>
      <c r="H369" s="106">
        <v>8223204.7330253413</v>
      </c>
      <c r="I369" s="106">
        <v>276795.26697465871</v>
      </c>
    </row>
    <row r="370" spans="7:9" ht="12.75" thickBot="1" x14ac:dyDescent="0.25">
      <c r="G370" s="107">
        <v>341</v>
      </c>
      <c r="H370" s="107">
        <v>10977289.572918676</v>
      </c>
      <c r="I370" s="107">
        <v>-1077289.5729186758</v>
      </c>
    </row>
  </sheetData>
  <mergeCells count="1">
    <mergeCell ref="K28:O28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68E97-89F4-4B3E-B4C8-6605308123E1}">
  <dimension ref="A1:L368"/>
  <sheetViews>
    <sheetView showGridLines="0" topLeftCell="H1" workbookViewId="0">
      <selection activeCell="Q27" sqref="Q27"/>
    </sheetView>
  </sheetViews>
  <sheetFormatPr baseColWidth="10" defaultRowHeight="12" x14ac:dyDescent="0.2"/>
  <cols>
    <col min="1" max="1" width="13.5703125" style="103" bestFit="1" customWidth="1"/>
    <col min="2" max="2" width="11.5703125" style="103" bestFit="1" customWidth="1"/>
    <col min="3" max="3" width="12.85546875" style="103" bestFit="1" customWidth="1"/>
    <col min="4" max="4" width="11.7109375" style="103" bestFit="1" customWidth="1"/>
    <col min="5" max="5" width="11.42578125" style="103"/>
    <col min="6" max="6" width="29" style="103" bestFit="1" customWidth="1"/>
    <col min="7" max="7" width="20.28515625" style="103" customWidth="1"/>
    <col min="8" max="8" width="15.140625" style="103" customWidth="1"/>
    <col min="9" max="10" width="11.42578125" style="103" customWidth="1"/>
    <col min="11" max="11" width="13.42578125" style="103" customWidth="1"/>
    <col min="12" max="12" width="11.42578125" style="103" customWidth="1"/>
    <col min="13" max="16384" width="11.42578125" style="103"/>
  </cols>
  <sheetData>
    <row r="1" spans="1:11" x14ac:dyDescent="0.2">
      <c r="A1" s="101" t="s">
        <v>132</v>
      </c>
      <c r="B1" s="101" t="s">
        <v>133</v>
      </c>
      <c r="C1" s="101" t="s">
        <v>128</v>
      </c>
      <c r="D1" s="101" t="s">
        <v>131</v>
      </c>
    </row>
    <row r="2" spans="1:11" x14ac:dyDescent="0.2">
      <c r="A2" s="102">
        <v>47000000</v>
      </c>
      <c r="B2" s="101">
        <v>35000</v>
      </c>
      <c r="C2" s="101">
        <v>100</v>
      </c>
      <c r="D2" s="101">
        <v>100</v>
      </c>
      <c r="F2" s="103" t="s">
        <v>59</v>
      </c>
    </row>
    <row r="3" spans="1:11" ht="12.75" thickBot="1" x14ac:dyDescent="0.25">
      <c r="A3" s="102">
        <v>43000000</v>
      </c>
      <c r="B3" s="101">
        <v>37000</v>
      </c>
      <c r="C3" s="101">
        <v>50</v>
      </c>
      <c r="D3" s="101">
        <v>131</v>
      </c>
    </row>
    <row r="4" spans="1:11" x14ac:dyDescent="0.2">
      <c r="A4" s="102">
        <v>49000000</v>
      </c>
      <c r="B4" s="101">
        <v>39000</v>
      </c>
      <c r="C4" s="101">
        <v>50</v>
      </c>
      <c r="D4" s="101">
        <v>123</v>
      </c>
      <c r="F4" s="105" t="s">
        <v>60</v>
      </c>
      <c r="G4" s="105"/>
    </row>
    <row r="5" spans="1:11" x14ac:dyDescent="0.2">
      <c r="A5" s="102">
        <v>1560000</v>
      </c>
      <c r="B5" s="101">
        <v>10500</v>
      </c>
      <c r="C5" s="101">
        <v>12</v>
      </c>
      <c r="D5" s="101">
        <v>12</v>
      </c>
      <c r="F5" s="106" t="s">
        <v>61</v>
      </c>
      <c r="G5" s="124">
        <v>0.80597815457634858</v>
      </c>
    </row>
    <row r="6" spans="1:11" x14ac:dyDescent="0.2">
      <c r="A6" s="102">
        <v>1970000</v>
      </c>
      <c r="B6" s="101">
        <v>11000</v>
      </c>
      <c r="C6" s="101">
        <v>13</v>
      </c>
      <c r="D6" s="101">
        <v>13</v>
      </c>
      <c r="F6" s="106" t="s">
        <v>62</v>
      </c>
      <c r="G6" s="124">
        <v>0.64960078565429646</v>
      </c>
    </row>
    <row r="7" spans="1:11" x14ac:dyDescent="0.2">
      <c r="A7" s="102">
        <v>2350000</v>
      </c>
      <c r="B7" s="101">
        <v>11500</v>
      </c>
      <c r="C7" s="101">
        <v>14</v>
      </c>
      <c r="D7" s="101">
        <v>14</v>
      </c>
      <c r="F7" s="106" t="s">
        <v>63</v>
      </c>
      <c r="G7" s="124">
        <v>0.64648150481442379</v>
      </c>
    </row>
    <row r="8" spans="1:11" x14ac:dyDescent="0.2">
      <c r="A8" s="102">
        <v>750000</v>
      </c>
      <c r="B8" s="101">
        <v>17680</v>
      </c>
      <c r="C8" s="101">
        <v>15</v>
      </c>
      <c r="D8" s="101">
        <v>20</v>
      </c>
      <c r="F8" s="106" t="s">
        <v>64</v>
      </c>
      <c r="G8" s="124">
        <v>4877588.5603657728</v>
      </c>
    </row>
    <row r="9" spans="1:11" ht="12.75" thickBot="1" x14ac:dyDescent="0.25">
      <c r="A9" s="102">
        <v>110000</v>
      </c>
      <c r="B9" s="101">
        <v>18720</v>
      </c>
      <c r="C9" s="101">
        <v>10</v>
      </c>
      <c r="D9" s="101">
        <v>25</v>
      </c>
      <c r="F9" s="107" t="s">
        <v>65</v>
      </c>
      <c r="G9" s="107">
        <v>341</v>
      </c>
    </row>
    <row r="10" spans="1:11" x14ac:dyDescent="0.2">
      <c r="A10" s="102">
        <v>950000</v>
      </c>
      <c r="B10" s="101">
        <v>19760</v>
      </c>
      <c r="C10" s="101">
        <v>20</v>
      </c>
      <c r="D10" s="101">
        <v>24</v>
      </c>
    </row>
    <row r="11" spans="1:11" ht="12.75" thickBot="1" x14ac:dyDescent="0.25">
      <c r="A11" s="102">
        <v>23700000</v>
      </c>
      <c r="B11" s="101">
        <v>13729</v>
      </c>
      <c r="C11" s="101">
        <v>0</v>
      </c>
      <c r="D11" s="101">
        <v>200</v>
      </c>
      <c r="F11" s="103" t="s">
        <v>66</v>
      </c>
    </row>
    <row r="12" spans="1:11" x14ac:dyDescent="0.2">
      <c r="A12" s="102">
        <v>19700000</v>
      </c>
      <c r="B12" s="101">
        <v>14287</v>
      </c>
      <c r="C12" s="101">
        <v>0</v>
      </c>
      <c r="D12" s="101">
        <v>155</v>
      </c>
      <c r="F12" s="108"/>
      <c r="G12" s="108" t="s">
        <v>70</v>
      </c>
      <c r="H12" s="108" t="s">
        <v>71</v>
      </c>
      <c r="I12" s="108" t="s">
        <v>72</v>
      </c>
      <c r="J12" s="108" t="s">
        <v>24</v>
      </c>
      <c r="K12" s="108" t="s">
        <v>73</v>
      </c>
    </row>
    <row r="13" spans="1:11" x14ac:dyDescent="0.2">
      <c r="A13" s="102">
        <v>26000000</v>
      </c>
      <c r="B13" s="101">
        <v>15758</v>
      </c>
      <c r="C13" s="101">
        <v>20</v>
      </c>
      <c r="D13" s="101">
        <v>80</v>
      </c>
      <c r="F13" s="106" t="s">
        <v>67</v>
      </c>
      <c r="G13" s="106">
        <v>3</v>
      </c>
      <c r="H13" s="106">
        <v>1.4863587547988866E+16</v>
      </c>
      <c r="I13" s="106">
        <v>4954529182662955</v>
      </c>
      <c r="J13" s="124">
        <v>208.25338243054782</v>
      </c>
      <c r="K13" s="106">
        <v>2.1508922583492054E-76</v>
      </c>
    </row>
    <row r="14" spans="1:11" x14ac:dyDescent="0.2">
      <c r="A14" s="102">
        <v>3400000</v>
      </c>
      <c r="B14" s="101">
        <v>18500</v>
      </c>
      <c r="C14" s="101">
        <v>0</v>
      </c>
      <c r="D14" s="101">
        <v>20</v>
      </c>
      <c r="F14" s="106" t="s">
        <v>68</v>
      </c>
      <c r="G14" s="106">
        <v>337</v>
      </c>
      <c r="H14" s="106">
        <v>8017523245339126</v>
      </c>
      <c r="I14" s="106">
        <v>23790870164211.055</v>
      </c>
      <c r="J14" s="106"/>
      <c r="K14" s="106"/>
    </row>
    <row r="15" spans="1:11" ht="12.75" thickBot="1" x14ac:dyDescent="0.25">
      <c r="A15" s="102">
        <v>1413900</v>
      </c>
      <c r="B15" s="101">
        <v>18465</v>
      </c>
      <c r="C15" s="101">
        <v>0</v>
      </c>
      <c r="D15" s="101">
        <v>15</v>
      </c>
      <c r="F15" s="107" t="s">
        <v>29</v>
      </c>
      <c r="G15" s="107">
        <v>340</v>
      </c>
      <c r="H15" s="107">
        <v>2.2881110793327992E+16</v>
      </c>
      <c r="I15" s="107"/>
      <c r="J15" s="107"/>
      <c r="K15" s="107"/>
    </row>
    <row r="16" spans="1:11" ht="12.75" thickBot="1" x14ac:dyDescent="0.25">
      <c r="A16" s="102">
        <v>1869348</v>
      </c>
      <c r="B16" s="101">
        <v>18972</v>
      </c>
      <c r="C16" s="101">
        <v>0</v>
      </c>
      <c r="D16" s="101">
        <v>16</v>
      </c>
    </row>
    <row r="17" spans="1:12" x14ac:dyDescent="0.2">
      <c r="A17" s="102">
        <v>1857765</v>
      </c>
      <c r="B17" s="101">
        <v>19589</v>
      </c>
      <c r="C17" s="101">
        <v>16</v>
      </c>
      <c r="D17" s="101">
        <v>16</v>
      </c>
      <c r="F17" s="108"/>
      <c r="G17" s="108" t="s">
        <v>74</v>
      </c>
      <c r="H17" s="108" t="s">
        <v>64</v>
      </c>
      <c r="I17" s="108" t="s">
        <v>75</v>
      </c>
      <c r="J17" s="108" t="s">
        <v>76</v>
      </c>
      <c r="K17" s="108" t="s">
        <v>77</v>
      </c>
      <c r="L17" s="108" t="s">
        <v>78</v>
      </c>
    </row>
    <row r="18" spans="1:12" x14ac:dyDescent="0.2">
      <c r="A18" s="102">
        <v>2160900</v>
      </c>
      <c r="B18" s="101">
        <v>14352</v>
      </c>
      <c r="C18" s="101">
        <v>3</v>
      </c>
      <c r="D18" s="101">
        <v>48</v>
      </c>
      <c r="F18" s="106" t="s">
        <v>69</v>
      </c>
      <c r="G18" s="124">
        <v>-3104558.7630857774</v>
      </c>
      <c r="H18" s="124">
        <v>814682.70459770598</v>
      </c>
      <c r="I18" s="124">
        <v>-3.8107581584401289</v>
      </c>
      <c r="J18" s="124">
        <v>1.6465946135235435E-4</v>
      </c>
      <c r="K18" s="124">
        <v>-4707062.6860602479</v>
      </c>
      <c r="L18" s="124">
        <v>-1502054.8401113069</v>
      </c>
    </row>
    <row r="19" spans="1:12" x14ac:dyDescent="0.2">
      <c r="A19" s="102">
        <v>2454500</v>
      </c>
      <c r="B19" s="101">
        <v>16328</v>
      </c>
      <c r="C19" s="101">
        <v>3</v>
      </c>
      <c r="D19" s="101">
        <v>47</v>
      </c>
      <c r="F19" s="106" t="s">
        <v>133</v>
      </c>
      <c r="G19" s="124">
        <v>192.15447075850062</v>
      </c>
      <c r="H19" s="124">
        <v>38.449461528173003</v>
      </c>
      <c r="I19" s="124">
        <v>4.9975854828995105</v>
      </c>
      <c r="J19" s="106">
        <v>9.3468780978615463E-7</v>
      </c>
      <c r="K19" s="124">
        <v>116.52329240228501</v>
      </c>
      <c r="L19" s="124">
        <v>267.78564911471625</v>
      </c>
    </row>
    <row r="20" spans="1:12" x14ac:dyDescent="0.2">
      <c r="A20" s="102">
        <v>3359800</v>
      </c>
      <c r="B20" s="101">
        <v>17555</v>
      </c>
      <c r="C20" s="101">
        <v>4</v>
      </c>
      <c r="D20" s="101">
        <v>66</v>
      </c>
      <c r="F20" s="106" t="s">
        <v>128</v>
      </c>
      <c r="G20" s="124">
        <v>24799.846568240937</v>
      </c>
      <c r="H20" s="124">
        <v>7875.2835168710835</v>
      </c>
      <c r="I20" s="124">
        <v>3.1490734924161976</v>
      </c>
      <c r="J20" s="124">
        <v>1.7843684938172086E-3</v>
      </c>
      <c r="K20" s="124">
        <v>9308.9411407665739</v>
      </c>
      <c r="L20" s="124">
        <v>40290.751995715298</v>
      </c>
    </row>
    <row r="21" spans="1:12" ht="12.75" thickBot="1" x14ac:dyDescent="0.25">
      <c r="A21" s="102">
        <v>1453081</v>
      </c>
      <c r="B21" s="101">
        <v>16454</v>
      </c>
      <c r="C21" s="101">
        <v>5</v>
      </c>
      <c r="D21" s="101">
        <v>17</v>
      </c>
      <c r="F21" s="107" t="s">
        <v>131</v>
      </c>
      <c r="G21" s="125">
        <v>89358.011522148037</v>
      </c>
      <c r="H21" s="125">
        <v>5926.2896677407143</v>
      </c>
      <c r="I21" s="125">
        <v>15.078238920476879</v>
      </c>
      <c r="J21" s="107">
        <v>1.2665831470662238E-39</v>
      </c>
      <c r="K21" s="125">
        <v>77700.832122559354</v>
      </c>
      <c r="L21" s="125">
        <v>101015.19092173672</v>
      </c>
    </row>
    <row r="22" spans="1:12" x14ac:dyDescent="0.2">
      <c r="A22" s="102">
        <v>1546911</v>
      </c>
      <c r="B22" s="101">
        <v>18529</v>
      </c>
      <c r="C22" s="101">
        <v>3</v>
      </c>
      <c r="D22" s="101">
        <v>16</v>
      </c>
    </row>
    <row r="23" spans="1:12" x14ac:dyDescent="0.2">
      <c r="A23" s="102">
        <v>1672366</v>
      </c>
      <c r="B23" s="101">
        <v>26428</v>
      </c>
      <c r="C23" s="101">
        <v>0</v>
      </c>
      <c r="D23" s="101">
        <v>14</v>
      </c>
    </row>
    <row r="24" spans="1:12" x14ac:dyDescent="0.2">
      <c r="A24" s="102">
        <v>8000000</v>
      </c>
      <c r="B24" s="101">
        <v>19760</v>
      </c>
      <c r="C24" s="101">
        <v>35</v>
      </c>
      <c r="D24" s="101">
        <v>70</v>
      </c>
    </row>
    <row r="25" spans="1:12" x14ac:dyDescent="0.2">
      <c r="A25" s="102">
        <v>11000000</v>
      </c>
      <c r="B25" s="101">
        <v>22360</v>
      </c>
      <c r="C25" s="101">
        <v>40</v>
      </c>
      <c r="D25" s="101">
        <v>85</v>
      </c>
      <c r="F25" s="103" t="s">
        <v>81</v>
      </c>
    </row>
    <row r="26" spans="1:12" ht="12.75" thickBot="1" x14ac:dyDescent="0.25">
      <c r="A26" s="102">
        <v>15000000</v>
      </c>
      <c r="B26" s="101">
        <v>23920</v>
      </c>
      <c r="C26" s="101">
        <v>40</v>
      </c>
      <c r="D26" s="101">
        <v>98</v>
      </c>
    </row>
    <row r="27" spans="1:12" x14ac:dyDescent="0.2">
      <c r="A27" s="102">
        <v>1535242</v>
      </c>
      <c r="B27" s="101">
        <v>20000</v>
      </c>
      <c r="C27" s="101">
        <v>0</v>
      </c>
      <c r="D27" s="101">
        <v>45</v>
      </c>
      <c r="F27" s="108" t="s">
        <v>82</v>
      </c>
      <c r="G27" s="108" t="s">
        <v>147</v>
      </c>
      <c r="H27" s="108" t="s">
        <v>68</v>
      </c>
    </row>
    <row r="28" spans="1:12" x14ac:dyDescent="0.2">
      <c r="A28" s="102">
        <v>3209188</v>
      </c>
      <c r="B28" s="101">
        <v>22000</v>
      </c>
      <c r="C28" s="101">
        <v>0</v>
      </c>
      <c r="D28" s="101">
        <v>47</v>
      </c>
      <c r="F28" s="106">
        <v>1</v>
      </c>
      <c r="G28" s="106">
        <v>15036633.522500642</v>
      </c>
      <c r="H28" s="106">
        <v>31963366.477499358</v>
      </c>
    </row>
    <row r="29" spans="1:12" x14ac:dyDescent="0.2">
      <c r="A29" s="102">
        <v>4030352</v>
      </c>
      <c r="B29" s="101">
        <v>23650</v>
      </c>
      <c r="C29" s="101">
        <v>2</v>
      </c>
      <c r="D29" s="101">
        <v>51</v>
      </c>
      <c r="F29" s="106">
        <v>2</v>
      </c>
      <c r="G29" s="106">
        <v>16951048.492792185</v>
      </c>
      <c r="H29" s="106">
        <v>26048951.507207815</v>
      </c>
    </row>
    <row r="30" spans="1:12" x14ac:dyDescent="0.2">
      <c r="A30" s="102">
        <v>10000000</v>
      </c>
      <c r="B30" s="101">
        <v>17500</v>
      </c>
      <c r="C30" s="101">
        <v>0</v>
      </c>
      <c r="D30" s="101">
        <v>200</v>
      </c>
      <c r="F30" s="106">
        <v>3</v>
      </c>
      <c r="G30" s="106">
        <v>16620493.342132002</v>
      </c>
      <c r="H30" s="106">
        <v>32379506.657867998</v>
      </c>
    </row>
    <row r="31" spans="1:12" x14ac:dyDescent="0.2">
      <c r="A31" s="102">
        <v>10000000</v>
      </c>
      <c r="B31" s="101">
        <v>18700</v>
      </c>
      <c r="C31" s="101">
        <v>6</v>
      </c>
      <c r="D31" s="101">
        <v>200</v>
      </c>
      <c r="F31" s="106">
        <v>4</v>
      </c>
      <c r="G31" s="106">
        <v>282957.47696314682</v>
      </c>
      <c r="H31" s="106">
        <v>1277042.5230368532</v>
      </c>
    </row>
    <row r="32" spans="1:12" x14ac:dyDescent="0.2">
      <c r="A32" s="102">
        <v>9000000</v>
      </c>
      <c r="B32" s="101">
        <v>18300</v>
      </c>
      <c r="C32" s="101">
        <v>10</v>
      </c>
      <c r="D32" s="101">
        <v>190</v>
      </c>
      <c r="F32" s="106">
        <v>5</v>
      </c>
      <c r="G32" s="106">
        <v>493192.57043278625</v>
      </c>
      <c r="H32" s="106">
        <v>1476807.4295672136</v>
      </c>
    </row>
    <row r="33" spans="1:8" x14ac:dyDescent="0.2">
      <c r="A33" s="102">
        <v>1600000</v>
      </c>
      <c r="B33" s="101">
        <v>11500</v>
      </c>
      <c r="C33" s="101">
        <v>3</v>
      </c>
      <c r="D33" s="101">
        <v>14</v>
      </c>
      <c r="F33" s="106">
        <v>6</v>
      </c>
      <c r="G33" s="106">
        <v>703427.66390242544</v>
      </c>
      <c r="H33" s="106">
        <v>1646572.3360975746</v>
      </c>
    </row>
    <row r="34" spans="1:8" x14ac:dyDescent="0.2">
      <c r="A34" s="102">
        <v>900000</v>
      </c>
      <c r="B34" s="101">
        <v>13000</v>
      </c>
      <c r="C34" s="101">
        <v>5</v>
      </c>
      <c r="D34" s="101">
        <v>12</v>
      </c>
      <c r="F34" s="106">
        <v>7</v>
      </c>
      <c r="G34" s="106">
        <v>2451890.2088910886</v>
      </c>
      <c r="H34" s="106">
        <v>-1701890.2088910886</v>
      </c>
    </row>
    <row r="35" spans="1:8" x14ac:dyDescent="0.2">
      <c r="A35" s="102">
        <v>1300000</v>
      </c>
      <c r="B35" s="101">
        <v>14700</v>
      </c>
      <c r="C35" s="101">
        <v>9</v>
      </c>
      <c r="D35" s="101">
        <v>16</v>
      </c>
      <c r="F35" s="106">
        <v>8</v>
      </c>
      <c r="G35" s="106">
        <v>2974521.6832494643</v>
      </c>
      <c r="H35" s="106">
        <v>-2864521.6832494643</v>
      </c>
    </row>
    <row r="36" spans="1:8" x14ac:dyDescent="0.2">
      <c r="A36" s="102">
        <v>420664</v>
      </c>
      <c r="B36" s="101">
        <v>4237</v>
      </c>
      <c r="C36" s="101">
        <v>0</v>
      </c>
      <c r="D36" s="101">
        <v>10</v>
      </c>
      <c r="F36" s="106">
        <v>9</v>
      </c>
      <c r="G36" s="106">
        <v>3333002.7869985662</v>
      </c>
      <c r="H36" s="106">
        <v>-2383002.7869985662</v>
      </c>
    </row>
    <row r="37" spans="1:8" x14ac:dyDescent="0.2">
      <c r="A37" s="102">
        <v>544602</v>
      </c>
      <c r="B37" s="101">
        <v>7484</v>
      </c>
      <c r="C37" s="101">
        <v>0</v>
      </c>
      <c r="D37" s="101">
        <v>11</v>
      </c>
      <c r="F37" s="106">
        <v>10</v>
      </c>
      <c r="G37" s="106">
        <v>17405132.270387284</v>
      </c>
      <c r="H37" s="106">
        <v>6294867.7296127155</v>
      </c>
    </row>
    <row r="38" spans="1:8" x14ac:dyDescent="0.2">
      <c r="A38" s="102">
        <v>495331</v>
      </c>
      <c r="B38" s="101">
        <v>9548</v>
      </c>
      <c r="C38" s="101">
        <v>0</v>
      </c>
      <c r="D38" s="101">
        <v>9</v>
      </c>
      <c r="F38" s="106">
        <v>11</v>
      </c>
      <c r="G38" s="106">
        <v>13491243.946573867</v>
      </c>
      <c r="H38" s="106">
        <v>6208756.0534261335</v>
      </c>
    </row>
    <row r="39" spans="1:8" x14ac:dyDescent="0.2">
      <c r="A39" s="102">
        <v>1502502</v>
      </c>
      <c r="B39" s="101">
        <v>11742</v>
      </c>
      <c r="C39" s="101">
        <v>2</v>
      </c>
      <c r="D39" s="101">
        <v>15</v>
      </c>
      <c r="F39" s="106">
        <v>12</v>
      </c>
      <c r="G39" s="106">
        <v>7568049.2402633373</v>
      </c>
      <c r="H39" s="106">
        <v>18431950.759736665</v>
      </c>
    </row>
    <row r="40" spans="1:8" x14ac:dyDescent="0.2">
      <c r="A40" s="102">
        <v>1840912</v>
      </c>
      <c r="B40" s="101">
        <v>12740</v>
      </c>
      <c r="C40" s="101">
        <v>2</v>
      </c>
      <c r="D40" s="101">
        <v>16</v>
      </c>
      <c r="F40" s="106">
        <v>13</v>
      </c>
      <c r="G40" s="106">
        <v>2237459.1763894446</v>
      </c>
      <c r="H40" s="106">
        <v>1162540.8236105554</v>
      </c>
    </row>
    <row r="41" spans="1:8" x14ac:dyDescent="0.2">
      <c r="A41" s="102">
        <v>2273869</v>
      </c>
      <c r="B41" s="101">
        <v>13700</v>
      </c>
      <c r="C41" s="101">
        <v>3</v>
      </c>
      <c r="D41" s="101">
        <v>18</v>
      </c>
      <c r="F41" s="106">
        <v>14</v>
      </c>
      <c r="G41" s="106">
        <v>1783943.712302157</v>
      </c>
      <c r="H41" s="106">
        <v>-370043.71230215696</v>
      </c>
    </row>
    <row r="42" spans="1:8" x14ac:dyDescent="0.2">
      <c r="A42" s="102">
        <v>5286605</v>
      </c>
      <c r="B42" s="101">
        <v>20800</v>
      </c>
      <c r="C42" s="101">
        <v>50</v>
      </c>
      <c r="D42" s="101">
        <v>60</v>
      </c>
      <c r="F42" s="106">
        <v>15</v>
      </c>
      <c r="G42" s="106">
        <v>1970724.0404988648</v>
      </c>
      <c r="H42" s="106">
        <v>-101376.04049886484</v>
      </c>
    </row>
    <row r="43" spans="1:8" x14ac:dyDescent="0.2">
      <c r="A43" s="102">
        <v>5200000</v>
      </c>
      <c r="B43" s="101">
        <v>20000</v>
      </c>
      <c r="C43" s="101">
        <v>0</v>
      </c>
      <c r="D43" s="101">
        <v>50</v>
      </c>
      <c r="F43" s="106">
        <v>16</v>
      </c>
      <c r="G43" s="106">
        <v>2486080.8940487145</v>
      </c>
      <c r="H43" s="106">
        <v>-628315.89404871454</v>
      </c>
    </row>
    <row r="44" spans="1:8" x14ac:dyDescent="0.2">
      <c r="A44" s="102">
        <v>6500000</v>
      </c>
      <c r="B44" s="101">
        <v>23000</v>
      </c>
      <c r="C44" s="101">
        <v>0</v>
      </c>
      <c r="D44" s="101">
        <v>50</v>
      </c>
      <c r="F44" s="106">
        <v>17</v>
      </c>
      <c r="G44" s="106">
        <v>4016826.294008052</v>
      </c>
      <c r="H44" s="106">
        <v>-1855926.294008052</v>
      </c>
    </row>
    <row r="45" spans="1:8" x14ac:dyDescent="0.2">
      <c r="A45" s="102">
        <v>5600000</v>
      </c>
      <c r="B45" s="101">
        <v>25000</v>
      </c>
      <c r="C45" s="101">
        <v>0</v>
      </c>
      <c r="D45" s="101">
        <v>55</v>
      </c>
      <c r="F45" s="106">
        <v>18</v>
      </c>
      <c r="G45" s="106">
        <v>4307165.5167047009</v>
      </c>
      <c r="H45" s="106">
        <v>-1852665.5167047009</v>
      </c>
    </row>
    <row r="46" spans="1:8" x14ac:dyDescent="0.2">
      <c r="A46" s="102">
        <v>10000000</v>
      </c>
      <c r="B46" s="101">
        <v>12500</v>
      </c>
      <c r="C46" s="101">
        <v>7</v>
      </c>
      <c r="D46" s="101">
        <v>153</v>
      </c>
      <c r="F46" s="106">
        <v>19</v>
      </c>
      <c r="G46" s="106">
        <v>6265541.1178144347</v>
      </c>
      <c r="H46" s="106">
        <v>-2905741.1178144347</v>
      </c>
    </row>
    <row r="47" spans="1:8" x14ac:dyDescent="0.2">
      <c r="A47" s="102">
        <v>11000000</v>
      </c>
      <c r="B47" s="101">
        <v>13000</v>
      </c>
      <c r="C47" s="101">
        <v>6</v>
      </c>
      <c r="D47" s="101">
        <v>134</v>
      </c>
      <c r="F47" s="106">
        <v>20</v>
      </c>
      <c r="G47" s="106">
        <v>1700236.327492313</v>
      </c>
      <c r="H47" s="106">
        <v>-247155.32749231299</v>
      </c>
    </row>
    <row r="48" spans="1:8" x14ac:dyDescent="0.2">
      <c r="A48" s="102">
        <v>12000000</v>
      </c>
      <c r="B48" s="101">
        <v>13500</v>
      </c>
      <c r="C48" s="101">
        <v>28</v>
      </c>
      <c r="D48" s="101">
        <v>146</v>
      </c>
      <c r="F48" s="106">
        <v>21</v>
      </c>
      <c r="G48" s="106">
        <v>1959999.1496575722</v>
      </c>
      <c r="H48" s="106">
        <v>-413088.14965757215</v>
      </c>
    </row>
    <row r="49" spans="1:8" x14ac:dyDescent="0.2">
      <c r="A49" s="102">
        <v>2300000</v>
      </c>
      <c r="B49" s="101">
        <v>20000</v>
      </c>
      <c r="C49" s="101">
        <v>0</v>
      </c>
      <c r="D49" s="101">
        <v>20</v>
      </c>
      <c r="F49" s="106">
        <v>22</v>
      </c>
      <c r="G49" s="106">
        <v>3224711.7514299499</v>
      </c>
      <c r="H49" s="106">
        <v>-1552345.7514299499</v>
      </c>
    </row>
    <row r="50" spans="1:8" x14ac:dyDescent="0.2">
      <c r="A50" s="102">
        <v>2500000</v>
      </c>
      <c r="B50" s="101">
        <v>23000</v>
      </c>
      <c r="C50" s="101">
        <v>0</v>
      </c>
      <c r="D50" s="101">
        <v>23</v>
      </c>
      <c r="F50" s="106">
        <v>23</v>
      </c>
      <c r="G50" s="106">
        <v>7815469.015540991</v>
      </c>
      <c r="H50" s="106">
        <v>184530.98445900902</v>
      </c>
    </row>
    <row r="51" spans="1:8" x14ac:dyDescent="0.2">
      <c r="A51" s="102">
        <v>3000000</v>
      </c>
      <c r="B51" s="101">
        <v>25000</v>
      </c>
      <c r="C51" s="101">
        <v>1</v>
      </c>
      <c r="D51" s="101">
        <v>25</v>
      </c>
      <c r="F51" s="106">
        <v>24</v>
      </c>
      <c r="G51" s="106">
        <v>9779440.0451865159</v>
      </c>
      <c r="H51" s="106">
        <v>1220559.9548134841</v>
      </c>
    </row>
    <row r="52" spans="1:8" x14ac:dyDescent="0.2">
      <c r="A52" s="102">
        <v>7588770</v>
      </c>
      <c r="B52" s="101">
        <v>16640</v>
      </c>
      <c r="C52" s="101">
        <v>0</v>
      </c>
      <c r="D52" s="101">
        <v>131</v>
      </c>
      <c r="F52" s="106">
        <v>25</v>
      </c>
      <c r="G52" s="106">
        <v>11240855.169357702</v>
      </c>
      <c r="H52" s="106">
        <v>3759144.8306422979</v>
      </c>
    </row>
    <row r="53" spans="1:8" x14ac:dyDescent="0.2">
      <c r="A53" s="102">
        <v>725000</v>
      </c>
      <c r="B53" s="101">
        <v>9000</v>
      </c>
      <c r="C53" s="101">
        <v>0</v>
      </c>
      <c r="D53" s="101">
        <v>22</v>
      </c>
      <c r="F53" s="106">
        <v>26</v>
      </c>
      <c r="G53" s="106">
        <v>4759641.1705808965</v>
      </c>
      <c r="H53" s="106">
        <v>-3224399.1705808965</v>
      </c>
    </row>
    <row r="54" spans="1:8" x14ac:dyDescent="0.2">
      <c r="A54" s="102">
        <v>785000</v>
      </c>
      <c r="B54" s="101">
        <v>9000</v>
      </c>
      <c r="C54" s="101">
        <v>0</v>
      </c>
      <c r="D54" s="101">
        <v>25</v>
      </c>
      <c r="F54" s="106">
        <v>27</v>
      </c>
      <c r="G54" s="106">
        <v>5322666.1351421941</v>
      </c>
      <c r="H54" s="106">
        <v>-2113478.1351421941</v>
      </c>
    </row>
    <row r="55" spans="1:8" x14ac:dyDescent="0.2">
      <c r="A55" s="102">
        <v>785000</v>
      </c>
      <c r="B55" s="101">
        <v>10000</v>
      </c>
      <c r="C55" s="101">
        <v>0</v>
      </c>
      <c r="D55" s="101">
        <v>23</v>
      </c>
      <c r="F55" s="106">
        <v>28</v>
      </c>
      <c r="G55" s="106">
        <v>6046752.7511187941</v>
      </c>
      <c r="H55" s="106">
        <v>-2016400.7511187941</v>
      </c>
    </row>
    <row r="56" spans="1:8" x14ac:dyDescent="0.2">
      <c r="A56" s="102">
        <v>4000000</v>
      </c>
      <c r="B56" s="101">
        <v>32000</v>
      </c>
      <c r="C56" s="101">
        <v>2</v>
      </c>
      <c r="D56" s="101">
        <v>15</v>
      </c>
      <c r="F56" s="106">
        <v>29</v>
      </c>
      <c r="G56" s="106">
        <v>18129746.779617589</v>
      </c>
      <c r="H56" s="106">
        <v>-8129746.779617589</v>
      </c>
    </row>
    <row r="57" spans="1:8" x14ac:dyDescent="0.2">
      <c r="A57" s="102">
        <v>5000000</v>
      </c>
      <c r="B57" s="101">
        <v>34000</v>
      </c>
      <c r="C57" s="101">
        <v>2</v>
      </c>
      <c r="D57" s="101">
        <v>18</v>
      </c>
      <c r="F57" s="106">
        <v>30</v>
      </c>
      <c r="G57" s="106">
        <v>18509131.223937236</v>
      </c>
      <c r="H57" s="106">
        <v>-8509131.2239372358</v>
      </c>
    </row>
    <row r="58" spans="1:8" x14ac:dyDescent="0.2">
      <c r="A58" s="102">
        <v>7000000</v>
      </c>
      <c r="B58" s="101">
        <v>38000</v>
      </c>
      <c r="C58" s="101">
        <v>6</v>
      </c>
      <c r="D58" s="101">
        <v>19</v>
      </c>
      <c r="F58" s="106">
        <v>31</v>
      </c>
      <c r="G58" s="106">
        <v>17637888.70668532</v>
      </c>
      <c r="H58" s="106">
        <v>-8637888.7066853195</v>
      </c>
    </row>
    <row r="59" spans="1:8" x14ac:dyDescent="0.2">
      <c r="A59" s="102">
        <v>5300000</v>
      </c>
      <c r="B59" s="101">
        <v>21500</v>
      </c>
      <c r="C59" s="101">
        <v>0</v>
      </c>
      <c r="D59" s="101">
        <v>73</v>
      </c>
      <c r="F59" s="106">
        <v>32</v>
      </c>
      <c r="G59" s="106">
        <v>430629.35165177519</v>
      </c>
      <c r="H59" s="106">
        <v>1169370.6483482248</v>
      </c>
    </row>
    <row r="60" spans="1:8" x14ac:dyDescent="0.2">
      <c r="A60" s="102">
        <v>5800000</v>
      </c>
      <c r="B60" s="101">
        <v>22200</v>
      </c>
      <c r="C60" s="101">
        <v>0</v>
      </c>
      <c r="D60" s="101">
        <v>76</v>
      </c>
      <c r="F60" s="106">
        <v>33</v>
      </c>
      <c r="G60" s="106">
        <v>589744.72788171167</v>
      </c>
      <c r="H60" s="106">
        <v>310255.27211828833</v>
      </c>
    </row>
    <row r="61" spans="1:8" x14ac:dyDescent="0.2">
      <c r="A61" s="102">
        <v>6400000</v>
      </c>
      <c r="B61" s="101">
        <v>23000</v>
      </c>
      <c r="C61" s="101">
        <v>8</v>
      </c>
      <c r="D61" s="101">
        <v>80</v>
      </c>
      <c r="F61" s="106">
        <v>34</v>
      </c>
      <c r="G61" s="106">
        <v>1373038.7605327186</v>
      </c>
      <c r="H61" s="106">
        <v>-73038.760532718617</v>
      </c>
    </row>
    <row r="62" spans="1:8" x14ac:dyDescent="0.2">
      <c r="A62" s="102">
        <v>21800000</v>
      </c>
      <c r="B62" s="101">
        <v>20180</v>
      </c>
      <c r="C62" s="101">
        <v>0</v>
      </c>
      <c r="D62" s="101">
        <v>112</v>
      </c>
      <c r="F62" s="106">
        <v>35</v>
      </c>
      <c r="G62" s="106">
        <v>-1396820.1552605298</v>
      </c>
      <c r="H62" s="106">
        <v>1817484.1552605298</v>
      </c>
    </row>
    <row r="63" spans="1:8" x14ac:dyDescent="0.2">
      <c r="A63" s="102">
        <v>25800000</v>
      </c>
      <c r="B63" s="101">
        <v>21500</v>
      </c>
      <c r="C63" s="101">
        <v>128</v>
      </c>
      <c r="D63" s="101">
        <v>128</v>
      </c>
      <c r="F63" s="106">
        <v>36</v>
      </c>
      <c r="G63" s="106">
        <v>-683536.57718553045</v>
      </c>
      <c r="H63" s="106">
        <v>1228138.5771855304</v>
      </c>
    </row>
    <row r="64" spans="1:8" x14ac:dyDescent="0.2">
      <c r="A64" s="102">
        <v>2101581</v>
      </c>
      <c r="B64" s="101">
        <v>14850</v>
      </c>
      <c r="C64" s="101">
        <v>12</v>
      </c>
      <c r="D64" s="101">
        <v>14</v>
      </c>
      <c r="F64" s="106">
        <v>37</v>
      </c>
      <c r="G64" s="106">
        <v>-465645.77258428116</v>
      </c>
      <c r="H64" s="106">
        <v>960976.77258428116</v>
      </c>
    </row>
    <row r="65" spans="1:8" x14ac:dyDescent="0.2">
      <c r="A65" s="102">
        <v>2400723</v>
      </c>
      <c r="B65" s="101">
        <v>18100</v>
      </c>
      <c r="C65" s="101">
        <v>10</v>
      </c>
      <c r="D65" s="101">
        <v>16</v>
      </c>
      <c r="F65" s="106">
        <v>38</v>
      </c>
      <c r="G65" s="106">
        <v>541688.89852923958</v>
      </c>
      <c r="H65" s="106">
        <v>960813.10147076042</v>
      </c>
    </row>
    <row r="66" spans="1:8" x14ac:dyDescent="0.2">
      <c r="A66" s="102">
        <v>2470633</v>
      </c>
      <c r="B66" s="101">
        <v>20500</v>
      </c>
      <c r="C66" s="101">
        <v>10</v>
      </c>
      <c r="D66" s="101">
        <v>13</v>
      </c>
      <c r="F66" s="106">
        <v>39</v>
      </c>
      <c r="G66" s="106">
        <v>822817.0718683711</v>
      </c>
      <c r="H66" s="106">
        <v>1018094.9281316289</v>
      </c>
    </row>
    <row r="67" spans="1:8" x14ac:dyDescent="0.2">
      <c r="A67" s="102">
        <v>3000000</v>
      </c>
      <c r="B67" s="101">
        <v>10000</v>
      </c>
      <c r="C67" s="101">
        <v>0</v>
      </c>
      <c r="D67" s="101">
        <v>40</v>
      </c>
      <c r="F67" s="106">
        <v>40</v>
      </c>
      <c r="G67" s="106">
        <v>1210801.2334090685</v>
      </c>
      <c r="H67" s="106">
        <v>1063067.7665909315</v>
      </c>
    </row>
    <row r="68" spans="1:8" x14ac:dyDescent="0.2">
      <c r="A68" s="102">
        <v>3800000</v>
      </c>
      <c r="B68" s="101">
        <v>11000</v>
      </c>
      <c r="C68" s="101">
        <v>0</v>
      </c>
      <c r="D68" s="101">
        <v>48</v>
      </c>
      <c r="F68" s="106">
        <v>41</v>
      </c>
      <c r="G68" s="106">
        <v>7493727.2484319648</v>
      </c>
      <c r="H68" s="106">
        <v>-2207122.2484319648</v>
      </c>
    </row>
    <row r="69" spans="1:8" x14ac:dyDescent="0.2">
      <c r="A69" s="102">
        <v>3100000</v>
      </c>
      <c r="B69" s="101">
        <v>11500</v>
      </c>
      <c r="C69" s="101">
        <v>50</v>
      </c>
      <c r="D69" s="101">
        <v>50</v>
      </c>
      <c r="F69" s="106">
        <v>42</v>
      </c>
      <c r="G69" s="106">
        <v>5206431.2281916365</v>
      </c>
      <c r="H69" s="106">
        <v>-6431.2281916365027</v>
      </c>
    </row>
    <row r="70" spans="1:8" x14ac:dyDescent="0.2">
      <c r="A70" s="102">
        <v>755050</v>
      </c>
      <c r="B70" s="101">
        <v>10400</v>
      </c>
      <c r="C70" s="101">
        <v>17</v>
      </c>
      <c r="D70" s="101">
        <v>17</v>
      </c>
      <c r="F70" s="106">
        <v>43</v>
      </c>
      <c r="G70" s="106">
        <v>5782894.640467139</v>
      </c>
      <c r="H70" s="106">
        <v>717105.35953286104</v>
      </c>
    </row>
    <row r="71" spans="1:8" x14ac:dyDescent="0.2">
      <c r="A71" s="102">
        <v>1102723</v>
      </c>
      <c r="B71" s="101">
        <v>10400</v>
      </c>
      <c r="C71" s="101">
        <v>15</v>
      </c>
      <c r="D71" s="101">
        <v>15</v>
      </c>
      <c r="F71" s="106">
        <v>44</v>
      </c>
      <c r="G71" s="106">
        <v>6613993.6395948809</v>
      </c>
      <c r="H71" s="106">
        <v>-1013993.6395948809</v>
      </c>
    </row>
    <row r="72" spans="1:8" x14ac:dyDescent="0.2">
      <c r="A72" s="102">
        <v>1073785</v>
      </c>
      <c r="B72" s="101">
        <v>10400</v>
      </c>
      <c r="C72" s="101">
        <v>10</v>
      </c>
      <c r="D72" s="101">
        <v>20</v>
      </c>
      <c r="F72" s="106">
        <v>45</v>
      </c>
      <c r="G72" s="106">
        <v>13142746.810261816</v>
      </c>
      <c r="H72" s="106">
        <v>-3142746.8102618158</v>
      </c>
    </row>
    <row r="73" spans="1:8" x14ac:dyDescent="0.2">
      <c r="A73" s="102">
        <v>4750000</v>
      </c>
      <c r="B73" s="101">
        <v>16120</v>
      </c>
      <c r="C73" s="101">
        <v>30</v>
      </c>
      <c r="D73" s="101">
        <v>75</v>
      </c>
      <c r="F73" s="106">
        <v>46</v>
      </c>
      <c r="G73" s="106">
        <v>11516221.980152015</v>
      </c>
      <c r="H73" s="106">
        <v>-516221.98015201464</v>
      </c>
    </row>
    <row r="74" spans="1:8" x14ac:dyDescent="0.2">
      <c r="A74" s="102">
        <v>5100000</v>
      </c>
      <c r="B74" s="101">
        <v>16432</v>
      </c>
      <c r="C74" s="101">
        <v>35</v>
      </c>
      <c r="D74" s="101">
        <v>80</v>
      </c>
      <c r="F74" s="106">
        <v>47</v>
      </c>
      <c r="G74" s="106">
        <v>13230191.97829834</v>
      </c>
      <c r="H74" s="106">
        <v>-1230191.97829834</v>
      </c>
    </row>
    <row r="75" spans="1:8" x14ac:dyDescent="0.2">
      <c r="A75" s="102">
        <v>5500000</v>
      </c>
      <c r="B75" s="101">
        <v>16640</v>
      </c>
      <c r="C75" s="101">
        <v>35</v>
      </c>
      <c r="D75" s="101">
        <v>94</v>
      </c>
      <c r="F75" s="106">
        <v>48</v>
      </c>
      <c r="G75" s="106">
        <v>2525690.8825271958</v>
      </c>
      <c r="H75" s="106">
        <v>-225690.88252719585</v>
      </c>
    </row>
    <row r="76" spans="1:8" x14ac:dyDescent="0.2">
      <c r="A76" s="102">
        <v>11000000</v>
      </c>
      <c r="B76" s="101">
        <v>23500</v>
      </c>
      <c r="C76" s="101">
        <v>96</v>
      </c>
      <c r="D76" s="101">
        <v>116</v>
      </c>
      <c r="F76" s="106">
        <v>49</v>
      </c>
      <c r="G76" s="106">
        <v>3370228.3293691417</v>
      </c>
      <c r="H76" s="106">
        <v>-870228.32936914172</v>
      </c>
    </row>
    <row r="77" spans="1:8" x14ac:dyDescent="0.2">
      <c r="A77" s="102">
        <v>11000000</v>
      </c>
      <c r="B77" s="101">
        <v>24000</v>
      </c>
      <c r="C77" s="101">
        <v>94</v>
      </c>
      <c r="D77" s="101">
        <v>114</v>
      </c>
      <c r="F77" s="106">
        <v>50</v>
      </c>
      <c r="G77" s="106">
        <v>3958053.1404986801</v>
      </c>
      <c r="H77" s="106">
        <v>-958053.14049868006</v>
      </c>
    </row>
    <row r="78" spans="1:8" x14ac:dyDescent="0.2">
      <c r="A78" s="102">
        <v>11000000</v>
      </c>
      <c r="B78" s="101">
        <v>24600</v>
      </c>
      <c r="C78" s="101">
        <v>99</v>
      </c>
      <c r="D78" s="101">
        <v>119</v>
      </c>
      <c r="F78" s="106">
        <v>51</v>
      </c>
      <c r="G78" s="106">
        <v>11798791.139737066</v>
      </c>
      <c r="H78" s="106">
        <v>-4210021.1397370659</v>
      </c>
    </row>
    <row r="79" spans="1:8" x14ac:dyDescent="0.2">
      <c r="A79" s="102">
        <v>990400</v>
      </c>
      <c r="B79" s="101">
        <v>12480</v>
      </c>
      <c r="C79" s="101">
        <v>8</v>
      </c>
      <c r="D79" s="101">
        <v>8</v>
      </c>
      <c r="F79" s="106">
        <v>52</v>
      </c>
      <c r="G79" s="106">
        <v>590707.72722798493</v>
      </c>
      <c r="H79" s="106">
        <v>134292.27277201507</v>
      </c>
    </row>
    <row r="80" spans="1:8" x14ac:dyDescent="0.2">
      <c r="A80" s="102">
        <v>1166100</v>
      </c>
      <c r="B80" s="101">
        <v>13520</v>
      </c>
      <c r="C80" s="101">
        <v>16</v>
      </c>
      <c r="D80" s="101">
        <v>16</v>
      </c>
      <c r="F80" s="106">
        <v>53</v>
      </c>
      <c r="G80" s="106">
        <v>858781.76179442881</v>
      </c>
      <c r="H80" s="106">
        <v>-73781.761794428807</v>
      </c>
    </row>
    <row r="81" spans="1:8" x14ac:dyDescent="0.2">
      <c r="A81" s="102">
        <v>1815900</v>
      </c>
      <c r="B81" s="101">
        <v>14560</v>
      </c>
      <c r="C81" s="101">
        <v>20</v>
      </c>
      <c r="D81" s="101">
        <v>20</v>
      </c>
      <c r="F81" s="106">
        <v>54</v>
      </c>
      <c r="G81" s="106">
        <v>872220.20950863371</v>
      </c>
      <c r="H81" s="106">
        <v>-87220.209508633707</v>
      </c>
    </row>
    <row r="82" spans="1:8" x14ac:dyDescent="0.2">
      <c r="A82" s="102">
        <v>1212478</v>
      </c>
      <c r="B82" s="101">
        <v>12700</v>
      </c>
      <c r="C82" s="101">
        <v>4</v>
      </c>
      <c r="D82" s="101">
        <v>10</v>
      </c>
      <c r="F82" s="106">
        <v>55</v>
      </c>
      <c r="G82" s="106">
        <v>4434354.1671549454</v>
      </c>
      <c r="H82" s="106">
        <v>-434354.16715494543</v>
      </c>
    </row>
    <row r="83" spans="1:8" x14ac:dyDescent="0.2">
      <c r="A83" s="102">
        <v>1159622</v>
      </c>
      <c r="B83" s="101">
        <v>13600</v>
      </c>
      <c r="C83" s="101">
        <v>3</v>
      </c>
      <c r="D83" s="101">
        <v>14</v>
      </c>
      <c r="F83" s="106">
        <v>56</v>
      </c>
      <c r="G83" s="106">
        <v>5086737.1432383899</v>
      </c>
      <c r="H83" s="106">
        <v>-86737.143238389865</v>
      </c>
    </row>
    <row r="84" spans="1:8" x14ac:dyDescent="0.2">
      <c r="A84" s="102">
        <v>1612170</v>
      </c>
      <c r="B84" s="101">
        <v>14900</v>
      </c>
      <c r="C84" s="101">
        <v>0</v>
      </c>
      <c r="D84" s="101">
        <v>17</v>
      </c>
      <c r="F84" s="106">
        <v>57</v>
      </c>
      <c r="G84" s="106">
        <v>6043912.4240675047</v>
      </c>
      <c r="H84" s="106">
        <v>956087.5759324953</v>
      </c>
    </row>
    <row r="85" spans="1:8" x14ac:dyDescent="0.2">
      <c r="A85" s="102">
        <v>12200000</v>
      </c>
      <c r="B85" s="101">
        <v>14538</v>
      </c>
      <c r="C85" s="101">
        <v>30</v>
      </c>
      <c r="D85" s="101">
        <v>127</v>
      </c>
      <c r="F85" s="106">
        <v>58</v>
      </c>
      <c r="G85" s="106">
        <v>7549897.1993387919</v>
      </c>
      <c r="H85" s="106">
        <v>-2249897.1993387919</v>
      </c>
    </row>
    <row r="86" spans="1:8" x14ac:dyDescent="0.2">
      <c r="A86" s="102">
        <v>12000000</v>
      </c>
      <c r="B86" s="101">
        <v>14865</v>
      </c>
      <c r="C86" s="101">
        <v>87</v>
      </c>
      <c r="D86" s="101">
        <v>128</v>
      </c>
      <c r="F86" s="106">
        <v>59</v>
      </c>
      <c r="G86" s="106">
        <v>7952479.3634361867</v>
      </c>
      <c r="H86" s="106">
        <v>-2152479.3634361867</v>
      </c>
    </row>
    <row r="87" spans="1:8" x14ac:dyDescent="0.2">
      <c r="A87" s="102">
        <v>1650831</v>
      </c>
      <c r="B87" s="101">
        <v>24900</v>
      </c>
      <c r="C87" s="101">
        <v>0</v>
      </c>
      <c r="D87" s="101">
        <v>22</v>
      </c>
      <c r="F87" s="106">
        <v>60</v>
      </c>
      <c r="G87" s="106">
        <v>8662033.7586775068</v>
      </c>
      <c r="H87" s="106">
        <v>-2262033.7586775068</v>
      </c>
    </row>
    <row r="88" spans="1:8" x14ac:dyDescent="0.2">
      <c r="A88" s="102">
        <v>1817961</v>
      </c>
      <c r="B88" s="101">
        <v>23000</v>
      </c>
      <c r="C88" s="101">
        <v>0</v>
      </c>
      <c r="D88" s="101">
        <v>37</v>
      </c>
      <c r="F88" s="106">
        <v>61</v>
      </c>
      <c r="G88" s="106">
        <v>10781215.747301346</v>
      </c>
      <c r="H88" s="106">
        <v>11018784.252698654</v>
      </c>
    </row>
    <row r="89" spans="1:8" x14ac:dyDescent="0.2">
      <c r="A89" s="102">
        <v>1642441</v>
      </c>
      <c r="B89" s="101">
        <v>23200</v>
      </c>
      <c r="C89" s="101">
        <v>0</v>
      </c>
      <c r="D89" s="101">
        <v>44</v>
      </c>
      <c r="F89" s="106">
        <v>62</v>
      </c>
      <c r="G89" s="106">
        <v>15638968.193791775</v>
      </c>
      <c r="H89" s="106">
        <v>10161031.806208225</v>
      </c>
    </row>
    <row r="90" spans="1:8" x14ac:dyDescent="0.2">
      <c r="A90" s="102">
        <v>7000000</v>
      </c>
      <c r="B90" s="101">
        <v>8840</v>
      </c>
      <c r="C90" s="101">
        <v>60</v>
      </c>
      <c r="D90" s="101">
        <v>60</v>
      </c>
      <c r="F90" s="106">
        <v>63</v>
      </c>
      <c r="G90" s="106">
        <v>1297545.4478069209</v>
      </c>
      <c r="H90" s="106">
        <v>804035.55219307914</v>
      </c>
    </row>
    <row r="91" spans="1:8" x14ac:dyDescent="0.2">
      <c r="A91" s="102">
        <v>8500000</v>
      </c>
      <c r="B91" s="101">
        <v>9880</v>
      </c>
      <c r="C91" s="101">
        <v>65</v>
      </c>
      <c r="D91" s="101">
        <v>65</v>
      </c>
      <c r="F91" s="106">
        <v>64</v>
      </c>
      <c r="G91" s="106">
        <v>2051163.8076798618</v>
      </c>
      <c r="H91" s="106">
        <v>349559.19232013822</v>
      </c>
    </row>
    <row r="92" spans="1:8" x14ac:dyDescent="0.2">
      <c r="A92" s="102">
        <v>11000000</v>
      </c>
      <c r="B92" s="101">
        <v>10920</v>
      </c>
      <c r="C92" s="101">
        <v>70</v>
      </c>
      <c r="D92" s="101">
        <v>70</v>
      </c>
      <c r="F92" s="106">
        <v>65</v>
      </c>
      <c r="G92" s="106">
        <v>2244260.5029338188</v>
      </c>
      <c r="H92" s="106">
        <v>226372.49706618115</v>
      </c>
    </row>
    <row r="93" spans="1:8" x14ac:dyDescent="0.2">
      <c r="A93" s="102">
        <v>4600000</v>
      </c>
      <c r="B93" s="101">
        <v>18000</v>
      </c>
      <c r="C93" s="101">
        <v>3</v>
      </c>
      <c r="D93" s="101">
        <v>27</v>
      </c>
      <c r="F93" s="106">
        <v>66</v>
      </c>
      <c r="G93" s="106">
        <v>2391306.4053851506</v>
      </c>
      <c r="H93" s="106">
        <v>608693.59461484943</v>
      </c>
    </row>
    <row r="94" spans="1:8" x14ac:dyDescent="0.2">
      <c r="A94" s="102">
        <v>4900000</v>
      </c>
      <c r="B94" s="101">
        <v>19000</v>
      </c>
      <c r="C94" s="101">
        <v>2</v>
      </c>
      <c r="D94" s="101">
        <v>28</v>
      </c>
      <c r="F94" s="106">
        <v>67</v>
      </c>
      <c r="G94" s="106">
        <v>3298324.9683208354</v>
      </c>
      <c r="H94" s="106">
        <v>501675.03167916462</v>
      </c>
    </row>
    <row r="95" spans="1:8" x14ac:dyDescent="0.2">
      <c r="A95" s="102">
        <v>5600000</v>
      </c>
      <c r="B95" s="101">
        <v>21000</v>
      </c>
      <c r="C95" s="101">
        <v>6</v>
      </c>
      <c r="D95" s="101">
        <v>30</v>
      </c>
      <c r="F95" s="106">
        <v>68</v>
      </c>
      <c r="G95" s="106">
        <v>4813110.5551564284</v>
      </c>
      <c r="H95" s="106">
        <v>-1713110.5551564284</v>
      </c>
    </row>
    <row r="96" spans="1:8" x14ac:dyDescent="0.2">
      <c r="A96" s="102">
        <v>2900000</v>
      </c>
      <c r="B96" s="101">
        <v>21830</v>
      </c>
      <c r="C96" s="101">
        <v>25</v>
      </c>
      <c r="D96" s="101">
        <v>25</v>
      </c>
      <c r="F96" s="106">
        <v>69</v>
      </c>
      <c r="G96" s="106">
        <v>834531.32033924153</v>
      </c>
      <c r="H96" s="106">
        <v>-79481.320339241531</v>
      </c>
    </row>
    <row r="97" spans="1:8" x14ac:dyDescent="0.2">
      <c r="A97" s="102">
        <v>2800000</v>
      </c>
      <c r="B97" s="101">
        <v>22454</v>
      </c>
      <c r="C97" s="101">
        <v>25</v>
      </c>
      <c r="D97" s="101">
        <v>25</v>
      </c>
      <c r="F97" s="106">
        <v>70</v>
      </c>
      <c r="G97" s="106">
        <v>606215.60415846366</v>
      </c>
      <c r="H97" s="106">
        <v>496507.39584153634</v>
      </c>
    </row>
    <row r="98" spans="1:8" x14ac:dyDescent="0.2">
      <c r="A98" s="102">
        <v>2900000</v>
      </c>
      <c r="B98" s="101">
        <v>23078</v>
      </c>
      <c r="C98" s="101">
        <v>25</v>
      </c>
      <c r="D98" s="101">
        <v>25</v>
      </c>
      <c r="F98" s="106">
        <v>71</v>
      </c>
      <c r="G98" s="106">
        <v>929006.42892799911</v>
      </c>
      <c r="H98" s="106">
        <v>144778.57107200089</v>
      </c>
    </row>
    <row r="99" spans="1:8" x14ac:dyDescent="0.2">
      <c r="A99" s="102">
        <v>1100000</v>
      </c>
      <c r="B99" s="101">
        <v>18500</v>
      </c>
      <c r="C99" s="101">
        <v>16</v>
      </c>
      <c r="D99" s="101">
        <v>16</v>
      </c>
      <c r="F99" s="106">
        <v>72</v>
      </c>
      <c r="G99" s="106">
        <v>7438817.5667495839</v>
      </c>
      <c r="H99" s="106">
        <v>-2688817.5667495839</v>
      </c>
    </row>
    <row r="100" spans="1:8" x14ac:dyDescent="0.2">
      <c r="A100" s="102">
        <v>2050000</v>
      </c>
      <c r="B100" s="101">
        <v>21000</v>
      </c>
      <c r="C100" s="101">
        <v>19</v>
      </c>
      <c r="D100" s="101">
        <v>19</v>
      </c>
      <c r="F100" s="106">
        <v>73</v>
      </c>
      <c r="G100" s="106">
        <v>8069559.0520781809</v>
      </c>
      <c r="H100" s="106">
        <v>-2969559.0520781809</v>
      </c>
    </row>
    <row r="101" spans="1:8" x14ac:dyDescent="0.2">
      <c r="A101" s="102">
        <v>2260000</v>
      </c>
      <c r="B101" s="101">
        <v>23500</v>
      </c>
      <c r="C101" s="101">
        <v>23</v>
      </c>
      <c r="D101" s="101">
        <v>23</v>
      </c>
      <c r="F101" s="106">
        <v>74</v>
      </c>
      <c r="G101" s="106">
        <v>9360539.3433060218</v>
      </c>
      <c r="H101" s="106">
        <v>-3860539.3433060218</v>
      </c>
    </row>
    <row r="102" spans="1:8" x14ac:dyDescent="0.2">
      <c r="A102" s="102">
        <v>20000000</v>
      </c>
      <c r="B102" s="101">
        <v>22000</v>
      </c>
      <c r="C102" s="101">
        <v>0</v>
      </c>
      <c r="D102" s="101">
        <v>100</v>
      </c>
      <c r="F102" s="106">
        <v>75</v>
      </c>
      <c r="G102" s="106">
        <v>14157385.906859288</v>
      </c>
      <c r="H102" s="106">
        <v>-3157385.906859288</v>
      </c>
    </row>
    <row r="103" spans="1:8" x14ac:dyDescent="0.2">
      <c r="A103" s="102">
        <v>18000000</v>
      </c>
      <c r="B103" s="101">
        <v>22000</v>
      </c>
      <c r="C103" s="101">
        <v>1</v>
      </c>
      <c r="D103" s="101">
        <v>95</v>
      </c>
      <c r="F103" s="106">
        <v>76</v>
      </c>
      <c r="G103" s="106">
        <v>14025147.426057762</v>
      </c>
      <c r="H103" s="106">
        <v>-3025147.4260577615</v>
      </c>
    </row>
    <row r="104" spans="1:8" x14ac:dyDescent="0.2">
      <c r="A104" s="102">
        <v>16000000</v>
      </c>
      <c r="B104" s="101">
        <v>22000</v>
      </c>
      <c r="C104" s="101">
        <v>50</v>
      </c>
      <c r="D104" s="101">
        <v>85</v>
      </c>
      <c r="F104" s="106">
        <v>77</v>
      </c>
      <c r="G104" s="106">
        <v>14711229.398964807</v>
      </c>
      <c r="H104" s="106">
        <v>-3711229.3989648074</v>
      </c>
    </row>
    <row r="105" spans="1:8" x14ac:dyDescent="0.2">
      <c r="A105" s="102">
        <v>386807</v>
      </c>
      <c r="B105" s="101">
        <v>14110</v>
      </c>
      <c r="C105" s="101">
        <v>8</v>
      </c>
      <c r="D105" s="101">
        <v>8</v>
      </c>
      <c r="F105" s="106">
        <v>78</v>
      </c>
      <c r="G105" s="106">
        <v>206791.89670342236</v>
      </c>
      <c r="H105" s="106">
        <v>783608.1032965777</v>
      </c>
    </row>
    <row r="106" spans="1:8" x14ac:dyDescent="0.2">
      <c r="A106" s="102">
        <v>734613</v>
      </c>
      <c r="B106" s="101">
        <v>14040</v>
      </c>
      <c r="C106" s="101">
        <v>10</v>
      </c>
      <c r="D106" s="101">
        <v>10</v>
      </c>
      <c r="F106" s="106">
        <v>79</v>
      </c>
      <c r="G106" s="106">
        <v>1319895.4110153746</v>
      </c>
      <c r="H106" s="106">
        <v>-153795.41101537459</v>
      </c>
    </row>
    <row r="107" spans="1:8" x14ac:dyDescent="0.2">
      <c r="A107" s="102">
        <v>518842</v>
      </c>
      <c r="B107" s="101">
        <v>14126</v>
      </c>
      <c r="C107" s="101">
        <v>8</v>
      </c>
      <c r="D107" s="101">
        <v>8</v>
      </c>
      <c r="F107" s="106">
        <v>80</v>
      </c>
      <c r="G107" s="106">
        <v>1976367.4929657711</v>
      </c>
      <c r="H107" s="106">
        <v>-160467.49296577112</v>
      </c>
    </row>
    <row r="108" spans="1:8" x14ac:dyDescent="0.2">
      <c r="A108" s="102">
        <v>14000000</v>
      </c>
      <c r="B108" s="101">
        <v>20384</v>
      </c>
      <c r="C108" s="101">
        <v>50</v>
      </c>
      <c r="D108" s="101">
        <v>135</v>
      </c>
      <c r="F108" s="106">
        <v>81</v>
      </c>
      <c r="G108" s="106">
        <v>328582.51704162464</v>
      </c>
      <c r="H108" s="106">
        <v>883895.48295837536</v>
      </c>
    </row>
    <row r="109" spans="1:8" x14ac:dyDescent="0.2">
      <c r="A109" s="102">
        <v>15000000</v>
      </c>
      <c r="B109" s="101">
        <v>20800</v>
      </c>
      <c r="C109" s="101">
        <v>75</v>
      </c>
      <c r="D109" s="101">
        <v>135</v>
      </c>
      <c r="F109" s="106">
        <v>82</v>
      </c>
      <c r="G109" s="106">
        <v>834153.74024462653</v>
      </c>
      <c r="H109" s="106">
        <v>325468.25975537347</v>
      </c>
    </row>
    <row r="110" spans="1:8" x14ac:dyDescent="0.2">
      <c r="A110" s="102">
        <v>15500000</v>
      </c>
      <c r="B110" s="101">
        <v>20592</v>
      </c>
      <c r="C110" s="101">
        <v>100</v>
      </c>
      <c r="D110" s="101">
        <v>144</v>
      </c>
      <c r="F110" s="106">
        <v>83</v>
      </c>
      <c r="G110" s="106">
        <v>1277629.0470923984</v>
      </c>
      <c r="H110" s="106">
        <v>334540.9529076016</v>
      </c>
    </row>
    <row r="111" spans="1:8" x14ac:dyDescent="0.2">
      <c r="A111" s="102">
        <v>1656000</v>
      </c>
      <c r="B111" s="101">
        <v>19266</v>
      </c>
      <c r="C111" s="101">
        <v>3</v>
      </c>
      <c r="D111" s="101">
        <v>13</v>
      </c>
      <c r="F111" s="106">
        <v>84</v>
      </c>
      <c r="G111" s="106">
        <v>11781445.793161334</v>
      </c>
      <c r="H111" s="106">
        <v>418554.20683866553</v>
      </c>
    </row>
    <row r="112" spans="1:8" x14ac:dyDescent="0.2">
      <c r="A112" s="102">
        <v>1527000</v>
      </c>
      <c r="B112" s="101">
        <v>20867</v>
      </c>
      <c r="C112" s="101">
        <v>2</v>
      </c>
      <c r="D112" s="101">
        <v>11</v>
      </c>
      <c r="F112" s="106">
        <v>85</v>
      </c>
      <c r="G112" s="106">
        <v>13347229.571011245</v>
      </c>
      <c r="H112" s="106">
        <v>-1347229.5710112453</v>
      </c>
    </row>
    <row r="113" spans="1:8" x14ac:dyDescent="0.2">
      <c r="A113" s="102">
        <v>1454000</v>
      </c>
      <c r="B113" s="101">
        <v>25154</v>
      </c>
      <c r="C113" s="101">
        <v>2</v>
      </c>
      <c r="D113" s="101">
        <v>13</v>
      </c>
      <c r="F113" s="106">
        <v>86</v>
      </c>
      <c r="G113" s="106">
        <v>3645963.8122881446</v>
      </c>
      <c r="H113" s="106">
        <v>-1995132.8122881446</v>
      </c>
    </row>
    <row r="114" spans="1:8" x14ac:dyDescent="0.2">
      <c r="A114" s="102">
        <v>2100000</v>
      </c>
      <c r="B114" s="101">
        <v>25500</v>
      </c>
      <c r="C114" s="101">
        <v>30</v>
      </c>
      <c r="D114" s="101">
        <v>30</v>
      </c>
      <c r="F114" s="106">
        <v>87</v>
      </c>
      <c r="G114" s="106">
        <v>4621240.4906792138</v>
      </c>
      <c r="H114" s="106">
        <v>-2803279.4906792138</v>
      </c>
    </row>
    <row r="115" spans="1:8" x14ac:dyDescent="0.2">
      <c r="A115" s="102">
        <v>2252000</v>
      </c>
      <c r="B115" s="101">
        <v>26000</v>
      </c>
      <c r="C115" s="101">
        <v>27</v>
      </c>
      <c r="D115" s="101">
        <v>27</v>
      </c>
      <c r="F115" s="106">
        <v>88</v>
      </c>
      <c r="G115" s="106">
        <v>5285177.4654859509</v>
      </c>
      <c r="H115" s="106">
        <v>-3642736.4654859509</v>
      </c>
    </row>
    <row r="116" spans="1:8" x14ac:dyDescent="0.2">
      <c r="A116" s="102">
        <v>1866064</v>
      </c>
      <c r="B116" s="101">
        <v>28000</v>
      </c>
      <c r="C116" s="101">
        <v>24</v>
      </c>
      <c r="D116" s="101">
        <v>24</v>
      </c>
      <c r="F116" s="106">
        <v>89</v>
      </c>
      <c r="G116" s="106">
        <v>5443558.2438427061</v>
      </c>
      <c r="H116" s="106">
        <v>1556441.7561572939</v>
      </c>
    </row>
    <row r="117" spans="1:8" x14ac:dyDescent="0.2">
      <c r="A117" s="102">
        <v>1950000</v>
      </c>
      <c r="B117" s="101">
        <v>16000</v>
      </c>
      <c r="C117" s="101">
        <v>14</v>
      </c>
      <c r="D117" s="101">
        <v>14</v>
      </c>
      <c r="F117" s="106">
        <v>90</v>
      </c>
      <c r="G117" s="106">
        <v>6214188.1838834919</v>
      </c>
      <c r="H117" s="106">
        <v>2285811.8161165081</v>
      </c>
    </row>
    <row r="118" spans="1:8" x14ac:dyDescent="0.2">
      <c r="A118" s="102">
        <v>1850000</v>
      </c>
      <c r="B118" s="101">
        <v>17000</v>
      </c>
      <c r="C118" s="101">
        <v>13</v>
      </c>
      <c r="D118" s="101">
        <v>13</v>
      </c>
      <c r="F118" s="106">
        <v>91</v>
      </c>
      <c r="G118" s="106">
        <v>6984818.1239242777</v>
      </c>
      <c r="H118" s="106">
        <v>4015181.8760757223</v>
      </c>
    </row>
    <row r="119" spans="1:8" x14ac:dyDescent="0.2">
      <c r="A119" s="102">
        <v>1550000</v>
      </c>
      <c r="B119" s="101">
        <v>18000</v>
      </c>
      <c r="C119" s="101">
        <v>12</v>
      </c>
      <c r="D119" s="101">
        <v>12</v>
      </c>
      <c r="F119" s="106">
        <v>92</v>
      </c>
      <c r="G119" s="106">
        <v>2841287.5613699537</v>
      </c>
      <c r="H119" s="106">
        <v>1758712.4386300463</v>
      </c>
    </row>
    <row r="120" spans="1:8" x14ac:dyDescent="0.2">
      <c r="A120" s="102">
        <v>1000000</v>
      </c>
      <c r="B120" s="101">
        <v>29120</v>
      </c>
      <c r="C120" s="101">
        <v>2</v>
      </c>
      <c r="D120" s="101">
        <v>12</v>
      </c>
      <c r="F120" s="106">
        <v>93</v>
      </c>
      <c r="G120" s="106">
        <v>3098000.1970823617</v>
      </c>
      <c r="H120" s="106">
        <v>1801999.8029176383</v>
      </c>
    </row>
    <row r="121" spans="1:8" x14ac:dyDescent="0.2">
      <c r="A121" s="102">
        <v>1200000</v>
      </c>
      <c r="B121" s="101">
        <v>29120</v>
      </c>
      <c r="C121" s="101">
        <v>4</v>
      </c>
      <c r="D121" s="101">
        <v>14</v>
      </c>
      <c r="F121" s="106">
        <v>94</v>
      </c>
      <c r="G121" s="106">
        <v>3760224.5479166224</v>
      </c>
      <c r="H121" s="106">
        <v>1839775.4520833776</v>
      </c>
    </row>
    <row r="122" spans="1:8" x14ac:dyDescent="0.2">
      <c r="A122" s="102">
        <v>2873000</v>
      </c>
      <c r="B122" s="101">
        <v>19762</v>
      </c>
      <c r="C122" s="101">
        <v>14</v>
      </c>
      <c r="D122" s="101">
        <v>27</v>
      </c>
      <c r="F122" s="106">
        <v>95</v>
      </c>
      <c r="G122" s="106">
        <v>3944119.7858320153</v>
      </c>
      <c r="H122" s="106">
        <v>-1044119.7858320153</v>
      </c>
    </row>
    <row r="123" spans="1:8" x14ac:dyDescent="0.2">
      <c r="A123" s="102">
        <v>6097000</v>
      </c>
      <c r="B123" s="101">
        <v>21120</v>
      </c>
      <c r="C123" s="101">
        <v>5</v>
      </c>
      <c r="D123" s="101">
        <v>61</v>
      </c>
      <c r="F123" s="106">
        <v>96</v>
      </c>
      <c r="G123" s="106">
        <v>4064024.1755853198</v>
      </c>
      <c r="H123" s="106">
        <v>-1264024.1755853198</v>
      </c>
    </row>
    <row r="124" spans="1:8" x14ac:dyDescent="0.2">
      <c r="A124" s="102">
        <v>5670000</v>
      </c>
      <c r="B124" s="101">
        <v>22360</v>
      </c>
      <c r="C124" s="101">
        <v>9</v>
      </c>
      <c r="D124" s="101">
        <v>52</v>
      </c>
      <c r="F124" s="106">
        <v>97</v>
      </c>
      <c r="G124" s="106">
        <v>4183928.5653386242</v>
      </c>
      <c r="H124" s="106">
        <v>-1283928.5653386242</v>
      </c>
    </row>
    <row r="125" spans="1:8" x14ac:dyDescent="0.2">
      <c r="A125" s="102">
        <v>2213235</v>
      </c>
      <c r="B125" s="101">
        <v>20004</v>
      </c>
      <c r="C125" s="101">
        <v>24</v>
      </c>
      <c r="D125" s="101">
        <v>24</v>
      </c>
      <c r="F125" s="106">
        <v>98</v>
      </c>
      <c r="G125" s="106">
        <v>2276824.6753927073</v>
      </c>
      <c r="H125" s="106">
        <v>-1176824.6753927073</v>
      </c>
    </row>
    <row r="126" spans="1:8" x14ac:dyDescent="0.2">
      <c r="A126" s="102">
        <v>2100943</v>
      </c>
      <c r="B126" s="101">
        <v>19078</v>
      </c>
      <c r="C126" s="101">
        <v>20</v>
      </c>
      <c r="D126" s="101">
        <v>20</v>
      </c>
      <c r="F126" s="106">
        <v>99</v>
      </c>
      <c r="G126" s="106">
        <v>3099684.4265601262</v>
      </c>
      <c r="H126" s="106">
        <v>-1049684.4265601262</v>
      </c>
    </row>
    <row r="127" spans="1:8" x14ac:dyDescent="0.2">
      <c r="A127" s="102">
        <v>2174049</v>
      </c>
      <c r="B127" s="101">
        <v>21099</v>
      </c>
      <c r="C127" s="101">
        <v>20</v>
      </c>
      <c r="D127" s="101">
        <v>20</v>
      </c>
      <c r="F127" s="106">
        <v>100</v>
      </c>
      <c r="G127" s="106">
        <v>4036702.0358179333</v>
      </c>
      <c r="H127" s="106">
        <v>-1776702.0358179333</v>
      </c>
    </row>
    <row r="128" spans="1:8" x14ac:dyDescent="0.2">
      <c r="A128" s="102">
        <v>2100000</v>
      </c>
      <c r="B128" s="101">
        <v>16640</v>
      </c>
      <c r="C128" s="101">
        <v>0</v>
      </c>
      <c r="D128" s="101">
        <v>6</v>
      </c>
      <c r="F128" s="106">
        <v>101</v>
      </c>
      <c r="G128" s="106">
        <v>10058640.745816039</v>
      </c>
      <c r="H128" s="106">
        <v>9941359.2541839611</v>
      </c>
    </row>
    <row r="129" spans="1:8" x14ac:dyDescent="0.2">
      <c r="A129" s="102">
        <v>1800000</v>
      </c>
      <c r="B129" s="101">
        <v>18720</v>
      </c>
      <c r="C129" s="101">
        <v>2</v>
      </c>
      <c r="D129" s="101">
        <v>7</v>
      </c>
      <c r="F129" s="106">
        <v>102</v>
      </c>
      <c r="G129" s="106">
        <v>9636650.5347735416</v>
      </c>
      <c r="H129" s="106">
        <v>8363349.4652264584</v>
      </c>
    </row>
    <row r="130" spans="1:8" x14ac:dyDescent="0.2">
      <c r="A130" s="102">
        <v>1600000</v>
      </c>
      <c r="B130" s="101">
        <v>20800</v>
      </c>
      <c r="C130" s="101">
        <v>0</v>
      </c>
      <c r="D130" s="101">
        <v>6</v>
      </c>
      <c r="F130" s="106">
        <v>103</v>
      </c>
      <c r="G130" s="106">
        <v>9958262.9013958666</v>
      </c>
      <c r="H130" s="106">
        <v>6041737.0986041334</v>
      </c>
    </row>
    <row r="131" spans="1:8" x14ac:dyDescent="0.2">
      <c r="A131" s="102">
        <v>2200000</v>
      </c>
      <c r="B131" s="101">
        <v>10712</v>
      </c>
      <c r="C131" s="101">
        <v>26</v>
      </c>
      <c r="D131" s="101">
        <v>26</v>
      </c>
      <c r="F131" s="106">
        <v>104</v>
      </c>
      <c r="G131" s="106">
        <v>520003.68403977837</v>
      </c>
      <c r="H131" s="106">
        <v>-133196.68403977837</v>
      </c>
    </row>
    <row r="132" spans="1:8" x14ac:dyDescent="0.2">
      <c r="A132" s="102">
        <v>1800000</v>
      </c>
      <c r="B132" s="101">
        <v>10940</v>
      </c>
      <c r="C132" s="101">
        <v>24</v>
      </c>
      <c r="D132" s="101">
        <v>24</v>
      </c>
      <c r="F132" s="106">
        <v>105</v>
      </c>
      <c r="G132" s="106">
        <v>734868.58726746088</v>
      </c>
      <c r="H132" s="106">
        <v>-255.5872674608836</v>
      </c>
    </row>
    <row r="133" spans="1:8" x14ac:dyDescent="0.2">
      <c r="A133" s="102">
        <v>1700000</v>
      </c>
      <c r="B133" s="101">
        <v>11148</v>
      </c>
      <c r="C133" s="101">
        <v>21</v>
      </c>
      <c r="D133" s="101">
        <v>21</v>
      </c>
      <c r="F133" s="106">
        <v>106</v>
      </c>
      <c r="G133" s="106">
        <v>523078.1555719141</v>
      </c>
      <c r="H133" s="106">
        <v>-4236.1555719141033</v>
      </c>
    </row>
    <row r="134" spans="1:8" x14ac:dyDescent="0.2">
      <c r="A134" s="102">
        <v>1100000</v>
      </c>
      <c r="B134" s="101">
        <v>20000</v>
      </c>
      <c r="C134" s="101">
        <v>1</v>
      </c>
      <c r="D134" s="101">
        <v>12</v>
      </c>
      <c r="F134" s="106">
        <v>107</v>
      </c>
      <c r="G134" s="106">
        <v>14115641.852757532</v>
      </c>
      <c r="H134" s="106">
        <v>-115641.85275753215</v>
      </c>
    </row>
    <row r="135" spans="1:8" x14ac:dyDescent="0.2">
      <c r="A135" s="102">
        <v>4200000</v>
      </c>
      <c r="B135" s="101">
        <v>12400</v>
      </c>
      <c r="C135" s="101">
        <v>0</v>
      </c>
      <c r="D135" s="101">
        <v>70</v>
      </c>
      <c r="F135" s="106">
        <v>108</v>
      </c>
      <c r="G135" s="106">
        <v>14815574.27679909</v>
      </c>
      <c r="H135" s="106">
        <v>184425.72320090979</v>
      </c>
    </row>
    <row r="136" spans="1:8" x14ac:dyDescent="0.2">
      <c r="A136" s="102">
        <v>3740000</v>
      </c>
      <c r="B136" s="101">
        <v>13400</v>
      </c>
      <c r="C136" s="101">
        <v>10</v>
      </c>
      <c r="D136" s="101">
        <v>50</v>
      </c>
      <c r="F136" s="106">
        <v>109</v>
      </c>
      <c r="G136" s="106">
        <v>16199824.414786678</v>
      </c>
      <c r="H136" s="106">
        <v>-699824.41478667781</v>
      </c>
    </row>
    <row r="137" spans="1:8" x14ac:dyDescent="0.2">
      <c r="A137" s="102">
        <v>2040000</v>
      </c>
      <c r="B137" s="101">
        <v>14000</v>
      </c>
      <c r="C137" s="101">
        <v>5</v>
      </c>
      <c r="D137" s="101">
        <v>30</v>
      </c>
      <c r="F137" s="106">
        <v>110</v>
      </c>
      <c r="G137" s="106">
        <v>1833542.960040143</v>
      </c>
      <c r="H137" s="106">
        <v>-177542.96004014299</v>
      </c>
    </row>
    <row r="138" spans="1:8" x14ac:dyDescent="0.2">
      <c r="A138" s="102">
        <v>750000</v>
      </c>
      <c r="B138" s="101">
        <v>14560</v>
      </c>
      <c r="C138" s="101">
        <v>2</v>
      </c>
      <c r="D138" s="101">
        <v>20</v>
      </c>
      <c r="F138" s="106">
        <v>111</v>
      </c>
      <c r="G138" s="106">
        <v>1937666.3981119655</v>
      </c>
      <c r="H138" s="106">
        <v>-410666.39811196551</v>
      </c>
    </row>
    <row r="139" spans="1:8" x14ac:dyDescent="0.2">
      <c r="A139" s="102">
        <v>800000</v>
      </c>
      <c r="B139" s="101">
        <v>16640</v>
      </c>
      <c r="C139" s="101">
        <v>3</v>
      </c>
      <c r="D139" s="101">
        <v>18</v>
      </c>
      <c r="F139" s="106">
        <v>112</v>
      </c>
      <c r="G139" s="106">
        <v>2940148.6372979535</v>
      </c>
      <c r="H139" s="106">
        <v>-1486148.6372979535</v>
      </c>
    </row>
    <row r="140" spans="1:8" x14ac:dyDescent="0.2">
      <c r="A140" s="102">
        <v>950000</v>
      </c>
      <c r="B140" s="101">
        <v>17680</v>
      </c>
      <c r="C140" s="101">
        <v>3</v>
      </c>
      <c r="D140" s="101">
        <v>20</v>
      </c>
      <c r="F140" s="106">
        <v>113</v>
      </c>
      <c r="G140" s="106">
        <v>5220115.9839676581</v>
      </c>
      <c r="H140" s="106">
        <v>-3120115.9839676581</v>
      </c>
    </row>
    <row r="141" spans="1:8" x14ac:dyDescent="0.2">
      <c r="A141" s="102">
        <v>6802180</v>
      </c>
      <c r="B141" s="101">
        <v>13478</v>
      </c>
      <c r="C141" s="101">
        <v>2</v>
      </c>
      <c r="D141" s="101">
        <v>9</v>
      </c>
      <c r="F141" s="106">
        <v>114</v>
      </c>
      <c r="G141" s="106">
        <v>4973719.6450757412</v>
      </c>
      <c r="H141" s="106">
        <v>-2721719.6450757412</v>
      </c>
    </row>
    <row r="142" spans="1:8" x14ac:dyDescent="0.2">
      <c r="A142" s="102">
        <v>936477</v>
      </c>
      <c r="B142" s="101">
        <v>14269</v>
      </c>
      <c r="C142" s="101">
        <v>7</v>
      </c>
      <c r="D142" s="101">
        <v>12</v>
      </c>
      <c r="F142" s="106">
        <v>115</v>
      </c>
      <c r="G142" s="106">
        <v>5015555.0123215746</v>
      </c>
      <c r="H142" s="106">
        <v>-3149491.0123215746</v>
      </c>
    </row>
    <row r="143" spans="1:8" x14ac:dyDescent="0.2">
      <c r="A143" s="102">
        <v>1437883</v>
      </c>
      <c r="B143" s="101">
        <v>15558</v>
      </c>
      <c r="C143" s="101">
        <v>5</v>
      </c>
      <c r="D143" s="101">
        <v>17</v>
      </c>
      <c r="F143" s="106">
        <v>116</v>
      </c>
      <c r="G143" s="106">
        <v>1568122.7823156782</v>
      </c>
      <c r="H143" s="106">
        <v>381877.2176843218</v>
      </c>
    </row>
    <row r="144" spans="1:8" x14ac:dyDescent="0.2">
      <c r="A144" s="102">
        <v>1850000</v>
      </c>
      <c r="B144" s="101">
        <v>12500</v>
      </c>
      <c r="C144" s="101">
        <v>0</v>
      </c>
      <c r="D144" s="101">
        <v>11</v>
      </c>
      <c r="F144" s="106">
        <v>117</v>
      </c>
      <c r="G144" s="106">
        <v>1646119.3949837899</v>
      </c>
      <c r="H144" s="106">
        <v>203880.60501621012</v>
      </c>
    </row>
    <row r="145" spans="1:8" x14ac:dyDescent="0.2">
      <c r="A145" s="102">
        <v>2078000</v>
      </c>
      <c r="B145" s="101">
        <v>13100</v>
      </c>
      <c r="C145" s="101">
        <v>2</v>
      </c>
      <c r="D145" s="101">
        <v>13</v>
      </c>
      <c r="F145" s="106">
        <v>118</v>
      </c>
      <c r="G145" s="106">
        <v>1724116.0076519013</v>
      </c>
      <c r="H145" s="106">
        <v>-174116.00765190134</v>
      </c>
    </row>
    <row r="146" spans="1:8" x14ac:dyDescent="0.2">
      <c r="A146" s="102">
        <v>2040000</v>
      </c>
      <c r="B146" s="101">
        <v>13800</v>
      </c>
      <c r="C146" s="101">
        <v>2</v>
      </c>
      <c r="D146" s="101">
        <v>13</v>
      </c>
      <c r="F146" s="106">
        <v>119</v>
      </c>
      <c r="G146" s="106">
        <v>3612875.2568040192</v>
      </c>
      <c r="H146" s="106">
        <v>-2612875.2568040192</v>
      </c>
    </row>
    <row r="147" spans="1:8" x14ac:dyDescent="0.2">
      <c r="A147" s="102">
        <v>5500000</v>
      </c>
      <c r="B147" s="101">
        <v>10400</v>
      </c>
      <c r="C147" s="101">
        <v>0</v>
      </c>
      <c r="D147" s="101">
        <v>40</v>
      </c>
      <c r="F147" s="106">
        <v>120</v>
      </c>
      <c r="G147" s="106">
        <v>3841190.9729847969</v>
      </c>
      <c r="H147" s="106">
        <v>-2641190.9729847969</v>
      </c>
    </row>
    <row r="148" spans="1:8" x14ac:dyDescent="0.2">
      <c r="A148" s="102">
        <v>6000000</v>
      </c>
      <c r="B148" s="101">
        <v>10400</v>
      </c>
      <c r="C148" s="101">
        <v>57</v>
      </c>
      <c r="D148" s="101">
        <v>60</v>
      </c>
      <c r="F148" s="106">
        <v>121</v>
      </c>
      <c r="G148" s="106">
        <v>3452662.051097082</v>
      </c>
      <c r="H148" s="106">
        <v>-579662.05109708197</v>
      </c>
    </row>
    <row r="149" spans="1:8" x14ac:dyDescent="0.2">
      <c r="A149" s="102">
        <v>7000000</v>
      </c>
      <c r="B149" s="101">
        <v>11020</v>
      </c>
      <c r="C149" s="101">
        <v>10</v>
      </c>
      <c r="D149" s="101">
        <v>100</v>
      </c>
      <c r="F149" s="106">
        <v>122</v>
      </c>
      <c r="G149" s="106">
        <v>6528581.5950259902</v>
      </c>
      <c r="H149" s="106">
        <v>-431581.59502599016</v>
      </c>
    </row>
    <row r="150" spans="1:8" x14ac:dyDescent="0.2">
      <c r="A150" s="102">
        <v>1269000</v>
      </c>
      <c r="B150" s="101">
        <v>14000</v>
      </c>
      <c r="C150" s="101">
        <v>0</v>
      </c>
      <c r="D150" s="101">
        <v>30</v>
      </c>
      <c r="F150" s="106">
        <v>123</v>
      </c>
      <c r="G150" s="106">
        <v>6061830.4213401629</v>
      </c>
      <c r="H150" s="106">
        <v>-391830.42134016287</v>
      </c>
    </row>
    <row r="151" spans="1:8" x14ac:dyDescent="0.2">
      <c r="A151" s="102">
        <v>1681000</v>
      </c>
      <c r="B151" s="101">
        <v>14500</v>
      </c>
      <c r="C151" s="101">
        <v>24</v>
      </c>
      <c r="D151" s="101">
        <v>30</v>
      </c>
      <c r="F151" s="106">
        <v>124</v>
      </c>
      <c r="G151" s="106">
        <v>3479087.8641366046</v>
      </c>
      <c r="H151" s="106">
        <v>-1265852.8641366046</v>
      </c>
    </row>
    <row r="152" spans="1:8" x14ac:dyDescent="0.2">
      <c r="A152" s="102">
        <v>1814000</v>
      </c>
      <c r="B152" s="101">
        <v>15000</v>
      </c>
      <c r="C152" s="101">
        <v>0</v>
      </c>
      <c r="D152" s="101">
        <v>31</v>
      </c>
      <c r="F152" s="106">
        <v>125</v>
      </c>
      <c r="G152" s="106">
        <v>2844521.3918526769</v>
      </c>
      <c r="H152" s="106">
        <v>-743578.39185267687</v>
      </c>
    </row>
    <row r="153" spans="1:8" x14ac:dyDescent="0.2">
      <c r="A153" s="102">
        <v>2000000</v>
      </c>
      <c r="B153" s="101">
        <v>18000</v>
      </c>
      <c r="C153" s="101">
        <v>2</v>
      </c>
      <c r="D153" s="101">
        <v>15</v>
      </c>
      <c r="F153" s="106">
        <v>126</v>
      </c>
      <c r="G153" s="106">
        <v>3232865.5772556067</v>
      </c>
      <c r="H153" s="106">
        <v>-1058816.5772556067</v>
      </c>
    </row>
    <row r="154" spans="1:8" x14ac:dyDescent="0.2">
      <c r="A154" s="102">
        <v>2500000</v>
      </c>
      <c r="B154" s="101">
        <v>20000</v>
      </c>
      <c r="C154" s="101">
        <v>3</v>
      </c>
      <c r="D154" s="101">
        <v>15</v>
      </c>
      <c r="F154" s="106">
        <v>127</v>
      </c>
      <c r="G154" s="106">
        <v>629039.69946856098</v>
      </c>
      <c r="H154" s="106">
        <v>1470960.300531439</v>
      </c>
    </row>
    <row r="155" spans="1:8" x14ac:dyDescent="0.2">
      <c r="A155" s="102">
        <v>3500000</v>
      </c>
      <c r="B155" s="101">
        <v>22000</v>
      </c>
      <c r="C155" s="101">
        <v>15</v>
      </c>
      <c r="D155" s="101">
        <v>15</v>
      </c>
      <c r="F155" s="106">
        <v>128</v>
      </c>
      <c r="G155" s="106">
        <v>1167678.7033048724</v>
      </c>
      <c r="H155" s="106">
        <v>632321.29669512762</v>
      </c>
    </row>
    <row r="156" spans="1:8" x14ac:dyDescent="0.2">
      <c r="A156" s="102">
        <v>400000</v>
      </c>
      <c r="B156" s="101">
        <v>25861</v>
      </c>
      <c r="C156" s="101">
        <v>0</v>
      </c>
      <c r="D156" s="101">
        <v>6</v>
      </c>
      <c r="F156" s="106">
        <v>129</v>
      </c>
      <c r="G156" s="106">
        <v>1428402.2978239236</v>
      </c>
      <c r="H156" s="106">
        <v>171597.70217607636</v>
      </c>
    </row>
    <row r="157" spans="1:8" x14ac:dyDescent="0.2">
      <c r="A157" s="102">
        <v>500000</v>
      </c>
      <c r="B157" s="101">
        <v>25168</v>
      </c>
      <c r="C157" s="101">
        <v>5</v>
      </c>
      <c r="D157" s="101">
        <v>5</v>
      </c>
      <c r="F157" s="106">
        <v>130</v>
      </c>
      <c r="G157" s="106">
        <v>1921904.2380293945</v>
      </c>
      <c r="H157" s="106">
        <v>278095.76197060547</v>
      </c>
    </row>
    <row r="158" spans="1:8" x14ac:dyDescent="0.2">
      <c r="A158" s="102">
        <v>600000</v>
      </c>
      <c r="B158" s="101">
        <v>23625</v>
      </c>
      <c r="C158" s="101">
        <v>0</v>
      </c>
      <c r="D158" s="101">
        <v>7</v>
      </c>
      <c r="F158" s="106">
        <v>131</v>
      </c>
      <c r="G158" s="106">
        <v>1737399.7411815547</v>
      </c>
      <c r="H158" s="106">
        <v>62600.258818445262</v>
      </c>
    </row>
    <row r="159" spans="1:8" x14ac:dyDescent="0.2">
      <c r="A159" s="102">
        <v>3330457</v>
      </c>
      <c r="B159" s="101">
        <v>11500</v>
      </c>
      <c r="C159" s="101">
        <v>3</v>
      </c>
      <c r="D159" s="101">
        <v>60</v>
      </c>
      <c r="F159" s="106">
        <v>132</v>
      </c>
      <c r="G159" s="106">
        <v>1434894.2968281561</v>
      </c>
      <c r="H159" s="106">
        <v>265105.7031718439</v>
      </c>
    </row>
    <row r="160" spans="1:8" x14ac:dyDescent="0.2">
      <c r="A160" s="102">
        <v>3765312</v>
      </c>
      <c r="B160" s="101">
        <v>12500</v>
      </c>
      <c r="C160" s="101">
        <v>3</v>
      </c>
      <c r="D160" s="101">
        <v>65</v>
      </c>
      <c r="F160" s="106">
        <v>133</v>
      </c>
      <c r="G160" s="106">
        <v>1835626.6369182523</v>
      </c>
      <c r="H160" s="106">
        <v>-735626.63691825233</v>
      </c>
    </row>
    <row r="161" spans="1:8" x14ac:dyDescent="0.2">
      <c r="A161" s="102">
        <v>3533090</v>
      </c>
      <c r="B161" s="101">
        <v>13200</v>
      </c>
      <c r="C161" s="101">
        <v>0</v>
      </c>
      <c r="D161" s="101">
        <v>56</v>
      </c>
      <c r="F161" s="106">
        <v>134</v>
      </c>
      <c r="G161" s="106">
        <v>5533217.4808699936</v>
      </c>
      <c r="H161" s="106">
        <v>-1333217.4808699936</v>
      </c>
    </row>
    <row r="162" spans="1:8" x14ac:dyDescent="0.2">
      <c r="A162" s="102">
        <v>26900000</v>
      </c>
      <c r="B162" s="101">
        <v>15038</v>
      </c>
      <c r="C162" s="101">
        <v>150</v>
      </c>
      <c r="D162" s="101">
        <v>259</v>
      </c>
      <c r="F162" s="106">
        <v>135</v>
      </c>
      <c r="G162" s="106">
        <v>4186210.1868679416</v>
      </c>
      <c r="H162" s="106">
        <v>-446210.18686794164</v>
      </c>
    </row>
    <row r="163" spans="1:8" x14ac:dyDescent="0.2">
      <c r="A163" s="102">
        <v>32200000</v>
      </c>
      <c r="B163" s="101">
        <v>15434</v>
      </c>
      <c r="C163" s="101">
        <v>244</v>
      </c>
      <c r="D163" s="101">
        <v>331</v>
      </c>
      <c r="F163" s="106">
        <v>136</v>
      </c>
      <c r="G163" s="106">
        <v>2390343.4060388771</v>
      </c>
      <c r="H163" s="106">
        <v>-350343.40603887709</v>
      </c>
    </row>
    <row r="164" spans="1:8" x14ac:dyDescent="0.2">
      <c r="A164" s="102">
        <v>31000000</v>
      </c>
      <c r="B164" s="101">
        <v>16307</v>
      </c>
      <c r="C164" s="101">
        <v>180</v>
      </c>
      <c r="D164" s="101">
        <v>321</v>
      </c>
      <c r="F164" s="106">
        <v>137</v>
      </c>
      <c r="G164" s="106">
        <v>1529970.2547374342</v>
      </c>
      <c r="H164" s="106">
        <v>-779970.25473743421</v>
      </c>
    </row>
    <row r="165" spans="1:8" x14ac:dyDescent="0.2">
      <c r="A165" s="102">
        <v>3870000</v>
      </c>
      <c r="B165" s="101">
        <v>19968</v>
      </c>
      <c r="C165" s="101">
        <v>20</v>
      </c>
      <c r="D165" s="101">
        <v>60</v>
      </c>
      <c r="F165" s="106">
        <v>138</v>
      </c>
      <c r="G165" s="106">
        <v>1775735.3774390602</v>
      </c>
      <c r="H165" s="106">
        <v>-975735.37743906025</v>
      </c>
    </row>
    <row r="166" spans="1:8" x14ac:dyDescent="0.2">
      <c r="A166" s="102">
        <v>3882000</v>
      </c>
      <c r="B166" s="101">
        <v>20800</v>
      </c>
      <c r="C166" s="101">
        <v>41</v>
      </c>
      <c r="D166" s="101">
        <v>70</v>
      </c>
      <c r="F166" s="106">
        <v>139</v>
      </c>
      <c r="G166" s="106">
        <v>2154292.0500721973</v>
      </c>
      <c r="H166" s="106">
        <v>-1204292.0500721973</v>
      </c>
    </row>
    <row r="167" spans="1:8" x14ac:dyDescent="0.2">
      <c r="A167" s="102">
        <v>5330000</v>
      </c>
      <c r="B167" s="101">
        <v>21840</v>
      </c>
      <c r="C167" s="101">
        <v>20</v>
      </c>
      <c r="D167" s="101">
        <v>70</v>
      </c>
      <c r="F167" s="106">
        <v>140</v>
      </c>
      <c r="G167" s="106">
        <v>339120.99063310825</v>
      </c>
      <c r="H167" s="106">
        <v>6463059.0093668913</v>
      </c>
    </row>
    <row r="168" spans="1:8" x14ac:dyDescent="0.2">
      <c r="A168" s="102">
        <v>26000000</v>
      </c>
      <c r="B168" s="101">
        <v>20000</v>
      </c>
      <c r="C168" s="101">
        <v>0</v>
      </c>
      <c r="D168" s="101">
        <v>125</v>
      </c>
      <c r="F168" s="106">
        <v>141</v>
      </c>
      <c r="G168" s="106">
        <v>883188.44441073074</v>
      </c>
      <c r="H168" s="106">
        <v>53288.555589269265</v>
      </c>
    </row>
    <row r="169" spans="1:8" x14ac:dyDescent="0.2">
      <c r="A169" s="102">
        <v>36000000</v>
      </c>
      <c r="B169" s="101">
        <v>20000</v>
      </c>
      <c r="C169" s="101">
        <v>120</v>
      </c>
      <c r="D169" s="101">
        <v>120</v>
      </c>
      <c r="F169" s="106">
        <v>142</v>
      </c>
      <c r="G169" s="106">
        <v>1528065.9216926964</v>
      </c>
      <c r="H169" s="106">
        <v>-90182.9216926964</v>
      </c>
    </row>
    <row r="170" spans="1:8" x14ac:dyDescent="0.2">
      <c r="A170" s="102">
        <v>22000000</v>
      </c>
      <c r="B170" s="101">
        <v>20000</v>
      </c>
      <c r="C170" s="101">
        <v>20</v>
      </c>
      <c r="D170" s="101">
        <v>60</v>
      </c>
      <c r="F170" s="106">
        <v>143</v>
      </c>
      <c r="G170" s="106">
        <v>280310.24813910876</v>
      </c>
      <c r="H170" s="106">
        <v>1569689.7518608912</v>
      </c>
    </row>
    <row r="171" spans="1:8" x14ac:dyDescent="0.2">
      <c r="A171" s="102">
        <v>1200000</v>
      </c>
      <c r="B171" s="101">
        <v>10000</v>
      </c>
      <c r="C171" s="101">
        <v>6</v>
      </c>
      <c r="D171" s="101">
        <v>40</v>
      </c>
      <c r="F171" s="106">
        <v>144</v>
      </c>
      <c r="G171" s="106">
        <v>623918.64677498734</v>
      </c>
      <c r="H171" s="106">
        <v>1454081.3532250128</v>
      </c>
    </row>
    <row r="172" spans="1:8" x14ac:dyDescent="0.2">
      <c r="A172" s="102">
        <v>1100000</v>
      </c>
      <c r="B172" s="101">
        <v>10300</v>
      </c>
      <c r="C172" s="101">
        <v>35</v>
      </c>
      <c r="D172" s="101">
        <v>35</v>
      </c>
      <c r="F172" s="106">
        <v>145</v>
      </c>
      <c r="G172" s="106">
        <v>758426.77630593767</v>
      </c>
      <c r="H172" s="106">
        <v>1281573.2236940623</v>
      </c>
    </row>
    <row r="173" spans="1:8" x14ac:dyDescent="0.2">
      <c r="A173" s="102">
        <v>1300000</v>
      </c>
      <c r="B173" s="101">
        <v>10700</v>
      </c>
      <c r="C173" s="101">
        <v>6</v>
      </c>
      <c r="D173" s="101">
        <v>50</v>
      </c>
      <c r="F173" s="106">
        <v>146</v>
      </c>
      <c r="G173" s="106">
        <v>2468168.1936885505</v>
      </c>
      <c r="H173" s="106">
        <v>3031831.8063114495</v>
      </c>
    </row>
    <row r="174" spans="1:8" x14ac:dyDescent="0.2">
      <c r="A174" s="102">
        <v>11000000</v>
      </c>
      <c r="B174" s="101">
        <v>12000</v>
      </c>
      <c r="C174" s="101">
        <v>20</v>
      </c>
      <c r="D174" s="101">
        <v>150</v>
      </c>
      <c r="F174" s="106">
        <v>147</v>
      </c>
      <c r="G174" s="106">
        <v>5668919.6785212448</v>
      </c>
      <c r="H174" s="106">
        <v>331080.32147875521</v>
      </c>
    </row>
    <row r="175" spans="1:8" x14ac:dyDescent="0.2">
      <c r="A175" s="102">
        <v>15000000</v>
      </c>
      <c r="B175" s="101">
        <v>14000</v>
      </c>
      <c r="C175" s="101">
        <v>74</v>
      </c>
      <c r="D175" s="101">
        <v>175</v>
      </c>
      <c r="F175" s="106">
        <v>148</v>
      </c>
      <c r="G175" s="106">
        <v>8196783.1225701114</v>
      </c>
      <c r="H175" s="106">
        <v>-1196783.1225701114</v>
      </c>
    </row>
    <row r="176" spans="1:8" x14ac:dyDescent="0.2">
      <c r="A176" s="102">
        <v>18000000</v>
      </c>
      <c r="B176" s="101">
        <v>16000</v>
      </c>
      <c r="C176" s="101">
        <v>50</v>
      </c>
      <c r="D176" s="101">
        <v>200</v>
      </c>
      <c r="F176" s="106">
        <v>149</v>
      </c>
      <c r="G176" s="106">
        <v>2266344.1731976722</v>
      </c>
      <c r="H176" s="106">
        <v>-997344.17319767224</v>
      </c>
    </row>
    <row r="177" spans="1:8" x14ac:dyDescent="0.2">
      <c r="A177" s="102">
        <v>6000000</v>
      </c>
      <c r="B177" s="101">
        <v>12480</v>
      </c>
      <c r="C177" s="101">
        <v>5</v>
      </c>
      <c r="D177" s="101">
        <v>80</v>
      </c>
      <c r="F177" s="106">
        <v>150</v>
      </c>
      <c r="G177" s="106">
        <v>2957617.7262147055</v>
      </c>
      <c r="H177" s="106">
        <v>-1276617.7262147055</v>
      </c>
    </row>
    <row r="178" spans="1:8" x14ac:dyDescent="0.2">
      <c r="A178" s="102">
        <v>7700000</v>
      </c>
      <c r="B178" s="101">
        <v>14560</v>
      </c>
      <c r="C178" s="101">
        <v>14</v>
      </c>
      <c r="D178" s="101">
        <v>150</v>
      </c>
      <c r="F178" s="106">
        <v>151</v>
      </c>
      <c r="G178" s="106">
        <v>2547856.6554783215</v>
      </c>
      <c r="H178" s="106">
        <v>-733856.65547832148</v>
      </c>
    </row>
    <row r="179" spans="1:8" x14ac:dyDescent="0.2">
      <c r="A179" s="102">
        <v>5643000</v>
      </c>
      <c r="B179" s="101">
        <v>16640</v>
      </c>
      <c r="C179" s="101">
        <v>0</v>
      </c>
      <c r="D179" s="101">
        <v>120</v>
      </c>
      <c r="F179" s="106">
        <v>152</v>
      </c>
      <c r="G179" s="106">
        <v>1744191.576535936</v>
      </c>
      <c r="H179" s="106">
        <v>255808.42346406402</v>
      </c>
    </row>
    <row r="180" spans="1:8" x14ac:dyDescent="0.2">
      <c r="A180" s="102">
        <v>307501</v>
      </c>
      <c r="B180" s="101">
        <v>8500</v>
      </c>
      <c r="C180" s="101">
        <v>10</v>
      </c>
      <c r="D180" s="101">
        <v>10</v>
      </c>
      <c r="F180" s="106">
        <v>153</v>
      </c>
      <c r="G180" s="106">
        <v>2153300.3646211782</v>
      </c>
      <c r="H180" s="106">
        <v>346699.63537882175</v>
      </c>
    </row>
    <row r="181" spans="1:8" x14ac:dyDescent="0.2">
      <c r="A181" s="102">
        <v>1961818</v>
      </c>
      <c r="B181" s="101">
        <v>9000</v>
      </c>
      <c r="C181" s="101">
        <v>25</v>
      </c>
      <c r="D181" s="101">
        <v>25</v>
      </c>
      <c r="F181" s="106">
        <v>154</v>
      </c>
      <c r="G181" s="106">
        <v>2835207.4649570715</v>
      </c>
      <c r="H181" s="106">
        <v>664792.53504292853</v>
      </c>
    </row>
    <row r="182" spans="1:8" x14ac:dyDescent="0.2">
      <c r="A182" s="102">
        <v>2650786</v>
      </c>
      <c r="B182" s="101">
        <v>9400</v>
      </c>
      <c r="C182" s="101">
        <v>30</v>
      </c>
      <c r="D182" s="101">
        <v>34</v>
      </c>
      <c r="F182" s="106">
        <v>155</v>
      </c>
      <c r="G182" s="106">
        <v>2400896.0743326955</v>
      </c>
      <c r="H182" s="106">
        <v>-2000896.0743326955</v>
      </c>
    </row>
    <row r="183" spans="1:8" x14ac:dyDescent="0.2">
      <c r="A183" s="102">
        <v>600000</v>
      </c>
      <c r="B183" s="101">
        <v>16640</v>
      </c>
      <c r="C183" s="101">
        <v>3</v>
      </c>
      <c r="D183" s="101">
        <v>6</v>
      </c>
      <c r="F183" s="106">
        <v>156</v>
      </c>
      <c r="G183" s="106">
        <v>2302374.2474161112</v>
      </c>
      <c r="H183" s="106">
        <v>-1802374.2474161112</v>
      </c>
    </row>
    <row r="184" spans="1:8" x14ac:dyDescent="0.2">
      <c r="A184" s="102">
        <v>820000</v>
      </c>
      <c r="B184" s="101">
        <v>18304</v>
      </c>
      <c r="C184" s="101">
        <v>5</v>
      </c>
      <c r="D184" s="101">
        <v>12</v>
      </c>
      <c r="F184" s="106">
        <v>157</v>
      </c>
      <c r="G184" s="106">
        <v>2060596.6892388363</v>
      </c>
      <c r="H184" s="106">
        <v>-1460596.6892388363</v>
      </c>
    </row>
    <row r="185" spans="1:8" x14ac:dyDescent="0.2">
      <c r="A185" s="102">
        <v>1200000</v>
      </c>
      <c r="B185" s="101">
        <v>19552</v>
      </c>
      <c r="C185" s="101">
        <v>4</v>
      </c>
      <c r="D185" s="101">
        <v>14</v>
      </c>
      <c r="F185" s="106">
        <v>158</v>
      </c>
      <c r="G185" s="106">
        <v>4541097.8816705849</v>
      </c>
      <c r="H185" s="106">
        <v>-1210640.8816705849</v>
      </c>
    </row>
    <row r="186" spans="1:8" x14ac:dyDescent="0.2">
      <c r="A186" s="102">
        <v>1608573</v>
      </c>
      <c r="B186" s="101">
        <v>35000</v>
      </c>
      <c r="C186" s="101">
        <v>10</v>
      </c>
      <c r="D186" s="101">
        <v>16</v>
      </c>
      <c r="F186" s="106">
        <v>159</v>
      </c>
      <c r="G186" s="106">
        <v>5180042.4100398254</v>
      </c>
      <c r="H186" s="106">
        <v>-1414730.4100398254</v>
      </c>
    </row>
    <row r="187" spans="1:8" x14ac:dyDescent="0.2">
      <c r="A187" s="102">
        <v>1342236</v>
      </c>
      <c r="B187" s="101">
        <v>38000</v>
      </c>
      <c r="C187" s="101">
        <v>16</v>
      </c>
      <c r="D187" s="101">
        <v>16</v>
      </c>
      <c r="F187" s="106">
        <v>160</v>
      </c>
      <c r="G187" s="106">
        <v>4435928.8961667214</v>
      </c>
      <c r="H187" s="106">
        <v>-902838.89616672136</v>
      </c>
    </row>
    <row r="188" spans="1:8" x14ac:dyDescent="0.2">
      <c r="A188" s="102">
        <v>1504283</v>
      </c>
      <c r="B188" s="101">
        <v>41000</v>
      </c>
      <c r="C188" s="101">
        <v>10</v>
      </c>
      <c r="D188" s="101">
        <v>16</v>
      </c>
      <c r="F188" s="106">
        <v>161</v>
      </c>
      <c r="G188" s="106">
        <v>26648762.137653038</v>
      </c>
      <c r="H188" s="106">
        <v>251237.86234696209</v>
      </c>
    </row>
    <row r="189" spans="1:8" x14ac:dyDescent="0.2">
      <c r="A189" s="102">
        <v>1600000</v>
      </c>
      <c r="B189" s="101">
        <v>12000</v>
      </c>
      <c r="C189" s="101">
        <v>0</v>
      </c>
      <c r="D189" s="101">
        <v>15</v>
      </c>
      <c r="F189" s="106">
        <v>162</v>
      </c>
      <c r="G189" s="106">
        <v>35489817.715082712</v>
      </c>
      <c r="H189" s="106">
        <v>-3289817.7150827125</v>
      </c>
    </row>
    <row r="190" spans="1:8" x14ac:dyDescent="0.2">
      <c r="A190" s="102">
        <v>1800000</v>
      </c>
      <c r="B190" s="101">
        <v>13000</v>
      </c>
      <c r="C190" s="101">
        <v>9</v>
      </c>
      <c r="D190" s="101">
        <v>20</v>
      </c>
      <c r="F190" s="106">
        <v>163</v>
      </c>
      <c r="G190" s="106">
        <v>33176798.272465982</v>
      </c>
      <c r="H190" s="106">
        <v>-2176798.2724659815</v>
      </c>
    </row>
    <row r="191" spans="1:8" x14ac:dyDescent="0.2">
      <c r="A191" s="102">
        <v>2000000</v>
      </c>
      <c r="B191" s="101">
        <v>16000</v>
      </c>
      <c r="C191" s="101">
        <v>6</v>
      </c>
      <c r="D191" s="101">
        <v>26</v>
      </c>
      <c r="F191" s="106">
        <v>164</v>
      </c>
      <c r="G191" s="106">
        <v>6589859.3317136643</v>
      </c>
      <c r="H191" s="106">
        <v>-2719859.3317136643</v>
      </c>
    </row>
    <row r="192" spans="1:8" x14ac:dyDescent="0.2">
      <c r="A192" s="102">
        <v>10500000</v>
      </c>
      <c r="B192" s="101">
        <v>17700</v>
      </c>
      <c r="C192" s="101">
        <v>67</v>
      </c>
      <c r="D192" s="101">
        <v>72</v>
      </c>
      <c r="F192" s="106">
        <v>165</v>
      </c>
      <c r="G192" s="106">
        <v>8164108.7445392767</v>
      </c>
      <c r="H192" s="106">
        <v>-4282108.7445392767</v>
      </c>
    </row>
    <row r="193" spans="1:8" x14ac:dyDescent="0.2">
      <c r="A193" s="102">
        <v>15400000</v>
      </c>
      <c r="B193" s="101">
        <v>19350</v>
      </c>
      <c r="C193" s="101">
        <v>128</v>
      </c>
      <c r="D193" s="101">
        <v>128</v>
      </c>
      <c r="F193" s="106">
        <v>166</v>
      </c>
      <c r="G193" s="106">
        <v>7843152.6161950585</v>
      </c>
      <c r="H193" s="106">
        <v>-2513152.6161950585</v>
      </c>
    </row>
    <row r="194" spans="1:8" x14ac:dyDescent="0.2">
      <c r="A194" s="102">
        <v>23000000</v>
      </c>
      <c r="B194" s="101">
        <v>23250</v>
      </c>
      <c r="C194" s="101">
        <v>108</v>
      </c>
      <c r="D194" s="101">
        <v>168</v>
      </c>
      <c r="F194" s="106">
        <v>167</v>
      </c>
      <c r="G194" s="106">
        <v>11908282.09235274</v>
      </c>
      <c r="H194" s="106">
        <v>14091717.90764726</v>
      </c>
    </row>
    <row r="195" spans="1:8" x14ac:dyDescent="0.2">
      <c r="A195" s="102">
        <v>5600000</v>
      </c>
      <c r="B195" s="101">
        <v>23000</v>
      </c>
      <c r="C195" s="101">
        <v>10</v>
      </c>
      <c r="D195" s="101">
        <v>60</v>
      </c>
      <c r="F195" s="106">
        <v>168</v>
      </c>
      <c r="G195" s="106">
        <v>14437473.622930912</v>
      </c>
      <c r="H195" s="106">
        <v>21562526.377069086</v>
      </c>
    </row>
    <row r="196" spans="1:8" x14ac:dyDescent="0.2">
      <c r="A196" s="102">
        <v>6200000</v>
      </c>
      <c r="B196" s="101">
        <v>25000</v>
      </c>
      <c r="C196" s="101">
        <v>50</v>
      </c>
      <c r="D196" s="101">
        <v>50</v>
      </c>
      <c r="F196" s="106">
        <v>169</v>
      </c>
      <c r="G196" s="106">
        <v>6596008.2747779358</v>
      </c>
      <c r="H196" s="106">
        <v>15403991.725222064</v>
      </c>
    </row>
    <row r="197" spans="1:8" x14ac:dyDescent="0.2">
      <c r="A197" s="102">
        <v>6300000</v>
      </c>
      <c r="B197" s="101">
        <v>27000</v>
      </c>
      <c r="C197" s="101">
        <v>6</v>
      </c>
      <c r="D197" s="101">
        <v>48</v>
      </c>
      <c r="F197" s="106">
        <v>170</v>
      </c>
      <c r="G197" s="106">
        <v>2540105.4847945962</v>
      </c>
      <c r="H197" s="106">
        <v>-1340105.4847945962</v>
      </c>
    </row>
    <row r="198" spans="1:8" x14ac:dyDescent="0.2">
      <c r="A198" s="102">
        <v>726833</v>
      </c>
      <c r="B198" s="101">
        <v>9048</v>
      </c>
      <c r="C198" s="101">
        <v>0</v>
      </c>
      <c r="D198" s="101">
        <v>15</v>
      </c>
      <c r="F198" s="106">
        <v>171</v>
      </c>
      <c r="G198" s="106">
        <v>2870157.3188903932</v>
      </c>
      <c r="H198" s="106">
        <v>-1770157.3188903932</v>
      </c>
    </row>
    <row r="199" spans="1:8" x14ac:dyDescent="0.2">
      <c r="A199" s="102">
        <v>4005963</v>
      </c>
      <c r="B199" s="101">
        <v>10088</v>
      </c>
      <c r="C199" s="101">
        <v>40</v>
      </c>
      <c r="D199" s="101">
        <v>80</v>
      </c>
      <c r="F199" s="106">
        <v>172</v>
      </c>
      <c r="G199" s="106">
        <v>3568193.7295470266</v>
      </c>
      <c r="H199" s="106">
        <v>-2268193.7295470266</v>
      </c>
    </row>
    <row r="200" spans="1:8" x14ac:dyDescent="0.2">
      <c r="A200" s="102">
        <v>2089704</v>
      </c>
      <c r="B200" s="101">
        <v>10504</v>
      </c>
      <c r="C200" s="101">
        <v>0</v>
      </c>
      <c r="D200" s="101">
        <v>30</v>
      </c>
      <c r="F200" s="106">
        <v>173</v>
      </c>
      <c r="G200" s="106">
        <v>13100993.545703255</v>
      </c>
      <c r="H200" s="106">
        <v>-2100993.5457032546</v>
      </c>
    </row>
    <row r="201" spans="1:8" x14ac:dyDescent="0.2">
      <c r="A201" s="102">
        <v>7742994</v>
      </c>
      <c r="B201" s="101">
        <v>18305</v>
      </c>
      <c r="C201" s="101">
        <v>0</v>
      </c>
      <c r="D201" s="101">
        <v>72</v>
      </c>
      <c r="F201" s="106">
        <v>174</v>
      </c>
      <c r="G201" s="106">
        <v>17058444.489958968</v>
      </c>
      <c r="H201" s="106">
        <v>-2058444.489958968</v>
      </c>
    </row>
    <row r="202" spans="1:8" x14ac:dyDescent="0.2">
      <c r="A202" s="102">
        <v>8273868</v>
      </c>
      <c r="B202" s="101">
        <v>19828</v>
      </c>
      <c r="C202" s="101">
        <v>70</v>
      </c>
      <c r="D202" s="101">
        <v>70</v>
      </c>
      <c r="F202" s="106">
        <v>175</v>
      </c>
      <c r="G202" s="106">
        <v>19081507.401891883</v>
      </c>
      <c r="H202" s="106">
        <v>-1081507.4018918835</v>
      </c>
    </row>
    <row r="203" spans="1:8" x14ac:dyDescent="0.2">
      <c r="A203" s="102">
        <v>8329656</v>
      </c>
      <c r="B203" s="101">
        <v>17893</v>
      </c>
      <c r="C203" s="101">
        <v>0</v>
      </c>
      <c r="D203" s="101">
        <v>68</v>
      </c>
      <c r="F203" s="106">
        <v>176</v>
      </c>
      <c r="G203" s="106">
        <v>6566169.1865933584</v>
      </c>
      <c r="H203" s="106">
        <v>-566169.1865933584</v>
      </c>
    </row>
    <row r="204" spans="1:8" x14ac:dyDescent="0.2">
      <c r="A204" s="102">
        <v>10000000</v>
      </c>
      <c r="B204" s="101">
        <v>28080</v>
      </c>
      <c r="C204" s="101">
        <v>0</v>
      </c>
      <c r="D204" s="101">
        <v>120</v>
      </c>
      <c r="F204" s="106">
        <v>177</v>
      </c>
      <c r="G204" s="106">
        <v>13444109.911435571</v>
      </c>
      <c r="H204" s="106">
        <v>-5744109.9114355706</v>
      </c>
    </row>
    <row r="205" spans="1:8" x14ac:dyDescent="0.2">
      <c r="A205" s="102">
        <v>12000000</v>
      </c>
      <c r="B205" s="101">
        <v>28080</v>
      </c>
      <c r="C205" s="101">
        <v>120</v>
      </c>
      <c r="D205" s="101">
        <v>120</v>
      </c>
      <c r="F205" s="106">
        <v>178</v>
      </c>
      <c r="G205" s="106">
        <v>10815853.012993436</v>
      </c>
      <c r="H205" s="106">
        <v>-5172853.0129934363</v>
      </c>
    </row>
    <row r="206" spans="1:8" x14ac:dyDescent="0.2">
      <c r="A206" s="102">
        <v>11000000</v>
      </c>
      <c r="B206" s="101">
        <v>28080</v>
      </c>
      <c r="C206" s="101">
        <v>120</v>
      </c>
      <c r="D206" s="101">
        <v>120</v>
      </c>
      <c r="F206" s="106">
        <v>179</v>
      </c>
      <c r="G206" s="106">
        <v>-329667.18073463254</v>
      </c>
      <c r="H206" s="106">
        <v>637168.18073463254</v>
      </c>
    </row>
    <row r="207" spans="1:8" x14ac:dyDescent="0.2">
      <c r="A207" s="102">
        <v>1800000</v>
      </c>
      <c r="B207" s="101">
        <v>15100</v>
      </c>
      <c r="C207" s="101">
        <v>25</v>
      </c>
      <c r="D207" s="101">
        <v>25</v>
      </c>
      <c r="F207" s="106">
        <v>180</v>
      </c>
      <c r="G207" s="106">
        <v>1478777.9260004521</v>
      </c>
      <c r="H207" s="106">
        <v>483040.07399954787</v>
      </c>
    </row>
    <row r="208" spans="1:8" x14ac:dyDescent="0.2">
      <c r="A208" s="102">
        <v>2100000</v>
      </c>
      <c r="B208" s="101">
        <v>16500</v>
      </c>
      <c r="C208" s="101">
        <v>30</v>
      </c>
      <c r="D208" s="101">
        <v>30</v>
      </c>
      <c r="F208" s="106">
        <v>181</v>
      </c>
      <c r="G208" s="106">
        <v>2483861.0508443899</v>
      </c>
      <c r="H208" s="106">
        <v>166924.94915561005</v>
      </c>
    </row>
    <row r="209" spans="1:8" x14ac:dyDescent="0.2">
      <c r="A209" s="102">
        <v>2000000</v>
      </c>
      <c r="B209" s="101">
        <v>30000</v>
      </c>
      <c r="C209" s="101">
        <v>31</v>
      </c>
      <c r="D209" s="101">
        <v>31</v>
      </c>
      <c r="F209" s="106">
        <v>182</v>
      </c>
      <c r="G209" s="106">
        <v>703439.2391732838</v>
      </c>
      <c r="H209" s="106">
        <v>-103439.2391732838</v>
      </c>
    </row>
    <row r="210" spans="1:8" x14ac:dyDescent="0.2">
      <c r="A210" s="102">
        <v>2200000</v>
      </c>
      <c r="B210" s="101">
        <v>30000</v>
      </c>
      <c r="C210" s="101">
        <v>47</v>
      </c>
      <c r="D210" s="101">
        <v>47</v>
      </c>
      <c r="F210" s="106">
        <v>183</v>
      </c>
      <c r="G210" s="106">
        <v>1608932.0407847993</v>
      </c>
      <c r="H210" s="106">
        <v>-788932.04078479926</v>
      </c>
    </row>
    <row r="211" spans="1:8" x14ac:dyDescent="0.2">
      <c r="A211" s="102">
        <v>1800000</v>
      </c>
      <c r="B211" s="101">
        <v>30000</v>
      </c>
      <c r="C211" s="101">
        <v>32</v>
      </c>
      <c r="D211" s="101">
        <v>32</v>
      </c>
      <c r="F211" s="106">
        <v>184</v>
      </c>
      <c r="G211" s="106">
        <v>2002656.9967674627</v>
      </c>
      <c r="H211" s="106">
        <v>-802656.9967674627</v>
      </c>
    </row>
    <row r="212" spans="1:8" x14ac:dyDescent="0.2">
      <c r="A212" s="102">
        <v>1400000</v>
      </c>
      <c r="B212" s="101">
        <v>14000</v>
      </c>
      <c r="C212" s="101">
        <v>3</v>
      </c>
      <c r="D212" s="101">
        <v>25</v>
      </c>
      <c r="F212" s="106">
        <v>185</v>
      </c>
      <c r="G212" s="106">
        <v>5298574.363498522</v>
      </c>
      <c r="H212" s="106">
        <v>-3690001.363498522</v>
      </c>
    </row>
    <row r="213" spans="1:8" x14ac:dyDescent="0.2">
      <c r="A213" s="102">
        <v>1680000</v>
      </c>
      <c r="B213" s="101">
        <v>16000</v>
      </c>
      <c r="C213" s="101">
        <v>17</v>
      </c>
      <c r="D213" s="101">
        <v>30</v>
      </c>
      <c r="F213" s="106">
        <v>186</v>
      </c>
      <c r="G213" s="106">
        <v>6023836.8551834701</v>
      </c>
      <c r="H213" s="106">
        <v>-4681600.8551834701</v>
      </c>
    </row>
    <row r="214" spans="1:8" x14ac:dyDescent="0.2">
      <c r="A214" s="102">
        <v>2806000</v>
      </c>
      <c r="B214" s="101">
        <v>17000</v>
      </c>
      <c r="C214" s="101">
        <v>4</v>
      </c>
      <c r="D214" s="101">
        <v>39</v>
      </c>
      <c r="F214" s="106">
        <v>187</v>
      </c>
      <c r="G214" s="106">
        <v>6451501.1880495269</v>
      </c>
      <c r="H214" s="106">
        <v>-4947218.1880495269</v>
      </c>
    </row>
    <row r="215" spans="1:8" x14ac:dyDescent="0.2">
      <c r="A215" s="102">
        <v>580000</v>
      </c>
      <c r="B215" s="101">
        <v>8840</v>
      </c>
      <c r="C215" s="101">
        <v>0</v>
      </c>
      <c r="D215" s="101">
        <v>19</v>
      </c>
      <c r="F215" s="106">
        <v>188</v>
      </c>
      <c r="G215" s="106">
        <v>541665.05884845066</v>
      </c>
      <c r="H215" s="106">
        <v>1058334.9411515493</v>
      </c>
    </row>
    <row r="216" spans="1:8" x14ac:dyDescent="0.2">
      <c r="A216" s="102">
        <v>660000</v>
      </c>
      <c r="B216" s="101">
        <v>9360</v>
      </c>
      <c r="C216" s="101">
        <v>21</v>
      </c>
      <c r="D216" s="101">
        <v>21</v>
      </c>
      <c r="F216" s="106">
        <v>189</v>
      </c>
      <c r="G216" s="106">
        <v>1403808.2063318598</v>
      </c>
      <c r="H216" s="106">
        <v>396191.79366814019</v>
      </c>
    </row>
    <row r="217" spans="1:8" x14ac:dyDescent="0.2">
      <c r="A217" s="102">
        <v>984000</v>
      </c>
      <c r="B217" s="101">
        <v>10720</v>
      </c>
      <c r="C217" s="101">
        <v>0</v>
      </c>
      <c r="D217" s="101">
        <v>30</v>
      </c>
      <c r="F217" s="106">
        <v>190</v>
      </c>
      <c r="G217" s="106">
        <v>2442020.1480355272</v>
      </c>
      <c r="H217" s="106">
        <v>-442020.14803552721</v>
      </c>
    </row>
    <row r="218" spans="1:8" x14ac:dyDescent="0.2">
      <c r="A218" s="102">
        <v>1300000</v>
      </c>
      <c r="B218" s="101">
        <v>13000</v>
      </c>
      <c r="C218" s="101">
        <v>0</v>
      </c>
      <c r="D218" s="101">
        <v>15</v>
      </c>
      <c r="F218" s="106">
        <v>191</v>
      </c>
      <c r="G218" s="106">
        <v>8391941.9190064855</v>
      </c>
      <c r="H218" s="106">
        <v>2108058.0809935145</v>
      </c>
    </row>
    <row r="219" spans="1:8" x14ac:dyDescent="0.2">
      <c r="A219" s="102">
        <v>1600000</v>
      </c>
      <c r="B219" s="101">
        <v>14040</v>
      </c>
      <c r="C219" s="101">
        <v>18</v>
      </c>
      <c r="D219" s="101">
        <v>18</v>
      </c>
      <c r="F219" s="106">
        <v>192</v>
      </c>
      <c r="G219" s="106">
        <v>15225836.081660999</v>
      </c>
      <c r="H219" s="106">
        <v>174163.91833900101</v>
      </c>
    </row>
    <row r="220" spans="1:8" x14ac:dyDescent="0.2">
      <c r="A220" s="102">
        <v>2300000</v>
      </c>
      <c r="B220" s="101">
        <v>15080</v>
      </c>
      <c r="C220" s="101">
        <v>0</v>
      </c>
      <c r="D220" s="101">
        <v>28</v>
      </c>
      <c r="F220" s="106">
        <v>193</v>
      </c>
      <c r="G220" s="106">
        <v>19053562.047140256</v>
      </c>
      <c r="H220" s="106">
        <v>3946437.9528597444</v>
      </c>
    </row>
    <row r="221" spans="1:8" x14ac:dyDescent="0.2">
      <c r="A221" s="102">
        <v>490000</v>
      </c>
      <c r="B221" s="101">
        <v>14560</v>
      </c>
      <c r="C221" s="101">
        <v>4</v>
      </c>
      <c r="D221" s="101">
        <v>6</v>
      </c>
      <c r="F221" s="106">
        <v>194</v>
      </c>
      <c r="G221" s="106">
        <v>6924473.2213710286</v>
      </c>
      <c r="H221" s="106">
        <v>-1324473.2213710286</v>
      </c>
    </row>
    <row r="222" spans="1:8" x14ac:dyDescent="0.2">
      <c r="A222" s="102">
        <v>580000</v>
      </c>
      <c r="B222" s="101">
        <v>15600</v>
      </c>
      <c r="C222" s="101">
        <v>6</v>
      </c>
      <c r="D222" s="101">
        <v>7</v>
      </c>
      <c r="F222" s="106">
        <v>195</v>
      </c>
      <c r="G222" s="106">
        <v>7407195.9103961866</v>
      </c>
      <c r="H222" s="106">
        <v>-1207195.9103961866</v>
      </c>
    </row>
    <row r="223" spans="1:8" x14ac:dyDescent="0.2">
      <c r="A223" s="102">
        <v>660000</v>
      </c>
      <c r="B223" s="101">
        <v>16640</v>
      </c>
      <c r="C223" s="101">
        <v>4</v>
      </c>
      <c r="D223" s="101">
        <v>8</v>
      </c>
      <c r="F223" s="106">
        <v>196</v>
      </c>
      <c r="G223" s="106">
        <v>6521595.5798662901</v>
      </c>
      <c r="H223" s="106">
        <v>-221595.57986629009</v>
      </c>
    </row>
    <row r="224" spans="1:8" x14ac:dyDescent="0.2">
      <c r="A224" s="102">
        <v>4568907</v>
      </c>
      <c r="B224" s="101">
        <v>19042</v>
      </c>
      <c r="C224" s="101">
        <v>0</v>
      </c>
      <c r="D224" s="101">
        <v>28</v>
      </c>
      <c r="F224" s="106">
        <v>197</v>
      </c>
      <c r="G224" s="106">
        <v>-25574.938830643194</v>
      </c>
      <c r="H224" s="106">
        <v>752407.93883064319</v>
      </c>
    </row>
    <row r="225" spans="1:8" x14ac:dyDescent="0.2">
      <c r="A225" s="102">
        <v>4904008</v>
      </c>
      <c r="B225" s="101">
        <v>19845</v>
      </c>
      <c r="C225" s="101">
        <v>14</v>
      </c>
      <c r="D225" s="101">
        <v>28</v>
      </c>
      <c r="F225" s="106">
        <v>198</v>
      </c>
      <c r="G225" s="106">
        <v>6974530.3224274572</v>
      </c>
      <c r="H225" s="106">
        <v>-2968567.3224274572</v>
      </c>
    </row>
    <row r="226" spans="1:8" x14ac:dyDescent="0.2">
      <c r="A226" s="102">
        <v>5884603</v>
      </c>
      <c r="B226" s="101">
        <v>20426</v>
      </c>
      <c r="C226" s="101">
        <v>4</v>
      </c>
      <c r="D226" s="101">
        <v>29</v>
      </c>
      <c r="F226" s="106">
        <v>199</v>
      </c>
      <c r="G226" s="106">
        <v>1594572.1434259543</v>
      </c>
      <c r="H226" s="106">
        <v>495131.85657404573</v>
      </c>
    </row>
    <row r="227" spans="1:8" x14ac:dyDescent="0.2">
      <c r="A227" s="102">
        <v>6900000</v>
      </c>
      <c r="B227" s="101">
        <v>13728</v>
      </c>
      <c r="C227" s="101">
        <v>20</v>
      </c>
      <c r="D227" s="101">
        <v>80</v>
      </c>
      <c r="F227" s="106">
        <v>200</v>
      </c>
      <c r="G227" s="106">
        <v>6846605.6537432354</v>
      </c>
      <c r="H227" s="106">
        <v>896388.34625676461</v>
      </c>
    </row>
    <row r="228" spans="1:8" x14ac:dyDescent="0.2">
      <c r="A228" s="102">
        <v>8400000</v>
      </c>
      <c r="B228" s="101">
        <v>14664</v>
      </c>
      <c r="C228" s="101">
        <v>25</v>
      </c>
      <c r="D228" s="101">
        <v>65</v>
      </c>
      <c r="F228" s="106">
        <v>201</v>
      </c>
      <c r="G228" s="106">
        <v>8696530.1494410019</v>
      </c>
      <c r="H228" s="106">
        <v>-422662.14944100194</v>
      </c>
    </row>
    <row r="229" spans="1:8" x14ac:dyDescent="0.2">
      <c r="A229" s="102">
        <v>7100000</v>
      </c>
      <c r="B229" s="101">
        <v>15600</v>
      </c>
      <c r="C229" s="101">
        <v>30</v>
      </c>
      <c r="D229" s="101">
        <v>75</v>
      </c>
      <c r="F229" s="106">
        <v>202</v>
      </c>
      <c r="G229" s="106">
        <v>6410005.9657021407</v>
      </c>
      <c r="H229" s="106">
        <v>1919650.0342978593</v>
      </c>
    </row>
    <row r="230" spans="1:8" x14ac:dyDescent="0.2">
      <c r="A230" s="102">
        <v>3000000</v>
      </c>
      <c r="B230" s="101">
        <v>20000</v>
      </c>
      <c r="C230" s="101">
        <v>0</v>
      </c>
      <c r="D230" s="101">
        <v>25</v>
      </c>
      <c r="F230" s="106">
        <v>203</v>
      </c>
      <c r="G230" s="106">
        <v>13014100.158470685</v>
      </c>
      <c r="H230" s="106">
        <v>-3014100.1584706847</v>
      </c>
    </row>
    <row r="231" spans="1:8" x14ac:dyDescent="0.2">
      <c r="A231" s="102">
        <v>4000000</v>
      </c>
      <c r="B231" s="101">
        <v>25000</v>
      </c>
      <c r="C231" s="101">
        <v>0</v>
      </c>
      <c r="D231" s="101">
        <v>30</v>
      </c>
      <c r="F231" s="106">
        <v>204</v>
      </c>
      <c r="G231" s="106">
        <v>15990081.746659596</v>
      </c>
      <c r="H231" s="106">
        <v>-3990081.7466595955</v>
      </c>
    </row>
    <row r="232" spans="1:8" x14ac:dyDescent="0.2">
      <c r="A232" s="102">
        <v>6000000</v>
      </c>
      <c r="B232" s="101">
        <v>30000</v>
      </c>
      <c r="C232" s="101">
        <v>0</v>
      </c>
      <c r="D232" s="101">
        <v>40</v>
      </c>
      <c r="F232" s="106">
        <v>205</v>
      </c>
      <c r="G232" s="106">
        <v>15990081.746659596</v>
      </c>
      <c r="H232" s="106">
        <v>-4990081.7466595955</v>
      </c>
    </row>
    <row r="233" spans="1:8" x14ac:dyDescent="0.2">
      <c r="A233" s="102">
        <v>1083644</v>
      </c>
      <c r="B233" s="101">
        <v>24000</v>
      </c>
      <c r="C233" s="101">
        <v>6</v>
      </c>
      <c r="D233" s="101">
        <v>17</v>
      </c>
      <c r="F233" s="106">
        <v>206</v>
      </c>
      <c r="G233" s="106">
        <v>2650920.197627306</v>
      </c>
      <c r="H233" s="106">
        <v>-850920.19762730598</v>
      </c>
    </row>
    <row r="234" spans="1:8" x14ac:dyDescent="0.2">
      <c r="A234" s="102">
        <v>851605</v>
      </c>
      <c r="B234" s="101">
        <v>24000</v>
      </c>
      <c r="C234" s="101">
        <v>13</v>
      </c>
      <c r="D234" s="101">
        <v>13</v>
      </c>
      <c r="F234" s="106">
        <v>207</v>
      </c>
      <c r="G234" s="106">
        <v>3490725.7471411522</v>
      </c>
      <c r="H234" s="106">
        <v>-1390725.7471411522</v>
      </c>
    </row>
    <row r="235" spans="1:8" x14ac:dyDescent="0.2">
      <c r="A235" s="102">
        <v>885852</v>
      </c>
      <c r="B235" s="101">
        <v>16000</v>
      </c>
      <c r="C235" s="101">
        <v>1</v>
      </c>
      <c r="D235" s="101">
        <v>9</v>
      </c>
      <c r="F235" s="106">
        <v>208</v>
      </c>
      <c r="G235" s="106">
        <v>6198968.9604713004</v>
      </c>
      <c r="H235" s="106">
        <v>-4198968.9604713004</v>
      </c>
    </row>
    <row r="236" spans="1:8" x14ac:dyDescent="0.2">
      <c r="A236" s="102">
        <v>3499895</v>
      </c>
      <c r="B236" s="101">
        <v>14560</v>
      </c>
      <c r="C236" s="101">
        <v>0</v>
      </c>
      <c r="D236" s="101">
        <v>20</v>
      </c>
      <c r="F236" s="106">
        <v>209</v>
      </c>
      <c r="G236" s="106">
        <v>8025494.6899175234</v>
      </c>
      <c r="H236" s="106">
        <v>-5825494.6899175234</v>
      </c>
    </row>
    <row r="237" spans="1:8" x14ac:dyDescent="0.2">
      <c r="A237" s="102">
        <v>4008997</v>
      </c>
      <c r="B237" s="101">
        <v>16848</v>
      </c>
      <c r="C237" s="101">
        <v>6</v>
      </c>
      <c r="D237" s="101">
        <v>17</v>
      </c>
      <c r="F237" s="106">
        <v>210</v>
      </c>
      <c r="G237" s="106">
        <v>6313126.818561689</v>
      </c>
      <c r="H237" s="106">
        <v>-4513126.818561689</v>
      </c>
    </row>
    <row r="238" spans="1:8" x14ac:dyDescent="0.2">
      <c r="A238" s="102">
        <v>3379103</v>
      </c>
      <c r="B238" s="101">
        <v>18720</v>
      </c>
      <c r="C238" s="101">
        <v>0</v>
      </c>
      <c r="D238" s="101">
        <v>13</v>
      </c>
      <c r="F238" s="106">
        <v>211</v>
      </c>
      <c r="G238" s="106">
        <v>1893953.6552916546</v>
      </c>
      <c r="H238" s="106">
        <v>-493953.65529165464</v>
      </c>
    </row>
    <row r="239" spans="1:8" x14ac:dyDescent="0.2">
      <c r="A239" s="102">
        <v>6400000</v>
      </c>
      <c r="B239" s="101">
        <v>16141</v>
      </c>
      <c r="C239" s="101">
        <v>60</v>
      </c>
      <c r="D239" s="101">
        <v>70</v>
      </c>
      <c r="F239" s="106">
        <v>212</v>
      </c>
      <c r="G239" s="106">
        <v>3072250.5063747698</v>
      </c>
      <c r="H239" s="106">
        <v>-1392250.5063747698</v>
      </c>
    </row>
    <row r="240" spans="1:8" x14ac:dyDescent="0.2">
      <c r="A240" s="102">
        <v>6800000</v>
      </c>
      <c r="B240" s="101">
        <v>16578</v>
      </c>
      <c r="C240" s="101">
        <v>65</v>
      </c>
      <c r="D240" s="101">
        <v>65</v>
      </c>
      <c r="F240" s="106">
        <v>213</v>
      </c>
      <c r="G240" s="106">
        <v>3746229.0754454704</v>
      </c>
      <c r="H240" s="106">
        <v>-940229.0754454704</v>
      </c>
    </row>
    <row r="241" spans="1:8" x14ac:dyDescent="0.2">
      <c r="A241" s="102">
        <v>2100000</v>
      </c>
      <c r="B241" s="101">
        <v>16952</v>
      </c>
      <c r="C241" s="101">
        <v>30</v>
      </c>
      <c r="D241" s="101">
        <v>30</v>
      </c>
      <c r="F241" s="106">
        <v>214</v>
      </c>
      <c r="G241" s="106">
        <v>291888.97734018089</v>
      </c>
      <c r="H241" s="106">
        <v>288111.02265981911</v>
      </c>
    </row>
    <row r="242" spans="1:8" x14ac:dyDescent="0.2">
      <c r="A242" s="102">
        <v>564694</v>
      </c>
      <c r="B242" s="101">
        <v>22866</v>
      </c>
      <c r="C242" s="101">
        <v>0</v>
      </c>
      <c r="D242" s="101">
        <v>6</v>
      </c>
      <c r="F242" s="106">
        <v>215</v>
      </c>
      <c r="G242" s="106">
        <v>1091322.103111957</v>
      </c>
      <c r="H242" s="106">
        <v>-431322.10311195697</v>
      </c>
    </row>
    <row r="243" spans="1:8" x14ac:dyDescent="0.2">
      <c r="A243" s="102">
        <v>620439</v>
      </c>
      <c r="B243" s="101">
        <v>22995</v>
      </c>
      <c r="C243" s="101">
        <v>0</v>
      </c>
      <c r="D243" s="101">
        <v>6</v>
      </c>
      <c r="F243" s="106">
        <v>216</v>
      </c>
      <c r="G243" s="106">
        <v>1636077.5091097904</v>
      </c>
      <c r="H243" s="106">
        <v>-652077.50910979044</v>
      </c>
    </row>
    <row r="244" spans="1:8" x14ac:dyDescent="0.2">
      <c r="A244" s="102">
        <v>783261</v>
      </c>
      <c r="B244" s="101">
        <v>29114</v>
      </c>
      <c r="C244" s="101">
        <v>6</v>
      </c>
      <c r="D244" s="101">
        <v>6</v>
      </c>
      <c r="F244" s="106">
        <v>217</v>
      </c>
      <c r="G244" s="106">
        <v>733819.52960695117</v>
      </c>
      <c r="H244" s="106">
        <v>566180.47039304883</v>
      </c>
    </row>
    <row r="245" spans="1:8" x14ac:dyDescent="0.2">
      <c r="A245" s="102">
        <v>4200000</v>
      </c>
      <c r="B245" s="101">
        <v>31000</v>
      </c>
      <c r="C245" s="101">
        <v>6</v>
      </c>
      <c r="D245" s="101">
        <v>35</v>
      </c>
      <c r="F245" s="106">
        <v>218</v>
      </c>
      <c r="G245" s="106">
        <v>1648131.4519905727</v>
      </c>
      <c r="H245" s="106">
        <v>-48131.451990572736</v>
      </c>
    </row>
    <row r="246" spans="1:8" x14ac:dyDescent="0.2">
      <c r="A246" s="102">
        <v>4800000</v>
      </c>
      <c r="B246" s="101">
        <v>33000</v>
      </c>
      <c r="C246" s="101">
        <v>8</v>
      </c>
      <c r="D246" s="101">
        <v>40</v>
      </c>
      <c r="F246" s="106">
        <v>219</v>
      </c>
      <c r="G246" s="106">
        <v>2295154.9785725572</v>
      </c>
      <c r="H246" s="106">
        <v>4845.0214274427854</v>
      </c>
    </row>
    <row r="247" spans="1:8" x14ac:dyDescent="0.2">
      <c r="A247" s="102">
        <v>5200000</v>
      </c>
      <c r="B247" s="101">
        <v>34800</v>
      </c>
      <c r="C247" s="101">
        <v>43</v>
      </c>
      <c r="D247" s="101">
        <v>43</v>
      </c>
      <c r="F247" s="106">
        <v>220</v>
      </c>
      <c r="G247" s="106">
        <v>328557.78656384361</v>
      </c>
      <c r="H247" s="106">
        <v>161442.21343615639</v>
      </c>
    </row>
    <row r="248" spans="1:8" x14ac:dyDescent="0.2">
      <c r="A248" s="102">
        <v>930000</v>
      </c>
      <c r="B248" s="101">
        <v>30000</v>
      </c>
      <c r="C248" s="101">
        <v>4</v>
      </c>
      <c r="D248" s="101">
        <v>15</v>
      </c>
      <c r="F248" s="106">
        <v>221</v>
      </c>
      <c r="G248" s="106">
        <v>667356.14081131411</v>
      </c>
      <c r="H248" s="106">
        <v>-87356.140811314108</v>
      </c>
    </row>
    <row r="249" spans="1:8" x14ac:dyDescent="0.2">
      <c r="A249" s="102">
        <v>980000</v>
      </c>
      <c r="B249" s="101">
        <v>33000</v>
      </c>
      <c r="C249" s="101">
        <v>5</v>
      </c>
      <c r="D249" s="101">
        <v>18</v>
      </c>
      <c r="F249" s="106">
        <v>222</v>
      </c>
      <c r="G249" s="106">
        <v>906955.10878582078</v>
      </c>
      <c r="H249" s="106">
        <v>-246955.10878582078</v>
      </c>
    </row>
    <row r="250" spans="1:8" x14ac:dyDescent="0.2">
      <c r="A250" s="102">
        <v>1500000</v>
      </c>
      <c r="B250" s="101">
        <v>35000</v>
      </c>
      <c r="C250" s="101">
        <v>10</v>
      </c>
      <c r="D250" s="101">
        <v>21</v>
      </c>
      <c r="F250" s="106">
        <v>223</v>
      </c>
      <c r="G250" s="106">
        <v>3056470.9917177367</v>
      </c>
      <c r="H250" s="106">
        <v>1512436.0082822633</v>
      </c>
    </row>
    <row r="251" spans="1:8" x14ac:dyDescent="0.2">
      <c r="A251" s="102">
        <v>1200000</v>
      </c>
      <c r="B251" s="101">
        <v>28000</v>
      </c>
      <c r="C251" s="101">
        <v>12</v>
      </c>
      <c r="D251" s="101">
        <v>12</v>
      </c>
      <c r="F251" s="106">
        <v>224</v>
      </c>
      <c r="G251" s="106">
        <v>3557968.8836921854</v>
      </c>
      <c r="H251" s="106">
        <v>1346039.1163078146</v>
      </c>
    </row>
    <row r="252" spans="1:8" x14ac:dyDescent="0.2">
      <c r="A252" s="102">
        <v>1300000</v>
      </c>
      <c r="B252" s="101">
        <v>30000</v>
      </c>
      <c r="C252" s="101">
        <v>10</v>
      </c>
      <c r="D252" s="101">
        <v>10</v>
      </c>
      <c r="F252" s="106">
        <v>225</v>
      </c>
      <c r="G252" s="106">
        <v>3510970.1770426128</v>
      </c>
      <c r="H252" s="106">
        <v>2373632.8229573872</v>
      </c>
    </row>
    <row r="253" spans="1:8" x14ac:dyDescent="0.2">
      <c r="A253" s="102">
        <v>1100000</v>
      </c>
      <c r="B253" s="101">
        <v>30000</v>
      </c>
      <c r="C253" s="101">
        <v>8</v>
      </c>
      <c r="D253" s="101">
        <v>8</v>
      </c>
      <c r="F253" s="106">
        <v>226</v>
      </c>
      <c r="G253" s="106">
        <v>7177975.6646235809</v>
      </c>
      <c r="H253" s="106">
        <v>-277975.66462358087</v>
      </c>
    </row>
    <row r="254" spans="1:8" x14ac:dyDescent="0.2">
      <c r="A254" s="102">
        <v>1200000</v>
      </c>
      <c r="B254" s="101">
        <v>18720</v>
      </c>
      <c r="C254" s="101">
        <v>0</v>
      </c>
      <c r="D254" s="101">
        <v>13</v>
      </c>
      <c r="F254" s="106">
        <v>227</v>
      </c>
      <c r="G254" s="106">
        <v>6141461.3092625216</v>
      </c>
      <c r="H254" s="106">
        <v>2258538.6907374784</v>
      </c>
    </row>
    <row r="255" spans="1:8" x14ac:dyDescent="0.2">
      <c r="A255" s="102">
        <v>1350000</v>
      </c>
      <c r="B255" s="101">
        <v>20800</v>
      </c>
      <c r="C255" s="101">
        <v>0</v>
      </c>
      <c r="D255" s="101">
        <v>14</v>
      </c>
      <c r="F255" s="106">
        <v>228</v>
      </c>
      <c r="G255" s="106">
        <v>7338897.241955163</v>
      </c>
      <c r="H255" s="106">
        <v>-238897.24195516296</v>
      </c>
    </row>
    <row r="256" spans="1:8" x14ac:dyDescent="0.2">
      <c r="A256" s="102">
        <v>1480000</v>
      </c>
      <c r="B256" s="101">
        <v>29120</v>
      </c>
      <c r="C256" s="101">
        <v>15</v>
      </c>
      <c r="D256" s="101">
        <v>15</v>
      </c>
      <c r="F256" s="106">
        <v>229</v>
      </c>
      <c r="G256" s="106">
        <v>2972480.9401379358</v>
      </c>
      <c r="H256" s="106">
        <v>27519.059862064198</v>
      </c>
    </row>
    <row r="257" spans="1:8" x14ac:dyDescent="0.2">
      <c r="A257" s="102">
        <v>22700000</v>
      </c>
      <c r="B257" s="101">
        <v>22006</v>
      </c>
      <c r="C257" s="101">
        <v>100</v>
      </c>
      <c r="D257" s="101">
        <v>150</v>
      </c>
      <c r="F257" s="106">
        <v>230</v>
      </c>
      <c r="G257" s="106">
        <v>4380043.3515411792</v>
      </c>
      <c r="H257" s="106">
        <v>-380043.35154117923</v>
      </c>
    </row>
    <row r="258" spans="1:8" x14ac:dyDescent="0.2">
      <c r="A258" s="102">
        <v>30800000</v>
      </c>
      <c r="B258" s="101">
        <v>22027</v>
      </c>
      <c r="C258" s="101">
        <v>60</v>
      </c>
      <c r="D258" s="101">
        <v>178</v>
      </c>
      <c r="F258" s="106">
        <v>231</v>
      </c>
      <c r="G258" s="106">
        <v>6234395.8205551635</v>
      </c>
      <c r="H258" s="106">
        <v>-234395.82055516355</v>
      </c>
    </row>
    <row r="259" spans="1:8" x14ac:dyDescent="0.2">
      <c r="A259" s="102">
        <v>28400000</v>
      </c>
      <c r="B259" s="101">
        <v>24107</v>
      </c>
      <c r="C259" s="101">
        <v>40</v>
      </c>
      <c r="D259" s="101">
        <v>171</v>
      </c>
      <c r="F259" s="106">
        <v>232</v>
      </c>
      <c r="G259" s="106">
        <v>3175033.8104042001</v>
      </c>
      <c r="H259" s="106">
        <v>-2091389.8104042001</v>
      </c>
    </row>
    <row r="260" spans="1:8" x14ac:dyDescent="0.2">
      <c r="A260" s="102">
        <v>10000000</v>
      </c>
      <c r="B260" s="101">
        <v>33280</v>
      </c>
      <c r="C260" s="101">
        <v>0</v>
      </c>
      <c r="D260" s="101">
        <v>80</v>
      </c>
      <c r="F260" s="106">
        <v>233</v>
      </c>
      <c r="G260" s="106">
        <v>2991200.6902932944</v>
      </c>
      <c r="H260" s="106">
        <v>-2139595.6902932944</v>
      </c>
    </row>
    <row r="261" spans="1:8" x14ac:dyDescent="0.2">
      <c r="A261" s="102">
        <v>9000000</v>
      </c>
      <c r="B261" s="101">
        <v>32240</v>
      </c>
      <c r="C261" s="101">
        <v>0</v>
      </c>
      <c r="D261" s="101">
        <v>70</v>
      </c>
      <c r="F261" s="106">
        <v>234</v>
      </c>
      <c r="G261" s="106">
        <v>798934.71931780584</v>
      </c>
      <c r="H261" s="106">
        <v>86917.280682194163</v>
      </c>
    </row>
    <row r="262" spans="1:8" x14ac:dyDescent="0.2">
      <c r="A262" s="102">
        <v>9500000</v>
      </c>
      <c r="B262" s="101">
        <v>30784</v>
      </c>
      <c r="C262" s="101">
        <v>60</v>
      </c>
      <c r="D262" s="101">
        <v>65</v>
      </c>
      <c r="F262" s="106">
        <v>235</v>
      </c>
      <c r="G262" s="106">
        <v>1480370.5616009524</v>
      </c>
      <c r="H262" s="106">
        <v>2019524.4383990476</v>
      </c>
    </row>
    <row r="263" spans="1:8" x14ac:dyDescent="0.2">
      <c r="A263" s="102">
        <v>875000</v>
      </c>
      <c r="B263" s="101">
        <v>13500</v>
      </c>
      <c r="C263" s="101">
        <v>0</v>
      </c>
      <c r="D263" s="101">
        <v>6</v>
      </c>
      <c r="F263" s="106">
        <v>236</v>
      </c>
      <c r="G263" s="106">
        <v>1800745.0355394033</v>
      </c>
      <c r="H263" s="106">
        <v>2208251.9644605964</v>
      </c>
    </row>
    <row r="264" spans="1:8" x14ac:dyDescent="0.2">
      <c r="A264" s="102">
        <v>15900000</v>
      </c>
      <c r="B264" s="101">
        <v>14100</v>
      </c>
      <c r="C264" s="101">
        <v>2</v>
      </c>
      <c r="D264" s="101">
        <v>8</v>
      </c>
      <c r="F264" s="106">
        <v>237</v>
      </c>
      <c r="G264" s="106">
        <v>1654227.0793012788</v>
      </c>
      <c r="H264" s="106">
        <v>1724875.9206987212</v>
      </c>
    </row>
    <row r="265" spans="1:8" x14ac:dyDescent="0.2">
      <c r="A265" s="102">
        <v>2250000</v>
      </c>
      <c r="B265" s="101">
        <v>15050</v>
      </c>
      <c r="C265" s="101">
        <v>11</v>
      </c>
      <c r="D265" s="101">
        <v>11</v>
      </c>
      <c r="F265" s="106">
        <v>238</v>
      </c>
      <c r="G265" s="106">
        <v>7740058.150072</v>
      </c>
      <c r="H265" s="106">
        <v>-1340058.150072</v>
      </c>
    </row>
    <row r="266" spans="1:8" x14ac:dyDescent="0.2">
      <c r="A266" s="102">
        <v>18100000</v>
      </c>
      <c r="B266" s="101">
        <v>22360</v>
      </c>
      <c r="C266" s="101">
        <v>4</v>
      </c>
      <c r="D266" s="101">
        <v>262</v>
      </c>
      <c r="F266" s="106">
        <v>239</v>
      </c>
      <c r="G266" s="106">
        <v>7501238.8290239293</v>
      </c>
      <c r="H266" s="106">
        <v>-701238.82902392931</v>
      </c>
    </row>
    <row r="267" spans="1:8" x14ac:dyDescent="0.2">
      <c r="A267" s="102">
        <v>19300000</v>
      </c>
      <c r="B267" s="101">
        <v>23026</v>
      </c>
      <c r="C267" s="101">
        <v>3</v>
      </c>
      <c r="D267" s="101">
        <v>264</v>
      </c>
      <c r="F267" s="106">
        <v>240</v>
      </c>
      <c r="G267" s="106">
        <v>3577579.5679239943</v>
      </c>
      <c r="H267" s="106">
        <v>-1477579.5679239943</v>
      </c>
    </row>
    <row r="268" spans="1:8" x14ac:dyDescent="0.2">
      <c r="A268" s="102">
        <v>22200000</v>
      </c>
      <c r="B268" s="101">
        <v>21736</v>
      </c>
      <c r="C268" s="101">
        <v>302</v>
      </c>
      <c r="D268" s="101">
        <v>302</v>
      </c>
      <c r="F268" s="106">
        <v>241</v>
      </c>
      <c r="G268" s="106">
        <v>1825393.4344109865</v>
      </c>
      <c r="H268" s="106">
        <v>-1260699.4344109865</v>
      </c>
    </row>
    <row r="269" spans="1:8" x14ac:dyDescent="0.2">
      <c r="A269" s="102">
        <v>600000</v>
      </c>
      <c r="B269" s="101">
        <v>24960</v>
      </c>
      <c r="C269" s="101">
        <v>6</v>
      </c>
      <c r="D269" s="101">
        <v>6</v>
      </c>
      <c r="F269" s="106">
        <v>242</v>
      </c>
      <c r="G269" s="106">
        <v>1850181.3611388328</v>
      </c>
      <c r="H269" s="106">
        <v>-1229742.3611388328</v>
      </c>
    </row>
    <row r="270" spans="1:8" x14ac:dyDescent="0.2">
      <c r="A270" s="102">
        <v>750000</v>
      </c>
      <c r="B270" s="101">
        <v>28080</v>
      </c>
      <c r="C270" s="101">
        <v>9</v>
      </c>
      <c r="D270" s="101">
        <v>9</v>
      </c>
      <c r="F270" s="106">
        <v>243</v>
      </c>
      <c r="G270" s="106">
        <v>3174773.6471195435</v>
      </c>
      <c r="H270" s="106">
        <v>-2391512.6471195435</v>
      </c>
    </row>
    <row r="271" spans="1:8" x14ac:dyDescent="0.2">
      <c r="A271" s="102">
        <v>1000000</v>
      </c>
      <c r="B271" s="101">
        <v>30160</v>
      </c>
      <c r="C271" s="101">
        <v>12</v>
      </c>
      <c r="D271" s="101">
        <v>12</v>
      </c>
      <c r="F271" s="106">
        <v>244</v>
      </c>
      <c r="G271" s="106">
        <v>6128559.3131123688</v>
      </c>
      <c r="H271" s="106">
        <v>-1928559.3131123688</v>
      </c>
    </row>
    <row r="272" spans="1:8" x14ac:dyDescent="0.2">
      <c r="A272" s="102">
        <v>5845000</v>
      </c>
      <c r="B272" s="101">
        <v>21133</v>
      </c>
      <c r="C272" s="101">
        <v>60</v>
      </c>
      <c r="D272" s="101">
        <v>60</v>
      </c>
      <c r="F272" s="106">
        <v>245</v>
      </c>
      <c r="G272" s="106">
        <v>7009258.0053765923</v>
      </c>
      <c r="H272" s="106">
        <v>-2209258.0053765923</v>
      </c>
    </row>
    <row r="273" spans="1:8" x14ac:dyDescent="0.2">
      <c r="A273" s="102">
        <v>6927000</v>
      </c>
      <c r="B273" s="101">
        <v>20904</v>
      </c>
      <c r="C273" s="101">
        <v>71</v>
      </c>
      <c r="D273" s="101">
        <v>71</v>
      </c>
      <c r="F273" s="106">
        <v>246</v>
      </c>
      <c r="G273" s="106">
        <v>8491204.71719677</v>
      </c>
      <c r="H273" s="106">
        <v>-3291204.71719677</v>
      </c>
    </row>
    <row r="274" spans="1:8" x14ac:dyDescent="0.2">
      <c r="A274" s="102">
        <v>11000000</v>
      </c>
      <c r="B274" s="101">
        <v>21445</v>
      </c>
      <c r="C274" s="101">
        <v>97</v>
      </c>
      <c r="D274" s="101">
        <v>97</v>
      </c>
      <c r="F274" s="106">
        <v>247</v>
      </c>
      <c r="G274" s="106">
        <v>4099644.918774426</v>
      </c>
      <c r="H274" s="106">
        <v>-3169644.918774426</v>
      </c>
    </row>
    <row r="275" spans="1:8" x14ac:dyDescent="0.2">
      <c r="A275" s="102">
        <v>8486927</v>
      </c>
      <c r="B275" s="101">
        <v>40563</v>
      </c>
      <c r="C275" s="101">
        <v>0</v>
      </c>
      <c r="D275" s="101">
        <v>57</v>
      </c>
      <c r="F275" s="106">
        <v>248</v>
      </c>
      <c r="G275" s="106">
        <v>4968982.2121846126</v>
      </c>
      <c r="H275" s="106">
        <v>-3988982.2121846126</v>
      </c>
    </row>
    <row r="276" spans="1:8" x14ac:dyDescent="0.2">
      <c r="A276" s="102">
        <v>4327519</v>
      </c>
      <c r="B276" s="101">
        <v>37429</v>
      </c>
      <c r="C276" s="101">
        <v>10</v>
      </c>
      <c r="D276" s="101">
        <v>53</v>
      </c>
      <c r="F276" s="106">
        <v>249</v>
      </c>
      <c r="G276" s="106">
        <v>5745364.4211092619</v>
      </c>
      <c r="H276" s="106">
        <v>-4245364.4211092619</v>
      </c>
    </row>
    <row r="277" spans="1:8" x14ac:dyDescent="0.2">
      <c r="A277" s="102">
        <v>8533205</v>
      </c>
      <c r="B277" s="101">
        <v>42583</v>
      </c>
      <c r="C277" s="101">
        <v>5</v>
      </c>
      <c r="D277" s="101">
        <v>62</v>
      </c>
      <c r="F277" s="106">
        <v>250</v>
      </c>
      <c r="G277" s="106">
        <v>3645660.7152369074</v>
      </c>
      <c r="H277" s="106">
        <v>-2445660.7152369074</v>
      </c>
    </row>
    <row r="278" spans="1:8" x14ac:dyDescent="0.2">
      <c r="A278" s="102">
        <v>8000000</v>
      </c>
      <c r="B278" s="101">
        <v>15000</v>
      </c>
      <c r="C278" s="101">
        <v>0</v>
      </c>
      <c r="D278" s="101">
        <v>40</v>
      </c>
      <c r="F278" s="106">
        <v>251</v>
      </c>
      <c r="G278" s="106">
        <v>3801653.9405731312</v>
      </c>
      <c r="H278" s="106">
        <v>-2501653.9405731312</v>
      </c>
    </row>
    <row r="279" spans="1:8" x14ac:dyDescent="0.2">
      <c r="A279" s="102">
        <v>8500000</v>
      </c>
      <c r="B279" s="101">
        <v>15500</v>
      </c>
      <c r="C279" s="101">
        <v>0</v>
      </c>
      <c r="D279" s="101">
        <v>40</v>
      </c>
      <c r="F279" s="106">
        <v>252</v>
      </c>
      <c r="G279" s="106">
        <v>3573338.2243923536</v>
      </c>
      <c r="H279" s="106">
        <v>-2473338.2243923536</v>
      </c>
    </row>
    <row r="280" spans="1:8" x14ac:dyDescent="0.2">
      <c r="A280" s="102">
        <v>10000000</v>
      </c>
      <c r="B280" s="101">
        <v>17000</v>
      </c>
      <c r="C280" s="101">
        <v>0</v>
      </c>
      <c r="D280" s="101">
        <v>60</v>
      </c>
      <c r="F280" s="106">
        <v>253</v>
      </c>
      <c r="G280" s="106">
        <v>1654227.0793012788</v>
      </c>
      <c r="H280" s="106">
        <v>-454227.07930127881</v>
      </c>
    </row>
    <row r="281" spans="1:8" x14ac:dyDescent="0.2">
      <c r="A281" s="102">
        <v>10000000</v>
      </c>
      <c r="B281" s="101">
        <v>15000</v>
      </c>
      <c r="C281" s="101">
        <v>5</v>
      </c>
      <c r="D281" s="101">
        <v>100</v>
      </c>
      <c r="F281" s="106">
        <v>254</v>
      </c>
      <c r="G281" s="106">
        <v>2143266.3900011079</v>
      </c>
      <c r="H281" s="106">
        <v>-793266.39000110794</v>
      </c>
    </row>
    <row r="282" spans="1:8" x14ac:dyDescent="0.2">
      <c r="A282" s="102">
        <v>12000000</v>
      </c>
      <c r="B282" s="101">
        <v>16000</v>
      </c>
      <c r="C282" s="101">
        <v>21</v>
      </c>
      <c r="D282" s="101">
        <v>125</v>
      </c>
      <c r="F282" s="106">
        <v>255</v>
      </c>
      <c r="G282" s="106">
        <v>4203347.2967575956</v>
      </c>
      <c r="H282" s="106">
        <v>-2723347.2967575956</v>
      </c>
    </row>
    <row r="283" spans="1:8" x14ac:dyDescent="0.2">
      <c r="A283" s="102">
        <v>48000000</v>
      </c>
      <c r="B283" s="101">
        <v>18700</v>
      </c>
      <c r="C283" s="101">
        <v>290</v>
      </c>
      <c r="D283" s="101">
        <v>290</v>
      </c>
      <c r="F283" s="106">
        <v>256</v>
      </c>
      <c r="G283" s="106">
        <v>17007678.905572087</v>
      </c>
      <c r="H283" s="106">
        <v>5692321.0944279134</v>
      </c>
    </row>
    <row r="284" spans="1:8" x14ac:dyDescent="0.2">
      <c r="A284" s="102">
        <v>1000000</v>
      </c>
      <c r="B284" s="101">
        <v>17000</v>
      </c>
      <c r="C284" s="101">
        <v>0</v>
      </c>
      <c r="D284" s="101">
        <v>9</v>
      </c>
      <c r="F284" s="106">
        <v>257</v>
      </c>
      <c r="G284" s="106">
        <v>18521744.609348521</v>
      </c>
      <c r="H284" s="106">
        <v>12278255.390651479</v>
      </c>
    </row>
    <row r="285" spans="1:8" x14ac:dyDescent="0.2">
      <c r="A285" s="102">
        <v>6870314</v>
      </c>
      <c r="B285" s="101">
        <v>12750</v>
      </c>
      <c r="C285" s="101">
        <v>60</v>
      </c>
      <c r="D285" s="101">
        <v>60</v>
      </c>
      <c r="F285" s="106">
        <v>258</v>
      </c>
      <c r="G285" s="106">
        <v>17799922.896506347</v>
      </c>
      <c r="H285" s="106">
        <v>10600077.103493653</v>
      </c>
    </row>
    <row r="286" spans="1:8" x14ac:dyDescent="0.2">
      <c r="A286" s="102">
        <v>7079852</v>
      </c>
      <c r="B286" s="101">
        <v>11875</v>
      </c>
      <c r="C286" s="101">
        <v>65</v>
      </c>
      <c r="D286" s="101">
        <v>65</v>
      </c>
      <c r="F286" s="106">
        <v>259</v>
      </c>
      <c r="G286" s="106">
        <v>10438982.945528965</v>
      </c>
      <c r="H286" s="106">
        <v>-438982.94552896544</v>
      </c>
    </row>
    <row r="287" spans="1:8" x14ac:dyDescent="0.2">
      <c r="A287" s="102">
        <v>8040128</v>
      </c>
      <c r="B287" s="101">
        <v>12625</v>
      </c>
      <c r="C287" s="101">
        <v>75</v>
      </c>
      <c r="D287" s="101">
        <v>75</v>
      </c>
      <c r="F287" s="106">
        <v>260</v>
      </c>
      <c r="G287" s="106">
        <v>9345562.1807186455</v>
      </c>
      <c r="H287" s="106">
        <v>-345562.18071864545</v>
      </c>
    </row>
    <row r="288" spans="1:8" x14ac:dyDescent="0.2">
      <c r="A288" s="102">
        <v>6000000</v>
      </c>
      <c r="B288" s="101">
        <v>15250</v>
      </c>
      <c r="C288" s="101">
        <v>5</v>
      </c>
      <c r="D288" s="101">
        <v>32</v>
      </c>
      <c r="F288" s="106">
        <v>261</v>
      </c>
      <c r="G288" s="106">
        <v>10106986.007777985</v>
      </c>
      <c r="H288" s="106">
        <v>-606986.00777798519</v>
      </c>
    </row>
    <row r="289" spans="1:8" x14ac:dyDescent="0.2">
      <c r="A289" s="102">
        <v>6100000</v>
      </c>
      <c r="B289" s="101">
        <v>16290</v>
      </c>
      <c r="C289" s="101">
        <v>10</v>
      </c>
      <c r="D289" s="101">
        <v>36</v>
      </c>
      <c r="F289" s="106">
        <v>262</v>
      </c>
      <c r="G289" s="106">
        <v>25674.661286869086</v>
      </c>
      <c r="H289" s="106">
        <v>849325.33871313091</v>
      </c>
    </row>
    <row r="290" spans="1:8" x14ac:dyDescent="0.2">
      <c r="A290" s="102">
        <v>6300000</v>
      </c>
      <c r="B290" s="101">
        <v>17370</v>
      </c>
      <c r="C290" s="101">
        <v>40</v>
      </c>
      <c r="D290" s="101">
        <v>40</v>
      </c>
      <c r="F290" s="106">
        <v>263</v>
      </c>
      <c r="G290" s="106">
        <v>369283.05992274761</v>
      </c>
      <c r="H290" s="106">
        <v>15530716.940077253</v>
      </c>
    </row>
    <row r="291" spans="1:8" x14ac:dyDescent="0.2">
      <c r="A291" s="102">
        <v>2700000</v>
      </c>
      <c r="B291" s="101">
        <v>10920</v>
      </c>
      <c r="C291" s="101">
        <v>5</v>
      </c>
      <c r="D291" s="101">
        <v>20</v>
      </c>
      <c r="F291" s="106">
        <v>264</v>
      </c>
      <c r="G291" s="106">
        <v>1043102.4608239355</v>
      </c>
      <c r="H291" s="106">
        <v>1206897.5391760645</v>
      </c>
    </row>
    <row r="292" spans="1:8" x14ac:dyDescent="0.2">
      <c r="A292" s="102">
        <v>3100000</v>
      </c>
      <c r="B292" s="101">
        <v>11856</v>
      </c>
      <c r="C292" s="101">
        <v>12</v>
      </c>
      <c r="D292" s="101">
        <v>22</v>
      </c>
      <c r="F292" s="106">
        <v>265</v>
      </c>
      <c r="G292" s="106">
        <v>24703013.608150046</v>
      </c>
      <c r="H292" s="106">
        <v>-6603013.6081500463</v>
      </c>
    </row>
    <row r="293" spans="1:8" x14ac:dyDescent="0.2">
      <c r="A293" s="102">
        <v>4700000</v>
      </c>
      <c r="B293" s="101">
        <v>13520</v>
      </c>
      <c r="C293" s="101">
        <v>37</v>
      </c>
      <c r="D293" s="101">
        <v>37</v>
      </c>
      <c r="F293" s="106">
        <v>266</v>
      </c>
      <c r="G293" s="106">
        <v>24984904.662151262</v>
      </c>
      <c r="H293" s="106">
        <v>-5684904.6621512622</v>
      </c>
    </row>
    <row r="294" spans="1:8" x14ac:dyDescent="0.2">
      <c r="A294" s="102">
        <v>1585000</v>
      </c>
      <c r="B294" s="101">
        <v>14560</v>
      </c>
      <c r="C294" s="101">
        <v>1</v>
      </c>
      <c r="D294" s="101">
        <v>14</v>
      </c>
      <c r="F294" s="106">
        <v>267</v>
      </c>
      <c r="G294" s="106">
        <v>35547783.956618465</v>
      </c>
      <c r="H294" s="106">
        <v>-13347783.956618465</v>
      </c>
    </row>
    <row r="295" spans="1:8" x14ac:dyDescent="0.2">
      <c r="A295" s="102">
        <v>1560000</v>
      </c>
      <c r="B295" s="101">
        <v>19240</v>
      </c>
      <c r="C295" s="101">
        <v>0</v>
      </c>
      <c r="D295" s="101">
        <v>11</v>
      </c>
      <c r="F295" s="106">
        <v>268</v>
      </c>
      <c r="G295" s="106">
        <v>2376563.9755887324</v>
      </c>
      <c r="H295" s="106">
        <v>-1776563.9755887324</v>
      </c>
    </row>
    <row r="296" spans="1:8" x14ac:dyDescent="0.2">
      <c r="A296" s="102">
        <v>1747000</v>
      </c>
      <c r="B296" s="101">
        <v>20280</v>
      </c>
      <c r="C296" s="101">
        <v>12</v>
      </c>
      <c r="D296" s="101">
        <v>12</v>
      </c>
      <c r="F296" s="106">
        <v>269</v>
      </c>
      <c r="G296" s="106">
        <v>3318559.4986264203</v>
      </c>
      <c r="H296" s="106">
        <v>-2568559.4986264203</v>
      </c>
    </row>
    <row r="297" spans="1:8" x14ac:dyDescent="0.2">
      <c r="A297" s="102">
        <v>2400000</v>
      </c>
      <c r="B297" s="101">
        <v>16307</v>
      </c>
      <c r="C297" s="101">
        <v>10</v>
      </c>
      <c r="D297" s="101">
        <v>40</v>
      </c>
      <c r="F297" s="106">
        <v>270</v>
      </c>
      <c r="G297" s="106">
        <v>4060714.3720752695</v>
      </c>
      <c r="H297" s="106">
        <v>-3060714.3720752695</v>
      </c>
    </row>
    <row r="298" spans="1:8" x14ac:dyDescent="0.2">
      <c r="A298" s="102">
        <v>2300000</v>
      </c>
      <c r="B298" s="101">
        <v>16827</v>
      </c>
      <c r="C298" s="101">
        <v>15</v>
      </c>
      <c r="D298" s="101">
        <v>36</v>
      </c>
      <c r="F298" s="106">
        <v>271</v>
      </c>
      <c r="G298" s="106">
        <v>7805713.1528769545</v>
      </c>
      <c r="H298" s="106">
        <v>-1960713.1528769545</v>
      </c>
    </row>
    <row r="299" spans="1:8" x14ac:dyDescent="0.2">
      <c r="A299" s="102">
        <v>2700000</v>
      </c>
      <c r="B299" s="101">
        <v>17347</v>
      </c>
      <c r="C299" s="101">
        <v>33</v>
      </c>
      <c r="D299" s="101">
        <v>33</v>
      </c>
      <c r="F299" s="106">
        <v>272</v>
      </c>
      <c r="G299" s="106">
        <v>9017446.218067538</v>
      </c>
      <c r="H299" s="106">
        <v>-2090446.218067538</v>
      </c>
    </row>
    <row r="300" spans="1:8" x14ac:dyDescent="0.2">
      <c r="A300" s="102">
        <v>373164</v>
      </c>
      <c r="B300" s="101">
        <v>17680</v>
      </c>
      <c r="C300" s="101">
        <v>2</v>
      </c>
      <c r="D300" s="101">
        <v>6</v>
      </c>
      <c r="F300" s="106">
        <v>273</v>
      </c>
      <c r="G300" s="106">
        <v>12089506.097097998</v>
      </c>
      <c r="H300" s="106">
        <v>-1089506.0970979985</v>
      </c>
    </row>
    <row r="301" spans="1:8" x14ac:dyDescent="0.2">
      <c r="A301" s="102">
        <v>422611</v>
      </c>
      <c r="B301" s="101">
        <v>17680</v>
      </c>
      <c r="C301" s="101">
        <v>4</v>
      </c>
      <c r="D301" s="101">
        <v>8</v>
      </c>
      <c r="F301" s="106">
        <v>274</v>
      </c>
      <c r="G301" s="106">
        <v>9783209.6910537221</v>
      </c>
      <c r="H301" s="106">
        <v>-1296282.6910537221</v>
      </c>
    </row>
    <row r="302" spans="1:8" x14ac:dyDescent="0.2">
      <c r="A302" s="102">
        <v>390210</v>
      </c>
      <c r="B302" s="101">
        <v>17846</v>
      </c>
      <c r="C302" s="101">
        <v>4</v>
      </c>
      <c r="D302" s="101">
        <v>9</v>
      </c>
      <c r="F302" s="106">
        <v>275</v>
      </c>
      <c r="G302" s="106">
        <v>9071563.9992903974</v>
      </c>
      <c r="H302" s="106">
        <v>-4744044.9992903974</v>
      </c>
    </row>
    <row r="303" spans="1:8" x14ac:dyDescent="0.2">
      <c r="A303" s="102">
        <v>5000000</v>
      </c>
      <c r="B303" s="101">
        <v>29000</v>
      </c>
      <c r="C303" s="101">
        <v>13</v>
      </c>
      <c r="D303" s="101">
        <v>62</v>
      </c>
      <c r="F303" s="106">
        <v>276</v>
      </c>
      <c r="G303" s="106">
        <v>10742151.012437839</v>
      </c>
      <c r="H303" s="106">
        <v>-2208946.0124378391</v>
      </c>
    </row>
    <row r="304" spans="1:8" x14ac:dyDescent="0.2">
      <c r="A304" s="102">
        <v>6000000</v>
      </c>
      <c r="B304" s="101">
        <v>34000</v>
      </c>
      <c r="C304" s="101">
        <v>13</v>
      </c>
      <c r="D304" s="101">
        <v>74</v>
      </c>
      <c r="F304" s="106">
        <v>277</v>
      </c>
      <c r="G304" s="106">
        <v>3352078.7591776536</v>
      </c>
      <c r="H304" s="106">
        <v>4647921.2408223469</v>
      </c>
    </row>
    <row r="305" spans="1:8" x14ac:dyDescent="0.2">
      <c r="A305" s="102">
        <v>8000000</v>
      </c>
      <c r="B305" s="101">
        <v>39000</v>
      </c>
      <c r="C305" s="101">
        <v>13</v>
      </c>
      <c r="D305" s="101">
        <v>82</v>
      </c>
      <c r="F305" s="106">
        <v>278</v>
      </c>
      <c r="G305" s="106">
        <v>3448155.9945569038</v>
      </c>
      <c r="H305" s="106">
        <v>5051844.0054430962</v>
      </c>
    </row>
    <row r="306" spans="1:8" x14ac:dyDescent="0.2">
      <c r="A306" s="102">
        <v>8450000</v>
      </c>
      <c r="B306" s="101">
        <v>13416</v>
      </c>
      <c r="C306" s="101">
        <v>40</v>
      </c>
      <c r="D306" s="101">
        <v>75</v>
      </c>
      <c r="F306" s="106">
        <v>279</v>
      </c>
      <c r="G306" s="106">
        <v>5523547.9311376158</v>
      </c>
      <c r="H306" s="106">
        <v>4476452.0688623842</v>
      </c>
    </row>
    <row r="307" spans="1:8" x14ac:dyDescent="0.2">
      <c r="A307" s="102">
        <v>10300000</v>
      </c>
      <c r="B307" s="101">
        <v>15184</v>
      </c>
      <c r="C307" s="101">
        <v>72</v>
      </c>
      <c r="D307" s="101">
        <v>72</v>
      </c>
      <c r="F307" s="106">
        <v>280</v>
      </c>
      <c r="G307" s="106">
        <v>8837558.6833477393</v>
      </c>
      <c r="H307" s="106">
        <v>1162441.3166522607</v>
      </c>
    </row>
    <row r="308" spans="1:8" x14ac:dyDescent="0.2">
      <c r="A308" s="102">
        <v>10200000</v>
      </c>
      <c r="B308" s="101">
        <v>17451</v>
      </c>
      <c r="C308" s="101">
        <v>75</v>
      </c>
      <c r="D308" s="101">
        <v>75</v>
      </c>
      <c r="F308" s="106">
        <v>281</v>
      </c>
      <c r="G308" s="106">
        <v>11660460.987251798</v>
      </c>
      <c r="H308" s="106">
        <v>339539.01274820231</v>
      </c>
    </row>
    <row r="309" spans="1:8" x14ac:dyDescent="0.2">
      <c r="A309" s="102">
        <v>1980000</v>
      </c>
      <c r="B309" s="101">
        <v>15600</v>
      </c>
      <c r="C309" s="101">
        <v>0</v>
      </c>
      <c r="D309" s="101">
        <v>19</v>
      </c>
      <c r="F309" s="106">
        <v>282</v>
      </c>
      <c r="G309" s="106">
        <v>33594508.686310984</v>
      </c>
      <c r="H309" s="106">
        <v>14405491.313689016</v>
      </c>
    </row>
    <row r="310" spans="1:8" x14ac:dyDescent="0.2">
      <c r="A310" s="102">
        <v>1600000</v>
      </c>
      <c r="B310" s="101">
        <v>17160</v>
      </c>
      <c r="C310" s="101">
        <v>0</v>
      </c>
      <c r="D310" s="101">
        <v>15</v>
      </c>
      <c r="F310" s="106">
        <v>283</v>
      </c>
      <c r="G310" s="106">
        <v>966289.34350806545</v>
      </c>
      <c r="H310" s="106">
        <v>33710.656491934555</v>
      </c>
    </row>
    <row r="311" spans="1:8" x14ac:dyDescent="0.2">
      <c r="A311" s="102">
        <v>1430000</v>
      </c>
      <c r="B311" s="101">
        <v>18720</v>
      </c>
      <c r="C311" s="101">
        <v>12</v>
      </c>
      <c r="D311" s="101">
        <v>12</v>
      </c>
      <c r="F311" s="106">
        <v>284</v>
      </c>
      <c r="G311" s="106">
        <v>6194882.2245084438</v>
      </c>
      <c r="H311" s="106">
        <v>675431.77549155615</v>
      </c>
    </row>
    <row r="312" spans="1:8" x14ac:dyDescent="0.2">
      <c r="A312" s="102">
        <v>6000000</v>
      </c>
      <c r="B312" s="101">
        <v>14352</v>
      </c>
      <c r="C312" s="101">
        <v>250</v>
      </c>
      <c r="D312" s="101">
        <v>250</v>
      </c>
      <c r="F312" s="106">
        <v>285</v>
      </c>
      <c r="G312" s="106">
        <v>6597536.3530467004</v>
      </c>
      <c r="H312" s="106">
        <v>482315.64695329964</v>
      </c>
    </row>
    <row r="313" spans="1:8" x14ac:dyDescent="0.2">
      <c r="A313" s="102">
        <v>18000000</v>
      </c>
      <c r="B313" s="101">
        <v>15184</v>
      </c>
      <c r="C313" s="101">
        <v>290</v>
      </c>
      <c r="D313" s="101">
        <v>290</v>
      </c>
      <c r="F313" s="106">
        <v>286</v>
      </c>
      <c r="G313" s="106">
        <v>7883230.787019466</v>
      </c>
      <c r="H313" s="106">
        <v>156897.21298053395</v>
      </c>
    </row>
    <row r="314" spans="1:8" x14ac:dyDescent="0.2">
      <c r="A314" s="102">
        <v>54000000</v>
      </c>
      <c r="B314" s="101">
        <v>16432</v>
      </c>
      <c r="C314" s="101">
        <v>350</v>
      </c>
      <c r="D314" s="101">
        <v>350</v>
      </c>
      <c r="F314" s="106">
        <v>287</v>
      </c>
      <c r="G314" s="106">
        <v>2809252.517531299</v>
      </c>
      <c r="H314" s="106">
        <v>3190747.482468701</v>
      </c>
    </row>
    <row r="315" spans="1:8" x14ac:dyDescent="0.2">
      <c r="A315" s="102">
        <v>1700000</v>
      </c>
      <c r="B315" s="101">
        <v>16640</v>
      </c>
      <c r="C315" s="101">
        <v>4</v>
      </c>
      <c r="D315" s="101">
        <v>19</v>
      </c>
      <c r="F315" s="106">
        <v>288</v>
      </c>
      <c r="G315" s="106">
        <v>3490524.4460499361</v>
      </c>
      <c r="H315" s="106">
        <v>2609475.5539500639</v>
      </c>
    </row>
    <row r="316" spans="1:8" x14ac:dyDescent="0.2">
      <c r="A316" s="102">
        <v>2000000</v>
      </c>
      <c r="B316" s="101">
        <v>17160</v>
      </c>
      <c r="C316" s="101">
        <v>19</v>
      </c>
      <c r="D316" s="101">
        <v>19</v>
      </c>
      <c r="F316" s="106">
        <v>289</v>
      </c>
      <c r="G316" s="106">
        <v>4799478.717604937</v>
      </c>
      <c r="H316" s="106">
        <v>1500521.282395063</v>
      </c>
    </row>
    <row r="317" spans="1:8" x14ac:dyDescent="0.2">
      <c r="A317" s="102">
        <v>2200000</v>
      </c>
      <c r="B317" s="101">
        <v>17680</v>
      </c>
      <c r="C317" s="101">
        <v>11</v>
      </c>
      <c r="D317" s="101">
        <v>21</v>
      </c>
      <c r="F317" s="106">
        <v>290</v>
      </c>
      <c r="G317" s="106">
        <v>904927.52088121488</v>
      </c>
      <c r="H317" s="106">
        <v>1795072.4791187851</v>
      </c>
    </row>
    <row r="318" spans="1:8" x14ac:dyDescent="0.2">
      <c r="A318" s="102">
        <v>11400000</v>
      </c>
      <c r="B318" s="101">
        <v>14394</v>
      </c>
      <c r="C318" s="101">
        <v>0</v>
      </c>
      <c r="D318" s="101">
        <v>89</v>
      </c>
      <c r="F318" s="106">
        <v>291</v>
      </c>
      <c r="G318" s="106">
        <v>1437099.0545331542</v>
      </c>
      <c r="H318" s="106">
        <v>1662900.9454668458</v>
      </c>
    </row>
    <row r="319" spans="1:8" x14ac:dyDescent="0.2">
      <c r="A319" s="102">
        <v>4748000</v>
      </c>
      <c r="B319" s="101">
        <v>15454</v>
      </c>
      <c r="C319" s="101">
        <v>0</v>
      </c>
      <c r="D319" s="101">
        <v>59</v>
      </c>
      <c r="F319" s="106">
        <v>292</v>
      </c>
      <c r="G319" s="106">
        <v>3717210.4309135429</v>
      </c>
      <c r="H319" s="106">
        <v>982789.56908645714</v>
      </c>
    </row>
    <row r="320" spans="1:8" x14ac:dyDescent="0.2">
      <c r="A320" s="102">
        <v>7175000</v>
      </c>
      <c r="B320" s="101">
        <v>15558</v>
      </c>
      <c r="C320" s="101">
        <v>105</v>
      </c>
      <c r="D320" s="101">
        <v>105</v>
      </c>
      <c r="F320" s="106">
        <v>293</v>
      </c>
      <c r="G320" s="106">
        <v>969022.3390363052</v>
      </c>
      <c r="H320" s="106">
        <v>615977.6609636948</v>
      </c>
    </row>
    <row r="321" spans="1:8" x14ac:dyDescent="0.2">
      <c r="A321" s="102">
        <v>3317000</v>
      </c>
      <c r="B321" s="101">
        <v>16640</v>
      </c>
      <c r="C321" s="101">
        <v>40</v>
      </c>
      <c r="D321" s="101">
        <v>40</v>
      </c>
      <c r="F321" s="106">
        <v>294</v>
      </c>
      <c r="G321" s="106">
        <v>1575431.3810514028</v>
      </c>
      <c r="H321" s="106">
        <v>-15431.381051402772</v>
      </c>
    </row>
    <row r="322" spans="1:8" x14ac:dyDescent="0.2">
      <c r="A322" s="102">
        <v>3692000</v>
      </c>
      <c r="B322" s="101">
        <v>16640</v>
      </c>
      <c r="C322" s="101">
        <v>55</v>
      </c>
      <c r="D322" s="101">
        <v>55</v>
      </c>
      <c r="F322" s="106">
        <v>295</v>
      </c>
      <c r="G322" s="106">
        <v>2162228.2009812831</v>
      </c>
      <c r="H322" s="106">
        <v>-415228.20098128309</v>
      </c>
    </row>
    <row r="323" spans="1:8" x14ac:dyDescent="0.2">
      <c r="A323" s="102">
        <v>3252000</v>
      </c>
      <c r="B323" s="101">
        <v>16640</v>
      </c>
      <c r="C323" s="101">
        <v>15</v>
      </c>
      <c r="D323" s="101">
        <v>65</v>
      </c>
      <c r="F323" s="106">
        <v>296</v>
      </c>
      <c r="G323" s="106">
        <v>3851223.118141423</v>
      </c>
      <c r="H323" s="106">
        <v>-1451223.118141423</v>
      </c>
    </row>
    <row r="324" spans="1:8" x14ac:dyDescent="0.2">
      <c r="A324" s="102">
        <v>12500000</v>
      </c>
      <c r="B324" s="101">
        <v>9360</v>
      </c>
      <c r="C324" s="101">
        <v>0</v>
      </c>
      <c r="D324" s="101">
        <v>175</v>
      </c>
      <c r="F324" s="106">
        <v>297</v>
      </c>
      <c r="G324" s="106">
        <v>3717710.6296884562</v>
      </c>
      <c r="H324" s="106">
        <v>-1417710.6296884562</v>
      </c>
    </row>
    <row r="325" spans="1:8" x14ac:dyDescent="0.2">
      <c r="A325" s="102">
        <v>12500000</v>
      </c>
      <c r="B325" s="101">
        <v>10400</v>
      </c>
      <c r="C325" s="101">
        <v>0</v>
      </c>
      <c r="D325" s="101">
        <v>225</v>
      </c>
      <c r="F325" s="106">
        <v>298</v>
      </c>
      <c r="G325" s="106">
        <v>3995954.1581447688</v>
      </c>
      <c r="H325" s="106">
        <v>-1295954.1581447688</v>
      </c>
    </row>
    <row r="326" spans="1:8" x14ac:dyDescent="0.2">
      <c r="A326" s="102">
        <v>18200000</v>
      </c>
      <c r="B326" s="101">
        <v>11440</v>
      </c>
      <c r="C326" s="101">
        <v>200</v>
      </c>
      <c r="D326" s="101">
        <v>275</v>
      </c>
      <c r="F326" s="106">
        <v>299</v>
      </c>
      <c r="G326" s="106">
        <v>878480.0421938838</v>
      </c>
      <c r="H326" s="106">
        <v>-505316.0421938838</v>
      </c>
    </row>
    <row r="327" spans="1:8" x14ac:dyDescent="0.2">
      <c r="A327" s="102">
        <v>15100000</v>
      </c>
      <c r="B327" s="101">
        <v>21000</v>
      </c>
      <c r="C327" s="101">
        <v>35</v>
      </c>
      <c r="D327" s="101">
        <v>110</v>
      </c>
      <c r="F327" s="106">
        <v>300</v>
      </c>
      <c r="G327" s="106">
        <v>1106795.7583746617</v>
      </c>
      <c r="H327" s="106">
        <v>-684184.75837466167</v>
      </c>
    </row>
    <row r="328" spans="1:8" x14ac:dyDescent="0.2">
      <c r="A328" s="102">
        <v>16000000</v>
      </c>
      <c r="B328" s="101">
        <v>21000</v>
      </c>
      <c r="C328" s="101">
        <v>40</v>
      </c>
      <c r="D328" s="101">
        <v>125</v>
      </c>
      <c r="F328" s="106">
        <v>301</v>
      </c>
      <c r="G328" s="106">
        <v>1228051.4120427207</v>
      </c>
      <c r="H328" s="106">
        <v>-837841.41204272071</v>
      </c>
    </row>
    <row r="329" spans="1:8" x14ac:dyDescent="0.2">
      <c r="A329" s="102">
        <v>28900000</v>
      </c>
      <c r="B329" s="101">
        <v>21000</v>
      </c>
      <c r="C329" s="101">
        <v>160</v>
      </c>
      <c r="D329" s="101">
        <v>225</v>
      </c>
      <c r="F329" s="106">
        <v>302</v>
      </c>
      <c r="G329" s="106">
        <v>8330515.6086710524</v>
      </c>
      <c r="H329" s="106">
        <v>-3330515.6086710524</v>
      </c>
    </row>
    <row r="330" spans="1:8" x14ac:dyDescent="0.2">
      <c r="A330" s="102">
        <v>1494764</v>
      </c>
      <c r="B330" s="101">
        <v>30000</v>
      </c>
      <c r="C330" s="101">
        <v>4</v>
      </c>
      <c r="D330" s="101">
        <v>4</v>
      </c>
      <c r="F330" s="106">
        <v>303</v>
      </c>
      <c r="G330" s="106">
        <v>10363584.10072933</v>
      </c>
      <c r="H330" s="106">
        <v>-4363584.1007293295</v>
      </c>
    </row>
    <row r="331" spans="1:8" x14ac:dyDescent="0.2">
      <c r="A331" s="102">
        <v>2566104</v>
      </c>
      <c r="B331" s="101">
        <v>31000</v>
      </c>
      <c r="C331" s="101">
        <v>5</v>
      </c>
      <c r="D331" s="101">
        <v>5</v>
      </c>
      <c r="F331" s="106">
        <v>304</v>
      </c>
      <c r="G331" s="106">
        <v>12039220.546699017</v>
      </c>
      <c r="H331" s="106">
        <v>-4039220.5466990173</v>
      </c>
    </row>
    <row r="332" spans="1:8" x14ac:dyDescent="0.2">
      <c r="A332" s="102">
        <v>2191680</v>
      </c>
      <c r="B332" s="101">
        <v>35000</v>
      </c>
      <c r="C332" s="101">
        <v>10</v>
      </c>
      <c r="D332" s="101">
        <v>10</v>
      </c>
      <c r="F332" s="106">
        <v>305</v>
      </c>
      <c r="G332" s="106">
        <v>7167230.3435010072</v>
      </c>
      <c r="H332" s="106">
        <v>1282769.6564989928</v>
      </c>
    </row>
    <row r="333" spans="1:8" x14ac:dyDescent="0.2">
      <c r="A333" s="102">
        <v>1503906</v>
      </c>
      <c r="B333" s="101">
        <v>15500</v>
      </c>
      <c r="C333" s="101">
        <v>0</v>
      </c>
      <c r="D333" s="101">
        <v>30</v>
      </c>
      <c r="F333" s="106">
        <v>306</v>
      </c>
      <c r="G333" s="106">
        <v>8032480.5034193024</v>
      </c>
      <c r="H333" s="106">
        <v>2267519.4965806976</v>
      </c>
    </row>
    <row r="334" spans="1:8" x14ac:dyDescent="0.2">
      <c r="A334" s="102">
        <v>1360372</v>
      </c>
      <c r="B334" s="101">
        <v>16500</v>
      </c>
      <c r="C334" s="101">
        <v>13</v>
      </c>
      <c r="D334" s="101">
        <v>30</v>
      </c>
      <c r="F334" s="106">
        <v>307</v>
      </c>
      <c r="G334" s="106">
        <v>8810568.2628999911</v>
      </c>
      <c r="H334" s="106">
        <v>1389431.7371000089</v>
      </c>
    </row>
    <row r="335" spans="1:8" x14ac:dyDescent="0.2">
      <c r="A335" s="102">
        <v>1000000</v>
      </c>
      <c r="B335" s="101">
        <v>10000</v>
      </c>
      <c r="C335" s="101">
        <v>0</v>
      </c>
      <c r="D335" s="101">
        <v>15</v>
      </c>
      <c r="F335" s="106">
        <v>308</v>
      </c>
      <c r="G335" s="106">
        <v>1590853.1996676449</v>
      </c>
      <c r="H335" s="106">
        <v>389146.80033235508</v>
      </c>
    </row>
    <row r="336" spans="1:8" x14ac:dyDescent="0.2">
      <c r="A336" s="102">
        <v>1000000</v>
      </c>
      <c r="B336" s="101">
        <v>10000</v>
      </c>
      <c r="C336" s="101">
        <v>18</v>
      </c>
      <c r="D336" s="101">
        <v>18</v>
      </c>
      <c r="F336" s="106">
        <v>309</v>
      </c>
      <c r="G336" s="106">
        <v>1533182.1279623138</v>
      </c>
      <c r="H336" s="106">
        <v>66817.872037686175</v>
      </c>
    </row>
    <row r="337" spans="1:8" x14ac:dyDescent="0.2">
      <c r="A337" s="102">
        <v>11000000</v>
      </c>
      <c r="B337" s="101">
        <v>13957</v>
      </c>
      <c r="C337" s="101">
        <v>0</v>
      </c>
      <c r="D337" s="101">
        <v>133</v>
      </c>
      <c r="F337" s="106">
        <v>310</v>
      </c>
      <c r="G337" s="106">
        <v>1862467.226598022</v>
      </c>
      <c r="H337" s="106">
        <v>-432467.22659802204</v>
      </c>
    </row>
    <row r="338" spans="1:8" x14ac:dyDescent="0.2">
      <c r="A338" s="102">
        <v>11500000</v>
      </c>
      <c r="B338" s="101">
        <v>14810</v>
      </c>
      <c r="C338" s="101">
        <v>0</v>
      </c>
      <c r="D338" s="101">
        <v>108</v>
      </c>
      <c r="F338" s="106">
        <v>311</v>
      </c>
      <c r="G338" s="106">
        <v>28192706.723837469</v>
      </c>
      <c r="H338" s="106">
        <v>-22192706.723837469</v>
      </c>
    </row>
    <row r="339" spans="1:8" x14ac:dyDescent="0.2">
      <c r="A339" s="102">
        <v>12000000</v>
      </c>
      <c r="B339" s="101">
        <v>14227</v>
      </c>
      <c r="C339" s="101">
        <v>20</v>
      </c>
      <c r="D339" s="101">
        <v>129</v>
      </c>
      <c r="F339" s="106">
        <v>312</v>
      </c>
      <c r="G339" s="106">
        <v>32918893.567124099</v>
      </c>
      <c r="H339" s="106">
        <v>-14918893.567124099</v>
      </c>
    </row>
    <row r="340" spans="1:8" x14ac:dyDescent="0.2">
      <c r="A340" s="102">
        <v>7000000</v>
      </c>
      <c r="B340" s="101">
        <v>16000</v>
      </c>
      <c r="C340" s="101">
        <v>0</v>
      </c>
      <c r="D340" s="101">
        <v>80</v>
      </c>
      <c r="F340" s="106">
        <v>313</v>
      </c>
      <c r="G340" s="106">
        <v>40008173.832054049</v>
      </c>
      <c r="H340" s="106">
        <v>13991826.167945951</v>
      </c>
    </row>
    <row r="341" spans="1:8" x14ac:dyDescent="0.2">
      <c r="A341" s="102">
        <v>8500000</v>
      </c>
      <c r="B341" s="101">
        <v>17000</v>
      </c>
      <c r="C341" s="101">
        <v>0</v>
      </c>
      <c r="D341" s="101">
        <v>90</v>
      </c>
      <c r="F341" s="106">
        <v>314</v>
      </c>
      <c r="G341" s="106">
        <v>1889893.2355294493</v>
      </c>
      <c r="H341" s="106">
        <v>-189893.2355294493</v>
      </c>
    </row>
    <row r="342" spans="1:8" x14ac:dyDescent="0.2">
      <c r="A342" s="102">
        <v>9900000</v>
      </c>
      <c r="B342" s="101">
        <v>18000</v>
      </c>
      <c r="C342" s="101">
        <v>90</v>
      </c>
      <c r="D342" s="101">
        <v>100</v>
      </c>
      <c r="F342" s="106">
        <v>315</v>
      </c>
      <c r="G342" s="106">
        <v>2361811.2588474839</v>
      </c>
      <c r="H342" s="106">
        <v>-361811.2588474839</v>
      </c>
    </row>
    <row r="343" spans="1:8" x14ac:dyDescent="0.2">
      <c r="A343" s="101"/>
      <c r="B343" s="101"/>
      <c r="C343" s="101"/>
      <c r="D343" s="101"/>
      <c r="F343" s="106">
        <v>316</v>
      </c>
      <c r="G343" s="106">
        <v>2442048.8341402728</v>
      </c>
      <c r="H343" s="106">
        <v>-242048.83414027281</v>
      </c>
    </row>
    <row r="344" spans="1:8" x14ac:dyDescent="0.2">
      <c r="A344" s="101"/>
      <c r="B344" s="101"/>
      <c r="C344" s="101"/>
      <c r="D344" s="101"/>
      <c r="F344" s="106">
        <v>317</v>
      </c>
      <c r="G344" s="106">
        <v>7614175.7144832555</v>
      </c>
      <c r="H344" s="106">
        <v>3785824.2855167445</v>
      </c>
    </row>
    <row r="345" spans="1:8" x14ac:dyDescent="0.2">
      <c r="A345" s="101"/>
      <c r="B345" s="101"/>
      <c r="C345" s="101"/>
      <c r="D345" s="101"/>
      <c r="F345" s="106">
        <v>318</v>
      </c>
      <c r="G345" s="106">
        <v>5137119.1078228261</v>
      </c>
      <c r="H345" s="106">
        <v>-389119.10782282613</v>
      </c>
    </row>
    <row r="346" spans="1:8" x14ac:dyDescent="0.2">
      <c r="A346" s="101"/>
      <c r="B346" s="101"/>
      <c r="C346" s="101"/>
      <c r="D346" s="101"/>
      <c r="F346" s="106">
        <v>319</v>
      </c>
      <c r="G346" s="106">
        <v>11871555.592465818</v>
      </c>
      <c r="H346" s="106">
        <v>-4696555.5924658179</v>
      </c>
    </row>
    <row r="347" spans="1:8" x14ac:dyDescent="0.2">
      <c r="A347" s="101"/>
      <c r="B347" s="101"/>
      <c r="C347" s="101"/>
      <c r="D347" s="101"/>
      <c r="F347" s="106">
        <v>320</v>
      </c>
      <c r="G347" s="106">
        <v>4659205.9539512321</v>
      </c>
      <c r="H347" s="106">
        <v>-1342205.9539512321</v>
      </c>
    </row>
    <row r="348" spans="1:8" x14ac:dyDescent="0.2">
      <c r="A348" s="101"/>
      <c r="B348" s="101"/>
      <c r="C348" s="101"/>
      <c r="D348" s="101"/>
      <c r="F348" s="106">
        <v>321</v>
      </c>
      <c r="G348" s="106">
        <v>6371573.8253070666</v>
      </c>
      <c r="H348" s="106">
        <v>-2679573.8253070666</v>
      </c>
    </row>
    <row r="349" spans="1:8" x14ac:dyDescent="0.2">
      <c r="A349" s="101"/>
      <c r="B349" s="101"/>
      <c r="C349" s="101"/>
      <c r="D349" s="101"/>
      <c r="F349" s="106">
        <v>322</v>
      </c>
      <c r="G349" s="106">
        <v>6273160.0777989086</v>
      </c>
      <c r="H349" s="106">
        <v>-3021160.0777989086</v>
      </c>
    </row>
    <row r="350" spans="1:8" x14ac:dyDescent="0.2">
      <c r="A350" s="101"/>
      <c r="B350" s="101"/>
      <c r="C350" s="101"/>
      <c r="D350" s="101"/>
      <c r="F350" s="106">
        <v>323</v>
      </c>
      <c r="G350" s="106">
        <v>14331659.099589694</v>
      </c>
      <c r="H350" s="106">
        <v>-1831659.0995896943</v>
      </c>
    </row>
    <row r="351" spans="1:8" x14ac:dyDescent="0.2">
      <c r="A351" s="101"/>
      <c r="B351" s="101"/>
      <c r="C351" s="101"/>
      <c r="D351" s="101"/>
      <c r="F351" s="106">
        <v>324</v>
      </c>
      <c r="G351" s="106">
        <v>18999400.325285938</v>
      </c>
      <c r="H351" s="106">
        <v>-6499400.3252859376</v>
      </c>
    </row>
    <row r="352" spans="1:8" x14ac:dyDescent="0.2">
      <c r="A352" s="101"/>
      <c r="B352" s="101"/>
      <c r="C352" s="101"/>
      <c r="D352" s="101"/>
      <c r="F352" s="106">
        <v>325</v>
      </c>
      <c r="G352" s="106">
        <v>28627110.864630368</v>
      </c>
      <c r="H352" s="106">
        <v>-10427110.864630368</v>
      </c>
    </row>
    <row r="353" spans="6:8" x14ac:dyDescent="0.2">
      <c r="F353" s="106">
        <v>326</v>
      </c>
      <c r="G353" s="106">
        <v>11628061.020167453</v>
      </c>
      <c r="H353" s="106">
        <v>3471938.9798325468</v>
      </c>
    </row>
    <row r="354" spans="6:8" x14ac:dyDescent="0.2">
      <c r="F354" s="106">
        <v>327</v>
      </c>
      <c r="G354" s="106">
        <v>13092430.425840879</v>
      </c>
      <c r="H354" s="106">
        <v>2907569.5741591211</v>
      </c>
    </row>
    <row r="355" spans="6:8" x14ac:dyDescent="0.2">
      <c r="F355" s="106">
        <v>328</v>
      </c>
      <c r="G355" s="106">
        <v>25004213.166244593</v>
      </c>
      <c r="H355" s="106">
        <v>3895786.8337554075</v>
      </c>
    </row>
    <row r="356" spans="6:8" x14ac:dyDescent="0.2">
      <c r="F356" s="106">
        <v>329</v>
      </c>
      <c r="G356" s="106">
        <v>3116706.7920307973</v>
      </c>
      <c r="H356" s="106">
        <v>-1621942.7920307973</v>
      </c>
    </row>
    <row r="357" spans="6:8" x14ac:dyDescent="0.2">
      <c r="F357" s="106">
        <v>330</v>
      </c>
      <c r="G357" s="106">
        <v>3423019.1208796874</v>
      </c>
      <c r="H357" s="106">
        <v>-856915.12087968737</v>
      </c>
    </row>
    <row r="358" spans="6:8" x14ac:dyDescent="0.2">
      <c r="F358" s="106">
        <v>331</v>
      </c>
      <c r="G358" s="106">
        <v>4762426.2943656333</v>
      </c>
      <c r="H358" s="106">
        <v>-2570746.2943656333</v>
      </c>
    </row>
    <row r="359" spans="6:8" x14ac:dyDescent="0.2">
      <c r="F359" s="106">
        <v>332</v>
      </c>
      <c r="G359" s="106">
        <v>2554575.8793354235</v>
      </c>
      <c r="H359" s="106">
        <v>-1050669.8793354235</v>
      </c>
    </row>
    <row r="360" spans="6:8" x14ac:dyDescent="0.2">
      <c r="F360" s="106">
        <v>333</v>
      </c>
      <c r="G360" s="106">
        <v>3069128.355481056</v>
      </c>
      <c r="H360" s="106">
        <v>-1708756.355481056</v>
      </c>
    </row>
    <row r="361" spans="6:8" x14ac:dyDescent="0.2">
      <c r="F361" s="106">
        <v>334</v>
      </c>
      <c r="G361" s="106">
        <v>157356.11733144941</v>
      </c>
      <c r="H361" s="106">
        <v>842643.88266855059</v>
      </c>
    </row>
    <row r="362" spans="6:8" x14ac:dyDescent="0.2">
      <c r="F362" s="106">
        <v>335</v>
      </c>
      <c r="G362" s="106">
        <v>871827.39012623043</v>
      </c>
      <c r="H362" s="106">
        <v>128172.60987376957</v>
      </c>
    </row>
    <row r="363" spans="6:8" x14ac:dyDescent="0.2">
      <c r="F363" s="106">
        <v>336</v>
      </c>
      <c r="G363" s="106">
        <v>11461956.717736306</v>
      </c>
      <c r="H363" s="106">
        <v>-461956.71773630567</v>
      </c>
    </row>
    <row r="364" spans="6:8" x14ac:dyDescent="0.2">
      <c r="F364" s="106">
        <v>337</v>
      </c>
      <c r="G364" s="106">
        <v>9391914.1932396069</v>
      </c>
      <c r="H364" s="106">
        <v>2108085.8067603931</v>
      </c>
    </row>
    <row r="365" spans="6:8" x14ac:dyDescent="0.2">
      <c r="F365" s="106">
        <v>338</v>
      </c>
      <c r="G365" s="106">
        <v>11652403.310117327</v>
      </c>
      <c r="H365" s="106">
        <v>347596.68988267332</v>
      </c>
    </row>
    <row r="366" spans="6:8" x14ac:dyDescent="0.2">
      <c r="F366" s="106">
        <v>339</v>
      </c>
      <c r="G366" s="106">
        <v>7118553.6908220761</v>
      </c>
      <c r="H366" s="106">
        <v>-118553.69082207605</v>
      </c>
    </row>
    <row r="367" spans="6:8" x14ac:dyDescent="0.2">
      <c r="F367" s="106">
        <v>340</v>
      </c>
      <c r="G367" s="106">
        <v>8204288.2768020555</v>
      </c>
      <c r="H367" s="106">
        <v>295711.72319794446</v>
      </c>
    </row>
    <row r="368" spans="6:8" ht="12.75" thickBot="1" x14ac:dyDescent="0.25">
      <c r="F368" s="107">
        <v>341</v>
      </c>
      <c r="G368" s="107">
        <v>11522009.05392372</v>
      </c>
      <c r="H368" s="107">
        <v>-1622009.0539237205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CF01C-D790-439F-B29B-A3D36FC5D67F}">
  <dimension ref="A1:AA344"/>
  <sheetViews>
    <sheetView showGridLines="0" topLeftCell="P1" workbookViewId="0">
      <selection activeCell="K20" sqref="K20"/>
    </sheetView>
  </sheetViews>
  <sheetFormatPr baseColWidth="10" defaultRowHeight="15" x14ac:dyDescent="0.25"/>
  <cols>
    <col min="1" max="1" width="18.5703125" bestFit="1" customWidth="1"/>
    <col min="2" max="2" width="12.7109375" bestFit="1" customWidth="1"/>
    <col min="3" max="3" width="12" bestFit="1" customWidth="1"/>
    <col min="4" max="4" width="12.7109375" bestFit="1" customWidth="1"/>
    <col min="5" max="5" width="12" bestFit="1" customWidth="1"/>
    <col min="6" max="6" width="12.7109375" bestFit="1" customWidth="1"/>
    <col min="7" max="7" width="12" bestFit="1" customWidth="1"/>
    <col min="8" max="8" width="12" style="64" bestFit="1" customWidth="1"/>
    <col min="11" max="11" width="13.140625" bestFit="1" customWidth="1"/>
    <col min="12" max="12" width="15.140625" bestFit="1" customWidth="1"/>
    <col min="13" max="13" width="13" bestFit="1" customWidth="1"/>
    <col min="14" max="14" width="15.28515625" bestFit="1" customWidth="1"/>
    <col min="15" max="16" width="12.7109375" bestFit="1" customWidth="1"/>
    <col min="17" max="17" width="12" style="17" bestFit="1" customWidth="1"/>
    <col min="18" max="18" width="12.7109375" bestFit="1" customWidth="1"/>
    <col min="20" max="20" width="12.7109375" bestFit="1" customWidth="1"/>
    <col min="21" max="21" width="12" bestFit="1" customWidth="1"/>
    <col min="22" max="22" width="12" style="64" bestFit="1" customWidth="1"/>
    <col min="23" max="23" width="12.7109375" style="16" bestFit="1" customWidth="1"/>
  </cols>
  <sheetData>
    <row r="1" spans="1:27" x14ac:dyDescent="0.25">
      <c r="A1" t="s">
        <v>9</v>
      </c>
      <c r="J1" t="s">
        <v>40</v>
      </c>
    </row>
    <row r="2" spans="1:27" ht="15.75" thickBot="1" x14ac:dyDescent="0.3">
      <c r="Q2" s="136">
        <f>+(2*4)/341</f>
        <v>2.3460410557184751E-2</v>
      </c>
      <c r="R2" s="5"/>
      <c r="S2" s="5"/>
      <c r="T2" s="5" t="s">
        <v>135</v>
      </c>
      <c r="U2" s="5"/>
      <c r="V2" s="136">
        <f>4/341</f>
        <v>1.1730205278592375E-2</v>
      </c>
      <c r="W2" s="137">
        <f>2*SQRT(4/341)</f>
        <v>0.21661214442955293</v>
      </c>
    </row>
    <row r="3" spans="1:27" ht="16.5" thickTop="1" thickBot="1" x14ac:dyDescent="0.3">
      <c r="A3" s="3" t="s">
        <v>10</v>
      </c>
      <c r="B3" s="3"/>
      <c r="D3" s="3"/>
      <c r="E3" s="3"/>
      <c r="J3" s="6" t="s">
        <v>41</v>
      </c>
      <c r="K3" s="6" t="str">
        <f>'Modelo Ajustado'!B1</f>
        <v>salario_prom</v>
      </c>
      <c r="L3" s="6" t="str">
        <f>'Modelo Ajustado'!C1</f>
        <v>total_emp_entr</v>
      </c>
      <c r="M3" s="6" t="str">
        <f>'Modelo Ajustado'!D1</f>
        <v>n°empleados</v>
      </c>
      <c r="N3" s="6" t="str">
        <f>'Modelo Ajustado'!A1</f>
        <v>ventas_anuales</v>
      </c>
      <c r="O3" s="6" t="s">
        <v>42</v>
      </c>
      <c r="P3" s="6" t="s">
        <v>28</v>
      </c>
      <c r="Q3" s="129" t="s">
        <v>43</v>
      </c>
      <c r="R3" s="6" t="s">
        <v>44</v>
      </c>
      <c r="S3" s="6" t="s">
        <v>45</v>
      </c>
      <c r="T3" s="6" t="s">
        <v>46</v>
      </c>
      <c r="U3" s="6" t="s">
        <v>47</v>
      </c>
      <c r="V3" s="130" t="s">
        <v>40</v>
      </c>
      <c r="W3" s="127" t="s">
        <v>48</v>
      </c>
    </row>
    <row r="4" spans="1:27" ht="15.75" thickTop="1" x14ac:dyDescent="0.25">
      <c r="A4" t="s">
        <v>11</v>
      </c>
      <c r="B4">
        <f>SQRT(B5)</f>
        <v>0.80597815457634792</v>
      </c>
      <c r="D4" t="s">
        <v>16</v>
      </c>
      <c r="E4">
        <f>B8*LN(C13/B8)+2*(B12+1)</f>
        <v>10506.886503110842</v>
      </c>
      <c r="J4">
        <v>1</v>
      </c>
      <c r="K4">
        <f>'Modelo Ajustado'!B2</f>
        <v>35000</v>
      </c>
      <c r="L4">
        <f>'Modelo Ajustado'!C2</f>
        <v>100</v>
      </c>
      <c r="M4">
        <f>'Modelo Ajustado'!D2</f>
        <v>100</v>
      </c>
      <c r="N4">
        <f>'Modelo Ajustado'!A2</f>
        <v>47000000</v>
      </c>
      <c r="O4">
        <f t="array" ref="O4:O344">TREND('Modelo Ajustado'!A2:A342,'Modelo Ajustado'!B2:D342)</f>
        <v>15036633.52250064</v>
      </c>
      <c r="P4">
        <f>N4-O4</f>
        <v>31963366.477499358</v>
      </c>
      <c r="Q4" s="134">
        <f t="array" ref="Q4:Q344">[1]!LEVERAGE('Modelo Ajustado'!B2:D342)</f>
        <v>2.7234923514450188E-2</v>
      </c>
      <c r="R4">
        <f>P4/SQRT($Z$6)</f>
        <v>6.5531083817168776</v>
      </c>
      <c r="S4">
        <f>($Z$6-P4^2/((1-Q4)*$Z$5))*$Z$5/($Z$5-1)</f>
        <v>20735900841278.793</v>
      </c>
      <c r="T4" s="132">
        <f>P4/SQRT(S4*(1-Q4))</f>
        <v>7.1168379209130199</v>
      </c>
      <c r="U4">
        <f>_xlfn.T.DIST.2T(ABS(T4),$Z$5)</f>
        <v>6.6871702595114774E-12</v>
      </c>
      <c r="V4" s="135">
        <f>(P4^2/$Z$6)*(Q4/(1-Q4)^2)/($Z$7+1)</f>
        <v>0.30899035923348267</v>
      </c>
      <c r="W4" s="133">
        <f>T4*SQRT(Q4/(1-Q4))</f>
        <v>1.1908201370004727</v>
      </c>
      <c r="X4" s="132">
        <v>1</v>
      </c>
      <c r="Y4" t="s">
        <v>49</v>
      </c>
      <c r="Z4" s="7">
        <f>DEVSQ(P4:P344)</f>
        <v>8017523245339152</v>
      </c>
    </row>
    <row r="5" spans="1:27" x14ac:dyDescent="0.25">
      <c r="A5" t="s">
        <v>12</v>
      </c>
      <c r="B5">
        <f>C12/C14</f>
        <v>0.64960078565429535</v>
      </c>
      <c r="D5" t="s">
        <v>17</v>
      </c>
      <c r="E5">
        <f>E4+2*(B12+2)*(B12+3)/(B8-B12-3)</f>
        <v>10507.065607588454</v>
      </c>
      <c r="J5">
        <f>J4+1</f>
        <v>2</v>
      </c>
      <c r="K5">
        <f>'Modelo Ajustado'!B3</f>
        <v>37000</v>
      </c>
      <c r="L5">
        <f>'Modelo Ajustado'!C3</f>
        <v>50</v>
      </c>
      <c r="M5">
        <f>'Modelo Ajustado'!D3</f>
        <v>131</v>
      </c>
      <c r="N5">
        <f>'Modelo Ajustado'!A3</f>
        <v>43000000</v>
      </c>
      <c r="O5">
        <v>16951048.492792182</v>
      </c>
      <c r="P5">
        <f t="shared" ref="P5:P68" si="0">N5-O5</f>
        <v>26048951.507207818</v>
      </c>
      <c r="Q5" s="134">
        <v>2.8470867623909806E-2</v>
      </c>
      <c r="R5">
        <f t="shared" ref="R5:R68" si="1">P5/SQRT($Z$6)</f>
        <v>5.3405389127889764</v>
      </c>
      <c r="S5">
        <f t="shared" ref="S5:S68" si="2">($Z$6-P5^2/((1-Q5)*$Z$5))*$Z$5/($Z$5-1)</f>
        <v>21783007086583.699</v>
      </c>
      <c r="T5" s="132">
        <f t="shared" ref="T5:T68" si="3">P5/SQRT(S5*(1-Q5))</f>
        <v>5.6624374407326119</v>
      </c>
      <c r="U5">
        <f t="shared" ref="U5:U68" si="4">_xlfn.T.DIST.2T(ABS(T5),$Z$5)</f>
        <v>3.1985646705020349E-8</v>
      </c>
      <c r="V5" s="135">
        <f t="shared" ref="V5:V68" si="5">(P5^2/$Z$6)*(Q5/(1-Q5)^2)/($Z$7+1)</f>
        <v>0.21507960119049419</v>
      </c>
      <c r="W5" s="133">
        <f t="shared" ref="W5:W68" si="6">T5*SQRT(Q5/(1-Q5))</f>
        <v>0.96933937422612837</v>
      </c>
      <c r="X5" s="132">
        <v>2</v>
      </c>
      <c r="Y5" t="s">
        <v>50</v>
      </c>
      <c r="Z5" s="8">
        <f>COUNT('Modelo Ajustado'!A2:A342)-Z7-1</f>
        <v>337</v>
      </c>
    </row>
    <row r="6" spans="1:27" x14ac:dyDescent="0.25">
      <c r="A6" t="s">
        <v>13</v>
      </c>
      <c r="B6">
        <f>1-(1-B5)*(B8-1)/(B8-B12-1)</f>
        <v>0.64648150481442257</v>
      </c>
      <c r="D6" s="4" t="s">
        <v>18</v>
      </c>
      <c r="E6" s="4">
        <f>B8*LN(C13/B8)+(B12+1)*LN(B8)</f>
        <v>10522.214033019976</v>
      </c>
      <c r="J6">
        <f t="shared" ref="J6:J69" si="7">J5+1</f>
        <v>3</v>
      </c>
      <c r="K6">
        <f>'Modelo Ajustado'!B4</f>
        <v>39000</v>
      </c>
      <c r="L6">
        <f>'Modelo Ajustado'!C4</f>
        <v>50</v>
      </c>
      <c r="M6">
        <f>'Modelo Ajustado'!D4</f>
        <v>123</v>
      </c>
      <c r="N6">
        <f>'Modelo Ajustado'!A4</f>
        <v>49000000</v>
      </c>
      <c r="O6">
        <v>16620493.342132</v>
      </c>
      <c r="P6">
        <f t="shared" si="0"/>
        <v>32379506.657867998</v>
      </c>
      <c r="Q6" s="134">
        <v>3.2093386021234183E-2</v>
      </c>
      <c r="R6">
        <f t="shared" si="1"/>
        <v>6.6384251679153081</v>
      </c>
      <c r="S6">
        <f t="shared" si="2"/>
        <v>20637879079128.605</v>
      </c>
      <c r="T6" s="132">
        <f t="shared" si="3"/>
        <v>7.2447093533695872</v>
      </c>
      <c r="U6">
        <f t="shared" si="4"/>
        <v>2.9713482610661475E-12</v>
      </c>
      <c r="V6" s="135">
        <f t="shared" si="5"/>
        <v>0.37741465648012695</v>
      </c>
      <c r="W6" s="133">
        <f t="shared" si="6"/>
        <v>1.3192041476957679</v>
      </c>
      <c r="X6" s="132">
        <v>3</v>
      </c>
      <c r="Y6" t="s">
        <v>51</v>
      </c>
      <c r="Z6" s="8">
        <f>Z4/Z5</f>
        <v>23790870164211.133</v>
      </c>
    </row>
    <row r="7" spans="1:27" x14ac:dyDescent="0.25">
      <c r="A7" t="s">
        <v>14</v>
      </c>
      <c r="B7">
        <f>SQRT(D13)</f>
        <v>4877588.5603657812</v>
      </c>
      <c r="J7">
        <f t="shared" si="7"/>
        <v>4</v>
      </c>
      <c r="K7">
        <f>'Modelo Ajustado'!B5</f>
        <v>10500</v>
      </c>
      <c r="L7">
        <f>'Modelo Ajustado'!C5</f>
        <v>12</v>
      </c>
      <c r="M7">
        <f>'Modelo Ajustado'!D5</f>
        <v>12</v>
      </c>
      <c r="N7">
        <f>'Modelo Ajustado'!A5</f>
        <v>1560000</v>
      </c>
      <c r="O7">
        <v>282957.47696314706</v>
      </c>
      <c r="P7">
        <f t="shared" si="0"/>
        <v>1277042.5230368529</v>
      </c>
      <c r="Q7" s="17">
        <v>9.2761803672181189E-3</v>
      </c>
      <c r="R7">
        <f t="shared" si="1"/>
        <v>0.26181841851398074</v>
      </c>
      <c r="S7">
        <f t="shared" si="2"/>
        <v>23856777196863.938</v>
      </c>
      <c r="T7">
        <f t="shared" si="3"/>
        <v>0.26267767825221161</v>
      </c>
      <c r="U7">
        <f t="shared" si="4"/>
        <v>0.7929595312670864</v>
      </c>
      <c r="V7" s="64">
        <f t="shared" si="5"/>
        <v>1.6195873433809684E-4</v>
      </c>
      <c r="W7" s="16">
        <f t="shared" si="6"/>
        <v>2.5417419625303309E-2</v>
      </c>
      <c r="X7">
        <v>4</v>
      </c>
      <c r="Y7" t="s">
        <v>52</v>
      </c>
      <c r="Z7" s="9">
        <f>COUNT('Modelo Ajustado'!B2:D2)</f>
        <v>3</v>
      </c>
    </row>
    <row r="8" spans="1:27" x14ac:dyDescent="0.25">
      <c r="A8" s="4" t="s">
        <v>15</v>
      </c>
      <c r="B8" s="4">
        <f>COUNT('Modelo Ajustado'!A2:A342)</f>
        <v>341</v>
      </c>
      <c r="J8">
        <f t="shared" si="7"/>
        <v>5</v>
      </c>
      <c r="K8">
        <f>'Modelo Ajustado'!B6</f>
        <v>11000</v>
      </c>
      <c r="L8">
        <f>'Modelo Ajustado'!C6</f>
        <v>13</v>
      </c>
      <c r="M8">
        <f>'Modelo Ajustado'!D6</f>
        <v>13</v>
      </c>
      <c r="N8">
        <f>'Modelo Ajustado'!A6</f>
        <v>1970000</v>
      </c>
      <c r="O8">
        <v>493192.57043278636</v>
      </c>
      <c r="P8">
        <f t="shared" si="0"/>
        <v>1476807.4295672136</v>
      </c>
      <c r="Q8" s="17">
        <v>8.724042361502685E-3</v>
      </c>
      <c r="R8">
        <f t="shared" si="1"/>
        <v>0.30277408832049263</v>
      </c>
      <c r="S8">
        <f t="shared" si="2"/>
        <v>23855128246770.02</v>
      </c>
      <c r="T8">
        <f t="shared" si="3"/>
        <v>0.30369364508822599</v>
      </c>
      <c r="U8">
        <f t="shared" si="4"/>
        <v>0.76154871261561907</v>
      </c>
      <c r="V8" s="64">
        <f t="shared" si="5"/>
        <v>2.0347264878033334E-4</v>
      </c>
      <c r="W8" s="16">
        <f t="shared" si="6"/>
        <v>2.8490318255138487E-2</v>
      </c>
      <c r="X8">
        <v>5</v>
      </c>
    </row>
    <row r="9" spans="1:27" x14ac:dyDescent="0.25">
      <c r="J9">
        <f t="shared" si="7"/>
        <v>6</v>
      </c>
      <c r="K9">
        <f>'Modelo Ajustado'!B7</f>
        <v>11500</v>
      </c>
      <c r="L9">
        <f>'Modelo Ajustado'!C7</f>
        <v>14</v>
      </c>
      <c r="M9">
        <f>'Modelo Ajustado'!D7</f>
        <v>14</v>
      </c>
      <c r="N9">
        <f>'Modelo Ajustado'!A7</f>
        <v>2350000</v>
      </c>
      <c r="O9">
        <v>703427.66390242567</v>
      </c>
      <c r="P9">
        <f t="shared" si="0"/>
        <v>1646572.3360975743</v>
      </c>
      <c r="Q9" s="17">
        <v>8.2055589699198683E-3</v>
      </c>
      <c r="R9">
        <f t="shared" si="1"/>
        <v>0.3375791778497394</v>
      </c>
      <c r="S9">
        <f t="shared" si="2"/>
        <v>23853540517581.051</v>
      </c>
      <c r="T9">
        <f t="shared" si="3"/>
        <v>0.33852718901951268</v>
      </c>
      <c r="U9">
        <f t="shared" si="4"/>
        <v>0.73517675610441369</v>
      </c>
      <c r="V9" s="64">
        <f t="shared" si="5"/>
        <v>2.3766002713985441E-4</v>
      </c>
      <c r="W9" s="16">
        <f t="shared" si="6"/>
        <v>3.0791922543738703E-2</v>
      </c>
      <c r="X9">
        <v>6</v>
      </c>
      <c r="Z9" s="139" t="s">
        <v>155</v>
      </c>
      <c r="AA9" s="139" t="s">
        <v>156</v>
      </c>
    </row>
    <row r="10" spans="1:27" ht="15.75" thickBot="1" x14ac:dyDescent="0.3">
      <c r="A10" t="s">
        <v>19</v>
      </c>
      <c r="E10" s="5" t="s">
        <v>20</v>
      </c>
      <c r="F10" s="5">
        <v>0.05</v>
      </c>
      <c r="J10">
        <f t="shared" si="7"/>
        <v>7</v>
      </c>
      <c r="K10">
        <f>'Modelo Ajustado'!B8</f>
        <v>17680</v>
      </c>
      <c r="L10">
        <f>'Modelo Ajustado'!C8</f>
        <v>15</v>
      </c>
      <c r="M10">
        <f>'Modelo Ajustado'!D8</f>
        <v>20</v>
      </c>
      <c r="N10">
        <f>'Modelo Ajustado'!A8</f>
        <v>750000</v>
      </c>
      <c r="O10">
        <v>2451890.2088910886</v>
      </c>
      <c r="P10">
        <f t="shared" si="0"/>
        <v>-1701890.2088910886</v>
      </c>
      <c r="Q10" s="17">
        <v>4.3225421700461217E-3</v>
      </c>
      <c r="R10">
        <f t="shared" si="1"/>
        <v>-0.34892041176254113</v>
      </c>
      <c r="S10">
        <f t="shared" si="2"/>
        <v>23853018573693.664</v>
      </c>
      <c r="T10">
        <f t="shared" si="3"/>
        <v>-0.34922114278803934</v>
      </c>
      <c r="U10">
        <f t="shared" si="4"/>
        <v>0.72714139973345004</v>
      </c>
      <c r="V10" s="64">
        <f t="shared" si="5"/>
        <v>1.327072502752424E-4</v>
      </c>
      <c r="W10" s="16">
        <f t="shared" si="6"/>
        <v>-2.3009692309282979E-2</v>
      </c>
      <c r="X10">
        <v>7</v>
      </c>
      <c r="Z10" s="59" t="s">
        <v>43</v>
      </c>
      <c r="AA10" s="138">
        <f>+Q2</f>
        <v>2.3460410557184751E-2</v>
      </c>
    </row>
    <row r="11" spans="1:27" ht="15.75" thickTop="1" x14ac:dyDescent="0.25">
      <c r="A11" s="6"/>
      <c r="B11" s="6" t="s">
        <v>21</v>
      </c>
      <c r="C11" s="6" t="s">
        <v>22</v>
      </c>
      <c r="D11" s="6" t="s">
        <v>23</v>
      </c>
      <c r="E11" s="6" t="s">
        <v>24</v>
      </c>
      <c r="F11" s="6" t="s">
        <v>25</v>
      </c>
      <c r="G11" s="6" t="s">
        <v>26</v>
      </c>
      <c r="J11">
        <f t="shared" si="7"/>
        <v>8</v>
      </c>
      <c r="K11">
        <f>'Modelo Ajustado'!B9</f>
        <v>18720</v>
      </c>
      <c r="L11">
        <f>'Modelo Ajustado'!C9</f>
        <v>10</v>
      </c>
      <c r="M11">
        <f>'Modelo Ajustado'!D9</f>
        <v>25</v>
      </c>
      <c r="N11">
        <f>'Modelo Ajustado'!A9</f>
        <v>110000</v>
      </c>
      <c r="O11">
        <v>2974521.6832494638</v>
      </c>
      <c r="P11">
        <f t="shared" si="0"/>
        <v>-2864521.6832494638</v>
      </c>
      <c r="Q11" s="17">
        <v>3.7247124291020011E-3</v>
      </c>
      <c r="R11">
        <f t="shared" si="1"/>
        <v>-0.58728235229308623</v>
      </c>
      <c r="S11">
        <f t="shared" si="2"/>
        <v>23837163939080.629</v>
      </c>
      <c r="T11">
        <f t="shared" si="3"/>
        <v>-0.58780752758287835</v>
      </c>
      <c r="U11">
        <f t="shared" si="4"/>
        <v>0.55705515775645076</v>
      </c>
      <c r="V11" s="64">
        <f t="shared" si="5"/>
        <v>3.2356977154334403E-4</v>
      </c>
      <c r="W11" s="16">
        <f t="shared" si="6"/>
        <v>-3.5941139206470879E-2</v>
      </c>
      <c r="X11">
        <v>8</v>
      </c>
      <c r="Z11" s="59" t="s">
        <v>134</v>
      </c>
      <c r="AA11" s="138" t="str">
        <f>+T2</f>
        <v>&gt; 3</v>
      </c>
    </row>
    <row r="12" spans="1:27" x14ac:dyDescent="0.25">
      <c r="A12" t="s">
        <v>27</v>
      </c>
      <c r="B12">
        <f>COUNT('Modelo Ajustado'!B2:D2)</f>
        <v>3</v>
      </c>
      <c r="C12">
        <f>DEVSQ(MMULT([1]!DESIGN('Modelo Ajustado'!B2:D342),B17:B20))</f>
        <v>1.486358754798884E+16</v>
      </c>
      <c r="D12">
        <f>C12/B12</f>
        <v>4954529182662947</v>
      </c>
      <c r="E12">
        <f>D12/D13</f>
        <v>208.25338243054682</v>
      </c>
      <c r="F12">
        <f>_xlfn.F.DIST.RT(E12,B12,B13)</f>
        <v>2.1508922583503041E-76</v>
      </c>
      <c r="G12" s="5" t="str">
        <f>IF(F12&lt;F10,"yes","no")</f>
        <v>yes</v>
      </c>
      <c r="J12">
        <f t="shared" si="7"/>
        <v>9</v>
      </c>
      <c r="K12">
        <f>'Modelo Ajustado'!B10</f>
        <v>19760</v>
      </c>
      <c r="L12">
        <f>'Modelo Ajustado'!C10</f>
        <v>20</v>
      </c>
      <c r="M12">
        <f>'Modelo Ajustado'!D10</f>
        <v>24</v>
      </c>
      <c r="N12">
        <f>'Modelo Ajustado'!A10</f>
        <v>950000</v>
      </c>
      <c r="O12">
        <v>3333002.7869985667</v>
      </c>
      <c r="P12">
        <f t="shared" si="0"/>
        <v>-2383002.7869985667</v>
      </c>
      <c r="Q12" s="17">
        <v>4.2102028711561192E-3</v>
      </c>
      <c r="R12">
        <f t="shared" si="1"/>
        <v>-0.48856166474604412</v>
      </c>
      <c r="S12">
        <f t="shared" si="2"/>
        <v>23844703968697.848</v>
      </c>
      <c r="T12">
        <f t="shared" si="3"/>
        <v>-0.48904040974144619</v>
      </c>
      <c r="U12">
        <f t="shared" si="4"/>
        <v>0.62513120860111382</v>
      </c>
      <c r="V12" s="64">
        <f t="shared" si="5"/>
        <v>2.5336490669641913E-4</v>
      </c>
      <c r="W12" s="16">
        <f t="shared" si="6"/>
        <v>-3.1798923807150117E-2</v>
      </c>
      <c r="X12">
        <v>9</v>
      </c>
      <c r="Z12" s="59" t="s">
        <v>40</v>
      </c>
      <c r="AA12" s="138">
        <f>+V2</f>
        <v>1.1730205278592375E-2</v>
      </c>
    </row>
    <row r="13" spans="1:27" x14ac:dyDescent="0.25">
      <c r="A13" t="s">
        <v>28</v>
      </c>
      <c r="B13">
        <f>B14-B12</f>
        <v>337</v>
      </c>
      <c r="C13">
        <f>C14-C12</f>
        <v>8017523245339152</v>
      </c>
      <c r="D13">
        <f>C13/B13</f>
        <v>23790870164211.133</v>
      </c>
      <c r="J13">
        <f t="shared" si="7"/>
        <v>10</v>
      </c>
      <c r="K13">
        <f>'Modelo Ajustado'!B11</f>
        <v>13729</v>
      </c>
      <c r="L13">
        <f>'Modelo Ajustado'!C11</f>
        <v>0</v>
      </c>
      <c r="M13">
        <f>'Modelo Ajustado'!D11</f>
        <v>200</v>
      </c>
      <c r="N13">
        <f>'Modelo Ajustado'!A11</f>
        <v>23700000</v>
      </c>
      <c r="O13">
        <v>17405132.270387281</v>
      </c>
      <c r="P13">
        <f t="shared" si="0"/>
        <v>6294867.7296127193</v>
      </c>
      <c r="Q13" s="134">
        <v>4.5576046792552997E-2</v>
      </c>
      <c r="R13">
        <f t="shared" si="1"/>
        <v>1.2905696435249663</v>
      </c>
      <c r="S13">
        <f t="shared" si="2"/>
        <v>23738112140066.949</v>
      </c>
      <c r="T13">
        <f t="shared" si="3"/>
        <v>1.3224913960112803</v>
      </c>
      <c r="U13">
        <f t="shared" si="4"/>
        <v>0.18690136869720797</v>
      </c>
      <c r="V13" s="135">
        <f t="shared" si="5"/>
        <v>2.0833243571968932E-2</v>
      </c>
      <c r="W13" s="133">
        <f t="shared" si="6"/>
        <v>0.28899512464514115</v>
      </c>
      <c r="X13" s="132">
        <v>10</v>
      </c>
      <c r="Z13" s="59" t="s">
        <v>48</v>
      </c>
      <c r="AA13" s="138">
        <f>+W2</f>
        <v>0.21661214442955293</v>
      </c>
    </row>
    <row r="14" spans="1:27" x14ac:dyDescent="0.25">
      <c r="A14" s="4" t="s">
        <v>29</v>
      </c>
      <c r="B14" s="4">
        <f>B8-1</f>
        <v>340</v>
      </c>
      <c r="C14" s="4">
        <f>DEVSQ('Modelo Ajustado'!A2:A342)</f>
        <v>2.2881110793327992E+16</v>
      </c>
      <c r="D14" s="4"/>
      <c r="E14" s="4"/>
      <c r="F14" s="4"/>
      <c r="G14" s="4"/>
      <c r="J14">
        <f t="shared" si="7"/>
        <v>11</v>
      </c>
      <c r="K14">
        <f>'Modelo Ajustado'!B12</f>
        <v>14287</v>
      </c>
      <c r="L14">
        <f>'Modelo Ajustado'!C12</f>
        <v>0</v>
      </c>
      <c r="M14">
        <f>'Modelo Ajustado'!D12</f>
        <v>155</v>
      </c>
      <c r="N14">
        <f>'Modelo Ajustado'!A12</f>
        <v>19700000</v>
      </c>
      <c r="O14">
        <v>13491243.946573867</v>
      </c>
      <c r="P14">
        <f t="shared" si="0"/>
        <v>6208756.0534261335</v>
      </c>
      <c r="Q14" s="134">
        <v>2.6347943500340362E-2</v>
      </c>
      <c r="R14">
        <f t="shared" si="1"/>
        <v>1.2729150842851176</v>
      </c>
      <c r="S14">
        <f t="shared" si="2"/>
        <v>23743843543789.762</v>
      </c>
      <c r="T14">
        <f t="shared" si="3"/>
        <v>1.2913001240398585</v>
      </c>
      <c r="U14">
        <f t="shared" si="4"/>
        <v>0.19748464306791969</v>
      </c>
      <c r="V14" s="64">
        <f t="shared" si="5"/>
        <v>1.1258435061701466E-2</v>
      </c>
      <c r="W14" s="16">
        <f t="shared" si="6"/>
        <v>0.21242159317170942</v>
      </c>
      <c r="X14" s="132">
        <v>11</v>
      </c>
    </row>
    <row r="15" spans="1:27" ht="15.75" thickBot="1" x14ac:dyDescent="0.3">
      <c r="J15">
        <f t="shared" si="7"/>
        <v>12</v>
      </c>
      <c r="K15">
        <f>'Modelo Ajustado'!B13</f>
        <v>15758</v>
      </c>
      <c r="L15">
        <f>'Modelo Ajustado'!C13</f>
        <v>20</v>
      </c>
      <c r="M15">
        <f>'Modelo Ajustado'!D13</f>
        <v>80</v>
      </c>
      <c r="N15">
        <f>'Modelo Ajustado'!A13</f>
        <v>26000000</v>
      </c>
      <c r="O15">
        <v>7568049.2402633373</v>
      </c>
      <c r="P15">
        <f t="shared" si="0"/>
        <v>18431950.759736665</v>
      </c>
      <c r="Q15" s="17">
        <v>4.6146647058521589E-3</v>
      </c>
      <c r="R15">
        <f t="shared" si="1"/>
        <v>3.7789064271453046</v>
      </c>
      <c r="S15">
        <f t="shared" si="2"/>
        <v>22845867252347.023</v>
      </c>
      <c r="T15" s="132">
        <f t="shared" si="3"/>
        <v>3.8651989954584263</v>
      </c>
      <c r="U15">
        <f t="shared" si="4"/>
        <v>1.331623527317611E-4</v>
      </c>
      <c r="V15" s="135">
        <f t="shared" si="5"/>
        <v>1.662761499212486E-2</v>
      </c>
      <c r="W15" s="133">
        <f t="shared" si="6"/>
        <v>0.26317601987652661</v>
      </c>
      <c r="X15" s="132">
        <v>12</v>
      </c>
    </row>
    <row r="16" spans="1:27" ht="15.75" thickTop="1" x14ac:dyDescent="0.25">
      <c r="A16" s="6"/>
      <c r="B16" s="6" t="s">
        <v>30</v>
      </c>
      <c r="C16" s="6" t="s">
        <v>31</v>
      </c>
      <c r="D16" s="6" t="s">
        <v>32</v>
      </c>
      <c r="E16" s="6" t="s">
        <v>25</v>
      </c>
      <c r="F16" s="6" t="s">
        <v>33</v>
      </c>
      <c r="G16" s="6" t="s">
        <v>34</v>
      </c>
      <c r="H16" s="130" t="s">
        <v>35</v>
      </c>
      <c r="J16">
        <f t="shared" si="7"/>
        <v>13</v>
      </c>
      <c r="K16">
        <f>'Modelo Ajustado'!B14</f>
        <v>18500</v>
      </c>
      <c r="L16">
        <f>'Modelo Ajustado'!C14</f>
        <v>0</v>
      </c>
      <c r="M16">
        <f>'Modelo Ajustado'!D14</f>
        <v>20</v>
      </c>
      <c r="N16">
        <f>'Modelo Ajustado'!A14</f>
        <v>3400000</v>
      </c>
      <c r="O16">
        <v>2237459.1763894442</v>
      </c>
      <c r="P16">
        <f t="shared" si="0"/>
        <v>1162540.8236105558</v>
      </c>
      <c r="Q16" s="17">
        <v>4.0522137981627371E-3</v>
      </c>
      <c r="R16">
        <f t="shared" si="1"/>
        <v>0.23834335537382315</v>
      </c>
      <c r="S16">
        <f t="shared" si="2"/>
        <v>23857637634876.137</v>
      </c>
      <c r="T16">
        <f t="shared" si="3"/>
        <v>0.23849331388130349</v>
      </c>
      <c r="U16">
        <f t="shared" si="4"/>
        <v>0.81164345509910651</v>
      </c>
      <c r="V16" s="64">
        <f t="shared" si="5"/>
        <v>5.8018342372740814E-5</v>
      </c>
      <c r="W16" s="16">
        <f t="shared" si="6"/>
        <v>1.5212622849436461E-2</v>
      </c>
      <c r="X16">
        <v>13</v>
      </c>
    </row>
    <row r="17" spans="1:24" x14ac:dyDescent="0.25">
      <c r="A17" t="s">
        <v>36</v>
      </c>
      <c r="B17">
        <f t="array" ref="B17:C20">[1]!RegCoeff('Modelo Ajustado'!B2:D342,'Modelo Ajustado'!A2:A342)</f>
        <v>-3104558.7630857774</v>
      </c>
      <c r="C17">
        <v>814682.70459770598</v>
      </c>
      <c r="D17">
        <f>B17/C17</f>
        <v>-3.8107581584401289</v>
      </c>
      <c r="E17">
        <f>_xlfn.T.DIST.2T(ABS(D17),$B$13)</f>
        <v>1.6465946135235435E-4</v>
      </c>
      <c r="F17">
        <f>B17-_xlfn.T.INV.2T(F$10,$B$13)*C17</f>
        <v>-4707062.6860602479</v>
      </c>
      <c r="G17">
        <f>B17+_xlfn.T.INV.2T(F$10,$B$13)*C17</f>
        <v>-1502054.8401113069</v>
      </c>
      <c r="J17">
        <f t="shared" si="7"/>
        <v>14</v>
      </c>
      <c r="K17">
        <f>'Modelo Ajustado'!B15</f>
        <v>18465</v>
      </c>
      <c r="L17">
        <f>'Modelo Ajustado'!C15</f>
        <v>0</v>
      </c>
      <c r="M17">
        <f>'Modelo Ajustado'!D15</f>
        <v>15</v>
      </c>
      <c r="N17">
        <f>'Modelo Ajustado'!A15</f>
        <v>1413900</v>
      </c>
      <c r="O17">
        <v>1783943.7123021572</v>
      </c>
      <c r="P17">
        <f t="shared" si="0"/>
        <v>-370043.71230215719</v>
      </c>
      <c r="Q17" s="17">
        <v>4.2973541864473001E-3</v>
      </c>
      <c r="R17">
        <f t="shared" si="1"/>
        <v>-7.5866118620387862E-2</v>
      </c>
      <c r="S17">
        <f t="shared" si="2"/>
        <v>23861267029772.785</v>
      </c>
      <c r="T17">
        <f t="shared" si="3"/>
        <v>-7.5917421339400978E-2</v>
      </c>
      <c r="U17">
        <f t="shared" si="4"/>
        <v>0.93952984443559961</v>
      </c>
      <c r="V17" s="64">
        <f t="shared" si="5"/>
        <v>6.2370261854799875E-6</v>
      </c>
      <c r="W17" s="16">
        <f t="shared" si="6"/>
        <v>-4.9874343530512903E-3</v>
      </c>
      <c r="X17">
        <v>14</v>
      </c>
    </row>
    <row r="18" spans="1:24" x14ac:dyDescent="0.25">
      <c r="A18" t="str">
        <f t="array" ref="A18:A20">TRANSPOSE('Modelo Ajustado'!B1:D1)</f>
        <v>salario_prom</v>
      </c>
      <c r="B18">
        <v>192.15447075850062</v>
      </c>
      <c r="C18">
        <v>38.449461528173003</v>
      </c>
      <c r="D18">
        <f t="shared" ref="D18:D20" si="8">B18/C18</f>
        <v>4.9975854828995105</v>
      </c>
      <c r="E18">
        <f t="shared" ref="E18:E20" si="9">_xlfn.T.DIST.2T(ABS(D18),$B$13)</f>
        <v>9.3468780978615463E-7</v>
      </c>
      <c r="F18">
        <f t="shared" ref="F18:F20" si="10">B18-_xlfn.T.INV.2T(F$10,$B$13)*C18</f>
        <v>116.52329240228501</v>
      </c>
      <c r="G18">
        <f t="shared" ref="G18:G20" si="11">B18+_xlfn.T.INV.2T(F$10,$B$13)*C18</f>
        <v>267.78564911471625</v>
      </c>
      <c r="H18" s="64">
        <f>[1]!VIF('Modelo Ajustado'!B2:D342,1)</f>
        <v>1.0010852653751625</v>
      </c>
      <c r="J18">
        <f t="shared" si="7"/>
        <v>15</v>
      </c>
      <c r="K18">
        <f>'Modelo Ajustado'!B16</f>
        <v>18972</v>
      </c>
      <c r="L18">
        <f>'Modelo Ajustado'!C16</f>
        <v>0</v>
      </c>
      <c r="M18">
        <f>'Modelo Ajustado'!D16</f>
        <v>16</v>
      </c>
      <c r="N18">
        <f>'Modelo Ajustado'!A16</f>
        <v>1869348</v>
      </c>
      <c r="O18">
        <v>1970724.0404988653</v>
      </c>
      <c r="P18">
        <f t="shared" si="0"/>
        <v>-101376.0404988653</v>
      </c>
      <c r="Q18" s="17">
        <v>4.2297519796732743E-3</v>
      </c>
      <c r="R18">
        <f t="shared" si="1"/>
        <v>-2.0784049175985211E-2</v>
      </c>
      <c r="S18">
        <f t="shared" si="2"/>
        <v>23861645608878.949</v>
      </c>
      <c r="T18">
        <f t="shared" si="3"/>
        <v>-2.0797232932398657E-2</v>
      </c>
      <c r="U18">
        <f t="shared" si="4"/>
        <v>0.98341971307295573</v>
      </c>
      <c r="V18" s="64">
        <f t="shared" si="5"/>
        <v>4.6067743636601383E-7</v>
      </c>
      <c r="W18" s="16">
        <f t="shared" si="6"/>
        <v>-1.3554497884693561E-3</v>
      </c>
      <c r="X18">
        <v>15</v>
      </c>
    </row>
    <row r="19" spans="1:24" x14ac:dyDescent="0.25">
      <c r="A19" t="str">
        <v>total_emp_entr</v>
      </c>
      <c r="B19">
        <v>24799.846568240937</v>
      </c>
      <c r="C19">
        <v>7875.2835168710835</v>
      </c>
      <c r="D19">
        <f t="shared" si="8"/>
        <v>3.1490734924161976</v>
      </c>
      <c r="E19">
        <f t="shared" si="9"/>
        <v>1.7843684938172086E-3</v>
      </c>
      <c r="F19">
        <f t="shared" si="10"/>
        <v>9308.9411407665739</v>
      </c>
      <c r="G19">
        <f t="shared" si="11"/>
        <v>40290.751995715298</v>
      </c>
      <c r="H19" s="64">
        <f>[1]!VIF('Modelo Ajustado'!B2:D342,2)</f>
        <v>1.9842265942218631</v>
      </c>
      <c r="J19">
        <f t="shared" si="7"/>
        <v>16</v>
      </c>
      <c r="K19">
        <f>'Modelo Ajustado'!B17</f>
        <v>19589</v>
      </c>
      <c r="L19">
        <f>'Modelo Ajustado'!C17</f>
        <v>16</v>
      </c>
      <c r="M19">
        <f>'Modelo Ajustado'!D17</f>
        <v>16</v>
      </c>
      <c r="N19">
        <f>'Modelo Ajustado'!A17</f>
        <v>1857765</v>
      </c>
      <c r="O19">
        <v>2486080.8940487145</v>
      </c>
      <c r="P19">
        <f t="shared" si="0"/>
        <v>-628315.89404871454</v>
      </c>
      <c r="Q19" s="17">
        <v>4.6545533450721511E-3</v>
      </c>
      <c r="R19">
        <f t="shared" si="1"/>
        <v>-0.12881691152760857</v>
      </c>
      <c r="S19">
        <f t="shared" si="2"/>
        <v>23860495887961.254</v>
      </c>
      <c r="T19">
        <f t="shared" si="3"/>
        <v>-0.12892923215805227</v>
      </c>
      <c r="U19">
        <f t="shared" si="4"/>
        <v>0.89749055674991951</v>
      </c>
      <c r="V19" s="64">
        <f t="shared" si="5"/>
        <v>1.9490192003492767E-5</v>
      </c>
      <c r="W19" s="16">
        <f t="shared" si="6"/>
        <v>-8.8166476559768687E-3</v>
      </c>
      <c r="X19">
        <v>16</v>
      </c>
    </row>
    <row r="20" spans="1:24" x14ac:dyDescent="0.25">
      <c r="A20" s="4" t="str">
        <v>n°empleados</v>
      </c>
      <c r="B20" s="4">
        <v>89358.011522148037</v>
      </c>
      <c r="C20" s="4">
        <v>5926.2896677407143</v>
      </c>
      <c r="D20" s="4">
        <f t="shared" si="8"/>
        <v>15.078238920476879</v>
      </c>
      <c r="E20" s="4">
        <f t="shared" si="9"/>
        <v>1.2665831470662238E-39</v>
      </c>
      <c r="F20" s="4">
        <f t="shared" si="10"/>
        <v>77700.832122559354</v>
      </c>
      <c r="G20" s="4">
        <f t="shared" si="11"/>
        <v>101015.19092173672</v>
      </c>
      <c r="H20" s="131">
        <f>[1]!VIF('Modelo Ajustado'!B2:D342,3)</f>
        <v>1.9849169818220016</v>
      </c>
      <c r="J20">
        <f t="shared" si="7"/>
        <v>17</v>
      </c>
      <c r="K20">
        <f>'Modelo Ajustado'!B18</f>
        <v>14352</v>
      </c>
      <c r="L20">
        <f>'Modelo Ajustado'!C18</f>
        <v>3</v>
      </c>
      <c r="M20">
        <f>'Modelo Ajustado'!D18</f>
        <v>48</v>
      </c>
      <c r="N20">
        <f>'Modelo Ajustado'!A18</f>
        <v>2160900</v>
      </c>
      <c r="O20">
        <v>4016826.2940080515</v>
      </c>
      <c r="P20">
        <f t="shared" si="0"/>
        <v>-1855926.2940080515</v>
      </c>
      <c r="Q20" s="17">
        <v>4.9784663603973144E-3</v>
      </c>
      <c r="R20">
        <f t="shared" si="1"/>
        <v>-0.38050078866612552</v>
      </c>
      <c r="S20">
        <f t="shared" si="2"/>
        <v>23851373657712.93</v>
      </c>
      <c r="T20">
        <f t="shared" si="3"/>
        <v>-0.38096737619981469</v>
      </c>
      <c r="U20">
        <f t="shared" si="4"/>
        <v>0.70346750399952662</v>
      </c>
      <c r="V20" s="64">
        <f t="shared" si="5"/>
        <v>1.820043420450144E-4</v>
      </c>
      <c r="W20" s="16">
        <f t="shared" si="6"/>
        <v>-2.6947553047605211E-2</v>
      </c>
      <c r="X20">
        <v>17</v>
      </c>
    </row>
    <row r="21" spans="1:24" x14ac:dyDescent="0.25">
      <c r="J21">
        <f t="shared" si="7"/>
        <v>18</v>
      </c>
      <c r="K21">
        <f>'Modelo Ajustado'!B19</f>
        <v>16328</v>
      </c>
      <c r="L21">
        <f>'Modelo Ajustado'!C19</f>
        <v>3</v>
      </c>
      <c r="M21">
        <f>'Modelo Ajustado'!D19</f>
        <v>47</v>
      </c>
      <c r="N21">
        <f>'Modelo Ajustado'!A19</f>
        <v>2454500</v>
      </c>
      <c r="O21">
        <v>4307165.5167047009</v>
      </c>
      <c r="P21">
        <f t="shared" si="0"/>
        <v>-1852665.5167047009</v>
      </c>
      <c r="Q21" s="17">
        <v>4.103031753600622E-3</v>
      </c>
      <c r="R21">
        <f t="shared" si="1"/>
        <v>-0.37983226624710742</v>
      </c>
      <c r="S21">
        <f t="shared" si="2"/>
        <v>23851418853213.363</v>
      </c>
      <c r="T21">
        <f t="shared" si="3"/>
        <v>-0.38013048826138274</v>
      </c>
      <c r="U21">
        <f t="shared" si="4"/>
        <v>0.70408801848698932</v>
      </c>
      <c r="V21" s="64">
        <f t="shared" si="5"/>
        <v>1.4921063394713168E-4</v>
      </c>
      <c r="W21" s="16">
        <f t="shared" si="6"/>
        <v>-2.439933204847727E-2</v>
      </c>
      <c r="X21">
        <v>18</v>
      </c>
    </row>
    <row r="22" spans="1:24" x14ac:dyDescent="0.25">
      <c r="J22">
        <f t="shared" si="7"/>
        <v>19</v>
      </c>
      <c r="K22">
        <f>'Modelo Ajustado'!B20</f>
        <v>17555</v>
      </c>
      <c r="L22">
        <f>'Modelo Ajustado'!C20</f>
        <v>4</v>
      </c>
      <c r="M22">
        <f>'Modelo Ajustado'!D20</f>
        <v>66</v>
      </c>
      <c r="N22">
        <f>'Modelo Ajustado'!A20</f>
        <v>3359800</v>
      </c>
      <c r="O22">
        <v>6265541.1178144347</v>
      </c>
      <c r="P22">
        <f t="shared" si="0"/>
        <v>-2905741.1178144347</v>
      </c>
      <c r="Q22" s="17">
        <v>4.7812631198103691E-3</v>
      </c>
      <c r="R22">
        <f t="shared" si="1"/>
        <v>-0.59573313366893055</v>
      </c>
      <c r="S22">
        <f t="shared" si="2"/>
        <v>23836426637381.738</v>
      </c>
      <c r="T22">
        <f t="shared" si="3"/>
        <v>-0.59659151452482939</v>
      </c>
      <c r="U22">
        <f t="shared" si="4"/>
        <v>0.55118068620220018</v>
      </c>
      <c r="V22" s="64">
        <f t="shared" si="5"/>
        <v>4.283009879624555E-4</v>
      </c>
      <c r="W22" s="16">
        <f t="shared" si="6"/>
        <v>-4.135129569051621E-2</v>
      </c>
      <c r="X22">
        <v>19</v>
      </c>
    </row>
    <row r="23" spans="1:24" x14ac:dyDescent="0.25">
      <c r="J23">
        <f t="shared" si="7"/>
        <v>20</v>
      </c>
      <c r="K23">
        <f>'Modelo Ajustado'!B21</f>
        <v>16454</v>
      </c>
      <c r="L23">
        <f>'Modelo Ajustado'!C21</f>
        <v>5</v>
      </c>
      <c r="M23">
        <f>'Modelo Ajustado'!D21</f>
        <v>17</v>
      </c>
      <c r="N23">
        <f>'Modelo Ajustado'!A21</f>
        <v>1453081</v>
      </c>
      <c r="O23">
        <v>1700236.327492313</v>
      </c>
      <c r="P23">
        <f t="shared" si="0"/>
        <v>-247155.32749231299</v>
      </c>
      <c r="Q23" s="17">
        <v>4.5339628973365487E-3</v>
      </c>
      <c r="R23">
        <f t="shared" si="1"/>
        <v>-5.0671622756507835E-2</v>
      </c>
      <c r="S23">
        <f t="shared" si="2"/>
        <v>23861493694527.512</v>
      </c>
      <c r="T23">
        <f t="shared" si="3"/>
        <v>-5.0711673106530519E-2</v>
      </c>
      <c r="U23">
        <f t="shared" si="4"/>
        <v>0.95958531850401219</v>
      </c>
      <c r="V23" s="64">
        <f t="shared" si="5"/>
        <v>2.9369374760528631E-6</v>
      </c>
      <c r="W23" s="16">
        <f t="shared" si="6"/>
        <v>-3.4224230831713682E-3</v>
      </c>
      <c r="X23">
        <v>20</v>
      </c>
    </row>
    <row r="24" spans="1:24" x14ac:dyDescent="0.25">
      <c r="J24">
        <f t="shared" si="7"/>
        <v>21</v>
      </c>
      <c r="K24">
        <f>'Modelo Ajustado'!B22</f>
        <v>18529</v>
      </c>
      <c r="L24">
        <f>'Modelo Ajustado'!C22</f>
        <v>3</v>
      </c>
      <c r="M24">
        <f>'Modelo Ajustado'!D22</f>
        <v>16</v>
      </c>
      <c r="N24">
        <f>'Modelo Ajustado'!A22</f>
        <v>1546911</v>
      </c>
      <c r="O24">
        <v>1959999.1496575722</v>
      </c>
      <c r="P24">
        <f t="shared" si="0"/>
        <v>-413088.14965757215</v>
      </c>
      <c r="Q24" s="17">
        <v>4.2144130201608654E-3</v>
      </c>
      <c r="R24">
        <f t="shared" si="1"/>
        <v>-8.4691060868527568E-2</v>
      </c>
      <c r="S24">
        <f t="shared" si="2"/>
        <v>23861166313455.398</v>
      </c>
      <c r="T24">
        <f t="shared" si="3"/>
        <v>-8.4744980591941091E-2</v>
      </c>
      <c r="U24">
        <f t="shared" si="4"/>
        <v>0.93251445630847907</v>
      </c>
      <c r="V24" s="64">
        <f t="shared" si="5"/>
        <v>7.6211511967449549E-6</v>
      </c>
      <c r="W24" s="16">
        <f t="shared" si="6"/>
        <v>-5.5131475282148082E-3</v>
      </c>
      <c r="X24">
        <v>21</v>
      </c>
    </row>
    <row r="25" spans="1:24" x14ac:dyDescent="0.25">
      <c r="J25">
        <f t="shared" si="7"/>
        <v>22</v>
      </c>
      <c r="K25">
        <f>'Modelo Ajustado'!B23</f>
        <v>26428</v>
      </c>
      <c r="L25">
        <f>'Modelo Ajustado'!C23</f>
        <v>0</v>
      </c>
      <c r="M25">
        <f>'Modelo Ajustado'!D23</f>
        <v>14</v>
      </c>
      <c r="N25">
        <f>'Modelo Ajustado'!A23</f>
        <v>1672366</v>
      </c>
      <c r="O25">
        <v>3224711.7514299504</v>
      </c>
      <c r="P25">
        <f t="shared" si="0"/>
        <v>-1552345.7514299504</v>
      </c>
      <c r="Q25" s="17">
        <v>7.8295696078336547E-3</v>
      </c>
      <c r="R25">
        <f t="shared" si="1"/>
        <v>-0.31826090540804791</v>
      </c>
      <c r="S25">
        <f t="shared" si="2"/>
        <v>23854447772611.625</v>
      </c>
      <c r="T25">
        <f t="shared" si="3"/>
        <v>-0.31908811909427992</v>
      </c>
      <c r="U25">
        <f t="shared" si="4"/>
        <v>0.74985738333672303</v>
      </c>
      <c r="V25" s="64">
        <f t="shared" si="5"/>
        <v>2.0140577856611884E-4</v>
      </c>
      <c r="W25" s="16">
        <f t="shared" si="6"/>
        <v>-2.8345651213981832E-2</v>
      </c>
      <c r="X25">
        <v>22</v>
      </c>
    </row>
    <row r="26" spans="1:24" x14ac:dyDescent="0.25">
      <c r="J26">
        <f t="shared" si="7"/>
        <v>23</v>
      </c>
      <c r="K26">
        <f>'Modelo Ajustado'!B24</f>
        <v>19760</v>
      </c>
      <c r="L26">
        <f>'Modelo Ajustado'!C24</f>
        <v>35</v>
      </c>
      <c r="M26">
        <f>'Modelo Ajustado'!D24</f>
        <v>70</v>
      </c>
      <c r="N26">
        <f>'Modelo Ajustado'!A24</f>
        <v>8000000</v>
      </c>
      <c r="O26">
        <v>7815469.015540991</v>
      </c>
      <c r="P26">
        <f t="shared" si="0"/>
        <v>184530.98445900902</v>
      </c>
      <c r="Q26" s="17">
        <v>3.131077117457005E-3</v>
      </c>
      <c r="R26">
        <f t="shared" si="1"/>
        <v>3.7832421118596901E-2</v>
      </c>
      <c r="S26">
        <f t="shared" si="2"/>
        <v>23861574662802.375</v>
      </c>
      <c r="T26">
        <f t="shared" si="3"/>
        <v>3.7835608242993583E-2</v>
      </c>
      <c r="U26">
        <f t="shared" si="4"/>
        <v>0.96984115606755694</v>
      </c>
      <c r="V26" s="64">
        <f t="shared" si="5"/>
        <v>1.1274205043010279E-6</v>
      </c>
      <c r="W26" s="16">
        <f t="shared" si="6"/>
        <v>2.120452623383244E-3</v>
      </c>
      <c r="X26">
        <v>23</v>
      </c>
    </row>
    <row r="27" spans="1:24" x14ac:dyDescent="0.25">
      <c r="J27">
        <f t="shared" si="7"/>
        <v>24</v>
      </c>
      <c r="K27">
        <f>'Modelo Ajustado'!B25</f>
        <v>22360</v>
      </c>
      <c r="L27">
        <f>'Modelo Ajustado'!C25</f>
        <v>40</v>
      </c>
      <c r="M27">
        <f>'Modelo Ajustado'!D25</f>
        <v>85</v>
      </c>
      <c r="N27">
        <f>'Modelo Ajustado'!A25</f>
        <v>11000000</v>
      </c>
      <c r="O27">
        <v>9779440.0451865178</v>
      </c>
      <c r="P27">
        <f t="shared" si="0"/>
        <v>1220559.9548134822</v>
      </c>
      <c r="Q27" s="17">
        <v>4.2901450863551127E-3</v>
      </c>
      <c r="R27">
        <f t="shared" si="1"/>
        <v>0.25023839950984911</v>
      </c>
      <c r="S27">
        <f t="shared" si="2"/>
        <v>23857223392509.449</v>
      </c>
      <c r="T27">
        <f t="shared" si="3"/>
        <v>0.25042793119752838</v>
      </c>
      <c r="U27">
        <f t="shared" si="4"/>
        <v>0.80240903420299892</v>
      </c>
      <c r="V27" s="64">
        <f t="shared" si="5"/>
        <v>6.7741418212708456E-5</v>
      </c>
      <c r="W27" s="16">
        <f t="shared" si="6"/>
        <v>1.643812780925949E-2</v>
      </c>
      <c r="X27">
        <v>24</v>
      </c>
    </row>
    <row r="28" spans="1:24" x14ac:dyDescent="0.25">
      <c r="J28">
        <f t="shared" si="7"/>
        <v>25</v>
      </c>
      <c r="K28">
        <f>'Modelo Ajustado'!B26</f>
        <v>23920</v>
      </c>
      <c r="L28">
        <f>'Modelo Ajustado'!C26</f>
        <v>40</v>
      </c>
      <c r="M28">
        <f>'Modelo Ajustado'!D26</f>
        <v>98</v>
      </c>
      <c r="N28">
        <f>'Modelo Ajustado'!A26</f>
        <v>15000000</v>
      </c>
      <c r="O28">
        <v>11240855.169357702</v>
      </c>
      <c r="P28">
        <f t="shared" si="0"/>
        <v>3759144.8306422979</v>
      </c>
      <c r="Q28" s="17">
        <v>5.9469560419045282E-3</v>
      </c>
      <c r="R28">
        <f t="shared" si="1"/>
        <v>0.77069740182439483</v>
      </c>
      <c r="S28">
        <f t="shared" si="2"/>
        <v>23819367664519.559</v>
      </c>
      <c r="T28">
        <f t="shared" si="3"/>
        <v>0.77253677906414209</v>
      </c>
      <c r="U28">
        <f t="shared" si="4"/>
        <v>0.44033802815770196</v>
      </c>
      <c r="V28" s="64">
        <f t="shared" si="5"/>
        <v>8.9368281695635231E-4</v>
      </c>
      <c r="W28" s="16">
        <f t="shared" si="6"/>
        <v>5.975327989333068E-2</v>
      </c>
      <c r="X28">
        <v>25</v>
      </c>
    </row>
    <row r="29" spans="1:24" x14ac:dyDescent="0.25">
      <c r="J29">
        <f t="shared" si="7"/>
        <v>26</v>
      </c>
      <c r="K29">
        <f>'Modelo Ajustado'!B27</f>
        <v>20000</v>
      </c>
      <c r="L29">
        <f>'Modelo Ajustado'!C27</f>
        <v>0</v>
      </c>
      <c r="M29">
        <f>'Modelo Ajustado'!D27</f>
        <v>45</v>
      </c>
      <c r="N29">
        <f>'Modelo Ajustado'!A27</f>
        <v>1535242</v>
      </c>
      <c r="O29">
        <v>4759641.1705808975</v>
      </c>
      <c r="P29">
        <f t="shared" si="0"/>
        <v>-3224399.1705808975</v>
      </c>
      <c r="Q29" s="17">
        <v>4.0310237831570174E-3</v>
      </c>
      <c r="R29">
        <f t="shared" si="1"/>
        <v>-0.66106419815350159</v>
      </c>
      <c r="S29">
        <f t="shared" si="2"/>
        <v>23830608381426.238</v>
      </c>
      <c r="T29">
        <f t="shared" si="3"/>
        <v>-0.66184810626640367</v>
      </c>
      <c r="U29">
        <f t="shared" si="4"/>
        <v>0.50852087111453814</v>
      </c>
      <c r="V29" s="64">
        <f t="shared" si="5"/>
        <v>4.4396733966645168E-4</v>
      </c>
      <c r="W29" s="16">
        <f t="shared" si="6"/>
        <v>-4.2105914620214124E-2</v>
      </c>
      <c r="X29">
        <v>26</v>
      </c>
    </row>
    <row r="30" spans="1:24" x14ac:dyDescent="0.25">
      <c r="J30">
        <f t="shared" si="7"/>
        <v>27</v>
      </c>
      <c r="K30">
        <f>'Modelo Ajustado'!B28</f>
        <v>22000</v>
      </c>
      <c r="L30">
        <f>'Modelo Ajustado'!C28</f>
        <v>0</v>
      </c>
      <c r="M30">
        <f>'Modelo Ajustado'!D28</f>
        <v>47</v>
      </c>
      <c r="N30">
        <f>'Modelo Ajustado'!A28</f>
        <v>3209188</v>
      </c>
      <c r="O30">
        <v>5322666.1351421941</v>
      </c>
      <c r="P30">
        <f t="shared" si="0"/>
        <v>-2113478.1351421941</v>
      </c>
      <c r="Q30" s="17">
        <v>4.6581671631275023E-3</v>
      </c>
      <c r="R30">
        <f t="shared" si="1"/>
        <v>-0.43330389781455853</v>
      </c>
      <c r="S30">
        <f t="shared" si="2"/>
        <v>23848320092504.16</v>
      </c>
      <c r="T30">
        <f t="shared" si="3"/>
        <v>-0.43379319464486171</v>
      </c>
      <c r="U30">
        <f t="shared" si="4"/>
        <v>0.66471618775904528</v>
      </c>
      <c r="V30" s="64">
        <f t="shared" si="5"/>
        <v>2.2069665729143487E-4</v>
      </c>
      <c r="W30" s="16">
        <f t="shared" si="6"/>
        <v>-2.967591651752859E-2</v>
      </c>
      <c r="X30">
        <v>27</v>
      </c>
    </row>
    <row r="31" spans="1:24" x14ac:dyDescent="0.25">
      <c r="J31">
        <f t="shared" si="7"/>
        <v>28</v>
      </c>
      <c r="K31">
        <f>'Modelo Ajustado'!B29</f>
        <v>23650</v>
      </c>
      <c r="L31">
        <f>'Modelo Ajustado'!C29</f>
        <v>2</v>
      </c>
      <c r="M31">
        <f>'Modelo Ajustado'!D29</f>
        <v>51</v>
      </c>
      <c r="N31">
        <f>'Modelo Ajustado'!A29</f>
        <v>4030352</v>
      </c>
      <c r="O31">
        <v>6046752.7511187941</v>
      </c>
      <c r="P31">
        <f t="shared" si="0"/>
        <v>-2016400.7511187941</v>
      </c>
      <c r="Q31" s="17">
        <v>5.4577276848016458E-3</v>
      </c>
      <c r="R31">
        <f t="shared" si="1"/>
        <v>-0.41340115636313113</v>
      </c>
      <c r="S31">
        <f t="shared" si="2"/>
        <v>23849509110577.477</v>
      </c>
      <c r="T31">
        <f t="shared" si="3"/>
        <v>-0.41402398837489829</v>
      </c>
      <c r="U31">
        <f t="shared" si="4"/>
        <v>0.67911991611568123</v>
      </c>
      <c r="V31" s="64">
        <f t="shared" si="5"/>
        <v>2.3574839842549841E-4</v>
      </c>
      <c r="W31" s="16">
        <f t="shared" si="6"/>
        <v>-3.0670426294615531E-2</v>
      </c>
      <c r="X31">
        <v>28</v>
      </c>
    </row>
    <row r="32" spans="1:24" x14ac:dyDescent="0.25">
      <c r="J32">
        <f t="shared" si="7"/>
        <v>29</v>
      </c>
      <c r="K32">
        <f>'Modelo Ajustado'!B30</f>
        <v>17500</v>
      </c>
      <c r="L32">
        <f>'Modelo Ajustado'!C30</f>
        <v>0</v>
      </c>
      <c r="M32">
        <f>'Modelo Ajustado'!D30</f>
        <v>200</v>
      </c>
      <c r="N32">
        <f>'Modelo Ajustado'!A30</f>
        <v>10000000</v>
      </c>
      <c r="O32">
        <v>18129746.779617589</v>
      </c>
      <c r="P32">
        <f t="shared" si="0"/>
        <v>-8129746.779617589</v>
      </c>
      <c r="Q32" s="134">
        <v>4.4456366487723137E-2</v>
      </c>
      <c r="R32">
        <f t="shared" si="1"/>
        <v>-1.666755340062533</v>
      </c>
      <c r="S32">
        <f t="shared" si="2"/>
        <v>23655819990318.555</v>
      </c>
      <c r="T32">
        <f t="shared" si="3"/>
        <v>-1.7099474097125125</v>
      </c>
      <c r="U32">
        <f t="shared" si="4"/>
        <v>8.8196039292626122E-2</v>
      </c>
      <c r="V32" s="135">
        <f t="shared" si="5"/>
        <v>3.3815564100674697E-2</v>
      </c>
      <c r="W32" s="16">
        <f t="shared" si="6"/>
        <v>-0.36882850142642232</v>
      </c>
      <c r="X32" s="132">
        <v>29</v>
      </c>
    </row>
    <row r="33" spans="10:24" x14ac:dyDescent="0.25">
      <c r="J33">
        <f t="shared" si="7"/>
        <v>30</v>
      </c>
      <c r="K33">
        <f>'Modelo Ajustado'!B31</f>
        <v>18700</v>
      </c>
      <c r="L33">
        <f>'Modelo Ajustado'!C31</f>
        <v>6</v>
      </c>
      <c r="M33">
        <f>'Modelo Ajustado'!D31</f>
        <v>200</v>
      </c>
      <c r="N33">
        <f>'Modelo Ajustado'!A31</f>
        <v>10000000</v>
      </c>
      <c r="O33">
        <v>18509131.223937232</v>
      </c>
      <c r="P33">
        <f t="shared" si="0"/>
        <v>-8509131.223937232</v>
      </c>
      <c r="Q33" s="134">
        <v>4.141644379856925E-2</v>
      </c>
      <c r="R33">
        <f t="shared" si="1"/>
        <v>-1.7445364894203199</v>
      </c>
      <c r="S33">
        <f t="shared" si="2"/>
        <v>23636873797650.754</v>
      </c>
      <c r="T33">
        <f t="shared" si="3"/>
        <v>-1.7876200440699701</v>
      </c>
      <c r="U33">
        <f t="shared" si="4"/>
        <v>7.4735786911137581E-2</v>
      </c>
      <c r="V33" s="135">
        <f t="shared" si="5"/>
        <v>3.4293592300738737E-2</v>
      </c>
      <c r="W33" s="16">
        <f t="shared" si="6"/>
        <v>-0.37157512376562246</v>
      </c>
      <c r="X33" s="132">
        <v>30</v>
      </c>
    </row>
    <row r="34" spans="10:24" x14ac:dyDescent="0.25">
      <c r="J34">
        <f t="shared" si="7"/>
        <v>31</v>
      </c>
      <c r="K34">
        <f>'Modelo Ajustado'!B32</f>
        <v>18300</v>
      </c>
      <c r="L34">
        <f>'Modelo Ajustado'!C32</f>
        <v>10</v>
      </c>
      <c r="M34">
        <f>'Modelo Ajustado'!D32</f>
        <v>190</v>
      </c>
      <c r="N34">
        <f>'Modelo Ajustado'!A32</f>
        <v>9000000</v>
      </c>
      <c r="O34">
        <v>17637888.70668532</v>
      </c>
      <c r="P34">
        <f t="shared" si="0"/>
        <v>-8637888.7066853195</v>
      </c>
      <c r="Q34" s="134">
        <v>3.498587344413949E-2</v>
      </c>
      <c r="R34">
        <f t="shared" si="1"/>
        <v>-1.7709342638850099</v>
      </c>
      <c r="S34">
        <f t="shared" si="2"/>
        <v>23631562739583.563</v>
      </c>
      <c r="T34">
        <f t="shared" si="3"/>
        <v>-1.8088166525687175</v>
      </c>
      <c r="U34">
        <f t="shared" si="4"/>
        <v>7.13705861231832E-2</v>
      </c>
      <c r="V34" s="135">
        <f t="shared" si="5"/>
        <v>2.9455762475307918E-2</v>
      </c>
      <c r="W34" s="16">
        <f t="shared" si="6"/>
        <v>-0.3444086675471475</v>
      </c>
      <c r="X34" s="132">
        <v>31</v>
      </c>
    </row>
    <row r="35" spans="10:24" x14ac:dyDescent="0.25">
      <c r="J35">
        <f t="shared" si="7"/>
        <v>32</v>
      </c>
      <c r="K35">
        <f>'Modelo Ajustado'!B33</f>
        <v>11500</v>
      </c>
      <c r="L35">
        <f>'Modelo Ajustado'!C33</f>
        <v>3</v>
      </c>
      <c r="M35">
        <f>'Modelo Ajustado'!D33</f>
        <v>14</v>
      </c>
      <c r="N35">
        <f>'Modelo Ajustado'!A33</f>
        <v>1600000</v>
      </c>
      <c r="O35">
        <v>430629.35165177519</v>
      </c>
      <c r="P35">
        <f t="shared" si="0"/>
        <v>1169370.6483482248</v>
      </c>
      <c r="Q35" s="17">
        <v>7.782457595478443E-3</v>
      </c>
      <c r="R35">
        <f t="shared" si="1"/>
        <v>0.23974360155144597</v>
      </c>
      <c r="S35">
        <f t="shared" si="2"/>
        <v>23857574679189.367</v>
      </c>
      <c r="T35">
        <f t="shared" si="3"/>
        <v>0.24034527694102317</v>
      </c>
      <c r="U35">
        <f t="shared" si="4"/>
        <v>0.81020873545292893</v>
      </c>
      <c r="V35" s="64">
        <f t="shared" si="5"/>
        <v>1.1358919453649908E-4</v>
      </c>
      <c r="W35" s="16">
        <f t="shared" si="6"/>
        <v>2.1285826755455716E-2</v>
      </c>
      <c r="X35">
        <v>32</v>
      </c>
    </row>
    <row r="36" spans="10:24" x14ac:dyDescent="0.25">
      <c r="J36">
        <f t="shared" si="7"/>
        <v>33</v>
      </c>
      <c r="K36">
        <f>'Modelo Ajustado'!B34</f>
        <v>13000</v>
      </c>
      <c r="L36">
        <f>'Modelo Ajustado'!C34</f>
        <v>5</v>
      </c>
      <c r="M36">
        <f>'Modelo Ajustado'!D34</f>
        <v>12</v>
      </c>
      <c r="N36">
        <f>'Modelo Ajustado'!A34</f>
        <v>900000</v>
      </c>
      <c r="O36">
        <v>589744.72788171191</v>
      </c>
      <c r="P36">
        <f t="shared" si="0"/>
        <v>310255.27211828809</v>
      </c>
      <c r="Q36" s="17">
        <v>6.7194141762452935E-3</v>
      </c>
      <c r="R36">
        <f t="shared" si="1"/>
        <v>6.3608331920276068E-2</v>
      </c>
      <c r="S36">
        <f t="shared" si="2"/>
        <v>23861387904256.387</v>
      </c>
      <c r="T36">
        <f t="shared" si="3"/>
        <v>6.3728742075501638E-2</v>
      </c>
      <c r="U36">
        <f t="shared" si="4"/>
        <v>0.94922400184915745</v>
      </c>
      <c r="V36" s="64">
        <f t="shared" si="5"/>
        <v>6.8889897604165765E-6</v>
      </c>
      <c r="W36" s="16">
        <f t="shared" si="6"/>
        <v>5.2416145134501118E-3</v>
      </c>
      <c r="X36">
        <v>33</v>
      </c>
    </row>
    <row r="37" spans="10:24" x14ac:dyDescent="0.25">
      <c r="J37">
        <f t="shared" si="7"/>
        <v>34</v>
      </c>
      <c r="K37">
        <f>'Modelo Ajustado'!B35</f>
        <v>14700</v>
      </c>
      <c r="L37">
        <f>'Modelo Ajustado'!C35</f>
        <v>9</v>
      </c>
      <c r="M37">
        <f>'Modelo Ajustado'!D35</f>
        <v>16</v>
      </c>
      <c r="N37">
        <f>'Modelo Ajustado'!A35</f>
        <v>1300000</v>
      </c>
      <c r="O37">
        <v>1373038.7605327186</v>
      </c>
      <c r="P37">
        <f t="shared" si="0"/>
        <v>-73038.760532718617</v>
      </c>
      <c r="Q37" s="17">
        <v>5.4282866146201777E-3</v>
      </c>
      <c r="R37">
        <f t="shared" si="1"/>
        <v>-1.4974358666947766E-2</v>
      </c>
      <c r="S37">
        <f t="shared" si="2"/>
        <v>23861660361793.141</v>
      </c>
      <c r="T37">
        <f t="shared" si="3"/>
        <v>-1.4992878206573029E-2</v>
      </c>
      <c r="U37">
        <f t="shared" si="4"/>
        <v>0.98804673412747968</v>
      </c>
      <c r="V37" s="64">
        <f t="shared" si="5"/>
        <v>3.0762883077637055E-7</v>
      </c>
      <c r="W37" s="16">
        <f t="shared" si="6"/>
        <v>-1.1076392748117427E-3</v>
      </c>
      <c r="X37">
        <v>34</v>
      </c>
    </row>
    <row r="38" spans="10:24" x14ac:dyDescent="0.25">
      <c r="J38">
        <f t="shared" si="7"/>
        <v>35</v>
      </c>
      <c r="K38">
        <f>'Modelo Ajustado'!B36</f>
        <v>4237</v>
      </c>
      <c r="L38">
        <f>'Modelo Ajustado'!C36</f>
        <v>0</v>
      </c>
      <c r="M38">
        <f>'Modelo Ajustado'!D36</f>
        <v>10</v>
      </c>
      <c r="N38">
        <f>'Modelo Ajustado'!A36</f>
        <v>420664</v>
      </c>
      <c r="O38">
        <v>-1396820.1552605298</v>
      </c>
      <c r="P38">
        <f t="shared" si="0"/>
        <v>1817484.1552605298</v>
      </c>
      <c r="Q38" s="17">
        <v>1.8061071684857134E-2</v>
      </c>
      <c r="R38">
        <f t="shared" si="1"/>
        <v>0.37261940665291227</v>
      </c>
      <c r="S38">
        <f t="shared" si="2"/>
        <v>23851664402164.246</v>
      </c>
      <c r="T38">
        <f t="shared" si="3"/>
        <v>0.37555110961228622</v>
      </c>
      <c r="U38">
        <f t="shared" si="4"/>
        <v>0.70748691523045837</v>
      </c>
      <c r="V38" s="64">
        <f t="shared" si="5"/>
        <v>6.5019782074674794E-4</v>
      </c>
      <c r="W38" s="16">
        <f t="shared" si="6"/>
        <v>5.0932919261573874E-2</v>
      </c>
      <c r="X38">
        <v>35</v>
      </c>
    </row>
    <row r="39" spans="10:24" x14ac:dyDescent="0.25">
      <c r="J39">
        <f t="shared" si="7"/>
        <v>36</v>
      </c>
      <c r="K39">
        <f>'Modelo Ajustado'!B37</f>
        <v>7484</v>
      </c>
      <c r="L39">
        <f>'Modelo Ajustado'!C37</f>
        <v>0</v>
      </c>
      <c r="M39">
        <f>'Modelo Ajustado'!D37</f>
        <v>11</v>
      </c>
      <c r="N39">
        <f>'Modelo Ajustado'!A37</f>
        <v>544602</v>
      </c>
      <c r="O39">
        <v>-683536.57718553068</v>
      </c>
      <c r="P39">
        <f t="shared" si="0"/>
        <v>1228138.5771855307</v>
      </c>
      <c r="Q39" s="17">
        <v>1.2700615693890032E-2</v>
      </c>
      <c r="R39">
        <f t="shared" si="1"/>
        <v>0.2517921636861945</v>
      </c>
      <c r="S39">
        <f t="shared" si="2"/>
        <v>23857129517545.328</v>
      </c>
      <c r="T39">
        <f t="shared" si="3"/>
        <v>0.25305437259810348</v>
      </c>
      <c r="U39">
        <f t="shared" si="4"/>
        <v>0.80038048969014031</v>
      </c>
      <c r="V39" s="64">
        <f t="shared" si="5"/>
        <v>2.0651493781360529E-4</v>
      </c>
      <c r="W39" s="16">
        <f t="shared" si="6"/>
        <v>2.8701315347888525E-2</v>
      </c>
      <c r="X39">
        <v>36</v>
      </c>
    </row>
    <row r="40" spans="10:24" x14ac:dyDescent="0.25">
      <c r="J40">
        <f t="shared" si="7"/>
        <v>37</v>
      </c>
      <c r="K40">
        <f>'Modelo Ajustado'!B38</f>
        <v>9548</v>
      </c>
      <c r="L40">
        <f>'Modelo Ajustado'!C38</f>
        <v>0</v>
      </c>
      <c r="M40">
        <f>'Modelo Ajustado'!D38</f>
        <v>9</v>
      </c>
      <c r="N40">
        <f>'Modelo Ajustado'!A38</f>
        <v>495331</v>
      </c>
      <c r="O40">
        <v>-465645.7725842814</v>
      </c>
      <c r="P40">
        <f t="shared" si="0"/>
        <v>960976.7725842814</v>
      </c>
      <c r="Q40" s="17">
        <v>1.0176750502749105E-2</v>
      </c>
      <c r="R40">
        <f t="shared" si="1"/>
        <v>0.19701882614556068</v>
      </c>
      <c r="S40">
        <f t="shared" si="2"/>
        <v>23858899626097.961</v>
      </c>
      <c r="T40">
        <f t="shared" si="3"/>
        <v>0.19774652496459838</v>
      </c>
      <c r="U40">
        <f t="shared" si="4"/>
        <v>0.84336260983132538</v>
      </c>
      <c r="V40" s="64">
        <f t="shared" si="5"/>
        <v>1.0079739056454489E-4</v>
      </c>
      <c r="W40" s="16">
        <f t="shared" si="6"/>
        <v>2.005093359508656E-2</v>
      </c>
      <c r="X40">
        <v>37</v>
      </c>
    </row>
    <row r="41" spans="10:24" x14ac:dyDescent="0.25">
      <c r="J41">
        <f t="shared" si="7"/>
        <v>38</v>
      </c>
      <c r="K41">
        <f>'Modelo Ajustado'!B39</f>
        <v>11742</v>
      </c>
      <c r="L41">
        <f>'Modelo Ajustado'!C39</f>
        <v>2</v>
      </c>
      <c r="M41">
        <f>'Modelo Ajustado'!D39</f>
        <v>15</v>
      </c>
      <c r="N41">
        <f>'Modelo Ajustado'!A39</f>
        <v>1502502</v>
      </c>
      <c r="O41">
        <v>541688.89852923946</v>
      </c>
      <c r="P41">
        <f t="shared" si="0"/>
        <v>960813.10147076054</v>
      </c>
      <c r="Q41" s="17">
        <v>7.4877322706557829E-3</v>
      </c>
      <c r="R41">
        <f t="shared" si="1"/>
        <v>0.19698527040146802</v>
      </c>
      <c r="S41">
        <f t="shared" si="2"/>
        <v>23858908092220.488</v>
      </c>
      <c r="T41">
        <f t="shared" si="3"/>
        <v>0.19744479641551935</v>
      </c>
      <c r="U41">
        <f t="shared" si="4"/>
        <v>0.84359851166437472</v>
      </c>
      <c r="V41" s="64">
        <f t="shared" si="5"/>
        <v>7.373710031395868E-5</v>
      </c>
      <c r="W41" s="16">
        <f t="shared" si="6"/>
        <v>1.7149556942695387E-2</v>
      </c>
      <c r="X41">
        <v>38</v>
      </c>
    </row>
    <row r="42" spans="10:24" x14ac:dyDescent="0.25">
      <c r="J42">
        <f t="shared" si="7"/>
        <v>39</v>
      </c>
      <c r="K42">
        <f>'Modelo Ajustado'!B40</f>
        <v>12740</v>
      </c>
      <c r="L42">
        <f>'Modelo Ajustado'!C40</f>
        <v>2</v>
      </c>
      <c r="M42">
        <f>'Modelo Ajustado'!D40</f>
        <v>16</v>
      </c>
      <c r="N42">
        <f>'Modelo Ajustado'!A40</f>
        <v>1840912</v>
      </c>
      <c r="O42">
        <v>822817.07186837122</v>
      </c>
      <c r="P42">
        <f t="shared" si="0"/>
        <v>1018094.9281316288</v>
      </c>
      <c r="Q42" s="17">
        <v>6.5930277522227463E-3</v>
      </c>
      <c r="R42">
        <f t="shared" si="1"/>
        <v>0.20872915284500332</v>
      </c>
      <c r="S42">
        <f t="shared" si="2"/>
        <v>23858570978913.34</v>
      </c>
      <c r="T42">
        <f t="shared" si="3"/>
        <v>0.20912331665404907</v>
      </c>
      <c r="U42">
        <f t="shared" si="4"/>
        <v>0.83447832401698063</v>
      </c>
      <c r="V42" s="64">
        <f t="shared" si="5"/>
        <v>7.2767377911330149E-5</v>
      </c>
      <c r="W42" s="16">
        <f t="shared" si="6"/>
        <v>1.7036536503878118E-2</v>
      </c>
      <c r="X42">
        <v>39</v>
      </c>
    </row>
    <row r="43" spans="10:24" x14ac:dyDescent="0.25">
      <c r="J43">
        <f t="shared" si="7"/>
        <v>40</v>
      </c>
      <c r="K43">
        <f>'Modelo Ajustado'!B41</f>
        <v>13700</v>
      </c>
      <c r="L43">
        <f>'Modelo Ajustado'!C41</f>
        <v>3</v>
      </c>
      <c r="M43">
        <f>'Modelo Ajustado'!D41</f>
        <v>18</v>
      </c>
      <c r="N43">
        <f>'Modelo Ajustado'!A41</f>
        <v>2273869</v>
      </c>
      <c r="O43">
        <v>1210801.233409069</v>
      </c>
      <c r="P43">
        <f t="shared" si="0"/>
        <v>1063067.766590931</v>
      </c>
      <c r="Q43" s="17">
        <v>5.7884011820626769E-3</v>
      </c>
      <c r="R43">
        <f t="shared" si="1"/>
        <v>0.21794945461968387</v>
      </c>
      <c r="S43">
        <f t="shared" si="2"/>
        <v>23858293311396.91</v>
      </c>
      <c r="T43">
        <f t="shared" si="3"/>
        <v>0.21827392128123946</v>
      </c>
      <c r="U43">
        <f t="shared" si="4"/>
        <v>0.82734780750413228</v>
      </c>
      <c r="V43" s="64">
        <f t="shared" si="5"/>
        <v>6.9542861139598586E-5</v>
      </c>
      <c r="W43" s="16">
        <f t="shared" si="6"/>
        <v>1.6654889270116793E-2</v>
      </c>
      <c r="X43">
        <v>40</v>
      </c>
    </row>
    <row r="44" spans="10:24" x14ac:dyDescent="0.25">
      <c r="J44">
        <f t="shared" si="7"/>
        <v>41</v>
      </c>
      <c r="K44">
        <f>'Modelo Ajustado'!B42</f>
        <v>20800</v>
      </c>
      <c r="L44">
        <f>'Modelo Ajustado'!C42</f>
        <v>50</v>
      </c>
      <c r="M44">
        <f>'Modelo Ajustado'!D42</f>
        <v>60</v>
      </c>
      <c r="N44">
        <f>'Modelo Ajustado'!A42</f>
        <v>5286605</v>
      </c>
      <c r="O44">
        <v>7493727.2484319638</v>
      </c>
      <c r="P44">
        <f t="shared" si="0"/>
        <v>-2207122.2484319638</v>
      </c>
      <c r="Q44" s="17">
        <v>4.5880410416652166E-3</v>
      </c>
      <c r="R44">
        <f t="shared" si="1"/>
        <v>-0.45250275235729331</v>
      </c>
      <c r="S44">
        <f t="shared" si="2"/>
        <v>23847111320157.004</v>
      </c>
      <c r="T44">
        <f t="shared" si="3"/>
        <v>-0.45300925216348464</v>
      </c>
      <c r="U44">
        <f t="shared" si="4"/>
        <v>0.65083359924475426</v>
      </c>
      <c r="V44" s="64">
        <f t="shared" si="5"/>
        <v>2.3703039757777872E-4</v>
      </c>
      <c r="W44" s="16">
        <f t="shared" si="6"/>
        <v>-3.0755252156977476E-2</v>
      </c>
      <c r="X44">
        <v>41</v>
      </c>
    </row>
    <row r="45" spans="10:24" x14ac:dyDescent="0.25">
      <c r="J45">
        <f t="shared" si="7"/>
        <v>42</v>
      </c>
      <c r="K45">
        <f>'Modelo Ajustado'!B43</f>
        <v>20000</v>
      </c>
      <c r="L45">
        <f>'Modelo Ajustado'!C43</f>
        <v>0</v>
      </c>
      <c r="M45">
        <f>'Modelo Ajustado'!D43</f>
        <v>50</v>
      </c>
      <c r="N45">
        <f>'Modelo Ajustado'!A43</f>
        <v>5200000</v>
      </c>
      <c r="O45">
        <v>5206431.2281916365</v>
      </c>
      <c r="P45">
        <f t="shared" si="0"/>
        <v>-6431.2281916365027</v>
      </c>
      <c r="Q45" s="17">
        <v>4.2353717065389887E-3</v>
      </c>
      <c r="R45">
        <f t="shared" si="1"/>
        <v>-1.3185261758023746E-3</v>
      </c>
      <c r="S45">
        <f t="shared" si="2"/>
        <v>23861676201793.254</v>
      </c>
      <c r="T45">
        <f t="shared" si="3"/>
        <v>-1.3193654217051607E-3</v>
      </c>
      <c r="U45">
        <f t="shared" si="4"/>
        <v>0.9989480796509983</v>
      </c>
      <c r="V45" s="64">
        <f t="shared" si="5"/>
        <v>1.8565030258928987E-9</v>
      </c>
      <c r="W45" s="16">
        <f t="shared" si="6"/>
        <v>-8.6046362489679612E-5</v>
      </c>
      <c r="X45">
        <v>42</v>
      </c>
    </row>
    <row r="46" spans="10:24" x14ac:dyDescent="0.25">
      <c r="J46">
        <f t="shared" si="7"/>
        <v>43</v>
      </c>
      <c r="K46">
        <f>'Modelo Ajustado'!B44</f>
        <v>23000</v>
      </c>
      <c r="L46">
        <f>'Modelo Ajustado'!C44</f>
        <v>0</v>
      </c>
      <c r="M46">
        <f>'Modelo Ajustado'!D44</f>
        <v>50</v>
      </c>
      <c r="N46">
        <f>'Modelo Ajustado'!A44</f>
        <v>6500000</v>
      </c>
      <c r="O46">
        <v>5782894.640467139</v>
      </c>
      <c r="P46">
        <f t="shared" si="0"/>
        <v>717105.35953286104</v>
      </c>
      <c r="Q46" s="17">
        <v>5.258787144887124E-3</v>
      </c>
      <c r="R46">
        <f t="shared" si="1"/>
        <v>0.14702046936879887</v>
      </c>
      <c r="S46">
        <f t="shared" si="2"/>
        <v>23860137757937.082</v>
      </c>
      <c r="T46">
        <f t="shared" si="3"/>
        <v>0.14719445139453408</v>
      </c>
      <c r="U46">
        <f t="shared" si="4"/>
        <v>0.88306656011493501</v>
      </c>
      <c r="V46" s="64">
        <f t="shared" si="5"/>
        <v>2.8718449463783736E-5</v>
      </c>
      <c r="W46" s="16">
        <f t="shared" si="6"/>
        <v>1.0702350744126605E-2</v>
      </c>
      <c r="X46">
        <v>43</v>
      </c>
    </row>
    <row r="47" spans="10:24" x14ac:dyDescent="0.25">
      <c r="J47">
        <f t="shared" si="7"/>
        <v>44</v>
      </c>
      <c r="K47">
        <f>'Modelo Ajustado'!B45</f>
        <v>25000</v>
      </c>
      <c r="L47">
        <f>'Modelo Ajustado'!C45</f>
        <v>0</v>
      </c>
      <c r="M47">
        <f>'Modelo Ajustado'!D45</f>
        <v>55</v>
      </c>
      <c r="N47">
        <f>'Modelo Ajustado'!A45</f>
        <v>5600000</v>
      </c>
      <c r="O47">
        <v>6613993.6395948809</v>
      </c>
      <c r="P47">
        <f t="shared" si="0"/>
        <v>-1013993.6395948809</v>
      </c>
      <c r="Q47" s="17">
        <v>6.8561874295665669E-3</v>
      </c>
      <c r="R47">
        <f t="shared" si="1"/>
        <v>-0.2078883093654868</v>
      </c>
      <c r="S47">
        <f t="shared" si="2"/>
        <v>23858595131417.203</v>
      </c>
      <c r="T47">
        <f t="shared" si="3"/>
        <v>-0.2083083728220784</v>
      </c>
      <c r="U47">
        <f t="shared" si="4"/>
        <v>0.83511403345633861</v>
      </c>
      <c r="V47" s="64">
        <f t="shared" si="5"/>
        <v>7.510321741078366E-5</v>
      </c>
      <c r="W47" s="16">
        <f t="shared" si="6"/>
        <v>-1.7307805123318819E-2</v>
      </c>
      <c r="X47">
        <v>44</v>
      </c>
    </row>
    <row r="48" spans="10:24" x14ac:dyDescent="0.25">
      <c r="J48">
        <f t="shared" si="7"/>
        <v>45</v>
      </c>
      <c r="K48">
        <f>'Modelo Ajustado'!B46</f>
        <v>12500</v>
      </c>
      <c r="L48">
        <f>'Modelo Ajustado'!C46</f>
        <v>7</v>
      </c>
      <c r="M48">
        <f>'Modelo Ajustado'!D46</f>
        <v>153</v>
      </c>
      <c r="N48">
        <f>'Modelo Ajustado'!A46</f>
        <v>10000000</v>
      </c>
      <c r="O48">
        <v>13142746.810261818</v>
      </c>
      <c r="P48">
        <f t="shared" si="0"/>
        <v>-3142746.8102618176</v>
      </c>
      <c r="Q48" s="134">
        <v>2.4113997859247914E-2</v>
      </c>
      <c r="R48">
        <f t="shared" si="1"/>
        <v>-0.64432388492114556</v>
      </c>
      <c r="S48">
        <f t="shared" si="2"/>
        <v>23831554559960.367</v>
      </c>
      <c r="T48">
        <f t="shared" si="3"/>
        <v>-0.65167890581826704</v>
      </c>
      <c r="U48">
        <f t="shared" si="4"/>
        <v>0.51505250517115431</v>
      </c>
      <c r="V48" s="64">
        <f t="shared" si="5"/>
        <v>2.6279646019059604E-3</v>
      </c>
      <c r="W48" s="16">
        <f t="shared" si="6"/>
        <v>-0.10243980149778495</v>
      </c>
      <c r="X48" s="132">
        <v>45</v>
      </c>
    </row>
    <row r="49" spans="10:24" x14ac:dyDescent="0.25">
      <c r="J49">
        <f t="shared" si="7"/>
        <v>46</v>
      </c>
      <c r="K49">
        <f>'Modelo Ajustado'!B47</f>
        <v>13000</v>
      </c>
      <c r="L49">
        <f>'Modelo Ajustado'!C47</f>
        <v>6</v>
      </c>
      <c r="M49">
        <f>'Modelo Ajustado'!D47</f>
        <v>134</v>
      </c>
      <c r="N49">
        <f>'Modelo Ajustado'!A47</f>
        <v>11000000</v>
      </c>
      <c r="O49">
        <v>11516221.980152015</v>
      </c>
      <c r="P49">
        <f t="shared" si="0"/>
        <v>-516221.98015201464</v>
      </c>
      <c r="Q49" s="17">
        <v>1.8363589407139402E-2</v>
      </c>
      <c r="R49">
        <f t="shared" si="1"/>
        <v>-0.10583549099379182</v>
      </c>
      <c r="S49">
        <f t="shared" si="2"/>
        <v>23860868378086.898</v>
      </c>
      <c r="T49">
        <f t="shared" si="3"/>
        <v>-0.10666404282272662</v>
      </c>
      <c r="U49">
        <f t="shared" si="4"/>
        <v>0.91511897647520057</v>
      </c>
      <c r="V49" s="64">
        <f t="shared" si="5"/>
        <v>5.3365296018014186E-5</v>
      </c>
      <c r="W49" s="16">
        <f t="shared" si="6"/>
        <v>-1.4588864747033973E-2</v>
      </c>
      <c r="X49">
        <v>46</v>
      </c>
    </row>
    <row r="50" spans="10:24" x14ac:dyDescent="0.25">
      <c r="J50">
        <f t="shared" si="7"/>
        <v>47</v>
      </c>
      <c r="K50">
        <f>'Modelo Ajustado'!B48</f>
        <v>13500</v>
      </c>
      <c r="L50">
        <f>'Modelo Ajustado'!C48</f>
        <v>28</v>
      </c>
      <c r="M50">
        <f>'Modelo Ajustado'!D48</f>
        <v>146</v>
      </c>
      <c r="N50">
        <f>'Modelo Ajustado'!A48</f>
        <v>12000000</v>
      </c>
      <c r="O50">
        <v>13230191.97829834</v>
      </c>
      <c r="P50">
        <f t="shared" si="0"/>
        <v>-1230191.97829834</v>
      </c>
      <c r="Q50" s="17">
        <v>1.5332766637371143E-2</v>
      </c>
      <c r="R50">
        <f t="shared" si="1"/>
        <v>-0.25221315063238653</v>
      </c>
      <c r="S50">
        <f t="shared" si="2"/>
        <v>23857102105734.73</v>
      </c>
      <c r="T50">
        <f t="shared" si="3"/>
        <v>-0.25381617969084597</v>
      </c>
      <c r="U50">
        <f t="shared" si="4"/>
        <v>0.79979235663644177</v>
      </c>
      <c r="V50" s="64">
        <f t="shared" si="5"/>
        <v>2.5148785506001357E-4</v>
      </c>
      <c r="W50" s="16">
        <f t="shared" si="6"/>
        <v>-3.1672680720703845E-2</v>
      </c>
      <c r="X50">
        <v>47</v>
      </c>
    </row>
    <row r="51" spans="10:24" x14ac:dyDescent="0.25">
      <c r="J51">
        <f t="shared" si="7"/>
        <v>48</v>
      </c>
      <c r="K51">
        <f>'Modelo Ajustado'!B49</f>
        <v>20000</v>
      </c>
      <c r="L51">
        <f>'Modelo Ajustado'!C49</f>
        <v>0</v>
      </c>
      <c r="M51">
        <f>'Modelo Ajustado'!D49</f>
        <v>20</v>
      </c>
      <c r="N51">
        <f>'Modelo Ajustado'!A49</f>
        <v>2300000</v>
      </c>
      <c r="O51">
        <v>2525690.8825271963</v>
      </c>
      <c r="P51">
        <f t="shared" si="0"/>
        <v>-225690.88252719631</v>
      </c>
      <c r="Q51" s="17">
        <v>4.1164602273860472E-3</v>
      </c>
      <c r="R51">
        <f t="shared" si="1"/>
        <v>-4.6270996361011486E-2</v>
      </c>
      <c r="S51">
        <f t="shared" si="2"/>
        <v>23861524102441.781</v>
      </c>
      <c r="T51">
        <f t="shared" si="3"/>
        <v>-4.6297831257941922E-2</v>
      </c>
      <c r="U51">
        <f t="shared" si="4"/>
        <v>0.96310029075969461</v>
      </c>
      <c r="V51" s="64">
        <f t="shared" si="5"/>
        <v>2.2215931437551073E-6</v>
      </c>
      <c r="W51" s="16">
        <f t="shared" si="6"/>
        <v>-2.9765852984124253E-3</v>
      </c>
      <c r="X51">
        <v>48</v>
      </c>
    </row>
    <row r="52" spans="10:24" x14ac:dyDescent="0.25">
      <c r="J52">
        <f t="shared" si="7"/>
        <v>49</v>
      </c>
      <c r="K52">
        <f>'Modelo Ajustado'!B50</f>
        <v>23000</v>
      </c>
      <c r="L52">
        <f>'Modelo Ajustado'!C50</f>
        <v>0</v>
      </c>
      <c r="M52">
        <f>'Modelo Ajustado'!D50</f>
        <v>23</v>
      </c>
      <c r="N52">
        <f>'Modelo Ajustado'!A50</f>
        <v>2500000</v>
      </c>
      <c r="O52">
        <v>3370228.3293691422</v>
      </c>
      <c r="P52">
        <f t="shared" si="0"/>
        <v>-870228.32936914219</v>
      </c>
      <c r="Q52" s="17">
        <v>4.9817606487277981E-3</v>
      </c>
      <c r="R52">
        <f t="shared" si="1"/>
        <v>-0.17841363997784221</v>
      </c>
      <c r="S52">
        <f t="shared" si="2"/>
        <v>23859411179854.594</v>
      </c>
      <c r="T52">
        <f t="shared" si="3"/>
        <v>-0.17860262413511699</v>
      </c>
      <c r="U52">
        <f t="shared" si="4"/>
        <v>0.85835705443987331</v>
      </c>
      <c r="V52" s="64">
        <f t="shared" si="5"/>
        <v>4.0042104112981163E-5</v>
      </c>
      <c r="W52" s="16">
        <f t="shared" si="6"/>
        <v>-1.2637574928378864E-2</v>
      </c>
      <c r="X52">
        <v>49</v>
      </c>
    </row>
    <row r="53" spans="10:24" x14ac:dyDescent="0.25">
      <c r="J53">
        <f t="shared" si="7"/>
        <v>50</v>
      </c>
      <c r="K53">
        <f>'Modelo Ajustado'!B51</f>
        <v>25000</v>
      </c>
      <c r="L53">
        <f>'Modelo Ajustado'!C51</f>
        <v>1</v>
      </c>
      <c r="M53">
        <f>'Modelo Ajustado'!D51</f>
        <v>25</v>
      </c>
      <c r="N53">
        <f>'Modelo Ajustado'!A51</f>
        <v>3000000</v>
      </c>
      <c r="O53">
        <v>3958053.1404986796</v>
      </c>
      <c r="P53">
        <f t="shared" si="0"/>
        <v>-958053.1404986796</v>
      </c>
      <c r="Q53" s="17">
        <v>6.1582233662003764E-3</v>
      </c>
      <c r="R53">
        <f t="shared" si="1"/>
        <v>-0.19641942501743792</v>
      </c>
      <c r="S53">
        <f t="shared" si="2"/>
        <v>23858927654975.66</v>
      </c>
      <c r="T53">
        <f t="shared" si="3"/>
        <v>-0.19674582006629263</v>
      </c>
      <c r="U53">
        <f t="shared" si="4"/>
        <v>0.84414504969912385</v>
      </c>
      <c r="V53" s="64">
        <f t="shared" si="5"/>
        <v>6.0135346751197226E-5</v>
      </c>
      <c r="W53" s="16">
        <f t="shared" si="6"/>
        <v>-1.5487260690977047E-2</v>
      </c>
      <c r="X53">
        <v>50</v>
      </c>
    </row>
    <row r="54" spans="10:24" x14ac:dyDescent="0.25">
      <c r="J54">
        <f t="shared" si="7"/>
        <v>51</v>
      </c>
      <c r="K54">
        <f>'Modelo Ajustado'!B52</f>
        <v>16640</v>
      </c>
      <c r="L54">
        <f>'Modelo Ajustado'!C52</f>
        <v>0</v>
      </c>
      <c r="M54">
        <f>'Modelo Ajustado'!D52</f>
        <v>131</v>
      </c>
      <c r="N54">
        <f>'Modelo Ajustado'!A52</f>
        <v>7588770</v>
      </c>
      <c r="O54">
        <v>11798791.139737066</v>
      </c>
      <c r="P54">
        <f t="shared" si="0"/>
        <v>-4210021.1397370659</v>
      </c>
      <c r="Q54" s="17">
        <v>1.7841489093334315E-2</v>
      </c>
      <c r="R54">
        <f t="shared" si="1"/>
        <v>-0.8631357662978747</v>
      </c>
      <c r="S54">
        <f t="shared" si="2"/>
        <v>23807967248125.359</v>
      </c>
      <c r="T54">
        <f t="shared" si="3"/>
        <v>-0.87062739037342263</v>
      </c>
      <c r="U54">
        <f t="shared" si="4"/>
        <v>0.38457738066172231</v>
      </c>
      <c r="V54" s="64">
        <f t="shared" si="5"/>
        <v>3.4448170732974234E-3</v>
      </c>
      <c r="W54" s="16">
        <f t="shared" si="6"/>
        <v>-0.11734297193875452</v>
      </c>
      <c r="X54">
        <v>51</v>
      </c>
    </row>
    <row r="55" spans="10:24" x14ac:dyDescent="0.25">
      <c r="J55">
        <f t="shared" si="7"/>
        <v>52</v>
      </c>
      <c r="K55">
        <f>'Modelo Ajustado'!B53</f>
        <v>9000</v>
      </c>
      <c r="L55">
        <f>'Modelo Ajustado'!C53</f>
        <v>0</v>
      </c>
      <c r="M55">
        <f>'Modelo Ajustado'!D53</f>
        <v>22</v>
      </c>
      <c r="N55">
        <f>'Modelo Ajustado'!A53</f>
        <v>725000</v>
      </c>
      <c r="O55">
        <v>590707.72722798493</v>
      </c>
      <c r="P55">
        <f t="shared" si="0"/>
        <v>134292.27277201507</v>
      </c>
      <c r="Q55" s="17">
        <v>1.0050494957183216E-2</v>
      </c>
      <c r="R55">
        <f t="shared" si="1"/>
        <v>2.753251347668902E-2</v>
      </c>
      <c r="S55">
        <f t="shared" si="2"/>
        <v>23861622106635.832</v>
      </c>
      <c r="T55">
        <f t="shared" si="3"/>
        <v>2.7630867529245162E-2</v>
      </c>
      <c r="U55">
        <f t="shared" si="4"/>
        <v>0.97797291725553459</v>
      </c>
      <c r="V55" s="64">
        <f t="shared" si="5"/>
        <v>1.9435382576956413E-6</v>
      </c>
      <c r="W55" s="16">
        <f t="shared" si="6"/>
        <v>2.7840800885698407E-3</v>
      </c>
      <c r="X55">
        <v>52</v>
      </c>
    </row>
    <row r="56" spans="10:24" x14ac:dyDescent="0.25">
      <c r="J56">
        <f t="shared" si="7"/>
        <v>53</v>
      </c>
      <c r="K56">
        <f>'Modelo Ajustado'!B54</f>
        <v>9000</v>
      </c>
      <c r="L56">
        <f>'Modelo Ajustado'!C54</f>
        <v>0</v>
      </c>
      <c r="M56">
        <f>'Modelo Ajustado'!D54</f>
        <v>25</v>
      </c>
      <c r="N56">
        <f>'Modelo Ajustado'!A54</f>
        <v>785000</v>
      </c>
      <c r="O56">
        <v>858781.76179442881</v>
      </c>
      <c r="P56">
        <f t="shared" si="0"/>
        <v>-73781.761794428807</v>
      </c>
      <c r="Q56" s="17">
        <v>9.9399798832698269E-3</v>
      </c>
      <c r="R56">
        <f t="shared" si="1"/>
        <v>-1.5126688297156361E-2</v>
      </c>
      <c r="S56">
        <f t="shared" si="2"/>
        <v>23861659961121.336</v>
      </c>
      <c r="T56">
        <f t="shared" si="3"/>
        <v>-1.5179865840245667E-2</v>
      </c>
      <c r="U56">
        <f t="shared" si="4"/>
        <v>0.98789766723398298</v>
      </c>
      <c r="V56" s="64">
        <f t="shared" si="5"/>
        <v>5.8008305967985905E-7</v>
      </c>
      <c r="W56" s="16">
        <f t="shared" si="6"/>
        <v>-1.5210024873120738E-3</v>
      </c>
      <c r="X56">
        <v>53</v>
      </c>
    </row>
    <row r="57" spans="10:24" x14ac:dyDescent="0.25">
      <c r="J57">
        <f t="shared" si="7"/>
        <v>54</v>
      </c>
      <c r="K57">
        <f>'Modelo Ajustado'!B55</f>
        <v>10000</v>
      </c>
      <c r="L57">
        <f>'Modelo Ajustado'!C55</f>
        <v>0</v>
      </c>
      <c r="M57">
        <f>'Modelo Ajustado'!D55</f>
        <v>23</v>
      </c>
      <c r="N57">
        <f>'Modelo Ajustado'!A55</f>
        <v>785000</v>
      </c>
      <c r="O57">
        <v>872220.20950863371</v>
      </c>
      <c r="P57">
        <f t="shared" si="0"/>
        <v>-87220.209508633707</v>
      </c>
      <c r="Q57" s="17">
        <v>8.8436758373943072E-3</v>
      </c>
      <c r="R57">
        <f t="shared" si="1"/>
        <v>-1.7881830012757959E-2</v>
      </c>
      <c r="S57">
        <f t="shared" si="2"/>
        <v>23861653482431.102</v>
      </c>
      <c r="T57">
        <f t="shared" si="3"/>
        <v>-1.7934768699319724E-2</v>
      </c>
      <c r="U57">
        <f t="shared" si="4"/>
        <v>0.98570150544648705</v>
      </c>
      <c r="V57" s="64">
        <f t="shared" si="5"/>
        <v>7.1963526172028544E-7</v>
      </c>
      <c r="W57" s="16">
        <f t="shared" si="6"/>
        <v>-1.6941080631207477E-3</v>
      </c>
      <c r="X57">
        <v>54</v>
      </c>
    </row>
    <row r="58" spans="10:24" x14ac:dyDescent="0.25">
      <c r="J58">
        <f t="shared" si="7"/>
        <v>55</v>
      </c>
      <c r="K58">
        <f>'Modelo Ajustado'!B56</f>
        <v>32000</v>
      </c>
      <c r="L58">
        <f>'Modelo Ajustado'!C56</f>
        <v>2</v>
      </c>
      <c r="M58">
        <f>'Modelo Ajustado'!D56</f>
        <v>15</v>
      </c>
      <c r="N58">
        <f>'Modelo Ajustado'!A56</f>
        <v>4000000</v>
      </c>
      <c r="O58">
        <v>4434354.1671549454</v>
      </c>
      <c r="P58">
        <f t="shared" si="0"/>
        <v>-434354.16715494543</v>
      </c>
      <c r="Q58" s="17">
        <v>1.4863660917697781E-2</v>
      </c>
      <c r="R58">
        <f t="shared" si="1"/>
        <v>-8.9051005795038246E-2</v>
      </c>
      <c r="S58">
        <f t="shared" si="2"/>
        <v>23861106354927.633</v>
      </c>
      <c r="T58">
        <f t="shared" si="3"/>
        <v>-8.9588142996917031E-2</v>
      </c>
      <c r="U58">
        <f t="shared" si="4"/>
        <v>0.92866772607289882</v>
      </c>
      <c r="V58" s="64">
        <f t="shared" si="5"/>
        <v>3.0363426313412998E-5</v>
      </c>
      <c r="W58" s="16">
        <f t="shared" si="6"/>
        <v>-1.100437190662105E-2</v>
      </c>
      <c r="X58">
        <v>55</v>
      </c>
    </row>
    <row r="59" spans="10:24" x14ac:dyDescent="0.25">
      <c r="J59">
        <f t="shared" si="7"/>
        <v>56</v>
      </c>
      <c r="K59">
        <f>'Modelo Ajustado'!B57</f>
        <v>34000</v>
      </c>
      <c r="L59">
        <f>'Modelo Ajustado'!C57</f>
        <v>2</v>
      </c>
      <c r="M59">
        <f>'Modelo Ajustado'!D57</f>
        <v>18</v>
      </c>
      <c r="N59">
        <f>'Modelo Ajustado'!A57</f>
        <v>5000000</v>
      </c>
      <c r="O59">
        <v>5086737.1432383899</v>
      </c>
      <c r="P59">
        <f t="shared" si="0"/>
        <v>-86737.143238389865</v>
      </c>
      <c r="Q59" s="17">
        <v>1.821567684617529E-2</v>
      </c>
      <c r="R59">
        <f t="shared" si="1"/>
        <v>-1.7782792083612164E-2</v>
      </c>
      <c r="S59">
        <f t="shared" si="2"/>
        <v>23861653519112.832</v>
      </c>
      <c r="T59">
        <f t="shared" si="3"/>
        <v>-1.7920362891649146E-2</v>
      </c>
      <c r="U59">
        <f t="shared" si="4"/>
        <v>0.98571298924329742</v>
      </c>
      <c r="V59" s="64">
        <f t="shared" si="5"/>
        <v>1.4940083921549712E-6</v>
      </c>
      <c r="W59" s="16">
        <f t="shared" si="6"/>
        <v>-2.4409642000859711E-3</v>
      </c>
      <c r="X59">
        <v>56</v>
      </c>
    </row>
    <row r="60" spans="10:24" x14ac:dyDescent="0.25">
      <c r="J60">
        <f t="shared" si="7"/>
        <v>57</v>
      </c>
      <c r="K60">
        <f>'Modelo Ajustado'!B58</f>
        <v>38000</v>
      </c>
      <c r="L60">
        <f>'Modelo Ajustado'!C58</f>
        <v>6</v>
      </c>
      <c r="M60">
        <f>'Modelo Ajustado'!D58</f>
        <v>19</v>
      </c>
      <c r="N60">
        <f>'Modelo Ajustado'!A58</f>
        <v>7000000</v>
      </c>
      <c r="O60">
        <v>6043912.4240675047</v>
      </c>
      <c r="P60">
        <f t="shared" si="0"/>
        <v>956087.5759324953</v>
      </c>
      <c r="Q60" s="134">
        <v>2.6597169637148199E-2</v>
      </c>
      <c r="R60">
        <f t="shared" si="1"/>
        <v>0.19601644626228912</v>
      </c>
      <c r="S60">
        <f t="shared" si="2"/>
        <v>23858881443474.445</v>
      </c>
      <c r="T60">
        <f t="shared" si="3"/>
        <v>0.19839299457550377</v>
      </c>
      <c r="U60">
        <f t="shared" si="4"/>
        <v>0.84285722503779981</v>
      </c>
      <c r="V60" s="64">
        <f t="shared" si="5"/>
        <v>2.6963436663274731E-4</v>
      </c>
      <c r="W60" s="16">
        <f t="shared" si="6"/>
        <v>3.279425294118974E-2</v>
      </c>
      <c r="X60" s="132">
        <v>57</v>
      </c>
    </row>
    <row r="61" spans="10:24" x14ac:dyDescent="0.25">
      <c r="J61">
        <f t="shared" si="7"/>
        <v>58</v>
      </c>
      <c r="K61">
        <f>'Modelo Ajustado'!B59</f>
        <v>21500</v>
      </c>
      <c r="L61">
        <f>'Modelo Ajustado'!C59</f>
        <v>0</v>
      </c>
      <c r="M61">
        <f>'Modelo Ajustado'!D59</f>
        <v>73</v>
      </c>
      <c r="N61">
        <f>'Modelo Ajustado'!A59</f>
        <v>5300000</v>
      </c>
      <c r="O61">
        <v>7549897.1993387919</v>
      </c>
      <c r="P61">
        <f t="shared" si="0"/>
        <v>-2249897.1993387919</v>
      </c>
      <c r="Q61" s="17">
        <v>6.5194403240903167E-3</v>
      </c>
      <c r="R61">
        <f t="shared" si="1"/>
        <v>-0.46127244467091072</v>
      </c>
      <c r="S61">
        <f t="shared" si="2"/>
        <v>23846511874156.523</v>
      </c>
      <c r="T61">
        <f t="shared" si="3"/>
        <v>-0.4622432281151948</v>
      </c>
      <c r="U61">
        <f t="shared" si="4"/>
        <v>0.64420519071305171</v>
      </c>
      <c r="V61" s="64">
        <f t="shared" si="5"/>
        <v>3.5135537339393179E-4</v>
      </c>
      <c r="W61" s="16">
        <f t="shared" si="6"/>
        <v>-3.7445189085679627E-2</v>
      </c>
      <c r="X61">
        <v>58</v>
      </c>
    </row>
    <row r="62" spans="10:24" x14ac:dyDescent="0.25">
      <c r="J62">
        <f t="shared" si="7"/>
        <v>59</v>
      </c>
      <c r="K62">
        <f>'Modelo Ajustado'!B60</f>
        <v>22200</v>
      </c>
      <c r="L62">
        <f>'Modelo Ajustado'!C60</f>
        <v>0</v>
      </c>
      <c r="M62">
        <f>'Modelo Ajustado'!D60</f>
        <v>76</v>
      </c>
      <c r="N62">
        <f>'Modelo Ajustado'!A60</f>
        <v>5800000</v>
      </c>
      <c r="O62">
        <v>7952479.3634361867</v>
      </c>
      <c r="P62">
        <f t="shared" si="0"/>
        <v>-2152479.3634361867</v>
      </c>
      <c r="Q62" s="17">
        <v>7.1645777434269356E-3</v>
      </c>
      <c r="R62">
        <f t="shared" si="1"/>
        <v>-0.44129990399903013</v>
      </c>
      <c r="S62">
        <f t="shared" si="2"/>
        <v>23847787630056.203</v>
      </c>
      <c r="T62">
        <f t="shared" si="3"/>
        <v>-0.44236047619693225</v>
      </c>
      <c r="U62">
        <f t="shared" si="4"/>
        <v>0.65851214080074905</v>
      </c>
      <c r="V62" s="64">
        <f t="shared" si="5"/>
        <v>3.5387000098974762E-4</v>
      </c>
      <c r="W62" s="16">
        <f t="shared" si="6"/>
        <v>-3.7577941411624592E-2</v>
      </c>
      <c r="X62">
        <v>59</v>
      </c>
    </row>
    <row r="63" spans="10:24" x14ac:dyDescent="0.25">
      <c r="J63">
        <f t="shared" si="7"/>
        <v>60</v>
      </c>
      <c r="K63">
        <f>'Modelo Ajustado'!B61</f>
        <v>23000</v>
      </c>
      <c r="L63">
        <f>'Modelo Ajustado'!C61</f>
        <v>8</v>
      </c>
      <c r="M63">
        <f>'Modelo Ajustado'!D61</f>
        <v>80</v>
      </c>
      <c r="N63">
        <f>'Modelo Ajustado'!A61</f>
        <v>6400000</v>
      </c>
      <c r="O63">
        <v>8662033.7586775068</v>
      </c>
      <c r="P63">
        <f t="shared" si="0"/>
        <v>-2262033.7586775068</v>
      </c>
      <c r="Q63" s="17">
        <v>6.6896417397281135E-3</v>
      </c>
      <c r="R63">
        <f t="shared" si="1"/>
        <v>-0.46376067408766269</v>
      </c>
      <c r="S63">
        <f t="shared" si="2"/>
        <v>23846345204021.832</v>
      </c>
      <c r="T63">
        <f t="shared" si="3"/>
        <v>-0.4647781325090688</v>
      </c>
      <c r="U63">
        <f t="shared" si="4"/>
        <v>0.6423904964266629</v>
      </c>
      <c r="V63" s="64">
        <f t="shared" si="5"/>
        <v>3.6455308455418163E-4</v>
      </c>
      <c r="W63" s="16">
        <f t="shared" si="6"/>
        <v>-3.8142102985495197E-2</v>
      </c>
      <c r="X63">
        <v>60</v>
      </c>
    </row>
    <row r="64" spans="10:24" x14ac:dyDescent="0.25">
      <c r="J64">
        <f t="shared" si="7"/>
        <v>61</v>
      </c>
      <c r="K64">
        <f>'Modelo Ajustado'!B62</f>
        <v>20180</v>
      </c>
      <c r="L64">
        <f>'Modelo Ajustado'!C62</f>
        <v>0</v>
      </c>
      <c r="M64">
        <f>'Modelo Ajustado'!D62</f>
        <v>112</v>
      </c>
      <c r="N64">
        <f>'Modelo Ajustado'!A62</f>
        <v>21800000</v>
      </c>
      <c r="O64">
        <v>10781215.747301346</v>
      </c>
      <c r="P64">
        <f t="shared" si="0"/>
        <v>11018784.252698654</v>
      </c>
      <c r="Q64" s="17">
        <v>1.2938376130946019E-2</v>
      </c>
      <c r="R64">
        <f t="shared" si="1"/>
        <v>2.2590639034696136</v>
      </c>
      <c r="S64">
        <f t="shared" si="2"/>
        <v>23495589740410.879</v>
      </c>
      <c r="T64">
        <f t="shared" si="3"/>
        <v>2.2880650687841126</v>
      </c>
      <c r="U64">
        <f t="shared" si="4"/>
        <v>2.2752516686319377E-2</v>
      </c>
      <c r="V64" s="135">
        <f t="shared" si="5"/>
        <v>1.6942920733801978E-2</v>
      </c>
      <c r="W64" s="133">
        <f t="shared" si="6"/>
        <v>0.26196068866523137</v>
      </c>
      <c r="X64" s="132">
        <v>61</v>
      </c>
    </row>
    <row r="65" spans="10:24" x14ac:dyDescent="0.25">
      <c r="J65">
        <f t="shared" si="7"/>
        <v>62</v>
      </c>
      <c r="K65">
        <f>'Modelo Ajustado'!B63</f>
        <v>21500</v>
      </c>
      <c r="L65">
        <f>'Modelo Ajustado'!C63</f>
        <v>128</v>
      </c>
      <c r="M65">
        <f>'Modelo Ajustado'!D63</f>
        <v>128</v>
      </c>
      <c r="N65">
        <f>'Modelo Ajustado'!A63</f>
        <v>25800000</v>
      </c>
      <c r="O65">
        <v>15638968.193791775</v>
      </c>
      <c r="P65">
        <f t="shared" si="0"/>
        <v>10161031.806208225</v>
      </c>
      <c r="Q65" s="17">
        <v>1.8198764494292054E-2</v>
      </c>
      <c r="R65">
        <f t="shared" si="1"/>
        <v>2.083208060797614</v>
      </c>
      <c r="S65">
        <f t="shared" si="2"/>
        <v>23548699075657.395</v>
      </c>
      <c r="T65">
        <f t="shared" si="3"/>
        <v>2.1132095451266482</v>
      </c>
      <c r="U65">
        <f t="shared" si="4"/>
        <v>3.5317561163005301E-2</v>
      </c>
      <c r="V65" s="135">
        <f t="shared" si="5"/>
        <v>2.0483306319856183E-2</v>
      </c>
      <c r="W65" s="133">
        <f t="shared" si="6"/>
        <v>0.28770786152074018</v>
      </c>
      <c r="X65" s="132">
        <v>62</v>
      </c>
    </row>
    <row r="66" spans="10:24" x14ac:dyDescent="0.25">
      <c r="J66">
        <f t="shared" si="7"/>
        <v>63</v>
      </c>
      <c r="K66">
        <f>'Modelo Ajustado'!B64</f>
        <v>14850</v>
      </c>
      <c r="L66">
        <f>'Modelo Ajustado'!C64</f>
        <v>12</v>
      </c>
      <c r="M66">
        <f>'Modelo Ajustado'!D64</f>
        <v>14</v>
      </c>
      <c r="N66">
        <f>'Modelo Ajustado'!A64</f>
        <v>2101581</v>
      </c>
      <c r="O66">
        <v>1297545.4478069204</v>
      </c>
      <c r="P66">
        <f t="shared" si="0"/>
        <v>804035.55219307961</v>
      </c>
      <c r="Q66" s="17">
        <v>5.6561847842167964E-3</v>
      </c>
      <c r="R66">
        <f t="shared" si="1"/>
        <v>0.16484284031795893</v>
      </c>
      <c r="S66">
        <f t="shared" si="2"/>
        <v>23859741353566.563</v>
      </c>
      <c r="T66">
        <f t="shared" si="3"/>
        <v>0.16507226041025419</v>
      </c>
      <c r="U66">
        <f t="shared" si="4"/>
        <v>0.86898607975765174</v>
      </c>
      <c r="V66" s="64">
        <f t="shared" si="5"/>
        <v>3.8862489909512075E-5</v>
      </c>
      <c r="W66" s="16">
        <f t="shared" si="6"/>
        <v>1.2449949920793155E-2</v>
      </c>
      <c r="X66">
        <v>63</v>
      </c>
    </row>
    <row r="67" spans="10:24" x14ac:dyDescent="0.25">
      <c r="J67">
        <f t="shared" si="7"/>
        <v>64</v>
      </c>
      <c r="K67">
        <f>'Modelo Ajustado'!B65</f>
        <v>18100</v>
      </c>
      <c r="L67">
        <f>'Modelo Ajustado'!C65</f>
        <v>10</v>
      </c>
      <c r="M67">
        <f>'Modelo Ajustado'!D65</f>
        <v>16</v>
      </c>
      <c r="N67">
        <f>'Modelo Ajustado'!A65</f>
        <v>2400723</v>
      </c>
      <c r="O67">
        <v>2051163.8076798613</v>
      </c>
      <c r="P67">
        <f t="shared" si="0"/>
        <v>349559.19232013868</v>
      </c>
      <c r="Q67" s="17">
        <v>4.3741136337444534E-3</v>
      </c>
      <c r="R67">
        <f t="shared" si="1"/>
        <v>7.1666395800699612E-2</v>
      </c>
      <c r="S67">
        <f t="shared" si="2"/>
        <v>23861311062148.805</v>
      </c>
      <c r="T67">
        <f t="shared" si="3"/>
        <v>7.1717556817094713E-2</v>
      </c>
      <c r="U67">
        <f t="shared" si="4"/>
        <v>0.9428692264706704</v>
      </c>
      <c r="V67" s="64">
        <f t="shared" si="5"/>
        <v>5.6658991219661562E-6</v>
      </c>
      <c r="W67" s="16">
        <f t="shared" si="6"/>
        <v>4.7535977279513216E-3</v>
      </c>
      <c r="X67">
        <v>64</v>
      </c>
    </row>
    <row r="68" spans="10:24" x14ac:dyDescent="0.25">
      <c r="J68">
        <f t="shared" si="7"/>
        <v>65</v>
      </c>
      <c r="K68">
        <f>'Modelo Ajustado'!B66</f>
        <v>20500</v>
      </c>
      <c r="L68">
        <f>'Modelo Ajustado'!C66</f>
        <v>10</v>
      </c>
      <c r="M68">
        <f>'Modelo Ajustado'!D66</f>
        <v>13</v>
      </c>
      <c r="N68">
        <f>'Modelo Ajustado'!A66</f>
        <v>2470633</v>
      </c>
      <c r="O68">
        <v>2244260.5029338193</v>
      </c>
      <c r="P68">
        <f t="shared" si="0"/>
        <v>226372.49706618069</v>
      </c>
      <c r="Q68" s="17">
        <v>4.7212271585760635E-3</v>
      </c>
      <c r="R68">
        <f t="shared" si="1"/>
        <v>4.6410740525683968E-2</v>
      </c>
      <c r="S68">
        <f t="shared" si="2"/>
        <v>23861523088533.055</v>
      </c>
      <c r="T68">
        <f t="shared" si="3"/>
        <v>4.6451763901022687E-2</v>
      </c>
      <c r="U68">
        <f t="shared" si="4"/>
        <v>0.96297769365179264</v>
      </c>
      <c r="V68" s="64">
        <f t="shared" si="5"/>
        <v>2.5665067940563046E-6</v>
      </c>
      <c r="W68" s="16">
        <f t="shared" si="6"/>
        <v>3.199317102067902E-3</v>
      </c>
      <c r="X68">
        <v>65</v>
      </c>
    </row>
    <row r="69" spans="10:24" x14ac:dyDescent="0.25">
      <c r="J69">
        <f t="shared" si="7"/>
        <v>66</v>
      </c>
      <c r="K69">
        <f>'Modelo Ajustado'!B67</f>
        <v>10000</v>
      </c>
      <c r="L69">
        <f>'Modelo Ajustado'!C67</f>
        <v>0</v>
      </c>
      <c r="M69">
        <f>'Modelo Ajustado'!D67</f>
        <v>40</v>
      </c>
      <c r="N69">
        <f>'Modelo Ajustado'!A67</f>
        <v>3000000</v>
      </c>
      <c r="O69">
        <v>2391306.4053851501</v>
      </c>
      <c r="P69">
        <f t="shared" ref="P69:P132" si="12">N69-O69</f>
        <v>608693.59461484989</v>
      </c>
      <c r="Q69" s="17">
        <v>8.6295439188904515E-3</v>
      </c>
      <c r="R69">
        <f t="shared" ref="R69:R132" si="13">P69/SQRT($Z$6)</f>
        <v>0.12479396059785793</v>
      </c>
      <c r="S69">
        <f t="shared" ref="S69:S132" si="14">($Z$6-P69^2/((1-Q69)*$Z$5))*$Z$5/($Z$5-1)</f>
        <v>23860564024706.438</v>
      </c>
      <c r="T69">
        <f t="shared" ref="T69:T132" si="15">P69/SQRT(S69*(1-Q69))</f>
        <v>0.12515274880883534</v>
      </c>
      <c r="U69">
        <f t="shared" ref="U69:U132" si="16">_xlfn.T.DIST.2T(ABS(T69),$Z$5)</f>
        <v>0.9004772475228251</v>
      </c>
      <c r="V69" s="64">
        <f t="shared" ref="V69:V132" si="17">(P69^2/$Z$6)*(Q69/(1-Q69)^2)/($Z$7+1)</f>
        <v>3.4185587174025688E-5</v>
      </c>
      <c r="W69" s="16">
        <f t="shared" ref="W69:W132" si="18">T69*SQRT(Q69/(1-Q69))</f>
        <v>1.1676597989634415E-2</v>
      </c>
      <c r="X69">
        <v>66</v>
      </c>
    </row>
    <row r="70" spans="10:24" x14ac:dyDescent="0.25">
      <c r="J70">
        <f t="shared" ref="J70:J133" si="19">J69+1</f>
        <v>67</v>
      </c>
      <c r="K70">
        <f>'Modelo Ajustado'!B68</f>
        <v>11000</v>
      </c>
      <c r="L70">
        <f>'Modelo Ajustado'!C68</f>
        <v>0</v>
      </c>
      <c r="M70">
        <f>'Modelo Ajustado'!D68</f>
        <v>48</v>
      </c>
      <c r="N70">
        <f>'Modelo Ajustado'!A68</f>
        <v>3800000</v>
      </c>
      <c r="O70">
        <v>3298324.9683208349</v>
      </c>
      <c r="P70">
        <f t="shared" si="12"/>
        <v>501675.03167916508</v>
      </c>
      <c r="Q70" s="17">
        <v>7.796839483436251E-3</v>
      </c>
      <c r="R70">
        <f t="shared" si="13"/>
        <v>0.10285308518140844</v>
      </c>
      <c r="S70">
        <f t="shared" si="14"/>
        <v>23860921398184.945</v>
      </c>
      <c r="T70">
        <f t="shared" si="15"/>
        <v>0.10310472747899581</v>
      </c>
      <c r="U70">
        <f t="shared" si="16"/>
        <v>0.91794117978012557</v>
      </c>
      <c r="V70" s="64">
        <f t="shared" si="17"/>
        <v>2.0945562910061574E-5</v>
      </c>
      <c r="W70" s="16">
        <f t="shared" si="18"/>
        <v>9.1398185161835326E-3</v>
      </c>
      <c r="X70">
        <v>67</v>
      </c>
    </row>
    <row r="71" spans="10:24" x14ac:dyDescent="0.25">
      <c r="J71">
        <f t="shared" si="19"/>
        <v>68</v>
      </c>
      <c r="K71">
        <f>'Modelo Ajustado'!B69</f>
        <v>11500</v>
      </c>
      <c r="L71">
        <f>'Modelo Ajustado'!C69</f>
        <v>50</v>
      </c>
      <c r="M71">
        <f>'Modelo Ajustado'!D69</f>
        <v>50</v>
      </c>
      <c r="N71">
        <f>'Modelo Ajustado'!A69</f>
        <v>3100000</v>
      </c>
      <c r="O71">
        <v>4813110.5551564284</v>
      </c>
      <c r="P71">
        <f t="shared" si="12"/>
        <v>-1713110.5551564284</v>
      </c>
      <c r="Q71" s="17">
        <v>8.6606296548836798E-3</v>
      </c>
      <c r="R71">
        <f t="shared" si="13"/>
        <v>-0.35122079977733062</v>
      </c>
      <c r="S71">
        <f t="shared" si="14"/>
        <v>23852865651050.91</v>
      </c>
      <c r="T71">
        <f t="shared" si="15"/>
        <v>-0.35229293421368779</v>
      </c>
      <c r="U71">
        <f t="shared" si="16"/>
        <v>0.72483879528157491</v>
      </c>
      <c r="V71" s="64">
        <f t="shared" si="17"/>
        <v>2.7177232075855593E-4</v>
      </c>
      <c r="W71" s="16">
        <f t="shared" si="18"/>
        <v>-3.2928161987822301E-2</v>
      </c>
      <c r="X71">
        <v>68</v>
      </c>
    </row>
    <row r="72" spans="10:24" x14ac:dyDescent="0.25">
      <c r="J72">
        <f t="shared" si="19"/>
        <v>69</v>
      </c>
      <c r="K72">
        <f>'Modelo Ajustado'!B70</f>
        <v>10400</v>
      </c>
      <c r="L72">
        <f>'Modelo Ajustado'!C70</f>
        <v>17</v>
      </c>
      <c r="M72">
        <f>'Modelo Ajustado'!D70</f>
        <v>17</v>
      </c>
      <c r="N72">
        <f>'Modelo Ajustado'!A70</f>
        <v>755050</v>
      </c>
      <c r="O72">
        <v>834531.32033924153</v>
      </c>
      <c r="P72">
        <f t="shared" si="12"/>
        <v>-79481.320339241531</v>
      </c>
      <c r="Q72" s="17">
        <v>9.2150985336863882E-3</v>
      </c>
      <c r="R72">
        <f t="shared" si="13"/>
        <v>-1.6295208042984472E-2</v>
      </c>
      <c r="S72">
        <f t="shared" si="14"/>
        <v>23861657349116.273</v>
      </c>
      <c r="T72">
        <f t="shared" si="15"/>
        <v>-1.6346511359051605E-2</v>
      </c>
      <c r="U72">
        <f t="shared" si="16"/>
        <v>0.98696762502041513</v>
      </c>
      <c r="V72" s="64">
        <f t="shared" si="17"/>
        <v>6.2316212776560922E-7</v>
      </c>
      <c r="W72" s="16">
        <f t="shared" si="18"/>
        <v>-1.5764688085632861E-3</v>
      </c>
      <c r="X72">
        <v>69</v>
      </c>
    </row>
    <row r="73" spans="10:24" x14ac:dyDescent="0.25">
      <c r="J73">
        <f t="shared" si="19"/>
        <v>70</v>
      </c>
      <c r="K73">
        <f>'Modelo Ajustado'!B71</f>
        <v>10400</v>
      </c>
      <c r="L73">
        <f>'Modelo Ajustado'!C71</f>
        <v>15</v>
      </c>
      <c r="M73">
        <f>'Modelo Ajustado'!D71</f>
        <v>15</v>
      </c>
      <c r="N73">
        <f>'Modelo Ajustado'!A71</f>
        <v>1102723</v>
      </c>
      <c r="O73">
        <v>606215.60415846342</v>
      </c>
      <c r="P73">
        <f t="shared" si="12"/>
        <v>496507.39584153658</v>
      </c>
      <c r="Q73" s="17">
        <v>9.2741695875850905E-3</v>
      </c>
      <c r="R73">
        <f t="shared" si="13"/>
        <v>0.10179361987930823</v>
      </c>
      <c r="S73">
        <f t="shared" si="14"/>
        <v>23860935768091.719</v>
      </c>
      <c r="T73">
        <f t="shared" si="15"/>
        <v>0.1021186919200177</v>
      </c>
      <c r="U73">
        <f t="shared" si="16"/>
        <v>0.91872319880239761</v>
      </c>
      <c r="V73" s="64">
        <f t="shared" si="17"/>
        <v>2.4476492693983855E-5</v>
      </c>
      <c r="W73" s="16">
        <f t="shared" si="18"/>
        <v>9.8802063864400994E-3</v>
      </c>
      <c r="X73">
        <v>70</v>
      </c>
    </row>
    <row r="74" spans="10:24" x14ac:dyDescent="0.25">
      <c r="J74">
        <f t="shared" si="19"/>
        <v>71</v>
      </c>
      <c r="K74">
        <f>'Modelo Ajustado'!B72</f>
        <v>10400</v>
      </c>
      <c r="L74">
        <f>'Modelo Ajustado'!C72</f>
        <v>10</v>
      </c>
      <c r="M74">
        <f>'Modelo Ajustado'!D72</f>
        <v>20</v>
      </c>
      <c r="N74">
        <f>'Modelo Ajustado'!A72</f>
        <v>1073785</v>
      </c>
      <c r="O74">
        <v>929006.42892799899</v>
      </c>
      <c r="P74">
        <f t="shared" si="12"/>
        <v>144778.57107200101</v>
      </c>
      <c r="Q74" s="17">
        <v>8.5810955489956792E-3</v>
      </c>
      <c r="R74">
        <f t="shared" si="13"/>
        <v>2.9682407460202783E-2</v>
      </c>
      <c r="S74">
        <f t="shared" si="14"/>
        <v>23861613402026.105</v>
      </c>
      <c r="T74">
        <f t="shared" si="15"/>
        <v>2.9766363809123973E-2</v>
      </c>
      <c r="U74">
        <f t="shared" si="16"/>
        <v>0.97627100468395489</v>
      </c>
      <c r="V74" s="64">
        <f t="shared" si="17"/>
        <v>1.9229438359026539E-6</v>
      </c>
      <c r="W74" s="16">
        <f t="shared" si="18"/>
        <v>2.7692907589409108E-3</v>
      </c>
      <c r="X74">
        <v>71</v>
      </c>
    </row>
    <row r="75" spans="10:24" x14ac:dyDescent="0.25">
      <c r="J75">
        <f t="shared" si="19"/>
        <v>72</v>
      </c>
      <c r="K75">
        <f>'Modelo Ajustado'!B73</f>
        <v>16120</v>
      </c>
      <c r="L75">
        <f>'Modelo Ajustado'!C73</f>
        <v>30</v>
      </c>
      <c r="M75">
        <f>'Modelo Ajustado'!D73</f>
        <v>75</v>
      </c>
      <c r="N75">
        <f>'Modelo Ajustado'!A73</f>
        <v>4750000</v>
      </c>
      <c r="O75">
        <v>7438817.5667495839</v>
      </c>
      <c r="P75">
        <f t="shared" si="12"/>
        <v>-2688817.5667495839</v>
      </c>
      <c r="Q75" s="17">
        <v>3.6590462246701948E-3</v>
      </c>
      <c r="R75">
        <f t="shared" si="13"/>
        <v>-0.55125960984047073</v>
      </c>
      <c r="S75">
        <f t="shared" si="14"/>
        <v>23840080221213.273</v>
      </c>
      <c r="T75">
        <f t="shared" si="15"/>
        <v>-0.55170064233517102</v>
      </c>
      <c r="U75">
        <f t="shared" si="16"/>
        <v>0.58151910829664066</v>
      </c>
      <c r="V75" s="64">
        <f t="shared" si="17"/>
        <v>2.8002982396816317E-4</v>
      </c>
      <c r="W75" s="16">
        <f t="shared" si="18"/>
        <v>-3.3433623428102029E-2</v>
      </c>
      <c r="X75">
        <v>72</v>
      </c>
    </row>
    <row r="76" spans="10:24" x14ac:dyDescent="0.25">
      <c r="J76">
        <f t="shared" si="19"/>
        <v>73</v>
      </c>
      <c r="K76">
        <f>'Modelo Ajustado'!B74</f>
        <v>16432</v>
      </c>
      <c r="L76">
        <f>'Modelo Ajustado'!C74</f>
        <v>35</v>
      </c>
      <c r="M76">
        <f>'Modelo Ajustado'!D74</f>
        <v>80</v>
      </c>
      <c r="N76">
        <f>'Modelo Ajustado'!A74</f>
        <v>5100000</v>
      </c>
      <c r="O76">
        <v>8069559.0520781819</v>
      </c>
      <c r="P76">
        <f t="shared" si="12"/>
        <v>-2969559.0520781819</v>
      </c>
      <c r="Q76" s="17">
        <v>3.672459093778337E-3</v>
      </c>
      <c r="R76">
        <f t="shared" si="13"/>
        <v>-0.60881704459621089</v>
      </c>
      <c r="S76">
        <f t="shared" si="14"/>
        <v>23835334703062.82</v>
      </c>
      <c r="T76">
        <f t="shared" si="15"/>
        <v>-0.60936887931074091</v>
      </c>
      <c r="U76">
        <f t="shared" si="16"/>
        <v>0.54269055881584938</v>
      </c>
      <c r="V76" s="64">
        <f t="shared" si="17"/>
        <v>3.4282012579480689E-4</v>
      </c>
      <c r="W76" s="16">
        <f t="shared" si="18"/>
        <v>-3.6996248396241486E-2</v>
      </c>
      <c r="X76">
        <v>73</v>
      </c>
    </row>
    <row r="77" spans="10:24" x14ac:dyDescent="0.25">
      <c r="J77">
        <f t="shared" si="19"/>
        <v>74</v>
      </c>
      <c r="K77">
        <f>'Modelo Ajustado'!B75</f>
        <v>16640</v>
      </c>
      <c r="L77">
        <f>'Modelo Ajustado'!C75</f>
        <v>35</v>
      </c>
      <c r="M77">
        <f>'Modelo Ajustado'!D75</f>
        <v>94</v>
      </c>
      <c r="N77">
        <f>'Modelo Ajustado'!A75</f>
        <v>5500000</v>
      </c>
      <c r="O77">
        <v>9360539.3433060218</v>
      </c>
      <c r="P77">
        <f t="shared" si="12"/>
        <v>-3860539.3433060218</v>
      </c>
      <c r="Q77" s="17">
        <v>4.435674249320158E-3</v>
      </c>
      <c r="R77">
        <f t="shared" si="13"/>
        <v>-0.79148523815147531</v>
      </c>
      <c r="S77">
        <f t="shared" si="14"/>
        <v>23817122257543.258</v>
      </c>
      <c r="T77">
        <f t="shared" si="15"/>
        <v>-0.79280919189233701</v>
      </c>
      <c r="U77">
        <f t="shared" si="16"/>
        <v>0.42844677948563592</v>
      </c>
      <c r="V77" s="64">
        <f t="shared" si="17"/>
        <v>7.0088479707490926E-4</v>
      </c>
      <c r="W77" s="16">
        <f t="shared" si="18"/>
        <v>-5.291926894842635E-2</v>
      </c>
      <c r="X77">
        <v>74</v>
      </c>
    </row>
    <row r="78" spans="10:24" x14ac:dyDescent="0.25">
      <c r="J78">
        <f t="shared" si="19"/>
        <v>75</v>
      </c>
      <c r="K78">
        <f>'Modelo Ajustado'!B76</f>
        <v>23500</v>
      </c>
      <c r="L78">
        <f>'Modelo Ajustado'!C76</f>
        <v>96</v>
      </c>
      <c r="M78">
        <f>'Modelo Ajustado'!D76</f>
        <v>116</v>
      </c>
      <c r="N78">
        <f>'Modelo Ajustado'!A76</f>
        <v>11000000</v>
      </c>
      <c r="O78">
        <v>14157385.906859288</v>
      </c>
      <c r="P78">
        <f t="shared" si="12"/>
        <v>-3157385.906859288</v>
      </c>
      <c r="Q78" s="17">
        <v>1.0921958510903919E-2</v>
      </c>
      <c r="R78">
        <f t="shared" si="13"/>
        <v>-0.64732518288145824</v>
      </c>
      <c r="S78">
        <f t="shared" si="14"/>
        <v>23831678795527.668</v>
      </c>
      <c r="T78">
        <f t="shared" si="15"/>
        <v>-0.65033191519676026</v>
      </c>
      <c r="U78">
        <f t="shared" si="16"/>
        <v>0.51592094273139588</v>
      </c>
      <c r="V78" s="64">
        <f t="shared" si="17"/>
        <v>1.1695651423416892E-3</v>
      </c>
      <c r="W78" s="16">
        <f t="shared" si="18"/>
        <v>-6.8339224902981832E-2</v>
      </c>
      <c r="X78">
        <v>75</v>
      </c>
    </row>
    <row r="79" spans="10:24" x14ac:dyDescent="0.25">
      <c r="J79">
        <f t="shared" si="19"/>
        <v>76</v>
      </c>
      <c r="K79">
        <f>'Modelo Ajustado'!B77</f>
        <v>24000</v>
      </c>
      <c r="L79">
        <f>'Modelo Ajustado'!C77</f>
        <v>94</v>
      </c>
      <c r="M79">
        <f>'Modelo Ajustado'!D77</f>
        <v>114</v>
      </c>
      <c r="N79">
        <f>'Modelo Ajustado'!A77</f>
        <v>11000000</v>
      </c>
      <c r="O79">
        <v>14025147.426057762</v>
      </c>
      <c r="P79">
        <f t="shared" si="12"/>
        <v>-3025147.4260577615</v>
      </c>
      <c r="Q79" s="17">
        <v>1.0856267038276496E-2</v>
      </c>
      <c r="R79">
        <f t="shared" si="13"/>
        <v>-0.62021373648434563</v>
      </c>
      <c r="S79">
        <f t="shared" si="14"/>
        <v>23834140734094.266</v>
      </c>
      <c r="T79">
        <f t="shared" si="15"/>
        <v>-0.62304166814741002</v>
      </c>
      <c r="U79">
        <f t="shared" si="16"/>
        <v>0.53367854107678447</v>
      </c>
      <c r="V79" s="64">
        <f t="shared" si="17"/>
        <v>1.0670492874241485E-3</v>
      </c>
      <c r="W79" s="16">
        <f t="shared" si="18"/>
        <v>-6.5272109616243953E-2</v>
      </c>
      <c r="X79">
        <v>76</v>
      </c>
    </row>
    <row r="80" spans="10:24" x14ac:dyDescent="0.25">
      <c r="J80">
        <f t="shared" si="19"/>
        <v>77</v>
      </c>
      <c r="K80">
        <f>'Modelo Ajustado'!B78</f>
        <v>24600</v>
      </c>
      <c r="L80">
        <f>'Modelo Ajustado'!C78</f>
        <v>99</v>
      </c>
      <c r="M80">
        <f>'Modelo Ajustado'!D78</f>
        <v>119</v>
      </c>
      <c r="N80">
        <f>'Modelo Ajustado'!A78</f>
        <v>11000000</v>
      </c>
      <c r="O80">
        <v>14711229.398964806</v>
      </c>
      <c r="P80">
        <f t="shared" si="12"/>
        <v>-3711229.3989648055</v>
      </c>
      <c r="Q80" s="17">
        <v>1.2185283112766761E-2</v>
      </c>
      <c r="R80">
        <f t="shared" si="13"/>
        <v>-0.76087381152265376</v>
      </c>
      <c r="S80">
        <f t="shared" si="14"/>
        <v>23820178930854.234</v>
      </c>
      <c r="T80">
        <f t="shared" si="15"/>
        <v>-0.76508122404782242</v>
      </c>
      <c r="U80">
        <f t="shared" si="16"/>
        <v>0.44475862316780834</v>
      </c>
      <c r="V80" s="64">
        <f t="shared" si="17"/>
        <v>1.8073818684186346E-3</v>
      </c>
      <c r="W80" s="16">
        <f t="shared" si="18"/>
        <v>-8.4974302798307449E-2</v>
      </c>
      <c r="X80">
        <v>77</v>
      </c>
    </row>
    <row r="81" spans="10:24" x14ac:dyDescent="0.25">
      <c r="J81">
        <f t="shared" si="19"/>
        <v>78</v>
      </c>
      <c r="K81">
        <f>'Modelo Ajustado'!B79</f>
        <v>12480</v>
      </c>
      <c r="L81">
        <f>'Modelo Ajustado'!C79</f>
        <v>8</v>
      </c>
      <c r="M81">
        <f>'Modelo Ajustado'!D79</f>
        <v>8</v>
      </c>
      <c r="N81">
        <f>'Modelo Ajustado'!A79</f>
        <v>990400</v>
      </c>
      <c r="O81">
        <v>206791.89670342254</v>
      </c>
      <c r="P81">
        <f t="shared" si="12"/>
        <v>783608.10329657746</v>
      </c>
      <c r="Q81" s="17">
        <v>7.6074442203590597E-3</v>
      </c>
      <c r="R81">
        <f t="shared" si="13"/>
        <v>0.16065481817470331</v>
      </c>
      <c r="S81">
        <f t="shared" si="14"/>
        <v>23859834811258.781</v>
      </c>
      <c r="T81">
        <f t="shared" si="15"/>
        <v>0.16103617748914989</v>
      </c>
      <c r="U81">
        <f t="shared" si="16"/>
        <v>0.87216140013818377</v>
      </c>
      <c r="V81" s="64">
        <f t="shared" si="17"/>
        <v>4.9842440553096968E-5</v>
      </c>
      <c r="W81" s="16">
        <f t="shared" si="18"/>
        <v>1.4099414964578397E-2</v>
      </c>
      <c r="X81">
        <v>78</v>
      </c>
    </row>
    <row r="82" spans="10:24" x14ac:dyDescent="0.25">
      <c r="J82">
        <f t="shared" si="19"/>
        <v>79</v>
      </c>
      <c r="K82">
        <f>'Modelo Ajustado'!B80</f>
        <v>13520</v>
      </c>
      <c r="L82">
        <f>'Modelo Ajustado'!C80</f>
        <v>16</v>
      </c>
      <c r="M82">
        <f>'Modelo Ajustado'!D80</f>
        <v>16</v>
      </c>
      <c r="N82">
        <f>'Modelo Ajustado'!A80</f>
        <v>1166100</v>
      </c>
      <c r="O82">
        <v>1319895.4110153741</v>
      </c>
      <c r="P82">
        <f t="shared" si="12"/>
        <v>-153795.41101537412</v>
      </c>
      <c r="Q82" s="17">
        <v>6.5086273685145473E-3</v>
      </c>
      <c r="R82">
        <f t="shared" si="13"/>
        <v>-3.1531034057501697E-2</v>
      </c>
      <c r="S82">
        <f t="shared" si="14"/>
        <v>23861605468313.676</v>
      </c>
      <c r="T82">
        <f t="shared" si="15"/>
        <v>-3.1587226651424931E-2</v>
      </c>
      <c r="U82">
        <f t="shared" si="16"/>
        <v>0.97481992887330404</v>
      </c>
      <c r="V82" s="64">
        <f t="shared" si="17"/>
        <v>1.6389950569985269E-6</v>
      </c>
      <c r="W82" s="16">
        <f t="shared" si="18"/>
        <v>-2.5566669104445509E-3</v>
      </c>
      <c r="X82">
        <v>79</v>
      </c>
    </row>
    <row r="83" spans="10:24" x14ac:dyDescent="0.25">
      <c r="J83">
        <f t="shared" si="19"/>
        <v>80</v>
      </c>
      <c r="K83">
        <f>'Modelo Ajustado'!B81</f>
        <v>14560</v>
      </c>
      <c r="L83">
        <f>'Modelo Ajustado'!C81</f>
        <v>20</v>
      </c>
      <c r="M83">
        <f>'Modelo Ajustado'!D81</f>
        <v>20</v>
      </c>
      <c r="N83">
        <f>'Modelo Ajustado'!A81</f>
        <v>1815900</v>
      </c>
      <c r="O83">
        <v>1976367.4929657714</v>
      </c>
      <c r="P83">
        <f t="shared" si="12"/>
        <v>-160467.49296577135</v>
      </c>
      <c r="Q83" s="17">
        <v>5.7679660865227241E-3</v>
      </c>
      <c r="R83">
        <f t="shared" si="13"/>
        <v>-3.2898939912582033E-2</v>
      </c>
      <c r="S83">
        <f t="shared" si="14"/>
        <v>23861599244455.758</v>
      </c>
      <c r="T83">
        <f t="shared" si="15"/>
        <v>-3.2945296304640846E-2</v>
      </c>
      <c r="U83">
        <f t="shared" si="16"/>
        <v>0.97373771486454064</v>
      </c>
      <c r="V83" s="64">
        <f t="shared" si="17"/>
        <v>1.5788868633234746E-6</v>
      </c>
      <c r="W83" s="16">
        <f t="shared" si="18"/>
        <v>-2.5093479824838043E-3</v>
      </c>
      <c r="X83">
        <v>80</v>
      </c>
    </row>
    <row r="84" spans="10:24" x14ac:dyDescent="0.25">
      <c r="J84">
        <f t="shared" si="19"/>
        <v>81</v>
      </c>
      <c r="K84">
        <f>'Modelo Ajustado'!B82</f>
        <v>12700</v>
      </c>
      <c r="L84">
        <f>'Modelo Ajustado'!C82</f>
        <v>4</v>
      </c>
      <c r="M84">
        <f>'Modelo Ajustado'!D82</f>
        <v>10</v>
      </c>
      <c r="N84">
        <f>'Modelo Ajustado'!A82</f>
        <v>1212478</v>
      </c>
      <c r="O84">
        <v>328582.51704162452</v>
      </c>
      <c r="P84">
        <f t="shared" si="12"/>
        <v>883895.48295837548</v>
      </c>
      <c r="Q84" s="17">
        <v>7.0903578184935909E-3</v>
      </c>
      <c r="R84">
        <f t="shared" si="13"/>
        <v>0.1812156708215853</v>
      </c>
      <c r="S84">
        <f t="shared" si="14"/>
        <v>23859334509120.117</v>
      </c>
      <c r="T84">
        <f t="shared" si="15"/>
        <v>0.18160043621564986</v>
      </c>
      <c r="U84">
        <f t="shared" si="16"/>
        <v>0.85600548362132767</v>
      </c>
      <c r="V84" s="64">
        <f t="shared" si="17"/>
        <v>5.9044603027088468E-5</v>
      </c>
      <c r="W84" s="16">
        <f t="shared" si="18"/>
        <v>1.5346032005306553E-2</v>
      </c>
      <c r="X84">
        <v>81</v>
      </c>
    </row>
    <row r="85" spans="10:24" x14ac:dyDescent="0.25">
      <c r="J85">
        <f t="shared" si="19"/>
        <v>82</v>
      </c>
      <c r="K85">
        <f>'Modelo Ajustado'!B83</f>
        <v>13600</v>
      </c>
      <c r="L85">
        <f>'Modelo Ajustado'!C83</f>
        <v>3</v>
      </c>
      <c r="M85">
        <f>'Modelo Ajustado'!D83</f>
        <v>14</v>
      </c>
      <c r="N85">
        <f>'Modelo Ajustado'!A83</f>
        <v>1159622</v>
      </c>
      <c r="O85">
        <v>834153.74024462653</v>
      </c>
      <c r="P85">
        <f t="shared" si="12"/>
        <v>325468.25975537347</v>
      </c>
      <c r="Q85" s="17">
        <v>6.1116726807471048E-3</v>
      </c>
      <c r="R85">
        <f t="shared" si="13"/>
        <v>6.6727288644240601E-2</v>
      </c>
      <c r="S85">
        <f t="shared" si="14"/>
        <v>23861359120127.984</v>
      </c>
      <c r="T85">
        <f t="shared" si="15"/>
        <v>6.6833200373622878E-2</v>
      </c>
      <c r="U85">
        <f t="shared" si="16"/>
        <v>0.9467541243974289</v>
      </c>
      <c r="V85" s="64">
        <f t="shared" si="17"/>
        <v>6.8870283726180413E-6</v>
      </c>
      <c r="W85" s="16">
        <f t="shared" si="18"/>
        <v>5.2408714423949386E-3</v>
      </c>
      <c r="X85">
        <v>82</v>
      </c>
    </row>
    <row r="86" spans="10:24" x14ac:dyDescent="0.25">
      <c r="J86">
        <f t="shared" si="19"/>
        <v>83</v>
      </c>
      <c r="K86">
        <f>'Modelo Ajustado'!B84</f>
        <v>14900</v>
      </c>
      <c r="L86">
        <f>'Modelo Ajustado'!C84</f>
        <v>0</v>
      </c>
      <c r="M86">
        <f>'Modelo Ajustado'!D84</f>
        <v>17</v>
      </c>
      <c r="N86">
        <f>'Modelo Ajustado'!A84</f>
        <v>1612170</v>
      </c>
      <c r="O86">
        <v>1277629.0470923982</v>
      </c>
      <c r="P86">
        <f t="shared" si="12"/>
        <v>334540.95290760184</v>
      </c>
      <c r="Q86" s="17">
        <v>5.182691981204305E-3</v>
      </c>
      <c r="R86">
        <f t="shared" si="13"/>
        <v>6.8587366229699756E-2</v>
      </c>
      <c r="S86">
        <f t="shared" si="14"/>
        <v>23861341501885.344</v>
      </c>
      <c r="T86">
        <f t="shared" si="15"/>
        <v>6.8664173221993557E-2</v>
      </c>
      <c r="U86">
        <f t="shared" si="16"/>
        <v>0.9452976592481156</v>
      </c>
      <c r="V86" s="64">
        <f t="shared" si="17"/>
        <v>6.158812667245502E-6</v>
      </c>
      <c r="W86" s="16">
        <f t="shared" si="18"/>
        <v>4.956056264031344E-3</v>
      </c>
      <c r="X86">
        <v>83</v>
      </c>
    </row>
    <row r="87" spans="10:24" x14ac:dyDescent="0.25">
      <c r="J87">
        <f t="shared" si="19"/>
        <v>84</v>
      </c>
      <c r="K87">
        <f>'Modelo Ajustado'!B85</f>
        <v>14538</v>
      </c>
      <c r="L87">
        <f>'Modelo Ajustado'!C85</f>
        <v>30</v>
      </c>
      <c r="M87">
        <f>'Modelo Ajustado'!D85</f>
        <v>127</v>
      </c>
      <c r="N87">
        <f>'Modelo Ajustado'!A85</f>
        <v>12200000</v>
      </c>
      <c r="O87">
        <v>11781445.793161334</v>
      </c>
      <c r="P87">
        <f t="shared" si="12"/>
        <v>418554.20683866553</v>
      </c>
      <c r="Q87" s="17">
        <v>1.0191728611415615E-2</v>
      </c>
      <c r="R87">
        <f t="shared" si="13"/>
        <v>8.5811708318275462E-2</v>
      </c>
      <c r="S87">
        <f t="shared" si="14"/>
        <v>23861149565077.469</v>
      </c>
      <c r="T87">
        <f t="shared" si="15"/>
        <v>8.6125248995468362E-2</v>
      </c>
      <c r="U87">
        <f t="shared" si="16"/>
        <v>0.93141799901966438</v>
      </c>
      <c r="V87" s="64">
        <f t="shared" si="17"/>
        <v>1.9150441803723473E-5</v>
      </c>
      <c r="W87" s="16">
        <f t="shared" si="18"/>
        <v>8.7393448447475371E-3</v>
      </c>
      <c r="X87">
        <v>84</v>
      </c>
    </row>
    <row r="88" spans="10:24" x14ac:dyDescent="0.25">
      <c r="J88">
        <f t="shared" si="19"/>
        <v>85</v>
      </c>
      <c r="K88">
        <f>'Modelo Ajustado'!B86</f>
        <v>14865</v>
      </c>
      <c r="L88">
        <f>'Modelo Ajustado'!C86</f>
        <v>87</v>
      </c>
      <c r="M88">
        <f>'Modelo Ajustado'!D86</f>
        <v>128</v>
      </c>
      <c r="N88">
        <f>'Modelo Ajustado'!A86</f>
        <v>12000000</v>
      </c>
      <c r="O88">
        <v>13347229.571011245</v>
      </c>
      <c r="P88">
        <f t="shared" si="12"/>
        <v>-1347229.5710112453</v>
      </c>
      <c r="Q88" s="17">
        <v>9.193322910440279E-3</v>
      </c>
      <c r="R88">
        <f t="shared" si="13"/>
        <v>-0.27620812094700614</v>
      </c>
      <c r="S88">
        <f t="shared" si="14"/>
        <v>23856224335903.93</v>
      </c>
      <c r="T88">
        <f t="shared" si="15"/>
        <v>-0.27710622973305671</v>
      </c>
      <c r="U88">
        <f t="shared" si="16"/>
        <v>0.78186843359454961</v>
      </c>
      <c r="V88" s="64">
        <f t="shared" si="17"/>
        <v>1.7861073631230637E-4</v>
      </c>
      <c r="W88" s="16">
        <f t="shared" si="18"/>
        <v>-2.6692428279370354E-2</v>
      </c>
      <c r="X88">
        <v>85</v>
      </c>
    </row>
    <row r="89" spans="10:24" x14ac:dyDescent="0.25">
      <c r="J89">
        <f t="shared" si="19"/>
        <v>86</v>
      </c>
      <c r="K89">
        <f>'Modelo Ajustado'!B87</f>
        <v>24900</v>
      </c>
      <c r="L89">
        <f>'Modelo Ajustado'!C87</f>
        <v>0</v>
      </c>
      <c r="M89">
        <f>'Modelo Ajustado'!D87</f>
        <v>22</v>
      </c>
      <c r="N89">
        <f>'Modelo Ajustado'!A87</f>
        <v>1650831</v>
      </c>
      <c r="O89">
        <v>3645963.8122881441</v>
      </c>
      <c r="P89">
        <f t="shared" si="12"/>
        <v>-1995132.8122881441</v>
      </c>
      <c r="Q89" s="17">
        <v>6.2063974095619206E-3</v>
      </c>
      <c r="R89">
        <f t="shared" si="13"/>
        <v>-0.40904081752613525</v>
      </c>
      <c r="S89">
        <f t="shared" si="14"/>
        <v>23849755450025.59</v>
      </c>
      <c r="T89">
        <f t="shared" si="15"/>
        <v>-0.4098092413603921</v>
      </c>
      <c r="U89">
        <f t="shared" si="16"/>
        <v>0.68220626185975419</v>
      </c>
      <c r="V89" s="64">
        <f t="shared" si="17"/>
        <v>2.6285757179159906E-4</v>
      </c>
      <c r="W89" s="16">
        <f t="shared" si="18"/>
        <v>-3.2385711281738269E-2</v>
      </c>
      <c r="X89">
        <v>86</v>
      </c>
    </row>
    <row r="90" spans="10:24" x14ac:dyDescent="0.25">
      <c r="J90">
        <f t="shared" si="19"/>
        <v>87</v>
      </c>
      <c r="K90">
        <f>'Modelo Ajustado'!B88</f>
        <v>23000</v>
      </c>
      <c r="L90">
        <f>'Modelo Ajustado'!C88</f>
        <v>0</v>
      </c>
      <c r="M90">
        <f>'Modelo Ajustado'!D88</f>
        <v>37</v>
      </c>
      <c r="N90">
        <f>'Modelo Ajustado'!A88</f>
        <v>1817961</v>
      </c>
      <c r="O90">
        <v>4621240.4906792138</v>
      </c>
      <c r="P90">
        <f t="shared" si="12"/>
        <v>-2803279.4906792138</v>
      </c>
      <c r="Q90" s="17">
        <v>4.8567292929370051E-3</v>
      </c>
      <c r="R90">
        <f t="shared" si="13"/>
        <v>-0.57472651823445098</v>
      </c>
      <c r="S90">
        <f t="shared" si="14"/>
        <v>23838174158229.906</v>
      </c>
      <c r="T90">
        <f t="shared" si="15"/>
        <v>-0.5755553566070255</v>
      </c>
      <c r="U90">
        <f t="shared" si="16"/>
        <v>0.56529987192176556</v>
      </c>
      <c r="V90" s="64">
        <f t="shared" si="17"/>
        <v>4.0498147434572503E-4</v>
      </c>
      <c r="W90" s="16">
        <f t="shared" si="18"/>
        <v>-4.0208349244500702E-2</v>
      </c>
      <c r="X90">
        <v>87</v>
      </c>
    </row>
    <row r="91" spans="10:24" x14ac:dyDescent="0.25">
      <c r="J91">
        <f t="shared" si="19"/>
        <v>88</v>
      </c>
      <c r="K91">
        <f>'Modelo Ajustado'!B89</f>
        <v>23200</v>
      </c>
      <c r="L91">
        <f>'Modelo Ajustado'!C89</f>
        <v>0</v>
      </c>
      <c r="M91">
        <f>'Modelo Ajustado'!D89</f>
        <v>44</v>
      </c>
      <c r="N91">
        <f>'Modelo Ajustado'!A89</f>
        <v>1642441</v>
      </c>
      <c r="O91">
        <v>5285177.4654859509</v>
      </c>
      <c r="P91">
        <f t="shared" si="12"/>
        <v>-3642736.4654859509</v>
      </c>
      <c r="Q91" s="17">
        <v>5.1184701944506673E-3</v>
      </c>
      <c r="R91">
        <f t="shared" si="13"/>
        <v>-0.74683143532975116</v>
      </c>
      <c r="S91">
        <f t="shared" si="14"/>
        <v>23821980497798.344</v>
      </c>
      <c r="T91">
        <f t="shared" si="15"/>
        <v>-0.7482610461281215</v>
      </c>
      <c r="U91">
        <f t="shared" si="16"/>
        <v>0.45482458473574938</v>
      </c>
      <c r="V91" s="64">
        <f t="shared" si="17"/>
        <v>7.2107863946578598E-4</v>
      </c>
      <c r="W91" s="16">
        <f t="shared" si="18"/>
        <v>-5.3670734903371674E-2</v>
      </c>
      <c r="X91">
        <v>88</v>
      </c>
    </row>
    <row r="92" spans="10:24" x14ac:dyDescent="0.25">
      <c r="J92">
        <f t="shared" si="19"/>
        <v>89</v>
      </c>
      <c r="K92">
        <f>'Modelo Ajustado'!B90</f>
        <v>8840</v>
      </c>
      <c r="L92">
        <f>'Modelo Ajustado'!C90</f>
        <v>60</v>
      </c>
      <c r="M92">
        <f>'Modelo Ajustado'!D90</f>
        <v>60</v>
      </c>
      <c r="N92">
        <f>'Modelo Ajustado'!A90</f>
        <v>7000000</v>
      </c>
      <c r="O92">
        <v>5443558.2438427079</v>
      </c>
      <c r="P92">
        <f t="shared" si="12"/>
        <v>1556441.7561572921</v>
      </c>
      <c r="Q92" s="17">
        <v>1.2323888151325723E-2</v>
      </c>
      <c r="R92">
        <f t="shared" si="13"/>
        <v>0.31910066560443362</v>
      </c>
      <c r="S92">
        <f t="shared" si="14"/>
        <v>23854376509307.906</v>
      </c>
      <c r="T92">
        <f t="shared" si="15"/>
        <v>0.32065761917182478</v>
      </c>
      <c r="U92">
        <f t="shared" si="16"/>
        <v>0.74866861172291788</v>
      </c>
      <c r="V92" s="64">
        <f t="shared" si="17"/>
        <v>3.2159854634621646E-4</v>
      </c>
      <c r="W92" s="16">
        <f t="shared" si="18"/>
        <v>3.5818563354501294E-2</v>
      </c>
      <c r="X92">
        <v>89</v>
      </c>
    </row>
    <row r="93" spans="10:24" x14ac:dyDescent="0.25">
      <c r="J93">
        <f t="shared" si="19"/>
        <v>90</v>
      </c>
      <c r="K93">
        <f>'Modelo Ajustado'!B91</f>
        <v>9880</v>
      </c>
      <c r="L93">
        <f>'Modelo Ajustado'!C91</f>
        <v>65</v>
      </c>
      <c r="M93">
        <f>'Modelo Ajustado'!D91</f>
        <v>65</v>
      </c>
      <c r="N93">
        <f>'Modelo Ajustado'!A91</f>
        <v>8500000</v>
      </c>
      <c r="O93">
        <v>6214188.1838834919</v>
      </c>
      <c r="P93">
        <f t="shared" si="12"/>
        <v>2285811.8161165081</v>
      </c>
      <c r="Q93" s="17">
        <v>1.1539973428207473E-2</v>
      </c>
      <c r="R93">
        <f t="shared" si="13"/>
        <v>0.46863563579152934</v>
      </c>
      <c r="S93">
        <f t="shared" si="14"/>
        <v>23845944375382.68</v>
      </c>
      <c r="T93">
        <f t="shared" si="15"/>
        <v>0.47081864658711808</v>
      </c>
      <c r="U93">
        <f t="shared" si="16"/>
        <v>0.63807484617248644</v>
      </c>
      <c r="V93" s="64">
        <f t="shared" si="17"/>
        <v>6.4848093894248236E-4</v>
      </c>
      <c r="W93" s="16">
        <f t="shared" si="18"/>
        <v>5.0871729585422652E-2</v>
      </c>
      <c r="X93">
        <v>90</v>
      </c>
    </row>
    <row r="94" spans="10:24" x14ac:dyDescent="0.25">
      <c r="J94">
        <f t="shared" si="19"/>
        <v>91</v>
      </c>
      <c r="K94">
        <f>'Modelo Ajustado'!B92</f>
        <v>10920</v>
      </c>
      <c r="L94">
        <f>'Modelo Ajustado'!C92</f>
        <v>70</v>
      </c>
      <c r="M94">
        <f>'Modelo Ajustado'!D92</f>
        <v>70</v>
      </c>
      <c r="N94">
        <f>'Modelo Ajustado'!A92</f>
        <v>11000000</v>
      </c>
      <c r="O94">
        <v>6984818.1239242796</v>
      </c>
      <c r="P94">
        <f t="shared" si="12"/>
        <v>4015181.8760757204</v>
      </c>
      <c r="Q94" s="17">
        <v>1.0955901674014248E-2</v>
      </c>
      <c r="R94">
        <f t="shared" si="13"/>
        <v>0.82318994855412997</v>
      </c>
      <c r="S94">
        <f t="shared" si="14"/>
        <v>23813163618123.945</v>
      </c>
      <c r="T94">
        <f t="shared" si="15"/>
        <v>0.82734919072912505</v>
      </c>
      <c r="U94">
        <f t="shared" si="16"/>
        <v>0.40862462585278758</v>
      </c>
      <c r="V94" s="64">
        <f t="shared" si="17"/>
        <v>1.8973914564914486E-3</v>
      </c>
      <c r="W94" s="16">
        <f t="shared" si="18"/>
        <v>8.7077325472499301E-2</v>
      </c>
      <c r="X94">
        <v>91</v>
      </c>
    </row>
    <row r="95" spans="10:24" x14ac:dyDescent="0.25">
      <c r="J95">
        <f t="shared" si="19"/>
        <v>92</v>
      </c>
      <c r="K95">
        <f>'Modelo Ajustado'!B93</f>
        <v>18000</v>
      </c>
      <c r="L95">
        <f>'Modelo Ajustado'!C93</f>
        <v>3</v>
      </c>
      <c r="M95">
        <f>'Modelo Ajustado'!D93</f>
        <v>27</v>
      </c>
      <c r="N95">
        <f>'Modelo Ajustado'!A93</f>
        <v>4600000</v>
      </c>
      <c r="O95">
        <v>2841287.5613699532</v>
      </c>
      <c r="P95">
        <f t="shared" si="12"/>
        <v>1758712.4386300468</v>
      </c>
      <c r="Q95" s="17">
        <v>3.7592148525975961E-3</v>
      </c>
      <c r="R95">
        <f t="shared" si="13"/>
        <v>0.36057006794729668</v>
      </c>
      <c r="S95">
        <f t="shared" si="14"/>
        <v>23852436025325.949</v>
      </c>
      <c r="T95">
        <f t="shared" si="15"/>
        <v>0.36078320032118255</v>
      </c>
      <c r="U95">
        <f t="shared" si="16"/>
        <v>0.71848756686291315</v>
      </c>
      <c r="V95" s="64">
        <f t="shared" si="17"/>
        <v>1.2310845056061332E-4</v>
      </c>
      <c r="W95" s="16">
        <f t="shared" si="18"/>
        <v>2.2162192453982498E-2</v>
      </c>
      <c r="X95">
        <v>92</v>
      </c>
    </row>
    <row r="96" spans="10:24" x14ac:dyDescent="0.25">
      <c r="J96">
        <f t="shared" si="19"/>
        <v>93</v>
      </c>
      <c r="K96">
        <f>'Modelo Ajustado'!B94</f>
        <v>19000</v>
      </c>
      <c r="L96">
        <f>'Modelo Ajustado'!C94</f>
        <v>2</v>
      </c>
      <c r="M96">
        <f>'Modelo Ajustado'!D94</f>
        <v>28</v>
      </c>
      <c r="N96">
        <f>'Modelo Ajustado'!A94</f>
        <v>4900000</v>
      </c>
      <c r="O96">
        <v>3098000.1970823617</v>
      </c>
      <c r="P96">
        <f t="shared" si="12"/>
        <v>1801999.8029176383</v>
      </c>
      <c r="Q96" s="17">
        <v>3.72065588444129E-3</v>
      </c>
      <c r="R96">
        <f t="shared" si="13"/>
        <v>0.36944481491536513</v>
      </c>
      <c r="S96">
        <f t="shared" si="14"/>
        <v>23851975938105.918</v>
      </c>
      <c r="T96">
        <f t="shared" si="15"/>
        <v>0.3696596047173985</v>
      </c>
      <c r="U96">
        <f t="shared" si="16"/>
        <v>0.71186831388927707</v>
      </c>
      <c r="V96" s="64">
        <f t="shared" si="17"/>
        <v>1.2790761841448482E-4</v>
      </c>
      <c r="W96" s="16">
        <f t="shared" si="18"/>
        <v>2.2590257645444551E-2</v>
      </c>
      <c r="X96">
        <v>93</v>
      </c>
    </row>
    <row r="97" spans="10:24" x14ac:dyDescent="0.25">
      <c r="J97">
        <f t="shared" si="19"/>
        <v>94</v>
      </c>
      <c r="K97">
        <f>'Modelo Ajustado'!B95</f>
        <v>21000</v>
      </c>
      <c r="L97">
        <f>'Modelo Ajustado'!C95</f>
        <v>6</v>
      </c>
      <c r="M97">
        <f>'Modelo Ajustado'!D95</f>
        <v>30</v>
      </c>
      <c r="N97">
        <f>'Modelo Ajustado'!A95</f>
        <v>5600000</v>
      </c>
      <c r="O97">
        <v>3760224.5479166224</v>
      </c>
      <c r="P97">
        <f t="shared" si="12"/>
        <v>1839775.4520833776</v>
      </c>
      <c r="Q97" s="17">
        <v>3.8200859398049942E-3</v>
      </c>
      <c r="R97">
        <f t="shared" si="13"/>
        <v>0.37718955367268797</v>
      </c>
      <c r="S97">
        <f t="shared" si="14"/>
        <v>23851563964032.68</v>
      </c>
      <c r="T97">
        <f t="shared" si="15"/>
        <v>0.37743094005373318</v>
      </c>
      <c r="U97">
        <f t="shared" si="16"/>
        <v>0.70609095829076773</v>
      </c>
      <c r="V97" s="64">
        <f t="shared" si="17"/>
        <v>1.3691684815069516E-4</v>
      </c>
      <c r="W97" s="16">
        <f t="shared" si="18"/>
        <v>2.3372500351153468E-2</v>
      </c>
      <c r="X97">
        <v>94</v>
      </c>
    </row>
    <row r="98" spans="10:24" x14ac:dyDescent="0.25">
      <c r="J98">
        <f t="shared" si="19"/>
        <v>95</v>
      </c>
      <c r="K98">
        <f>'Modelo Ajustado'!B96</f>
        <v>21830</v>
      </c>
      <c r="L98">
        <f>'Modelo Ajustado'!C96</f>
        <v>25</v>
      </c>
      <c r="M98">
        <f>'Modelo Ajustado'!D96</f>
        <v>25</v>
      </c>
      <c r="N98">
        <f>'Modelo Ajustado'!A96</f>
        <v>2900000</v>
      </c>
      <c r="O98">
        <v>3944119.7858320153</v>
      </c>
      <c r="P98">
        <f t="shared" si="12"/>
        <v>-1044119.7858320153</v>
      </c>
      <c r="Q98" s="17">
        <v>4.9625643504349832E-3</v>
      </c>
      <c r="R98">
        <f t="shared" si="13"/>
        <v>-0.21406475206135764</v>
      </c>
      <c r="S98">
        <f t="shared" si="14"/>
        <v>23858415541997.656</v>
      </c>
      <c r="T98">
        <f t="shared" si="15"/>
        <v>-0.21429390371127616</v>
      </c>
      <c r="U98">
        <f t="shared" si="16"/>
        <v>0.83044747631266258</v>
      </c>
      <c r="V98" s="64">
        <f t="shared" si="17"/>
        <v>5.7419266978762821E-5</v>
      </c>
      <c r="W98" s="16">
        <f t="shared" si="18"/>
        <v>-1.5133632443154729E-2</v>
      </c>
      <c r="X98">
        <v>95</v>
      </c>
    </row>
    <row r="99" spans="10:24" x14ac:dyDescent="0.25">
      <c r="J99">
        <f t="shared" si="19"/>
        <v>96</v>
      </c>
      <c r="K99">
        <f>'Modelo Ajustado'!B97</f>
        <v>22454</v>
      </c>
      <c r="L99">
        <f>'Modelo Ajustado'!C97</f>
        <v>25</v>
      </c>
      <c r="M99">
        <f>'Modelo Ajustado'!D97</f>
        <v>25</v>
      </c>
      <c r="N99">
        <f>'Modelo Ajustado'!A97</f>
        <v>2800000</v>
      </c>
      <c r="O99">
        <v>4064024.1755853198</v>
      </c>
      <c r="P99">
        <f t="shared" si="12"/>
        <v>-1264024.1755853198</v>
      </c>
      <c r="Q99" s="17">
        <v>5.2049369351271487E-3</v>
      </c>
      <c r="R99">
        <f t="shared" si="13"/>
        <v>-0.25914940547804788</v>
      </c>
      <c r="S99">
        <f t="shared" si="14"/>
        <v>23856896215731.414</v>
      </c>
      <c r="T99">
        <f t="shared" si="15"/>
        <v>-0.25946668248248123</v>
      </c>
      <c r="U99">
        <f t="shared" si="16"/>
        <v>0.79543361592867856</v>
      </c>
      <c r="V99" s="64">
        <f t="shared" si="17"/>
        <v>8.8305686588766678E-5</v>
      </c>
      <c r="W99" s="16">
        <f t="shared" si="18"/>
        <v>-1.8768195742846383E-2</v>
      </c>
      <c r="X99">
        <v>96</v>
      </c>
    </row>
    <row r="100" spans="10:24" x14ac:dyDescent="0.25">
      <c r="J100">
        <f t="shared" si="19"/>
        <v>97</v>
      </c>
      <c r="K100">
        <f>'Modelo Ajustado'!B98</f>
        <v>23078</v>
      </c>
      <c r="L100">
        <f>'Modelo Ajustado'!C98</f>
        <v>25</v>
      </c>
      <c r="M100">
        <f>'Modelo Ajustado'!D98</f>
        <v>25</v>
      </c>
      <c r="N100">
        <f>'Modelo Ajustado'!A98</f>
        <v>2900000</v>
      </c>
      <c r="O100">
        <v>4183928.5653386242</v>
      </c>
      <c r="P100">
        <f t="shared" si="12"/>
        <v>-1283928.5653386242</v>
      </c>
      <c r="Q100" s="17">
        <v>5.4957010519078829E-3</v>
      </c>
      <c r="R100">
        <f t="shared" si="13"/>
        <v>-0.26323019037963702</v>
      </c>
      <c r="S100">
        <f t="shared" si="14"/>
        <v>23856743045245.141</v>
      </c>
      <c r="T100">
        <f t="shared" si="15"/>
        <v>-0.26359183439694805</v>
      </c>
      <c r="U100">
        <f t="shared" si="16"/>
        <v>0.7922555518937362</v>
      </c>
      <c r="V100" s="64">
        <f t="shared" si="17"/>
        <v>9.6254529466747738E-5</v>
      </c>
      <c r="W100" s="16">
        <f t="shared" si="18"/>
        <v>-1.9594770006698015E-2</v>
      </c>
      <c r="X100">
        <v>97</v>
      </c>
    </row>
    <row r="101" spans="10:24" x14ac:dyDescent="0.25">
      <c r="J101">
        <f t="shared" si="19"/>
        <v>98</v>
      </c>
      <c r="K101">
        <f>'Modelo Ajustado'!B99</f>
        <v>18500</v>
      </c>
      <c r="L101">
        <f>'Modelo Ajustado'!C99</f>
        <v>16</v>
      </c>
      <c r="M101">
        <f>'Modelo Ajustado'!D99</f>
        <v>16</v>
      </c>
      <c r="N101">
        <f>'Modelo Ajustado'!A99</f>
        <v>1100000</v>
      </c>
      <c r="O101">
        <v>2276824.6753927073</v>
      </c>
      <c r="P101">
        <f t="shared" si="12"/>
        <v>-1176824.6753927073</v>
      </c>
      <c r="Q101" s="17">
        <v>4.6502437876976927E-3</v>
      </c>
      <c r="R101">
        <f t="shared" si="13"/>
        <v>-0.24127182127564581</v>
      </c>
      <c r="S101">
        <f t="shared" si="14"/>
        <v>23857535293856.043</v>
      </c>
      <c r="T101">
        <f t="shared" si="15"/>
        <v>-0.24149665591403596</v>
      </c>
      <c r="U101">
        <f t="shared" si="16"/>
        <v>0.80931708222437915</v>
      </c>
      <c r="V101" s="64">
        <f t="shared" si="17"/>
        <v>6.8308933722220795E-5</v>
      </c>
      <c r="W101" s="16">
        <f t="shared" si="18"/>
        <v>-1.650673293113681E-2</v>
      </c>
      <c r="X101">
        <v>98</v>
      </c>
    </row>
    <row r="102" spans="10:24" x14ac:dyDescent="0.25">
      <c r="J102">
        <f t="shared" si="19"/>
        <v>99</v>
      </c>
      <c r="K102">
        <f>'Modelo Ajustado'!B100</f>
        <v>21000</v>
      </c>
      <c r="L102">
        <f>'Modelo Ajustado'!C100</f>
        <v>19</v>
      </c>
      <c r="M102">
        <f>'Modelo Ajustado'!D100</f>
        <v>19</v>
      </c>
      <c r="N102">
        <f>'Modelo Ajustado'!A100</f>
        <v>2050000</v>
      </c>
      <c r="O102">
        <v>3099684.4265601267</v>
      </c>
      <c r="P102">
        <f t="shared" si="12"/>
        <v>-1049684.4265601267</v>
      </c>
      <c r="Q102" s="17">
        <v>4.8008551222916808E-3</v>
      </c>
      <c r="R102">
        <f t="shared" si="13"/>
        <v>-0.21520561104510391</v>
      </c>
      <c r="S102">
        <f t="shared" si="14"/>
        <v>23858381228167.258</v>
      </c>
      <c r="T102">
        <f t="shared" si="15"/>
        <v>-0.21541863513636561</v>
      </c>
      <c r="U102">
        <f t="shared" si="16"/>
        <v>0.82957125579045843</v>
      </c>
      <c r="V102" s="64">
        <f t="shared" si="17"/>
        <v>5.6123636291498546E-5</v>
      </c>
      <c r="W102" s="16">
        <f t="shared" si="18"/>
        <v>-1.4961928429737427E-2</v>
      </c>
      <c r="X102">
        <v>99</v>
      </c>
    </row>
    <row r="103" spans="10:24" x14ac:dyDescent="0.25">
      <c r="J103">
        <f t="shared" si="19"/>
        <v>100</v>
      </c>
      <c r="K103">
        <f>'Modelo Ajustado'!B101</f>
        <v>23500</v>
      </c>
      <c r="L103">
        <f>'Modelo Ajustado'!C101</f>
        <v>23</v>
      </c>
      <c r="M103">
        <f>'Modelo Ajustado'!D101</f>
        <v>23</v>
      </c>
      <c r="N103">
        <f>'Modelo Ajustado'!A101</f>
        <v>2260000</v>
      </c>
      <c r="O103">
        <v>4036702.0358179337</v>
      </c>
      <c r="P103">
        <f t="shared" si="12"/>
        <v>-1776702.0358179337</v>
      </c>
      <c r="Q103" s="17">
        <v>5.738047170346673E-3</v>
      </c>
      <c r="R103">
        <f t="shared" si="13"/>
        <v>-0.36425828333595545</v>
      </c>
      <c r="S103">
        <f t="shared" si="14"/>
        <v>23852227254640.566</v>
      </c>
      <c r="T103">
        <f t="shared" si="15"/>
        <v>-0.36483770940316629</v>
      </c>
      <c r="U103">
        <f t="shared" si="16"/>
        <v>0.71546139713066348</v>
      </c>
      <c r="V103" s="64">
        <f t="shared" si="17"/>
        <v>1.9254017155721583E-4</v>
      </c>
      <c r="W103" s="16">
        <f t="shared" si="18"/>
        <v>-2.7716051975629558E-2</v>
      </c>
      <c r="X103">
        <v>100</v>
      </c>
    </row>
    <row r="104" spans="10:24" x14ac:dyDescent="0.25">
      <c r="J104">
        <f t="shared" si="19"/>
        <v>101</v>
      </c>
      <c r="K104">
        <f>'Modelo Ajustado'!B102</f>
        <v>22000</v>
      </c>
      <c r="L104">
        <f>'Modelo Ajustado'!C102</f>
        <v>0</v>
      </c>
      <c r="M104">
        <f>'Modelo Ajustado'!D102</f>
        <v>100</v>
      </c>
      <c r="N104">
        <f>'Modelo Ajustado'!A102</f>
        <v>20000000</v>
      </c>
      <c r="O104">
        <v>10058640.745816039</v>
      </c>
      <c r="P104">
        <f t="shared" si="12"/>
        <v>9941359.2541839611</v>
      </c>
      <c r="Q104" s="17">
        <v>1.0958754437144867E-2</v>
      </c>
      <c r="R104">
        <f t="shared" si="13"/>
        <v>2.0381709385997158</v>
      </c>
      <c r="S104">
        <f t="shared" si="14"/>
        <v>23564278453797.691</v>
      </c>
      <c r="T104">
        <f t="shared" si="15"/>
        <v>2.0592614702211467</v>
      </c>
      <c r="U104">
        <f t="shared" si="16"/>
        <v>4.0237109292614932E-2</v>
      </c>
      <c r="V104" s="64">
        <f t="shared" si="17"/>
        <v>1.1634657618053061E-2</v>
      </c>
      <c r="W104" s="16">
        <f t="shared" si="18"/>
        <v>0.21676286863828773</v>
      </c>
      <c r="X104" s="132">
        <v>101</v>
      </c>
    </row>
    <row r="105" spans="10:24" x14ac:dyDescent="0.25">
      <c r="J105">
        <f t="shared" si="19"/>
        <v>102</v>
      </c>
      <c r="K105">
        <f>'Modelo Ajustado'!B103</f>
        <v>22000</v>
      </c>
      <c r="L105">
        <f>'Modelo Ajustado'!C103</f>
        <v>1</v>
      </c>
      <c r="M105">
        <f>'Modelo Ajustado'!D103</f>
        <v>95</v>
      </c>
      <c r="N105">
        <f>'Modelo Ajustado'!A103</f>
        <v>18000000</v>
      </c>
      <c r="O105">
        <v>9636650.5347735416</v>
      </c>
      <c r="P105">
        <f t="shared" si="12"/>
        <v>8363349.4652264584</v>
      </c>
      <c r="Q105" s="17">
        <v>9.7758801314710674E-3</v>
      </c>
      <c r="R105">
        <f t="shared" si="13"/>
        <v>1.7146484090899361</v>
      </c>
      <c r="S105">
        <f t="shared" si="14"/>
        <v>23651449704099.73</v>
      </c>
      <c r="T105">
        <f t="shared" si="15"/>
        <v>1.7281626356585893</v>
      </c>
      <c r="U105">
        <f t="shared" si="16"/>
        <v>8.4875086095471203E-2</v>
      </c>
      <c r="V105" s="64">
        <f t="shared" si="17"/>
        <v>7.327891608957417E-3</v>
      </c>
      <c r="W105" s="16">
        <f t="shared" si="18"/>
        <v>0.17171008161077411</v>
      </c>
      <c r="X105" s="132">
        <v>102</v>
      </c>
    </row>
    <row r="106" spans="10:24" x14ac:dyDescent="0.25">
      <c r="J106">
        <f t="shared" si="19"/>
        <v>103</v>
      </c>
      <c r="K106">
        <f>'Modelo Ajustado'!B104</f>
        <v>22000</v>
      </c>
      <c r="L106">
        <f>'Modelo Ajustado'!C104</f>
        <v>50</v>
      </c>
      <c r="M106">
        <f>'Modelo Ajustado'!D104</f>
        <v>85</v>
      </c>
      <c r="N106">
        <f>'Modelo Ajustado'!A104</f>
        <v>16000000</v>
      </c>
      <c r="O106">
        <v>9958262.9013958666</v>
      </c>
      <c r="P106">
        <f t="shared" si="12"/>
        <v>6041737.0986041334</v>
      </c>
      <c r="Q106" s="17">
        <v>4.3934467517691856E-3</v>
      </c>
      <c r="R106">
        <f t="shared" si="13"/>
        <v>1.2386729679698629</v>
      </c>
      <c r="S106">
        <f t="shared" si="14"/>
        <v>23752558268754.906</v>
      </c>
      <c r="T106">
        <f t="shared" si="15"/>
        <v>1.2424037512748545</v>
      </c>
      <c r="U106">
        <f t="shared" si="16"/>
        <v>0.21495146389280578</v>
      </c>
      <c r="V106" s="64">
        <f t="shared" si="17"/>
        <v>1.7001341954724046E-3</v>
      </c>
      <c r="W106" s="16">
        <f t="shared" si="18"/>
        <v>8.2531846985525195E-2</v>
      </c>
      <c r="X106">
        <v>103</v>
      </c>
    </row>
    <row r="107" spans="10:24" x14ac:dyDescent="0.25">
      <c r="J107">
        <f t="shared" si="19"/>
        <v>104</v>
      </c>
      <c r="K107">
        <f>'Modelo Ajustado'!B105</f>
        <v>14110</v>
      </c>
      <c r="L107">
        <f>'Modelo Ajustado'!C105</f>
        <v>8</v>
      </c>
      <c r="M107">
        <f>'Modelo Ajustado'!D105</f>
        <v>8</v>
      </c>
      <c r="N107">
        <f>'Modelo Ajustado'!A105</f>
        <v>386807</v>
      </c>
      <c r="O107">
        <v>520003.68403977854</v>
      </c>
      <c r="P107">
        <f t="shared" si="12"/>
        <v>-133196.68403977854</v>
      </c>
      <c r="Q107" s="17">
        <v>6.4499033329498603E-3</v>
      </c>
      <c r="R107">
        <f t="shared" si="13"/>
        <v>-2.7307896595072757E-2</v>
      </c>
      <c r="S107">
        <f t="shared" si="14"/>
        <v>23861623180981.02</v>
      </c>
      <c r="T107">
        <f t="shared" si="15"/>
        <v>-2.7355744359778424E-2</v>
      </c>
      <c r="U107">
        <f t="shared" si="16"/>
        <v>0.97819218786570405</v>
      </c>
      <c r="V107" s="64">
        <f t="shared" si="17"/>
        <v>1.2181202806396106E-6</v>
      </c>
      <c r="W107" s="16">
        <f t="shared" si="18"/>
        <v>-2.2040947215022475E-3</v>
      </c>
      <c r="X107">
        <v>104</v>
      </c>
    </row>
    <row r="108" spans="10:24" x14ac:dyDescent="0.25">
      <c r="J108">
        <f t="shared" si="19"/>
        <v>105</v>
      </c>
      <c r="K108">
        <f>'Modelo Ajustado'!B106</f>
        <v>14040</v>
      </c>
      <c r="L108">
        <f>'Modelo Ajustado'!C106</f>
        <v>10</v>
      </c>
      <c r="M108">
        <f>'Modelo Ajustado'!D106</f>
        <v>10</v>
      </c>
      <c r="N108">
        <f>'Modelo Ajustado'!A106</f>
        <v>734613</v>
      </c>
      <c r="O108">
        <v>734868.58726746077</v>
      </c>
      <c r="P108">
        <f t="shared" si="12"/>
        <v>-255.58726746076718</v>
      </c>
      <c r="Q108" s="17">
        <v>6.396398259937262E-3</v>
      </c>
      <c r="R108">
        <f t="shared" si="13"/>
        <v>-5.2400333545476442E-5</v>
      </c>
      <c r="S108">
        <f t="shared" si="14"/>
        <v>23861676325218.469</v>
      </c>
      <c r="T108">
        <f t="shared" si="15"/>
        <v>-5.2490675427747932E-5</v>
      </c>
      <c r="U108">
        <f t="shared" si="16"/>
        <v>0.99995814955830409</v>
      </c>
      <c r="V108" s="64">
        <f t="shared" si="17"/>
        <v>4.4475136916582349E-12</v>
      </c>
      <c r="W108" s="16">
        <f t="shared" si="18"/>
        <v>-4.2115632830053392E-6</v>
      </c>
      <c r="X108">
        <v>105</v>
      </c>
    </row>
    <row r="109" spans="10:24" x14ac:dyDescent="0.25">
      <c r="J109">
        <f t="shared" si="19"/>
        <v>106</v>
      </c>
      <c r="K109">
        <f>'Modelo Ajustado'!B107</f>
        <v>14126</v>
      </c>
      <c r="L109">
        <f>'Modelo Ajustado'!C107</f>
        <v>8</v>
      </c>
      <c r="M109">
        <f>'Modelo Ajustado'!D107</f>
        <v>8</v>
      </c>
      <c r="N109">
        <f>'Modelo Ajustado'!A107</f>
        <v>518842</v>
      </c>
      <c r="O109">
        <v>523078.15557191428</v>
      </c>
      <c r="P109">
        <f t="shared" si="12"/>
        <v>-4236.155571914278</v>
      </c>
      <c r="Q109" s="17">
        <v>6.4401774834876684E-3</v>
      </c>
      <c r="R109">
        <f t="shared" si="13"/>
        <v>-8.684938304014308E-4</v>
      </c>
      <c r="S109">
        <f t="shared" si="14"/>
        <v>23861676271660.18</v>
      </c>
      <c r="T109">
        <f t="shared" si="15"/>
        <v>-8.7001034318413015E-4</v>
      </c>
      <c r="U109">
        <f t="shared" si="16"/>
        <v>0.99930634703677457</v>
      </c>
      <c r="V109" s="64">
        <f t="shared" si="17"/>
        <v>1.2302214007837904E-9</v>
      </c>
      <c r="W109" s="16">
        <f t="shared" si="18"/>
        <v>-7.0044868332783927E-5</v>
      </c>
      <c r="X109">
        <v>106</v>
      </c>
    </row>
    <row r="110" spans="10:24" x14ac:dyDescent="0.25">
      <c r="J110">
        <f t="shared" si="19"/>
        <v>107</v>
      </c>
      <c r="K110">
        <f>'Modelo Ajustado'!B108</f>
        <v>20384</v>
      </c>
      <c r="L110">
        <f>'Modelo Ajustado'!C108</f>
        <v>50</v>
      </c>
      <c r="M110">
        <f>'Modelo Ajustado'!D108</f>
        <v>135</v>
      </c>
      <c r="N110">
        <f>'Modelo Ajustado'!A108</f>
        <v>14000000</v>
      </c>
      <c r="O110">
        <v>14115641.852757534</v>
      </c>
      <c r="P110">
        <f t="shared" si="12"/>
        <v>-115641.85275753401</v>
      </c>
      <c r="Q110" s="17">
        <v>8.2974354920468431E-3</v>
      </c>
      <c r="R110">
        <f t="shared" si="13"/>
        <v>-2.3708816626563059E-2</v>
      </c>
      <c r="S110">
        <f t="shared" si="14"/>
        <v>23861636191698.57</v>
      </c>
      <c r="T110">
        <f t="shared" si="15"/>
        <v>-2.3772464799464543E-2</v>
      </c>
      <c r="U110">
        <f t="shared" si="16"/>
        <v>0.98104817346099527</v>
      </c>
      <c r="V110" s="64">
        <f t="shared" si="17"/>
        <v>1.1856070581636367E-6</v>
      </c>
      <c r="W110" s="16">
        <f t="shared" si="18"/>
        <v>-2.1744800983460912E-3</v>
      </c>
      <c r="X110">
        <v>107</v>
      </c>
    </row>
    <row r="111" spans="10:24" x14ac:dyDescent="0.25">
      <c r="J111">
        <f t="shared" si="19"/>
        <v>108</v>
      </c>
      <c r="K111">
        <f>'Modelo Ajustado'!B109</f>
        <v>20800</v>
      </c>
      <c r="L111">
        <f>'Modelo Ajustado'!C109</f>
        <v>75</v>
      </c>
      <c r="M111">
        <f>'Modelo Ajustado'!D109</f>
        <v>135</v>
      </c>
      <c r="N111">
        <f>'Modelo Ajustado'!A109</f>
        <v>15000000</v>
      </c>
      <c r="O111">
        <v>14815574.276799092</v>
      </c>
      <c r="P111">
        <f t="shared" si="12"/>
        <v>184425.72320090793</v>
      </c>
      <c r="Q111" s="17">
        <v>7.8842151311017527E-3</v>
      </c>
      <c r="R111">
        <f t="shared" si="13"/>
        <v>3.781084052466234E-2</v>
      </c>
      <c r="S111">
        <f t="shared" si="14"/>
        <v>23861574292250.293</v>
      </c>
      <c r="T111">
        <f t="shared" si="15"/>
        <v>3.7904499700408267E-2</v>
      </c>
      <c r="U111">
        <f t="shared" si="16"/>
        <v>0.96978626888805031</v>
      </c>
      <c r="V111" s="64">
        <f t="shared" si="17"/>
        <v>2.8629015868824018E-6</v>
      </c>
      <c r="W111" s="16">
        <f t="shared" si="18"/>
        <v>3.3790049041205945E-3</v>
      </c>
      <c r="X111">
        <v>108</v>
      </c>
    </row>
    <row r="112" spans="10:24" x14ac:dyDescent="0.25">
      <c r="J112">
        <f t="shared" si="19"/>
        <v>109</v>
      </c>
      <c r="K112">
        <f>'Modelo Ajustado'!B110</f>
        <v>20592</v>
      </c>
      <c r="L112">
        <f>'Modelo Ajustado'!C110</f>
        <v>100</v>
      </c>
      <c r="M112">
        <f>'Modelo Ajustado'!D110</f>
        <v>144</v>
      </c>
      <c r="N112">
        <f>'Modelo Ajustado'!A110</f>
        <v>15500000</v>
      </c>
      <c r="O112">
        <v>16199824.41478668</v>
      </c>
      <c r="P112">
        <f t="shared" si="12"/>
        <v>-699824.41478667967</v>
      </c>
      <c r="Q112" s="17">
        <v>1.090852557674387E-2</v>
      </c>
      <c r="R112">
        <f t="shared" si="13"/>
        <v>-0.1434775414378531</v>
      </c>
      <c r="S112">
        <f t="shared" si="14"/>
        <v>23860202647945.75</v>
      </c>
      <c r="T112">
        <f t="shared" si="15"/>
        <v>-0.1440568109904849</v>
      </c>
      <c r="U112">
        <f t="shared" si="16"/>
        <v>0.88554171486188182</v>
      </c>
      <c r="V112" s="64">
        <f t="shared" si="17"/>
        <v>5.7385345198454762E-5</v>
      </c>
      <c r="W112" s="16">
        <f t="shared" si="18"/>
        <v>-1.5128594918016989E-2</v>
      </c>
      <c r="X112">
        <v>109</v>
      </c>
    </row>
    <row r="113" spans="10:24" x14ac:dyDescent="0.25">
      <c r="J113">
        <f t="shared" si="19"/>
        <v>110</v>
      </c>
      <c r="K113">
        <f>'Modelo Ajustado'!B111</f>
        <v>19266</v>
      </c>
      <c r="L113">
        <f>'Modelo Ajustado'!C111</f>
        <v>3</v>
      </c>
      <c r="M113">
        <f>'Modelo Ajustado'!D111</f>
        <v>13</v>
      </c>
      <c r="N113">
        <f>'Modelo Ajustado'!A111</f>
        <v>1656000</v>
      </c>
      <c r="O113">
        <v>1833542.9600401432</v>
      </c>
      <c r="P113">
        <f t="shared" si="12"/>
        <v>-177542.96004014323</v>
      </c>
      <c r="Q113" s="17">
        <v>4.4062842246675483E-3</v>
      </c>
      <c r="R113">
        <f t="shared" si="13"/>
        <v>-3.6399740946339451E-2</v>
      </c>
      <c r="S113">
        <f t="shared" si="14"/>
        <v>23861582096217.508</v>
      </c>
      <c r="T113">
        <f t="shared" si="15"/>
        <v>-3.6426107527261768E-2</v>
      </c>
      <c r="U113">
        <f t="shared" si="16"/>
        <v>0.97096416414750397</v>
      </c>
      <c r="V113" s="64">
        <f t="shared" si="17"/>
        <v>1.4724644170733411E-6</v>
      </c>
      <c r="W113" s="16">
        <f t="shared" si="18"/>
        <v>-2.4233042598523374E-3</v>
      </c>
      <c r="X113">
        <v>110</v>
      </c>
    </row>
    <row r="114" spans="10:24" x14ac:dyDescent="0.25">
      <c r="J114">
        <f t="shared" si="19"/>
        <v>111</v>
      </c>
      <c r="K114">
        <f>'Modelo Ajustado'!B112</f>
        <v>20867</v>
      </c>
      <c r="L114">
        <f>'Modelo Ajustado'!C112</f>
        <v>2</v>
      </c>
      <c r="M114">
        <f>'Modelo Ajustado'!D112</f>
        <v>11</v>
      </c>
      <c r="N114">
        <f>'Modelo Ajustado'!A112</f>
        <v>1527000</v>
      </c>
      <c r="O114">
        <v>1937666.398111966</v>
      </c>
      <c r="P114">
        <f t="shared" si="12"/>
        <v>-410666.39811196597</v>
      </c>
      <c r="Q114" s="17">
        <v>4.7613477428308203E-3</v>
      </c>
      <c r="R114">
        <f t="shared" si="13"/>
        <v>-8.4194554958766182E-2</v>
      </c>
      <c r="S114">
        <f t="shared" si="14"/>
        <v>23861171998870.633</v>
      </c>
      <c r="T114">
        <f t="shared" si="15"/>
        <v>-8.4271294699341359E-2</v>
      </c>
      <c r="U114">
        <f t="shared" si="16"/>
        <v>0.93289077254969754</v>
      </c>
      <c r="V114" s="64">
        <f t="shared" si="17"/>
        <v>8.5188986654766987E-6</v>
      </c>
      <c r="W114" s="16">
        <f t="shared" si="18"/>
        <v>-5.8288247715779454E-3</v>
      </c>
      <c r="X114">
        <v>111</v>
      </c>
    </row>
    <row r="115" spans="10:24" x14ac:dyDescent="0.25">
      <c r="J115">
        <f t="shared" si="19"/>
        <v>112</v>
      </c>
      <c r="K115">
        <f>'Modelo Ajustado'!B113</f>
        <v>25154</v>
      </c>
      <c r="L115">
        <f>'Modelo Ajustado'!C113</f>
        <v>2</v>
      </c>
      <c r="M115">
        <f>'Modelo Ajustado'!D113</f>
        <v>13</v>
      </c>
      <c r="N115">
        <f>'Modelo Ajustado'!A113</f>
        <v>1454000</v>
      </c>
      <c r="O115">
        <v>2940148.637297953</v>
      </c>
      <c r="P115">
        <f t="shared" si="12"/>
        <v>-1486148.637297953</v>
      </c>
      <c r="Q115" s="17">
        <v>6.7861557197741364E-3</v>
      </c>
      <c r="R115">
        <f t="shared" si="13"/>
        <v>-0.30468921658831005</v>
      </c>
      <c r="S115">
        <f t="shared" si="14"/>
        <v>23855058086310.184</v>
      </c>
      <c r="T115">
        <f t="shared" si="15"/>
        <v>-0.30531674673040626</v>
      </c>
      <c r="U115">
        <f t="shared" si="16"/>
        <v>0.76031341399563113</v>
      </c>
      <c r="V115" s="64">
        <f t="shared" si="17"/>
        <v>1.5965865598190722E-4</v>
      </c>
      <c r="W115" s="16">
        <f t="shared" si="18"/>
        <v>-2.5237199128134512E-2</v>
      </c>
      <c r="X115">
        <v>112</v>
      </c>
    </row>
    <row r="116" spans="10:24" x14ac:dyDescent="0.25">
      <c r="J116">
        <f t="shared" si="19"/>
        <v>113</v>
      </c>
      <c r="K116">
        <f>'Modelo Ajustado'!B114</f>
        <v>25500</v>
      </c>
      <c r="L116">
        <f>'Modelo Ajustado'!C114</f>
        <v>30</v>
      </c>
      <c r="M116">
        <f>'Modelo Ajustado'!D114</f>
        <v>30</v>
      </c>
      <c r="N116">
        <f>'Modelo Ajustado'!A114</f>
        <v>2100000</v>
      </c>
      <c r="O116">
        <v>5220115.9839676581</v>
      </c>
      <c r="P116">
        <f t="shared" si="12"/>
        <v>-3120115.9839676581</v>
      </c>
      <c r="Q116" s="17">
        <v>7.0826569187640029E-3</v>
      </c>
      <c r="R116">
        <f t="shared" si="13"/>
        <v>-0.63968412779237649</v>
      </c>
      <c r="S116">
        <f t="shared" si="14"/>
        <v>23832496069070.219</v>
      </c>
      <c r="T116">
        <f t="shared" si="15"/>
        <v>-0.64140069333968786</v>
      </c>
      <c r="U116">
        <f t="shared" si="16"/>
        <v>0.52169836093146671</v>
      </c>
      <c r="V116" s="64">
        <f t="shared" si="17"/>
        <v>7.349218687928902E-4</v>
      </c>
      <c r="W116" s="16">
        <f t="shared" si="18"/>
        <v>-5.4171514735471306E-2</v>
      </c>
      <c r="X116">
        <v>113</v>
      </c>
    </row>
    <row r="117" spans="10:24" x14ac:dyDescent="0.25">
      <c r="J117">
        <f t="shared" si="19"/>
        <v>114</v>
      </c>
      <c r="K117">
        <f>'Modelo Ajustado'!B115</f>
        <v>26000</v>
      </c>
      <c r="L117">
        <f>'Modelo Ajustado'!C115</f>
        <v>27</v>
      </c>
      <c r="M117">
        <f>'Modelo Ajustado'!D115</f>
        <v>27</v>
      </c>
      <c r="N117">
        <f>'Modelo Ajustado'!A115</f>
        <v>2252000</v>
      </c>
      <c r="O117">
        <v>4973719.6450757403</v>
      </c>
      <c r="P117">
        <f t="shared" si="12"/>
        <v>-2721719.6450757403</v>
      </c>
      <c r="Q117" s="17">
        <v>7.4931218708798892E-3</v>
      </c>
      <c r="R117">
        <f t="shared" si="13"/>
        <v>-0.55800517230826707</v>
      </c>
      <c r="S117">
        <f t="shared" si="14"/>
        <v>23839462979815.582</v>
      </c>
      <c r="T117">
        <f t="shared" si="15"/>
        <v>-0.55953646068621354</v>
      </c>
      <c r="U117">
        <f t="shared" si="16"/>
        <v>0.57616733902933182</v>
      </c>
      <c r="V117" s="64">
        <f t="shared" si="17"/>
        <v>5.9212337203196606E-4</v>
      </c>
      <c r="W117" s="16">
        <f t="shared" si="18"/>
        <v>-4.8617545233928416E-2</v>
      </c>
      <c r="X117">
        <v>114</v>
      </c>
    </row>
    <row r="118" spans="10:24" x14ac:dyDescent="0.25">
      <c r="J118">
        <f t="shared" si="19"/>
        <v>115</v>
      </c>
      <c r="K118">
        <f>'Modelo Ajustado'!B116</f>
        <v>28000</v>
      </c>
      <c r="L118">
        <f>'Modelo Ajustado'!C116</f>
        <v>24</v>
      </c>
      <c r="M118">
        <f>'Modelo Ajustado'!D116</f>
        <v>24</v>
      </c>
      <c r="N118">
        <f>'Modelo Ajustado'!A116</f>
        <v>1866064</v>
      </c>
      <c r="O118">
        <v>5015555.0123215746</v>
      </c>
      <c r="P118">
        <f t="shared" si="12"/>
        <v>-3149491.0123215746</v>
      </c>
      <c r="Q118" s="17">
        <v>9.4935205871320497E-3</v>
      </c>
      <c r="R118">
        <f t="shared" si="13"/>
        <v>-0.6457065767936333</v>
      </c>
      <c r="S118">
        <f t="shared" si="14"/>
        <v>23831871667024.055</v>
      </c>
      <c r="T118">
        <f t="shared" si="15"/>
        <v>-0.64823524039788571</v>
      </c>
      <c r="U118">
        <f t="shared" si="16"/>
        <v>0.51727423647266768</v>
      </c>
      <c r="V118" s="64">
        <f t="shared" si="17"/>
        <v>1.0086095671516014E-3</v>
      </c>
      <c r="W118" s="16">
        <f t="shared" si="18"/>
        <v>-6.3462565550043259E-2</v>
      </c>
      <c r="X118">
        <v>115</v>
      </c>
    </row>
    <row r="119" spans="10:24" x14ac:dyDescent="0.25">
      <c r="J119">
        <f t="shared" si="19"/>
        <v>116</v>
      </c>
      <c r="K119">
        <f>'Modelo Ajustado'!B117</f>
        <v>16000</v>
      </c>
      <c r="L119">
        <f>'Modelo Ajustado'!C117</f>
        <v>14</v>
      </c>
      <c r="M119">
        <f>'Modelo Ajustado'!D117</f>
        <v>14</v>
      </c>
      <c r="N119">
        <f>'Modelo Ajustado'!A117</f>
        <v>1950000</v>
      </c>
      <c r="O119">
        <v>1568122.7823156784</v>
      </c>
      <c r="P119">
        <f t="shared" si="12"/>
        <v>381877.21768432157</v>
      </c>
      <c r="Q119" s="17">
        <v>5.2628682760122864E-3</v>
      </c>
      <c r="R119">
        <f t="shared" si="13"/>
        <v>7.8292216114202909E-2</v>
      </c>
      <c r="S119">
        <f t="shared" si="14"/>
        <v>23861240010666.781</v>
      </c>
      <c r="T119">
        <f t="shared" si="15"/>
        <v>7.8383216363728025E-2</v>
      </c>
      <c r="U119">
        <f t="shared" si="16"/>
        <v>0.93756974354621758</v>
      </c>
      <c r="V119" s="64">
        <f t="shared" si="17"/>
        <v>8.1504769217182092E-6</v>
      </c>
      <c r="W119" s="16">
        <f t="shared" si="18"/>
        <v>5.7013823318832341E-3</v>
      </c>
      <c r="X119">
        <v>116</v>
      </c>
    </row>
    <row r="120" spans="10:24" x14ac:dyDescent="0.25">
      <c r="J120">
        <f t="shared" si="19"/>
        <v>117</v>
      </c>
      <c r="K120">
        <f>'Modelo Ajustado'!B118</f>
        <v>17000</v>
      </c>
      <c r="L120">
        <f>'Modelo Ajustado'!C118</f>
        <v>13</v>
      </c>
      <c r="M120">
        <f>'Modelo Ajustado'!D118</f>
        <v>13</v>
      </c>
      <c r="N120">
        <f>'Modelo Ajustado'!A118</f>
        <v>1850000</v>
      </c>
      <c r="O120">
        <v>1646119.3949837894</v>
      </c>
      <c r="P120">
        <f t="shared" si="12"/>
        <v>203880.60501621058</v>
      </c>
      <c r="Q120" s="17">
        <v>4.987205062851041E-3</v>
      </c>
      <c r="R120">
        <f t="shared" si="13"/>
        <v>4.1799467604319851E-2</v>
      </c>
      <c r="S120">
        <f t="shared" si="14"/>
        <v>23861551993137.926</v>
      </c>
      <c r="T120">
        <f t="shared" si="15"/>
        <v>4.1841980935502253E-2</v>
      </c>
      <c r="U120">
        <f t="shared" si="16"/>
        <v>0.96664944713853451</v>
      </c>
      <c r="V120" s="64">
        <f t="shared" si="17"/>
        <v>2.2002974942139037E-6</v>
      </c>
      <c r="W120" s="16">
        <f t="shared" si="18"/>
        <v>2.9622828037266882E-3</v>
      </c>
      <c r="X120">
        <v>117</v>
      </c>
    </row>
    <row r="121" spans="10:24" x14ac:dyDescent="0.25">
      <c r="J121">
        <f t="shared" si="19"/>
        <v>118</v>
      </c>
      <c r="K121">
        <f>'Modelo Ajustado'!B119</f>
        <v>18000</v>
      </c>
      <c r="L121">
        <f>'Modelo Ajustado'!C119</f>
        <v>12</v>
      </c>
      <c r="M121">
        <f>'Modelo Ajustado'!D119</f>
        <v>12</v>
      </c>
      <c r="N121">
        <f>'Modelo Ajustado'!A119</f>
        <v>1550000</v>
      </c>
      <c r="O121">
        <v>1724116.0076519013</v>
      </c>
      <c r="P121">
        <f t="shared" si="12"/>
        <v>-174116.00765190134</v>
      </c>
      <c r="Q121" s="17">
        <v>4.8385716104349819E-3</v>
      </c>
      <c r="R121">
        <f t="shared" si="13"/>
        <v>-3.5697149420664542E-2</v>
      </c>
      <c r="S121">
        <f t="shared" si="14"/>
        <v>23861585659386.383</v>
      </c>
      <c r="T121">
        <f t="shared" si="15"/>
        <v>-3.573076240535334E-2</v>
      </c>
      <c r="U121">
        <f t="shared" si="16"/>
        <v>0.97151819608410905</v>
      </c>
      <c r="V121" s="64">
        <f t="shared" si="17"/>
        <v>1.5564572124400781E-6</v>
      </c>
      <c r="W121" s="16">
        <f t="shared" si="18"/>
        <v>-2.4914610504768731E-3</v>
      </c>
      <c r="X121">
        <v>118</v>
      </c>
    </row>
    <row r="122" spans="10:24" x14ac:dyDescent="0.25">
      <c r="J122">
        <f t="shared" si="19"/>
        <v>119</v>
      </c>
      <c r="K122">
        <f>'Modelo Ajustado'!B120</f>
        <v>29120</v>
      </c>
      <c r="L122">
        <f>'Modelo Ajustado'!C120</f>
        <v>2</v>
      </c>
      <c r="M122">
        <f>'Modelo Ajustado'!D120</f>
        <v>12</v>
      </c>
      <c r="N122">
        <f>'Modelo Ajustado'!A120</f>
        <v>1000000</v>
      </c>
      <c r="O122">
        <v>3612875.2568040187</v>
      </c>
      <c r="P122">
        <f t="shared" si="12"/>
        <v>-2612875.2568040187</v>
      </c>
      <c r="Q122" s="17">
        <v>1.0883127158739682E-2</v>
      </c>
      <c r="R122">
        <f t="shared" si="13"/>
        <v>-0.53568996738176566</v>
      </c>
      <c r="S122">
        <f t="shared" si="14"/>
        <v>23841133959316.227</v>
      </c>
      <c r="T122">
        <f t="shared" si="15"/>
        <v>-0.53806087939640534</v>
      </c>
      <c r="U122">
        <f t="shared" si="16"/>
        <v>0.59089018655529713</v>
      </c>
      <c r="V122" s="64">
        <f t="shared" si="17"/>
        <v>7.9804157510515175E-4</v>
      </c>
      <c r="W122" s="16">
        <f t="shared" si="18"/>
        <v>-5.643966972636142E-2</v>
      </c>
      <c r="X122">
        <v>119</v>
      </c>
    </row>
    <row r="123" spans="10:24" x14ac:dyDescent="0.25">
      <c r="J123">
        <f t="shared" si="19"/>
        <v>120</v>
      </c>
      <c r="K123">
        <f>'Modelo Ajustado'!B121</f>
        <v>29120</v>
      </c>
      <c r="L123">
        <f>'Modelo Ajustado'!C121</f>
        <v>4</v>
      </c>
      <c r="M123">
        <f>'Modelo Ajustado'!D121</f>
        <v>14</v>
      </c>
      <c r="N123">
        <f>'Modelo Ajustado'!A121</f>
        <v>1200000</v>
      </c>
      <c r="O123">
        <v>3841190.9729847978</v>
      </c>
      <c r="P123">
        <f t="shared" si="12"/>
        <v>-2641190.9729847978</v>
      </c>
      <c r="Q123" s="17">
        <v>1.0757142213686446E-2</v>
      </c>
      <c r="R123">
        <f t="shared" si="13"/>
        <v>-0.54149523689770362</v>
      </c>
      <c r="S123">
        <f t="shared" si="14"/>
        <v>23840688984954.031</v>
      </c>
      <c r="T123">
        <f t="shared" si="15"/>
        <v>-0.54386228310597595</v>
      </c>
      <c r="U123">
        <f t="shared" si="16"/>
        <v>0.58689585794748023</v>
      </c>
      <c r="V123" s="64">
        <f t="shared" si="17"/>
        <v>8.0578718044125404E-4</v>
      </c>
      <c r="W123" s="16">
        <f t="shared" si="18"/>
        <v>-5.6713432731042006E-2</v>
      </c>
      <c r="X123">
        <v>120</v>
      </c>
    </row>
    <row r="124" spans="10:24" x14ac:dyDescent="0.25">
      <c r="J124">
        <f t="shared" si="19"/>
        <v>121</v>
      </c>
      <c r="K124">
        <f>'Modelo Ajustado'!B122</f>
        <v>19762</v>
      </c>
      <c r="L124">
        <f>'Modelo Ajustado'!C122</f>
        <v>14</v>
      </c>
      <c r="M124">
        <f>'Modelo Ajustado'!D122</f>
        <v>27</v>
      </c>
      <c r="N124">
        <f>'Modelo Ajustado'!A122</f>
        <v>2873000</v>
      </c>
      <c r="O124">
        <v>3452662.0510970824</v>
      </c>
      <c r="P124">
        <f t="shared" si="12"/>
        <v>-579662.05109708244</v>
      </c>
      <c r="Q124" s="17">
        <v>3.7243440187858584E-3</v>
      </c>
      <c r="R124">
        <f t="shared" si="13"/>
        <v>-0.11884193263189306</v>
      </c>
      <c r="S124">
        <f t="shared" si="14"/>
        <v>23860672562969.742</v>
      </c>
      <c r="T124">
        <f t="shared" si="15"/>
        <v>-0.11888957361103585</v>
      </c>
      <c r="U124">
        <f t="shared" si="16"/>
        <v>0.90543367870963287</v>
      </c>
      <c r="V124" s="64">
        <f t="shared" si="17"/>
        <v>1.3248605651662449E-5</v>
      </c>
      <c r="W124" s="16">
        <f t="shared" si="18"/>
        <v>-7.2690709078046534E-3</v>
      </c>
      <c r="X124">
        <v>121</v>
      </c>
    </row>
    <row r="125" spans="10:24" x14ac:dyDescent="0.25">
      <c r="J125">
        <f t="shared" si="19"/>
        <v>122</v>
      </c>
      <c r="K125">
        <f>'Modelo Ajustado'!B123</f>
        <v>21120</v>
      </c>
      <c r="L125">
        <f>'Modelo Ajustado'!C123</f>
        <v>5</v>
      </c>
      <c r="M125">
        <f>'Modelo Ajustado'!D123</f>
        <v>61</v>
      </c>
      <c r="N125">
        <f>'Modelo Ajustado'!A123</f>
        <v>6097000</v>
      </c>
      <c r="O125">
        <v>6528581.595025992</v>
      </c>
      <c r="P125">
        <f t="shared" si="12"/>
        <v>-431581.59502599202</v>
      </c>
      <c r="Q125" s="17">
        <v>4.5576098473218609E-3</v>
      </c>
      <c r="R125">
        <f t="shared" si="13"/>
        <v>-8.848257487991705E-2</v>
      </c>
      <c r="S125">
        <f t="shared" si="14"/>
        <v>23861119434126.98</v>
      </c>
      <c r="T125">
        <f t="shared" si="15"/>
        <v>-8.8554256895012048E-2</v>
      </c>
      <c r="U125">
        <f t="shared" si="16"/>
        <v>0.92948876300845629</v>
      </c>
      <c r="V125" s="64">
        <f t="shared" si="17"/>
        <v>9.0024433315944013E-6</v>
      </c>
      <c r="W125" s="16">
        <f t="shared" si="18"/>
        <v>-5.9919744102210782E-3</v>
      </c>
      <c r="X125">
        <v>122</v>
      </c>
    </row>
    <row r="126" spans="10:24" x14ac:dyDescent="0.25">
      <c r="J126">
        <f t="shared" si="19"/>
        <v>123</v>
      </c>
      <c r="K126">
        <f>'Modelo Ajustado'!B124</f>
        <v>22360</v>
      </c>
      <c r="L126">
        <f>'Modelo Ajustado'!C124</f>
        <v>9</v>
      </c>
      <c r="M126">
        <f>'Modelo Ajustado'!D124</f>
        <v>52</v>
      </c>
      <c r="N126">
        <f>'Modelo Ajustado'!A124</f>
        <v>5670000</v>
      </c>
      <c r="O126">
        <v>6061830.4213401619</v>
      </c>
      <c r="P126">
        <f t="shared" si="12"/>
        <v>-391830.42134016193</v>
      </c>
      <c r="Q126" s="17">
        <v>4.1991650293919259E-3</v>
      </c>
      <c r="R126">
        <f t="shared" si="13"/>
        <v>-8.0332815384243417E-2</v>
      </c>
      <c r="S126">
        <f t="shared" si="14"/>
        <v>23861217460830.652</v>
      </c>
      <c r="T126">
        <f t="shared" si="15"/>
        <v>-8.0383258785066858E-2</v>
      </c>
      <c r="U126">
        <f t="shared" si="16"/>
        <v>0.9359801555445213</v>
      </c>
      <c r="V126" s="64">
        <f t="shared" si="17"/>
        <v>6.8319386050622441E-6</v>
      </c>
      <c r="W126" s="16">
        <f t="shared" si="18"/>
        <v>-5.2198838233664929E-3</v>
      </c>
      <c r="X126">
        <v>123</v>
      </c>
    </row>
    <row r="127" spans="10:24" x14ac:dyDescent="0.25">
      <c r="J127">
        <f t="shared" si="19"/>
        <v>124</v>
      </c>
      <c r="K127">
        <f>'Modelo Ajustado'!B125</f>
        <v>20004</v>
      </c>
      <c r="L127">
        <f>'Modelo Ajustado'!C125</f>
        <v>24</v>
      </c>
      <c r="M127">
        <f>'Modelo Ajustado'!D125</f>
        <v>24</v>
      </c>
      <c r="N127">
        <f>'Modelo Ajustado'!A125</f>
        <v>2213235</v>
      </c>
      <c r="O127">
        <v>3479087.8641366041</v>
      </c>
      <c r="P127">
        <f t="shared" si="12"/>
        <v>-1265852.8641366041</v>
      </c>
      <c r="Q127" s="17">
        <v>4.5389353751748929E-3</v>
      </c>
      <c r="R127">
        <f t="shared" si="13"/>
        <v>-0.25952432200260755</v>
      </c>
      <c r="S127">
        <f t="shared" si="14"/>
        <v>23856885582106.406</v>
      </c>
      <c r="T127">
        <f t="shared" si="15"/>
        <v>-0.25975517922225022</v>
      </c>
      <c r="U127">
        <f t="shared" si="16"/>
        <v>0.795211243172532</v>
      </c>
      <c r="V127" s="64">
        <f t="shared" si="17"/>
        <v>7.7126137436036394E-5</v>
      </c>
      <c r="W127" s="16">
        <f t="shared" si="18"/>
        <v>-1.7539979289831267E-2</v>
      </c>
      <c r="X127">
        <v>124</v>
      </c>
    </row>
    <row r="128" spans="10:24" x14ac:dyDescent="0.25">
      <c r="J128">
        <f t="shared" si="19"/>
        <v>125</v>
      </c>
      <c r="K128">
        <f>'Modelo Ajustado'!B126</f>
        <v>19078</v>
      </c>
      <c r="L128">
        <f>'Modelo Ajustado'!C126</f>
        <v>20</v>
      </c>
      <c r="M128">
        <f>'Modelo Ajustado'!D126</f>
        <v>20</v>
      </c>
      <c r="N128">
        <f>'Modelo Ajustado'!A126</f>
        <v>2100943</v>
      </c>
      <c r="O128">
        <v>2844521.3918526773</v>
      </c>
      <c r="P128">
        <f t="shared" si="12"/>
        <v>-743578.39185267733</v>
      </c>
      <c r="Q128" s="17">
        <v>4.5352405679128073E-3</v>
      </c>
      <c r="R128">
        <f t="shared" si="13"/>
        <v>-0.15244795305098771</v>
      </c>
      <c r="S128">
        <f t="shared" si="14"/>
        <v>23860023266415.246</v>
      </c>
      <c r="T128">
        <f t="shared" si="15"/>
        <v>-0.15257324543617129</v>
      </c>
      <c r="U128">
        <f t="shared" si="16"/>
        <v>0.87882613180473934</v>
      </c>
      <c r="V128" s="64">
        <f t="shared" si="17"/>
        <v>2.6590821333812293E-5</v>
      </c>
      <c r="W128" s="16">
        <f t="shared" si="18"/>
        <v>-1.0298301530974767E-2</v>
      </c>
      <c r="X128">
        <v>125</v>
      </c>
    </row>
    <row r="129" spans="10:24" x14ac:dyDescent="0.25">
      <c r="J129">
        <f t="shared" si="19"/>
        <v>126</v>
      </c>
      <c r="K129">
        <f>'Modelo Ajustado'!B127</f>
        <v>21099</v>
      </c>
      <c r="L129">
        <f>'Modelo Ajustado'!C127</f>
        <v>20</v>
      </c>
      <c r="M129">
        <f>'Modelo Ajustado'!D127</f>
        <v>20</v>
      </c>
      <c r="N129">
        <f>'Modelo Ajustado'!A127</f>
        <v>2174049</v>
      </c>
      <c r="O129">
        <v>3232865.5772556071</v>
      </c>
      <c r="P129">
        <f t="shared" si="12"/>
        <v>-1058816.5772556071</v>
      </c>
      <c r="Q129" s="17">
        <v>4.8050134746007627E-3</v>
      </c>
      <c r="R129">
        <f t="shared" si="13"/>
        <v>-0.21707787857699176</v>
      </c>
      <c r="S129">
        <f t="shared" si="14"/>
        <v>23858323630717.762</v>
      </c>
      <c r="T129">
        <f t="shared" si="15"/>
        <v>-0.21729347221604473</v>
      </c>
      <c r="U129">
        <f t="shared" si="16"/>
        <v>0.82811114014501763</v>
      </c>
      <c r="V129" s="64">
        <f t="shared" si="17"/>
        <v>5.7154364078209646E-5</v>
      </c>
      <c r="W129" s="16">
        <f t="shared" si="18"/>
        <v>-1.5098711779752673E-2</v>
      </c>
      <c r="X129">
        <v>126</v>
      </c>
    </row>
    <row r="130" spans="10:24" x14ac:dyDescent="0.25">
      <c r="J130">
        <f t="shared" si="19"/>
        <v>127</v>
      </c>
      <c r="K130">
        <f>'Modelo Ajustado'!B128</f>
        <v>16640</v>
      </c>
      <c r="L130">
        <f>'Modelo Ajustado'!C128</f>
        <v>0</v>
      </c>
      <c r="M130">
        <f>'Modelo Ajustado'!D128</f>
        <v>6</v>
      </c>
      <c r="N130">
        <f>'Modelo Ajustado'!A128</f>
        <v>2100000</v>
      </c>
      <c r="O130">
        <v>629039.69946856098</v>
      </c>
      <c r="P130">
        <f t="shared" si="12"/>
        <v>1470960.300531439</v>
      </c>
      <c r="Q130" s="17">
        <v>5.2440534343171277E-3</v>
      </c>
      <c r="R130">
        <f t="shared" si="13"/>
        <v>0.30157531376962399</v>
      </c>
      <c r="S130">
        <f t="shared" si="14"/>
        <v>23855202722118.32</v>
      </c>
      <c r="T130">
        <f t="shared" si="15"/>
        <v>0.30196118707974834</v>
      </c>
      <c r="U130">
        <f t="shared" si="16"/>
        <v>0.76286791313134383</v>
      </c>
      <c r="V130" s="64">
        <f t="shared" si="17"/>
        <v>1.2049405102426328E-4</v>
      </c>
      <c r="W130" s="16">
        <f t="shared" si="18"/>
        <v>2.192433382698154E-2</v>
      </c>
      <c r="X130">
        <v>127</v>
      </c>
    </row>
    <row r="131" spans="10:24" x14ac:dyDescent="0.25">
      <c r="J131">
        <f t="shared" si="19"/>
        <v>128</v>
      </c>
      <c r="K131">
        <f>'Modelo Ajustado'!B129</f>
        <v>18720</v>
      </c>
      <c r="L131">
        <f>'Modelo Ajustado'!C129</f>
        <v>2</v>
      </c>
      <c r="M131">
        <f>'Modelo Ajustado'!D129</f>
        <v>7</v>
      </c>
      <c r="N131">
        <f>'Modelo Ajustado'!A129</f>
        <v>1800000</v>
      </c>
      <c r="O131">
        <v>1167678.7033048724</v>
      </c>
      <c r="P131">
        <f t="shared" si="12"/>
        <v>632321.29669512762</v>
      </c>
      <c r="Q131" s="17">
        <v>4.8558046214100753E-3</v>
      </c>
      <c r="R131">
        <f t="shared" si="13"/>
        <v>0.12963809654492639</v>
      </c>
      <c r="S131">
        <f t="shared" si="14"/>
        <v>23860480548053.344</v>
      </c>
      <c r="T131">
        <f t="shared" si="15"/>
        <v>0.12976429424771399</v>
      </c>
      <c r="U131">
        <f t="shared" si="16"/>
        <v>0.89683033025263448</v>
      </c>
      <c r="V131" s="64">
        <f t="shared" si="17"/>
        <v>2.0601292862725337E-5</v>
      </c>
      <c r="W131" s="16">
        <f t="shared" si="18"/>
        <v>9.0644781004008013E-3</v>
      </c>
      <c r="X131">
        <v>128</v>
      </c>
    </row>
    <row r="132" spans="10:24" x14ac:dyDescent="0.25">
      <c r="J132">
        <f t="shared" si="19"/>
        <v>129</v>
      </c>
      <c r="K132">
        <f>'Modelo Ajustado'!B130</f>
        <v>20800</v>
      </c>
      <c r="L132">
        <f>'Modelo Ajustado'!C130</f>
        <v>0</v>
      </c>
      <c r="M132">
        <f>'Modelo Ajustado'!D130</f>
        <v>6</v>
      </c>
      <c r="N132">
        <f>'Modelo Ajustado'!A130</f>
        <v>1600000</v>
      </c>
      <c r="O132">
        <v>1428402.2978239241</v>
      </c>
      <c r="P132">
        <f t="shared" si="12"/>
        <v>171597.70217607589</v>
      </c>
      <c r="Q132" s="17">
        <v>5.1119576979277897E-3</v>
      </c>
      <c r="R132">
        <f t="shared" si="13"/>
        <v>3.5180848087606513E-2</v>
      </c>
      <c r="S132">
        <f t="shared" si="14"/>
        <v>23861588238895.203</v>
      </c>
      <c r="T132">
        <f t="shared" si="15"/>
        <v>3.5218810917346098E-2</v>
      </c>
      <c r="U132">
        <f t="shared" si="16"/>
        <v>0.97192611383865524</v>
      </c>
      <c r="V132" s="64">
        <f t="shared" si="17"/>
        <v>1.5980539872282219E-6</v>
      </c>
      <c r="W132" s="16">
        <f t="shared" si="18"/>
        <v>2.5245339126858312E-3</v>
      </c>
      <c r="X132">
        <v>129</v>
      </c>
    </row>
    <row r="133" spans="10:24" x14ac:dyDescent="0.25">
      <c r="J133">
        <f t="shared" si="19"/>
        <v>130</v>
      </c>
      <c r="K133">
        <f>'Modelo Ajustado'!B131</f>
        <v>10712</v>
      </c>
      <c r="L133">
        <f>'Modelo Ajustado'!C131</f>
        <v>26</v>
      </c>
      <c r="M133">
        <f>'Modelo Ajustado'!D131</f>
        <v>26</v>
      </c>
      <c r="N133">
        <f>'Modelo Ajustado'!A131</f>
        <v>2200000</v>
      </c>
      <c r="O133">
        <v>1921904.2380293938</v>
      </c>
      <c r="P133">
        <f t="shared" ref="P133:P196" si="20">N133-O133</f>
        <v>278095.76197060617</v>
      </c>
      <c r="Q133" s="17">
        <v>8.751868419508339E-3</v>
      </c>
      <c r="R133">
        <f t="shared" ref="R133:R196" si="21">P133/SQRT($Z$6)</f>
        <v>5.7015010292248008E-2</v>
      </c>
      <c r="S133">
        <f t="shared" ref="S133:S196" si="22">($Z$6-P133^2/((1-Q133)*$Z$5))*$Z$5/($Z$5-1)</f>
        <v>23861444122812.207</v>
      </c>
      <c r="T133">
        <f t="shared" ref="T133:T196" si="23">P133/SQRT(S133*(1-Q133))</f>
        <v>5.7181404394250915E-2</v>
      </c>
      <c r="U133">
        <f t="shared" ref="U133:U196" si="24">_xlfn.T.DIST.2T(ABS(T133),$Z$5)</f>
        <v>0.95443457942871746</v>
      </c>
      <c r="V133" s="64">
        <f t="shared" ref="V133:V196" si="25">(P133^2/$Z$6)*(Q133/(1-Q133)^2)/($Z$7+1)</f>
        <v>7.2385976745774955E-6</v>
      </c>
      <c r="W133" s="16">
        <f t="shared" ref="W133:W196" si="26">T133*SQRT(Q133/(1-Q133))</f>
        <v>5.3729650615338201E-3</v>
      </c>
      <c r="X133">
        <v>130</v>
      </c>
    </row>
    <row r="134" spans="10:24" x14ac:dyDescent="0.25">
      <c r="J134">
        <f t="shared" ref="J134:J197" si="27">J133+1</f>
        <v>131</v>
      </c>
      <c r="K134">
        <f>'Modelo Ajustado'!B132</f>
        <v>10940</v>
      </c>
      <c r="L134">
        <f>'Modelo Ajustado'!C132</f>
        <v>24</v>
      </c>
      <c r="M134">
        <f>'Modelo Ajustado'!D132</f>
        <v>24</v>
      </c>
      <c r="N134">
        <f>'Modelo Ajustado'!A132</f>
        <v>1800000</v>
      </c>
      <c r="O134">
        <v>1737399.7411815547</v>
      </c>
      <c r="P134">
        <f t="shared" si="20"/>
        <v>62600.258818445262</v>
      </c>
      <c r="Q134" s="17">
        <v>8.5313814210587254E-3</v>
      </c>
      <c r="R134">
        <f t="shared" si="21"/>
        <v>1.2834263908014154E-2</v>
      </c>
      <c r="S134">
        <f t="shared" si="22"/>
        <v>23861664561983.195</v>
      </c>
      <c r="T134">
        <f t="shared" si="23"/>
        <v>1.2870228997762405E-2</v>
      </c>
      <c r="U134">
        <f t="shared" si="24"/>
        <v>0.98973894219292369</v>
      </c>
      <c r="V134" s="64">
        <f t="shared" si="25"/>
        <v>3.5739078693744492E-7</v>
      </c>
      <c r="W134" s="16">
        <f t="shared" si="26"/>
        <v>1.1938684279544174E-3</v>
      </c>
      <c r="X134">
        <v>131</v>
      </c>
    </row>
    <row r="135" spans="10:24" x14ac:dyDescent="0.25">
      <c r="J135">
        <f t="shared" si="27"/>
        <v>132</v>
      </c>
      <c r="K135">
        <f>'Modelo Ajustado'!B133</f>
        <v>11148</v>
      </c>
      <c r="L135">
        <f>'Modelo Ajustado'!C133</f>
        <v>21</v>
      </c>
      <c r="M135">
        <f>'Modelo Ajustado'!D133</f>
        <v>21</v>
      </c>
      <c r="N135">
        <f>'Modelo Ajustado'!A133</f>
        <v>1700000</v>
      </c>
      <c r="O135">
        <v>1434894.2968281559</v>
      </c>
      <c r="P135">
        <f t="shared" si="20"/>
        <v>265105.70317184413</v>
      </c>
      <c r="Q135" s="17">
        <v>8.3625523959894484E-3</v>
      </c>
      <c r="R135">
        <f t="shared" si="21"/>
        <v>5.4351796977308652E-2</v>
      </c>
      <c r="S135">
        <f t="shared" si="22"/>
        <v>23861465391726.516</v>
      </c>
      <c r="T135">
        <f t="shared" si="23"/>
        <v>5.4499692975941809E-2</v>
      </c>
      <c r="U135">
        <f t="shared" si="24"/>
        <v>0.95656934745110855</v>
      </c>
      <c r="V135" s="64">
        <f t="shared" si="25"/>
        <v>6.2805956989001749E-6</v>
      </c>
      <c r="W135" s="16">
        <f t="shared" si="26"/>
        <v>5.0048034014096316E-3</v>
      </c>
      <c r="X135">
        <v>132</v>
      </c>
    </row>
    <row r="136" spans="10:24" x14ac:dyDescent="0.25">
      <c r="J136">
        <f t="shared" si="27"/>
        <v>133</v>
      </c>
      <c r="K136">
        <f>'Modelo Ajustado'!B134</f>
        <v>20000</v>
      </c>
      <c r="L136">
        <f>'Modelo Ajustado'!C134</f>
        <v>1</v>
      </c>
      <c r="M136">
        <f>'Modelo Ajustado'!D134</f>
        <v>12</v>
      </c>
      <c r="N136">
        <f>'Modelo Ajustado'!A134</f>
        <v>1100000</v>
      </c>
      <c r="O136">
        <v>1835626.6369182519</v>
      </c>
      <c r="P136">
        <f t="shared" si="20"/>
        <v>-735626.63691825187</v>
      </c>
      <c r="Q136" s="17">
        <v>4.5300451612417967E-3</v>
      </c>
      <c r="R136">
        <f t="shared" si="21"/>
        <v>-0.15081768948201027</v>
      </c>
      <c r="S136">
        <f t="shared" si="22"/>
        <v>23860058441120.035</v>
      </c>
      <c r="T136">
        <f t="shared" si="23"/>
        <v>-0.15094113685669358</v>
      </c>
      <c r="U136">
        <f t="shared" si="24"/>
        <v>0.88011245844210684</v>
      </c>
      <c r="V136" s="64">
        <f t="shared" si="25"/>
        <v>2.5995058140423836E-5</v>
      </c>
      <c r="W136" s="16">
        <f t="shared" si="26"/>
        <v>-1.0182274577255233E-2</v>
      </c>
      <c r="X136">
        <v>133</v>
      </c>
    </row>
    <row r="137" spans="10:24" x14ac:dyDescent="0.25">
      <c r="J137">
        <f t="shared" si="27"/>
        <v>134</v>
      </c>
      <c r="K137">
        <f>'Modelo Ajustado'!B135</f>
        <v>12400</v>
      </c>
      <c r="L137">
        <f>'Modelo Ajustado'!C135</f>
        <v>0</v>
      </c>
      <c r="M137">
        <f>'Modelo Ajustado'!D135</f>
        <v>70</v>
      </c>
      <c r="N137">
        <f>'Modelo Ajustado'!A135</f>
        <v>4200000</v>
      </c>
      <c r="O137">
        <v>5533217.4808699936</v>
      </c>
      <c r="P137">
        <f t="shared" si="20"/>
        <v>-1333217.4808699936</v>
      </c>
      <c r="Q137" s="17">
        <v>8.1095783744792264E-3</v>
      </c>
      <c r="R137">
        <f t="shared" si="21"/>
        <v>-0.27333537143813802</v>
      </c>
      <c r="S137">
        <f t="shared" si="22"/>
        <v>23856342988432.941</v>
      </c>
      <c r="T137">
        <f t="shared" si="23"/>
        <v>-0.27407360742883119</v>
      </c>
      <c r="U137">
        <f t="shared" si="24"/>
        <v>0.78419597111498418</v>
      </c>
      <c r="V137" s="64">
        <f t="shared" si="25"/>
        <v>1.5395810718647025E-4</v>
      </c>
      <c r="W137" s="16">
        <f t="shared" si="26"/>
        <v>-2.4781894602978492E-2</v>
      </c>
      <c r="X137">
        <v>134</v>
      </c>
    </row>
    <row r="138" spans="10:24" x14ac:dyDescent="0.25">
      <c r="J138">
        <f t="shared" si="27"/>
        <v>135</v>
      </c>
      <c r="K138">
        <f>'Modelo Ajustado'!B136</f>
        <v>13400</v>
      </c>
      <c r="L138">
        <f>'Modelo Ajustado'!C136</f>
        <v>10</v>
      </c>
      <c r="M138">
        <f>'Modelo Ajustado'!D136</f>
        <v>50</v>
      </c>
      <c r="N138">
        <f>'Modelo Ajustado'!A136</f>
        <v>3740000</v>
      </c>
      <c r="O138">
        <v>4186210.1868679416</v>
      </c>
      <c r="P138">
        <f t="shared" si="20"/>
        <v>-446210.18686794164</v>
      </c>
      <c r="Q138" s="17">
        <v>5.115560197714206E-3</v>
      </c>
      <c r="R138">
        <f t="shared" si="21"/>
        <v>-9.148171916215897E-2</v>
      </c>
      <c r="S138">
        <f t="shared" si="22"/>
        <v>23861080708467.461</v>
      </c>
      <c r="T138">
        <f t="shared" si="23"/>
        <v>-9.1581574715979067E-2</v>
      </c>
      <c r="U138">
        <f t="shared" si="24"/>
        <v>0.92708490404619059</v>
      </c>
      <c r="V138" s="64">
        <f t="shared" si="25"/>
        <v>1.0813258026546005E-5</v>
      </c>
      <c r="W138" s="16">
        <f t="shared" si="26"/>
        <v>-6.5670207325874029E-3</v>
      </c>
      <c r="X138">
        <v>135</v>
      </c>
    </row>
    <row r="139" spans="10:24" x14ac:dyDescent="0.25">
      <c r="J139">
        <f t="shared" si="27"/>
        <v>136</v>
      </c>
      <c r="K139">
        <f>'Modelo Ajustado'!B137</f>
        <v>14000</v>
      </c>
      <c r="L139">
        <f>'Modelo Ajustado'!C137</f>
        <v>5</v>
      </c>
      <c r="M139">
        <f>'Modelo Ajustado'!D137</f>
        <v>30</v>
      </c>
      <c r="N139">
        <f>'Modelo Ajustado'!A137</f>
        <v>2040000</v>
      </c>
      <c r="O139">
        <v>2390343.4060388771</v>
      </c>
      <c r="P139">
        <f t="shared" si="20"/>
        <v>-350343.40603887709</v>
      </c>
      <c r="Q139" s="17">
        <v>5.0506611155502149E-3</v>
      </c>
      <c r="R139">
        <f t="shared" si="21"/>
        <v>-7.1827174781754058E-2</v>
      </c>
      <c r="S139">
        <f t="shared" si="22"/>
        <v>23861309171932.77</v>
      </c>
      <c r="T139">
        <f t="shared" si="23"/>
        <v>-7.1902887290164225E-2</v>
      </c>
      <c r="U139">
        <f t="shared" si="24"/>
        <v>0.94272184542291459</v>
      </c>
      <c r="V139" s="64">
        <f t="shared" si="25"/>
        <v>6.5805754296093376E-6</v>
      </c>
      <c r="W139" s="16">
        <f t="shared" si="26"/>
        <v>-5.1229481567830236E-3</v>
      </c>
      <c r="X139">
        <v>136</v>
      </c>
    </row>
    <row r="140" spans="10:24" x14ac:dyDescent="0.25">
      <c r="J140">
        <f t="shared" si="27"/>
        <v>137</v>
      </c>
      <c r="K140">
        <f>'Modelo Ajustado'!B138</f>
        <v>14560</v>
      </c>
      <c r="L140">
        <f>'Modelo Ajustado'!C138</f>
        <v>2</v>
      </c>
      <c r="M140">
        <f>'Modelo Ajustado'!D138</f>
        <v>20</v>
      </c>
      <c r="N140">
        <f>'Modelo Ajustado'!A138</f>
        <v>750000</v>
      </c>
      <c r="O140">
        <v>1529970.2547374344</v>
      </c>
      <c r="P140">
        <f t="shared" si="20"/>
        <v>-779970.25473743444</v>
      </c>
      <c r="Q140" s="17">
        <v>5.1767551767774155E-3</v>
      </c>
      <c r="R140">
        <f t="shared" si="21"/>
        <v>-0.15990898885471855</v>
      </c>
      <c r="S140">
        <f t="shared" si="22"/>
        <v>23859856327545.414</v>
      </c>
      <c r="T140">
        <f t="shared" si="23"/>
        <v>-0.1600925662354612</v>
      </c>
      <c r="U140">
        <f t="shared" si="24"/>
        <v>0.87290407090363142</v>
      </c>
      <c r="V140" s="64">
        <f t="shared" si="25"/>
        <v>3.3438865981645497E-5</v>
      </c>
      <c r="W140" s="16">
        <f t="shared" si="26"/>
        <v>-1.1548538256102945E-2</v>
      </c>
      <c r="X140">
        <v>137</v>
      </c>
    </row>
    <row r="141" spans="10:24" x14ac:dyDescent="0.25">
      <c r="J141">
        <f t="shared" si="27"/>
        <v>138</v>
      </c>
      <c r="K141">
        <f>'Modelo Ajustado'!B139</f>
        <v>16640</v>
      </c>
      <c r="L141">
        <f>'Modelo Ajustado'!C139</f>
        <v>3</v>
      </c>
      <c r="M141">
        <f>'Modelo Ajustado'!D139</f>
        <v>18</v>
      </c>
      <c r="N141">
        <f>'Modelo Ajustado'!A139</f>
        <v>800000</v>
      </c>
      <c r="O141">
        <v>1775735.3774390607</v>
      </c>
      <c r="P141">
        <f t="shared" si="20"/>
        <v>-975735.37743906071</v>
      </c>
      <c r="Q141" s="17">
        <v>4.4139258230067382E-3</v>
      </c>
      <c r="R141">
        <f t="shared" si="21"/>
        <v>-0.20004462561021918</v>
      </c>
      <c r="S141">
        <f t="shared" si="22"/>
        <v>23858830252563.305</v>
      </c>
      <c r="T141">
        <f t="shared" si="23"/>
        <v>-0.2002018430634476</v>
      </c>
      <c r="U141">
        <f t="shared" si="24"/>
        <v>0.84144348367647248</v>
      </c>
      <c r="V141" s="64">
        <f t="shared" si="25"/>
        <v>4.4551382856341025E-5</v>
      </c>
      <c r="W141" s="16">
        <f t="shared" si="26"/>
        <v>-1.3330338567946508E-2</v>
      </c>
      <c r="X141">
        <v>138</v>
      </c>
    </row>
    <row r="142" spans="10:24" x14ac:dyDescent="0.25">
      <c r="J142">
        <f t="shared" si="27"/>
        <v>139</v>
      </c>
      <c r="K142">
        <f>'Modelo Ajustado'!B140</f>
        <v>17680</v>
      </c>
      <c r="L142">
        <f>'Modelo Ajustado'!C140</f>
        <v>3</v>
      </c>
      <c r="M142">
        <f>'Modelo Ajustado'!D140</f>
        <v>20</v>
      </c>
      <c r="N142">
        <f>'Modelo Ajustado'!A140</f>
        <v>950000</v>
      </c>
      <c r="O142">
        <v>2154292.0500721973</v>
      </c>
      <c r="P142">
        <f t="shared" si="20"/>
        <v>-1204292.0500721973</v>
      </c>
      <c r="Q142" s="17">
        <v>4.0789063450419397E-3</v>
      </c>
      <c r="R142">
        <f t="shared" si="21"/>
        <v>-0.24690316437470994</v>
      </c>
      <c r="S142">
        <f t="shared" si="22"/>
        <v>23857342220392.973</v>
      </c>
      <c r="T142">
        <f t="shared" si="23"/>
        <v>-0.24706334887225298</v>
      </c>
      <c r="U142">
        <f t="shared" si="24"/>
        <v>0.80500963903855094</v>
      </c>
      <c r="V142" s="64">
        <f t="shared" si="25"/>
        <v>6.2673968163772393E-5</v>
      </c>
      <c r="W142" s="16">
        <f t="shared" si="26"/>
        <v>-1.5811305327241544E-2</v>
      </c>
      <c r="X142">
        <v>139</v>
      </c>
    </row>
    <row r="143" spans="10:24" x14ac:dyDescent="0.25">
      <c r="J143">
        <f t="shared" si="27"/>
        <v>140</v>
      </c>
      <c r="K143">
        <f>'Modelo Ajustado'!B141</f>
        <v>13478</v>
      </c>
      <c r="L143">
        <f>'Modelo Ajustado'!C141</f>
        <v>2</v>
      </c>
      <c r="M143">
        <f>'Modelo Ajustado'!D141</f>
        <v>9</v>
      </c>
      <c r="N143">
        <f>'Modelo Ajustado'!A141</f>
        <v>6802180</v>
      </c>
      <c r="O143">
        <v>339120.99063310819</v>
      </c>
      <c r="P143">
        <f t="shared" si="20"/>
        <v>6463059.0093668923</v>
      </c>
      <c r="Q143" s="17">
        <v>6.5629333480273196E-3</v>
      </c>
      <c r="R143">
        <f t="shared" si="21"/>
        <v>1.3250521091270997</v>
      </c>
      <c r="S143">
        <f t="shared" si="22"/>
        <v>23736536194556.645</v>
      </c>
      <c r="T143">
        <f t="shared" si="23"/>
        <v>1.3309424260126554</v>
      </c>
      <c r="U143">
        <f t="shared" si="24"/>
        <v>0.18410770411743449</v>
      </c>
      <c r="V143" s="64">
        <f t="shared" si="25"/>
        <v>2.9189267559765874E-3</v>
      </c>
      <c r="W143" s="16">
        <f t="shared" si="26"/>
        <v>0.10817778527966572</v>
      </c>
      <c r="X143">
        <v>140</v>
      </c>
    </row>
    <row r="144" spans="10:24" x14ac:dyDescent="0.25">
      <c r="J144">
        <f t="shared" si="27"/>
        <v>141</v>
      </c>
      <c r="K144">
        <f>'Modelo Ajustado'!B142</f>
        <v>14269</v>
      </c>
      <c r="L144">
        <f>'Modelo Ajustado'!C142</f>
        <v>7</v>
      </c>
      <c r="M144">
        <f>'Modelo Ajustado'!D142</f>
        <v>12</v>
      </c>
      <c r="N144">
        <f>'Modelo Ajustado'!A142</f>
        <v>936477</v>
      </c>
      <c r="O144">
        <v>883188.44441073062</v>
      </c>
      <c r="P144">
        <f t="shared" si="20"/>
        <v>53288.555589269381</v>
      </c>
      <c r="Q144" s="17">
        <v>5.9356782197072635E-3</v>
      </c>
      <c r="R144">
        <f t="shared" si="21"/>
        <v>1.09251846337103E-2</v>
      </c>
      <c r="S144">
        <f t="shared" si="22"/>
        <v>23861667823550.543</v>
      </c>
      <c r="T144">
        <f t="shared" si="23"/>
        <v>1.094148596185705E-2</v>
      </c>
      <c r="U144">
        <f t="shared" si="24"/>
        <v>0.99127660573248411</v>
      </c>
      <c r="V144" s="64">
        <f t="shared" si="25"/>
        <v>1.7924165900725208E-7</v>
      </c>
      <c r="W144" s="16">
        <f t="shared" si="26"/>
        <v>8.4548175219128661E-4</v>
      </c>
      <c r="X144">
        <v>141</v>
      </c>
    </row>
    <row r="145" spans="10:24" x14ac:dyDescent="0.25">
      <c r="J145">
        <f t="shared" si="27"/>
        <v>142</v>
      </c>
      <c r="K145">
        <f>'Modelo Ajustado'!B143</f>
        <v>15558</v>
      </c>
      <c r="L145">
        <f>'Modelo Ajustado'!C143</f>
        <v>5</v>
      </c>
      <c r="M145">
        <f>'Modelo Ajustado'!D143</f>
        <v>17</v>
      </c>
      <c r="N145">
        <f>'Modelo Ajustado'!A143</f>
        <v>1437883</v>
      </c>
      <c r="O145">
        <v>1528065.9216926969</v>
      </c>
      <c r="P145">
        <f t="shared" si="20"/>
        <v>-90182.921692696866</v>
      </c>
      <c r="Q145" s="17">
        <v>4.8615305210505579E-3</v>
      </c>
      <c r="R145">
        <f t="shared" si="21"/>
        <v>-1.8489243316975029E-2</v>
      </c>
      <c r="S145">
        <f t="shared" si="22"/>
        <v>23861652001928.57</v>
      </c>
      <c r="T145">
        <f t="shared" si="23"/>
        <v>-1.8506840828319129E-2</v>
      </c>
      <c r="U145">
        <f t="shared" si="24"/>
        <v>0.98524547235007609</v>
      </c>
      <c r="V145" s="64">
        <f t="shared" si="25"/>
        <v>4.1955052638370801E-7</v>
      </c>
      <c r="W145" s="16">
        <f t="shared" si="26"/>
        <v>-1.2935315933271137E-3</v>
      </c>
      <c r="X145">
        <v>142</v>
      </c>
    </row>
    <row r="146" spans="10:24" x14ac:dyDescent="0.25">
      <c r="J146">
        <f t="shared" si="27"/>
        <v>143</v>
      </c>
      <c r="K146">
        <f>'Modelo Ajustado'!B144</f>
        <v>12500</v>
      </c>
      <c r="L146">
        <f>'Modelo Ajustado'!C144</f>
        <v>0</v>
      </c>
      <c r="M146">
        <f>'Modelo Ajustado'!D144</f>
        <v>11</v>
      </c>
      <c r="N146">
        <f>'Modelo Ajustado'!A144</f>
        <v>1850000</v>
      </c>
      <c r="O146">
        <v>280310.248139109</v>
      </c>
      <c r="P146">
        <f t="shared" si="20"/>
        <v>1569689.751860891</v>
      </c>
      <c r="Q146" s="17">
        <v>7.1160322208565644E-3</v>
      </c>
      <c r="R146">
        <f t="shared" si="21"/>
        <v>0.32181676097402862</v>
      </c>
      <c r="S146">
        <f t="shared" si="22"/>
        <v>23854290655903.426</v>
      </c>
      <c r="T146">
        <f t="shared" si="23"/>
        <v>0.32253832070520916</v>
      </c>
      <c r="U146">
        <f t="shared" si="24"/>
        <v>0.74724491983352404</v>
      </c>
      <c r="V146" s="64">
        <f t="shared" si="25"/>
        <v>1.8689523851819642E-4</v>
      </c>
      <c r="W146" s="16">
        <f t="shared" si="26"/>
        <v>2.7305556012220719E-2</v>
      </c>
      <c r="X146">
        <v>143</v>
      </c>
    </row>
    <row r="147" spans="10:24" x14ac:dyDescent="0.25">
      <c r="J147">
        <f t="shared" si="27"/>
        <v>144</v>
      </c>
      <c r="K147">
        <f>'Modelo Ajustado'!B145</f>
        <v>13100</v>
      </c>
      <c r="L147">
        <f>'Modelo Ajustado'!C145</f>
        <v>2</v>
      </c>
      <c r="M147">
        <f>'Modelo Ajustado'!D145</f>
        <v>13</v>
      </c>
      <c r="N147">
        <f>'Modelo Ajustado'!A145</f>
        <v>2078000</v>
      </c>
      <c r="O147">
        <v>623918.64677498722</v>
      </c>
      <c r="P147">
        <f t="shared" si="20"/>
        <v>1454081.3532250128</v>
      </c>
      <c r="Q147" s="17">
        <v>6.5230067688606778E-3</v>
      </c>
      <c r="R147">
        <f t="shared" si="21"/>
        <v>0.2981148030894939</v>
      </c>
      <c r="S147">
        <f t="shared" si="22"/>
        <v>23855342292457.035</v>
      </c>
      <c r="T147">
        <f t="shared" si="23"/>
        <v>0.2986874477050972</v>
      </c>
      <c r="U147">
        <f t="shared" si="24"/>
        <v>0.76536262728955273</v>
      </c>
      <c r="V147" s="64">
        <f t="shared" si="25"/>
        <v>1.4683828140085451E-4</v>
      </c>
      <c r="W147" s="16">
        <f t="shared" si="26"/>
        <v>2.4202597552731429E-2</v>
      </c>
      <c r="X147">
        <v>144</v>
      </c>
    </row>
    <row r="148" spans="10:24" x14ac:dyDescent="0.25">
      <c r="J148">
        <f t="shared" si="27"/>
        <v>145</v>
      </c>
      <c r="K148">
        <f>'Modelo Ajustado'!B146</f>
        <v>13800</v>
      </c>
      <c r="L148">
        <f>'Modelo Ajustado'!C146</f>
        <v>2</v>
      </c>
      <c r="M148">
        <f>'Modelo Ajustado'!D146</f>
        <v>13</v>
      </c>
      <c r="N148">
        <f>'Modelo Ajustado'!A146</f>
        <v>2040000</v>
      </c>
      <c r="O148">
        <v>758426.77630593767</v>
      </c>
      <c r="P148">
        <f t="shared" si="20"/>
        <v>1281573.2236940623</v>
      </c>
      <c r="Q148" s="17">
        <v>6.0444132612173917E-3</v>
      </c>
      <c r="R148">
        <f t="shared" si="21"/>
        <v>0.26274729978412825</v>
      </c>
      <c r="S148">
        <f t="shared" si="22"/>
        <v>23856758415223.969</v>
      </c>
      <c r="T148">
        <f t="shared" si="23"/>
        <v>0.26318080990812526</v>
      </c>
      <c r="U148">
        <f t="shared" si="24"/>
        <v>0.79257205532249331</v>
      </c>
      <c r="V148" s="64">
        <f t="shared" si="25"/>
        <v>1.0559338768335566E-4</v>
      </c>
      <c r="W148" s="16">
        <f t="shared" si="26"/>
        <v>2.0523328868716939E-2</v>
      </c>
      <c r="X148">
        <v>145</v>
      </c>
    </row>
    <row r="149" spans="10:24" x14ac:dyDescent="0.25">
      <c r="J149">
        <f t="shared" si="27"/>
        <v>146</v>
      </c>
      <c r="K149">
        <f>'Modelo Ajustado'!B147</f>
        <v>10400</v>
      </c>
      <c r="L149">
        <f>'Modelo Ajustado'!C147</f>
        <v>0</v>
      </c>
      <c r="M149">
        <f>'Modelo Ajustado'!D147</f>
        <v>40</v>
      </c>
      <c r="N149">
        <f>'Modelo Ajustado'!A147</f>
        <v>5500000</v>
      </c>
      <c r="O149">
        <v>2468168.1936885505</v>
      </c>
      <c r="P149">
        <f t="shared" si="20"/>
        <v>3031831.8063114495</v>
      </c>
      <c r="Q149" s="17">
        <v>8.2017646438892096E-3</v>
      </c>
      <c r="R149">
        <f t="shared" si="21"/>
        <v>0.62158416372948144</v>
      </c>
      <c r="S149">
        <f t="shared" si="22"/>
        <v>23834092937896.879</v>
      </c>
      <c r="T149">
        <f t="shared" si="23"/>
        <v>0.62358279589071897</v>
      </c>
      <c r="U149">
        <f t="shared" si="24"/>
        <v>0.5333234412703074</v>
      </c>
      <c r="V149" s="64">
        <f t="shared" si="25"/>
        <v>8.0537942680611546E-4</v>
      </c>
      <c r="W149" s="16">
        <f t="shared" si="26"/>
        <v>5.6706926672949319E-2</v>
      </c>
      <c r="X149">
        <v>146</v>
      </c>
    </row>
    <row r="150" spans="10:24" x14ac:dyDescent="0.25">
      <c r="J150">
        <f t="shared" si="27"/>
        <v>147</v>
      </c>
      <c r="K150">
        <f>'Modelo Ajustado'!B148</f>
        <v>10400</v>
      </c>
      <c r="L150">
        <f>'Modelo Ajustado'!C148</f>
        <v>57</v>
      </c>
      <c r="M150">
        <f>'Modelo Ajustado'!D148</f>
        <v>60</v>
      </c>
      <c r="N150">
        <f>'Modelo Ajustado'!A148</f>
        <v>6000000</v>
      </c>
      <c r="O150">
        <v>5668919.6785212439</v>
      </c>
      <c r="P150">
        <f t="shared" si="20"/>
        <v>331080.32147875614</v>
      </c>
      <c r="Q150" s="17">
        <v>9.9807203346508958E-3</v>
      </c>
      <c r="R150">
        <f t="shared" si="21"/>
        <v>6.7877869849261682E-2</v>
      </c>
      <c r="S150">
        <f t="shared" si="22"/>
        <v>23861346803875.418</v>
      </c>
      <c r="T150">
        <f t="shared" si="23"/>
        <v>6.8118341533367321E-2</v>
      </c>
      <c r="U150">
        <f t="shared" si="24"/>
        <v>0.94573182737857275</v>
      </c>
      <c r="V150" s="64">
        <f t="shared" si="25"/>
        <v>1.1729270458181439E-5</v>
      </c>
      <c r="W150" s="16">
        <f t="shared" si="26"/>
        <v>6.8394815593308617E-3</v>
      </c>
      <c r="X150">
        <v>147</v>
      </c>
    </row>
    <row r="151" spans="10:24" x14ac:dyDescent="0.25">
      <c r="J151">
        <f t="shared" si="27"/>
        <v>148</v>
      </c>
      <c r="K151">
        <f>'Modelo Ajustado'!B149</f>
        <v>11020</v>
      </c>
      <c r="L151">
        <f>'Modelo Ajustado'!C149</f>
        <v>10</v>
      </c>
      <c r="M151">
        <f>'Modelo Ajustado'!D149</f>
        <v>100</v>
      </c>
      <c r="N151">
        <f>'Modelo Ajustado'!A149</f>
        <v>7000000</v>
      </c>
      <c r="O151">
        <v>8196783.1225701123</v>
      </c>
      <c r="P151">
        <f t="shared" si="20"/>
        <v>-1196783.1225701123</v>
      </c>
      <c r="Q151" s="17">
        <v>1.1509596866374833E-2</v>
      </c>
      <c r="R151">
        <f t="shared" si="21"/>
        <v>-0.24536368899478536</v>
      </c>
      <c r="S151">
        <f t="shared" si="22"/>
        <v>23857363924024.32</v>
      </c>
      <c r="T151">
        <f t="shared" si="23"/>
        <v>-0.24644385842121189</v>
      </c>
      <c r="U151">
        <f t="shared" si="24"/>
        <v>0.80548870238256798</v>
      </c>
      <c r="V151" s="64">
        <f t="shared" si="25"/>
        <v>1.7728655117159453E-4</v>
      </c>
      <c r="W151" s="16">
        <f t="shared" si="26"/>
        <v>-2.6592662832498223E-2</v>
      </c>
      <c r="X151">
        <v>148</v>
      </c>
    </row>
    <row r="152" spans="10:24" x14ac:dyDescent="0.25">
      <c r="J152">
        <f t="shared" si="27"/>
        <v>149</v>
      </c>
      <c r="K152">
        <f>'Modelo Ajustado'!B150</f>
        <v>14000</v>
      </c>
      <c r="L152">
        <f>'Modelo Ajustado'!C150</f>
        <v>0</v>
      </c>
      <c r="M152">
        <f>'Modelo Ajustado'!D150</f>
        <v>30</v>
      </c>
      <c r="N152">
        <f>'Modelo Ajustado'!A150</f>
        <v>1269000</v>
      </c>
      <c r="O152">
        <v>2266344.1731976722</v>
      </c>
      <c r="P152">
        <f t="shared" si="20"/>
        <v>-997344.17319767224</v>
      </c>
      <c r="Q152" s="17">
        <v>5.2442842498025858E-3</v>
      </c>
      <c r="R152">
        <f t="shared" si="21"/>
        <v>-0.20447484671049809</v>
      </c>
      <c r="S152">
        <f t="shared" si="22"/>
        <v>23858700315396.047</v>
      </c>
      <c r="T152">
        <f t="shared" si="23"/>
        <v>-0.20472149390774894</v>
      </c>
      <c r="U152">
        <f t="shared" si="24"/>
        <v>0.83791331446942374</v>
      </c>
      <c r="V152" s="64">
        <f t="shared" si="25"/>
        <v>5.5395326696892006E-5</v>
      </c>
      <c r="W152" s="16">
        <f t="shared" si="26"/>
        <v>-1.4864432460578909E-2</v>
      </c>
      <c r="X152">
        <v>149</v>
      </c>
    </row>
    <row r="153" spans="10:24" x14ac:dyDescent="0.25">
      <c r="J153">
        <f t="shared" si="27"/>
        <v>150</v>
      </c>
      <c r="K153">
        <f>'Modelo Ajustado'!B151</f>
        <v>14500</v>
      </c>
      <c r="L153">
        <f>'Modelo Ajustado'!C151</f>
        <v>24</v>
      </c>
      <c r="M153">
        <f>'Modelo Ajustado'!D151</f>
        <v>30</v>
      </c>
      <c r="N153">
        <f>'Modelo Ajustado'!A151</f>
        <v>1681000</v>
      </c>
      <c r="O153">
        <v>2957617.7262147055</v>
      </c>
      <c r="P153">
        <f t="shared" si="20"/>
        <v>-1276617.7262147055</v>
      </c>
      <c r="Q153" s="17">
        <v>5.2093297921227497E-3</v>
      </c>
      <c r="R153">
        <f t="shared" si="21"/>
        <v>-0.26173132694877593</v>
      </c>
      <c r="S153">
        <f t="shared" si="22"/>
        <v>23856800470660.602</v>
      </c>
      <c r="T153">
        <f t="shared" si="23"/>
        <v>-0.26205286944488448</v>
      </c>
      <c r="U153">
        <f t="shared" si="24"/>
        <v>0.79344078570868648</v>
      </c>
      <c r="V153" s="64">
        <f t="shared" si="25"/>
        <v>9.0150858790894595E-5</v>
      </c>
      <c r="W153" s="16">
        <f t="shared" si="26"/>
        <v>-1.8963303424250399E-2</v>
      </c>
      <c r="X153">
        <v>150</v>
      </c>
    </row>
    <row r="154" spans="10:24" x14ac:dyDescent="0.25">
      <c r="J154">
        <f t="shared" si="27"/>
        <v>151</v>
      </c>
      <c r="K154">
        <f>'Modelo Ajustado'!B152</f>
        <v>15000</v>
      </c>
      <c r="L154">
        <f>'Modelo Ajustado'!C152</f>
        <v>0</v>
      </c>
      <c r="M154">
        <f>'Modelo Ajustado'!D152</f>
        <v>31</v>
      </c>
      <c r="N154">
        <f>'Modelo Ajustado'!A152</f>
        <v>1814000</v>
      </c>
      <c r="O154">
        <v>2547856.6554783215</v>
      </c>
      <c r="P154">
        <f t="shared" si="20"/>
        <v>-733856.65547832148</v>
      </c>
      <c r="Q154" s="17">
        <v>4.6905772694453996E-3</v>
      </c>
      <c r="R154">
        <f t="shared" si="21"/>
        <v>-0.15045480905082489</v>
      </c>
      <c r="S154">
        <f t="shared" si="22"/>
        <v>23860065957601.18</v>
      </c>
      <c r="T154">
        <f t="shared" si="23"/>
        <v>-0.1505900784486357</v>
      </c>
      <c r="U154">
        <f t="shared" si="24"/>
        <v>0.8803891825318122</v>
      </c>
      <c r="V154" s="64">
        <f t="shared" si="25"/>
        <v>2.6795521867792605E-5</v>
      </c>
      <c r="W154" s="16">
        <f t="shared" si="26"/>
        <v>-1.0337855300817142E-2</v>
      </c>
      <c r="X154">
        <v>151</v>
      </c>
    </row>
    <row r="155" spans="10:24" x14ac:dyDescent="0.25">
      <c r="J155">
        <f t="shared" si="27"/>
        <v>152</v>
      </c>
      <c r="K155">
        <f>'Modelo Ajustado'!B153</f>
        <v>18000</v>
      </c>
      <c r="L155">
        <f>'Modelo Ajustado'!C153</f>
        <v>2</v>
      </c>
      <c r="M155">
        <f>'Modelo Ajustado'!D153</f>
        <v>15</v>
      </c>
      <c r="N155">
        <f>'Modelo Ajustado'!A153</f>
        <v>2000000</v>
      </c>
      <c r="O155">
        <v>1744191.576535936</v>
      </c>
      <c r="P155">
        <f t="shared" si="20"/>
        <v>255808.42346406402</v>
      </c>
      <c r="Q155" s="17">
        <v>4.3220707475666508E-3</v>
      </c>
      <c r="R155">
        <f t="shared" si="21"/>
        <v>5.2445674803878982E-2</v>
      </c>
      <c r="S155">
        <f t="shared" si="22"/>
        <v>23861480724209.77</v>
      </c>
      <c r="T155">
        <f t="shared" si="23"/>
        <v>5.2481556369920059E-2</v>
      </c>
      <c r="U155">
        <f t="shared" si="24"/>
        <v>0.95817608601841475</v>
      </c>
      <c r="V155" s="64">
        <f t="shared" si="25"/>
        <v>2.9978746849225419E-6</v>
      </c>
      <c r="W155" s="16">
        <f t="shared" si="26"/>
        <v>3.4577469057682272E-3</v>
      </c>
      <c r="X155">
        <v>152</v>
      </c>
    </row>
    <row r="156" spans="10:24" x14ac:dyDescent="0.25">
      <c r="J156">
        <f t="shared" si="27"/>
        <v>153</v>
      </c>
      <c r="K156">
        <f>'Modelo Ajustado'!B154</f>
        <v>20000</v>
      </c>
      <c r="L156">
        <f>'Modelo Ajustado'!C154</f>
        <v>3</v>
      </c>
      <c r="M156">
        <f>'Modelo Ajustado'!D154</f>
        <v>15</v>
      </c>
      <c r="N156">
        <f>'Modelo Ajustado'!A154</f>
        <v>2500000</v>
      </c>
      <c r="O156">
        <v>2153300.3646211787</v>
      </c>
      <c r="P156">
        <f t="shared" si="20"/>
        <v>346699.63537882129</v>
      </c>
      <c r="Q156" s="17">
        <v>4.3353130124556809E-3</v>
      </c>
      <c r="R156">
        <f t="shared" si="21"/>
        <v>7.1080131316533499E-2</v>
      </c>
      <c r="S156">
        <f t="shared" si="22"/>
        <v>23861317027754.742</v>
      </c>
      <c r="T156">
        <f t="shared" si="23"/>
        <v>7.1129478937232385E-2</v>
      </c>
      <c r="U156">
        <f t="shared" si="24"/>
        <v>0.94333689883445415</v>
      </c>
      <c r="V156" s="64">
        <f t="shared" si="25"/>
        <v>5.5237078697402761E-6</v>
      </c>
      <c r="W156" s="16">
        <f t="shared" si="26"/>
        <v>4.6935700582750985E-3</v>
      </c>
      <c r="X156">
        <v>153</v>
      </c>
    </row>
    <row r="157" spans="10:24" x14ac:dyDescent="0.25">
      <c r="J157">
        <f t="shared" si="27"/>
        <v>154</v>
      </c>
      <c r="K157">
        <f>'Modelo Ajustado'!B155</f>
        <v>22000</v>
      </c>
      <c r="L157">
        <f>'Modelo Ajustado'!C155</f>
        <v>15</v>
      </c>
      <c r="M157">
        <f>'Modelo Ajustado'!D155</f>
        <v>15</v>
      </c>
      <c r="N157">
        <f>'Modelo Ajustado'!A155</f>
        <v>3500000</v>
      </c>
      <c r="O157">
        <v>2835207.464957071</v>
      </c>
      <c r="P157">
        <f t="shared" si="20"/>
        <v>664792.535042929</v>
      </c>
      <c r="Q157" s="17">
        <v>5.2199565165992438E-3</v>
      </c>
      <c r="R157">
        <f t="shared" si="21"/>
        <v>0.13629532848360518</v>
      </c>
      <c r="S157">
        <f t="shared" si="22"/>
        <v>23860354098702.223</v>
      </c>
      <c r="T157">
        <f t="shared" si="23"/>
        <v>0.13645333663483267</v>
      </c>
      <c r="U157">
        <f t="shared" si="24"/>
        <v>0.89154438920938039</v>
      </c>
      <c r="V157" s="64">
        <f t="shared" si="25"/>
        <v>2.4497101794371648E-5</v>
      </c>
      <c r="W157" s="16">
        <f t="shared" si="26"/>
        <v>9.8844855367692698E-3</v>
      </c>
      <c r="X157">
        <v>154</v>
      </c>
    </row>
    <row r="158" spans="10:24" x14ac:dyDescent="0.25">
      <c r="J158">
        <f t="shared" si="27"/>
        <v>155</v>
      </c>
      <c r="K158">
        <f>'Modelo Ajustado'!B156</f>
        <v>25861</v>
      </c>
      <c r="L158">
        <f>'Modelo Ajustado'!C156</f>
        <v>0</v>
      </c>
      <c r="M158">
        <f>'Modelo Ajustado'!D156</f>
        <v>6</v>
      </c>
      <c r="N158">
        <f>'Modelo Ajustado'!A156</f>
        <v>400000</v>
      </c>
      <c r="O158">
        <v>2400896.074332695</v>
      </c>
      <c r="P158">
        <f t="shared" si="20"/>
        <v>-2000896.074332695</v>
      </c>
      <c r="Q158" s="17">
        <v>7.8511620497765302E-3</v>
      </c>
      <c r="R158">
        <f t="shared" si="21"/>
        <v>-0.41022239772159941</v>
      </c>
      <c r="S158">
        <f t="shared" si="22"/>
        <v>23849666603293.531</v>
      </c>
      <c r="T158">
        <f t="shared" si="23"/>
        <v>-0.41133433441737122</v>
      </c>
      <c r="U158">
        <f t="shared" si="24"/>
        <v>0.68108885735069125</v>
      </c>
      <c r="V158" s="64">
        <f t="shared" si="25"/>
        <v>3.3555138164537699E-4</v>
      </c>
      <c r="W158" s="16">
        <f t="shared" si="26"/>
        <v>-3.6590935973277922E-2</v>
      </c>
      <c r="X158">
        <v>155</v>
      </c>
    </row>
    <row r="159" spans="10:24" x14ac:dyDescent="0.25">
      <c r="J159">
        <f t="shared" si="27"/>
        <v>156</v>
      </c>
      <c r="K159">
        <f>'Modelo Ajustado'!B157</f>
        <v>25168</v>
      </c>
      <c r="L159">
        <f>'Modelo Ajustado'!C157</f>
        <v>5</v>
      </c>
      <c r="M159">
        <f>'Modelo Ajustado'!D157</f>
        <v>5</v>
      </c>
      <c r="N159">
        <f>'Modelo Ajustado'!A157</f>
        <v>500000</v>
      </c>
      <c r="O159">
        <v>2302374.2474161112</v>
      </c>
      <c r="P159">
        <f t="shared" si="20"/>
        <v>-1802374.2474161112</v>
      </c>
      <c r="Q159" s="17">
        <v>7.4818361057504149E-3</v>
      </c>
      <c r="R159">
        <f t="shared" si="21"/>
        <v>-0.36952158328027307</v>
      </c>
      <c r="S159">
        <f t="shared" si="22"/>
        <v>23851935131109.918</v>
      </c>
      <c r="T159">
        <f t="shared" si="23"/>
        <v>-0.37043663630275386</v>
      </c>
      <c r="U159">
        <f t="shared" si="24"/>
        <v>0.71128989937719644</v>
      </c>
      <c r="V159" s="64">
        <f t="shared" si="25"/>
        <v>2.5926917894104581E-4</v>
      </c>
      <c r="W159" s="16">
        <f t="shared" si="26"/>
        <v>-3.2162425668613707E-2</v>
      </c>
      <c r="X159">
        <v>156</v>
      </c>
    </row>
    <row r="160" spans="10:24" x14ac:dyDescent="0.25">
      <c r="J160">
        <f t="shared" si="27"/>
        <v>157</v>
      </c>
      <c r="K160">
        <f>'Modelo Ajustado'!B158</f>
        <v>23625</v>
      </c>
      <c r="L160">
        <f>'Modelo Ajustado'!C158</f>
        <v>0</v>
      </c>
      <c r="M160">
        <f>'Modelo Ajustado'!D158</f>
        <v>7</v>
      </c>
      <c r="N160">
        <f>'Modelo Ajustado'!A158</f>
        <v>600000</v>
      </c>
      <c r="O160">
        <v>2060596.6892388365</v>
      </c>
      <c r="P160">
        <f t="shared" si="20"/>
        <v>-1460596.6892388365</v>
      </c>
      <c r="Q160" s="17">
        <v>6.1705108945235669E-3</v>
      </c>
      <c r="R160">
        <f t="shared" si="21"/>
        <v>-0.29945057299570654</v>
      </c>
      <c r="S160">
        <f t="shared" si="22"/>
        <v>23855287669953.715</v>
      </c>
      <c r="T160">
        <f t="shared" si="23"/>
        <v>-0.29997291494324041</v>
      </c>
      <c r="U160">
        <f t="shared" si="24"/>
        <v>0.76438275911747167</v>
      </c>
      <c r="V160" s="64">
        <f t="shared" si="25"/>
        <v>1.4005146975394359E-4</v>
      </c>
      <c r="W160" s="16">
        <f t="shared" si="26"/>
        <v>-2.3636690332951418E-2</v>
      </c>
      <c r="X160">
        <v>157</v>
      </c>
    </row>
    <row r="161" spans="10:24" x14ac:dyDescent="0.25">
      <c r="J161">
        <f t="shared" si="27"/>
        <v>158</v>
      </c>
      <c r="K161">
        <f>'Modelo Ajustado'!B159</f>
        <v>11500</v>
      </c>
      <c r="L161">
        <f>'Modelo Ajustado'!C159</f>
        <v>3</v>
      </c>
      <c r="M161">
        <f>'Modelo Ajustado'!D159</f>
        <v>60</v>
      </c>
      <c r="N161">
        <f>'Modelo Ajustado'!A159</f>
        <v>3330457</v>
      </c>
      <c r="O161">
        <v>4541097.8816705849</v>
      </c>
      <c r="P161">
        <f t="shared" si="20"/>
        <v>-1210640.8816705849</v>
      </c>
      <c r="Q161" s="17">
        <v>7.6116529110541549E-3</v>
      </c>
      <c r="R161">
        <f t="shared" si="21"/>
        <v>-0.24820479765513395</v>
      </c>
      <c r="S161">
        <f t="shared" si="22"/>
        <v>23857280810709.309</v>
      </c>
      <c r="T161">
        <f t="shared" si="23"/>
        <v>-0.24880782576862806</v>
      </c>
      <c r="U161">
        <f t="shared" si="24"/>
        <v>0.80366099859525431</v>
      </c>
      <c r="V161" s="64">
        <f t="shared" si="25"/>
        <v>1.1903536742626418E-4</v>
      </c>
      <c r="W161" s="16">
        <f t="shared" si="26"/>
        <v>-2.1790274252089556E-2</v>
      </c>
      <c r="X161">
        <v>158</v>
      </c>
    </row>
    <row r="162" spans="10:24" x14ac:dyDescent="0.25">
      <c r="J162">
        <f t="shared" si="27"/>
        <v>159</v>
      </c>
      <c r="K162">
        <f>'Modelo Ajustado'!B160</f>
        <v>12500</v>
      </c>
      <c r="L162">
        <f>'Modelo Ajustado'!C160</f>
        <v>3</v>
      </c>
      <c r="M162">
        <f>'Modelo Ajustado'!D160</f>
        <v>65</v>
      </c>
      <c r="N162">
        <f>'Modelo Ajustado'!A160</f>
        <v>3765312</v>
      </c>
      <c r="O162">
        <v>5180042.4100398254</v>
      </c>
      <c r="P162">
        <f t="shared" si="20"/>
        <v>-1414730.4100398254</v>
      </c>
      <c r="Q162" s="17">
        <v>7.1373142931475016E-3</v>
      </c>
      <c r="R162">
        <f t="shared" si="21"/>
        <v>-0.2900470985879407</v>
      </c>
      <c r="S162">
        <f t="shared" si="22"/>
        <v>23855676772178.117</v>
      </c>
      <c r="T162">
        <f t="shared" si="23"/>
        <v>-0.29069209609061936</v>
      </c>
      <c r="U162">
        <f t="shared" si="24"/>
        <v>0.77146562714630718</v>
      </c>
      <c r="V162" s="64">
        <f t="shared" si="25"/>
        <v>1.5227671619714712E-4</v>
      </c>
      <c r="W162" s="16">
        <f t="shared" si="26"/>
        <v>-2.4646544545253533E-2</v>
      </c>
      <c r="X162">
        <v>159</v>
      </c>
    </row>
    <row r="163" spans="10:24" x14ac:dyDescent="0.25">
      <c r="J163">
        <f t="shared" si="27"/>
        <v>160</v>
      </c>
      <c r="K163">
        <f>'Modelo Ajustado'!B161</f>
        <v>13200</v>
      </c>
      <c r="L163">
        <f>'Modelo Ajustado'!C161</f>
        <v>0</v>
      </c>
      <c r="M163">
        <f>'Modelo Ajustado'!D161</f>
        <v>56</v>
      </c>
      <c r="N163">
        <f>'Modelo Ajustado'!A161</f>
        <v>3533090</v>
      </c>
      <c r="O163">
        <v>4435928.8961667214</v>
      </c>
      <c r="P163">
        <f t="shared" si="20"/>
        <v>-902838.89616672136</v>
      </c>
      <c r="Q163" s="17">
        <v>6.3738762621239559E-3</v>
      </c>
      <c r="R163">
        <f t="shared" si="21"/>
        <v>-0.18509943694369652</v>
      </c>
      <c r="S163">
        <f t="shared" si="22"/>
        <v>23859234816896.816</v>
      </c>
      <c r="T163">
        <f t="shared" si="23"/>
        <v>-0.18542594662694245</v>
      </c>
      <c r="U163">
        <f t="shared" si="24"/>
        <v>0.85300650896433583</v>
      </c>
      <c r="V163" s="64">
        <f t="shared" si="25"/>
        <v>5.529779699667611E-5</v>
      </c>
      <c r="W163" s="16">
        <f t="shared" si="26"/>
        <v>-1.4851175090820849E-2</v>
      </c>
      <c r="X163">
        <v>160</v>
      </c>
    </row>
    <row r="164" spans="10:24" x14ac:dyDescent="0.25">
      <c r="J164">
        <f t="shared" si="27"/>
        <v>161</v>
      </c>
      <c r="K164">
        <f>'Modelo Ajustado'!B162</f>
        <v>15038</v>
      </c>
      <c r="L164">
        <f>'Modelo Ajustado'!C162</f>
        <v>150</v>
      </c>
      <c r="M164">
        <f>'Modelo Ajustado'!D162</f>
        <v>259</v>
      </c>
      <c r="N164">
        <f>'Modelo Ajustado'!A162</f>
        <v>26900000</v>
      </c>
      <c r="O164">
        <v>26648762.137653034</v>
      </c>
      <c r="P164">
        <f t="shared" si="20"/>
        <v>251237.86234696582</v>
      </c>
      <c r="Q164" s="134">
        <v>3.4788918961595403E-2</v>
      </c>
      <c r="R164">
        <f t="shared" si="21"/>
        <v>5.1508621368450344E-2</v>
      </c>
      <c r="S164">
        <f t="shared" si="22"/>
        <v>23861481695942.992</v>
      </c>
      <c r="T164">
        <f t="shared" si="23"/>
        <v>5.2351030626193285E-2</v>
      </c>
      <c r="U164">
        <f t="shared" si="24"/>
        <v>0.958280009978694</v>
      </c>
      <c r="V164" s="64">
        <f t="shared" si="25"/>
        <v>2.476829982178145E-5</v>
      </c>
      <c r="W164" s="16">
        <f t="shared" si="26"/>
        <v>9.938813774231961E-3</v>
      </c>
      <c r="X164" s="132">
        <v>161</v>
      </c>
    </row>
    <row r="165" spans="10:24" x14ac:dyDescent="0.25">
      <c r="J165">
        <f t="shared" si="27"/>
        <v>162</v>
      </c>
      <c r="K165">
        <f>'Modelo Ajustado'!B163</f>
        <v>15434</v>
      </c>
      <c r="L165">
        <f>'Modelo Ajustado'!C163</f>
        <v>244</v>
      </c>
      <c r="M165">
        <f>'Modelo Ajustado'!D163</f>
        <v>331</v>
      </c>
      <c r="N165">
        <f>'Modelo Ajustado'!A163</f>
        <v>32200000</v>
      </c>
      <c r="O165">
        <v>35489817.715082712</v>
      </c>
      <c r="P165">
        <f t="shared" si="20"/>
        <v>-3289817.7150827125</v>
      </c>
      <c r="Q165" s="134">
        <v>7.3544768496496354E-2</v>
      </c>
      <c r="R165">
        <f t="shared" si="21"/>
        <v>-0.6744762651395102</v>
      </c>
      <c r="S165">
        <f t="shared" si="22"/>
        <v>23826908305772.594</v>
      </c>
      <c r="T165">
        <f t="shared" si="23"/>
        <v>-0.70020590524480897</v>
      </c>
      <c r="U165">
        <f t="shared" si="24"/>
        <v>0.48428182392525421</v>
      </c>
      <c r="V165" s="64">
        <f t="shared" si="25"/>
        <v>9.7448747311639425E-3</v>
      </c>
      <c r="W165" s="16">
        <f t="shared" si="26"/>
        <v>-0.19728289973079705</v>
      </c>
      <c r="X165" s="132">
        <v>162</v>
      </c>
    </row>
    <row r="166" spans="10:24" x14ac:dyDescent="0.25">
      <c r="J166">
        <f t="shared" si="27"/>
        <v>163</v>
      </c>
      <c r="K166">
        <f>'Modelo Ajustado'!B164</f>
        <v>16307</v>
      </c>
      <c r="L166">
        <f>'Modelo Ajustado'!C164</f>
        <v>180</v>
      </c>
      <c r="M166">
        <f>'Modelo Ajustado'!D164</f>
        <v>321</v>
      </c>
      <c r="N166">
        <f>'Modelo Ajustado'!A164</f>
        <v>31000000</v>
      </c>
      <c r="O166">
        <v>33176798.272465978</v>
      </c>
      <c r="P166">
        <f t="shared" si="20"/>
        <v>-2176798.2724659778</v>
      </c>
      <c r="Q166" s="134">
        <v>5.5508366886087984E-2</v>
      </c>
      <c r="R166">
        <f t="shared" si="21"/>
        <v>-0.44628575074047139</v>
      </c>
      <c r="S166">
        <f t="shared" si="22"/>
        <v>23846744978849.09</v>
      </c>
      <c r="T166">
        <f t="shared" si="23"/>
        <v>-0.4586744754258521</v>
      </c>
      <c r="U166">
        <f t="shared" si="24"/>
        <v>0.64676361158530149</v>
      </c>
      <c r="V166" s="64">
        <f t="shared" si="25"/>
        <v>3.0983342656595589E-3</v>
      </c>
      <c r="W166" s="16">
        <f t="shared" si="26"/>
        <v>-0.11119486719742933</v>
      </c>
      <c r="X166" s="132">
        <v>163</v>
      </c>
    </row>
    <row r="167" spans="10:24" x14ac:dyDescent="0.25">
      <c r="J167">
        <f t="shared" si="27"/>
        <v>164</v>
      </c>
      <c r="K167">
        <f>'Modelo Ajustado'!B165</f>
        <v>19968</v>
      </c>
      <c r="L167">
        <f>'Modelo Ajustado'!C165</f>
        <v>20</v>
      </c>
      <c r="M167">
        <f>'Modelo Ajustado'!D165</f>
        <v>60</v>
      </c>
      <c r="N167">
        <f>'Modelo Ajustado'!A165</f>
        <v>3870000</v>
      </c>
      <c r="O167">
        <v>6589859.3317136634</v>
      </c>
      <c r="P167">
        <f t="shared" si="20"/>
        <v>-2719859.3317136634</v>
      </c>
      <c r="Q167" s="17">
        <v>3.1291670047207789E-3</v>
      </c>
      <c r="R167">
        <f t="shared" si="21"/>
        <v>-0.55762377208578973</v>
      </c>
      <c r="S167">
        <f t="shared" si="22"/>
        <v>23839590444813.898</v>
      </c>
      <c r="T167">
        <f t="shared" si="23"/>
        <v>-0.55792728867293651</v>
      </c>
      <c r="U167">
        <f t="shared" si="24"/>
        <v>0.57726447721507668</v>
      </c>
      <c r="V167" s="64">
        <f t="shared" si="25"/>
        <v>2.4477864817569597E-4</v>
      </c>
      <c r="W167" s="16">
        <f t="shared" si="26"/>
        <v>-3.1258816429363102E-2</v>
      </c>
      <c r="X167">
        <v>164</v>
      </c>
    </row>
    <row r="168" spans="10:24" x14ac:dyDescent="0.25">
      <c r="J168">
        <f t="shared" si="27"/>
        <v>165</v>
      </c>
      <c r="K168">
        <f>'Modelo Ajustado'!B166</f>
        <v>20800</v>
      </c>
      <c r="L168">
        <f>'Modelo Ajustado'!C166</f>
        <v>41</v>
      </c>
      <c r="M168">
        <f>'Modelo Ajustado'!D166</f>
        <v>70</v>
      </c>
      <c r="N168">
        <f>'Modelo Ajustado'!A166</f>
        <v>3882000</v>
      </c>
      <c r="O168">
        <v>8164108.7445392776</v>
      </c>
      <c r="P168">
        <f t="shared" si="20"/>
        <v>-4282108.7445392776</v>
      </c>
      <c r="Q168" s="17">
        <v>3.5038187954194557E-3</v>
      </c>
      <c r="R168">
        <f t="shared" si="21"/>
        <v>-0.87791511964226698</v>
      </c>
      <c r="S168">
        <f t="shared" si="22"/>
        <v>23806911656306.066</v>
      </c>
      <c r="T168">
        <f t="shared" si="23"/>
        <v>-0.87916085459971838</v>
      </c>
      <c r="U168">
        <f t="shared" si="24"/>
        <v>0.37994050283893244</v>
      </c>
      <c r="V168" s="64">
        <f t="shared" si="25"/>
        <v>6.7988494795941665E-4</v>
      </c>
      <c r="W168" s="16">
        <f t="shared" si="26"/>
        <v>-5.2131634549488486E-2</v>
      </c>
      <c r="X168">
        <v>165</v>
      </c>
    </row>
    <row r="169" spans="10:24" x14ac:dyDescent="0.25">
      <c r="J169">
        <f t="shared" si="27"/>
        <v>166</v>
      </c>
      <c r="K169">
        <f>'Modelo Ajustado'!B167</f>
        <v>21840</v>
      </c>
      <c r="L169">
        <f>'Modelo Ajustado'!C167</f>
        <v>20</v>
      </c>
      <c r="M169">
        <f>'Modelo Ajustado'!D167</f>
        <v>70</v>
      </c>
      <c r="N169">
        <f>'Modelo Ajustado'!A167</f>
        <v>5330000</v>
      </c>
      <c r="O169">
        <v>7843152.6161950585</v>
      </c>
      <c r="P169">
        <f t="shared" si="20"/>
        <v>-2513152.6161950585</v>
      </c>
      <c r="Q169" s="17">
        <v>3.9995899790776562E-3</v>
      </c>
      <c r="R169">
        <f t="shared" si="21"/>
        <v>-0.51524489716422317</v>
      </c>
      <c r="S169">
        <f t="shared" si="22"/>
        <v>23842803412715.063</v>
      </c>
      <c r="T169">
        <f t="shared" si="23"/>
        <v>-0.515715809612033</v>
      </c>
      <c r="U169">
        <f t="shared" si="24"/>
        <v>0.60639107374349588</v>
      </c>
      <c r="V169" s="64">
        <f t="shared" si="25"/>
        <v>2.6758628155920715E-4</v>
      </c>
      <c r="W169" s="16">
        <f t="shared" si="26"/>
        <v>-3.2680479677077101E-2</v>
      </c>
      <c r="X169">
        <v>166</v>
      </c>
    </row>
    <row r="170" spans="10:24" x14ac:dyDescent="0.25">
      <c r="J170">
        <f t="shared" si="27"/>
        <v>167</v>
      </c>
      <c r="K170">
        <f>'Modelo Ajustado'!B168</f>
        <v>20000</v>
      </c>
      <c r="L170">
        <f>'Modelo Ajustado'!C168</f>
        <v>0</v>
      </c>
      <c r="M170">
        <f>'Modelo Ajustado'!D168</f>
        <v>125</v>
      </c>
      <c r="N170">
        <f>'Modelo Ajustado'!A168</f>
        <v>26000000</v>
      </c>
      <c r="O170">
        <v>11908282.09235274</v>
      </c>
      <c r="P170">
        <f t="shared" si="20"/>
        <v>14091717.90764726</v>
      </c>
      <c r="Q170" s="17">
        <v>1.6157999046379615E-2</v>
      </c>
      <c r="R170">
        <f t="shared" si="21"/>
        <v>2.8890747411853228</v>
      </c>
      <c r="S170">
        <f t="shared" si="22"/>
        <v>23260968561398.203</v>
      </c>
      <c r="T170">
        <f t="shared" si="23"/>
        <v>2.945692195540651</v>
      </c>
      <c r="U170">
        <f t="shared" si="24"/>
        <v>3.446502828527525E-3</v>
      </c>
      <c r="V170" s="135">
        <f t="shared" si="25"/>
        <v>3.4833284229045906E-2</v>
      </c>
      <c r="W170" s="133">
        <f t="shared" si="26"/>
        <v>0.37750131925809677</v>
      </c>
      <c r="X170" s="132">
        <v>167</v>
      </c>
    </row>
    <row r="171" spans="10:24" x14ac:dyDescent="0.25">
      <c r="J171">
        <f t="shared" si="27"/>
        <v>168</v>
      </c>
      <c r="K171">
        <f>'Modelo Ajustado'!B169</f>
        <v>20000</v>
      </c>
      <c r="L171">
        <f>'Modelo Ajustado'!C169</f>
        <v>120</v>
      </c>
      <c r="M171">
        <f>'Modelo Ajustado'!D169</f>
        <v>120</v>
      </c>
      <c r="N171">
        <f>'Modelo Ajustado'!A169</f>
        <v>36000000</v>
      </c>
      <c r="O171">
        <v>14437473.622930912</v>
      </c>
      <c r="P171">
        <f t="shared" si="20"/>
        <v>21562526.377069086</v>
      </c>
      <c r="Q171" s="17">
        <v>1.5843869668424576E-2</v>
      </c>
      <c r="R171">
        <f t="shared" si="21"/>
        <v>4.4207349820937054</v>
      </c>
      <c r="S171">
        <f t="shared" si="22"/>
        <v>22455641725748.094</v>
      </c>
      <c r="T171" s="132">
        <f t="shared" si="23"/>
        <v>4.5867482860350979</v>
      </c>
      <c r="U171">
        <f t="shared" si="24"/>
        <v>6.357024557915017E-6</v>
      </c>
      <c r="V171" s="135">
        <f t="shared" si="25"/>
        <v>7.9921242359229802E-2</v>
      </c>
      <c r="W171" s="133">
        <f t="shared" si="26"/>
        <v>0.58197393862281721</v>
      </c>
      <c r="X171" s="132">
        <v>168</v>
      </c>
    </row>
    <row r="172" spans="10:24" x14ac:dyDescent="0.25">
      <c r="J172">
        <f t="shared" si="27"/>
        <v>169</v>
      </c>
      <c r="K172">
        <f>'Modelo Ajustado'!B170</f>
        <v>20000</v>
      </c>
      <c r="L172">
        <f>'Modelo Ajustado'!C170</f>
        <v>20</v>
      </c>
      <c r="M172">
        <f>'Modelo Ajustado'!D170</f>
        <v>60</v>
      </c>
      <c r="N172">
        <f>'Modelo Ajustado'!A170</f>
        <v>22000000</v>
      </c>
      <c r="O172">
        <v>6596008.2747779358</v>
      </c>
      <c r="P172">
        <f t="shared" si="20"/>
        <v>15403991.725222064</v>
      </c>
      <c r="Q172" s="17">
        <v>3.1338198656969025E-3</v>
      </c>
      <c r="R172">
        <f t="shared" si="21"/>
        <v>3.1581162565435581</v>
      </c>
      <c r="S172">
        <f t="shared" si="22"/>
        <v>23153256977888.703</v>
      </c>
      <c r="T172" s="132">
        <f t="shared" si="23"/>
        <v>3.206334289252434</v>
      </c>
      <c r="U172">
        <f t="shared" si="24"/>
        <v>1.4731416205392856E-3</v>
      </c>
      <c r="V172" s="64">
        <f t="shared" si="25"/>
        <v>7.8631496251684793E-3</v>
      </c>
      <c r="W172" s="16">
        <f t="shared" si="26"/>
        <v>0.17977420752489209</v>
      </c>
      <c r="X172" s="132">
        <v>169</v>
      </c>
    </row>
    <row r="173" spans="10:24" x14ac:dyDescent="0.25">
      <c r="J173">
        <f t="shared" si="27"/>
        <v>170</v>
      </c>
      <c r="K173">
        <f>'Modelo Ajustado'!B171</f>
        <v>10000</v>
      </c>
      <c r="L173">
        <f>'Modelo Ajustado'!C171</f>
        <v>6</v>
      </c>
      <c r="M173">
        <f>'Modelo Ajustado'!D171</f>
        <v>40</v>
      </c>
      <c r="N173">
        <f>'Modelo Ajustado'!A171</f>
        <v>1200000</v>
      </c>
      <c r="O173">
        <v>2540105.4847945957</v>
      </c>
      <c r="P173">
        <f t="shared" si="20"/>
        <v>-1340105.4847945957</v>
      </c>
      <c r="Q173" s="17">
        <v>8.2633101660452776E-3</v>
      </c>
      <c r="R173">
        <f t="shared" si="21"/>
        <v>-0.27474754547441743</v>
      </c>
      <c r="S173">
        <f t="shared" si="22"/>
        <v>23856286901917.195</v>
      </c>
      <c r="T173">
        <f t="shared" si="23"/>
        <v>-0.27551127075790738</v>
      </c>
      <c r="U173">
        <f t="shared" si="24"/>
        <v>0.78309232140930085</v>
      </c>
      <c r="V173" s="64">
        <f t="shared" si="25"/>
        <v>1.5855098506555233E-4</v>
      </c>
      <c r="W173" s="16">
        <f t="shared" si="26"/>
        <v>-2.5148854420188792E-2</v>
      </c>
      <c r="X173">
        <v>170</v>
      </c>
    </row>
    <row r="174" spans="10:24" x14ac:dyDescent="0.25">
      <c r="J174">
        <f t="shared" si="27"/>
        <v>171</v>
      </c>
      <c r="K174">
        <f>'Modelo Ajustado'!B172</f>
        <v>10300</v>
      </c>
      <c r="L174">
        <f>'Modelo Ajustado'!C172</f>
        <v>35</v>
      </c>
      <c r="M174">
        <f>'Modelo Ajustado'!D172</f>
        <v>35</v>
      </c>
      <c r="N174">
        <f>'Modelo Ajustado'!A172</f>
        <v>1100000</v>
      </c>
      <c r="O174">
        <v>2870157.3188903932</v>
      </c>
      <c r="P174">
        <f t="shared" si="20"/>
        <v>-1770157.3188903932</v>
      </c>
      <c r="Q174" s="17">
        <v>9.2663894615796095E-3</v>
      </c>
      <c r="R174">
        <f t="shared" si="21"/>
        <v>-0.36291648977412833</v>
      </c>
      <c r="S174">
        <f t="shared" si="22"/>
        <v>23852263336307.688</v>
      </c>
      <c r="T174">
        <f t="shared" si="23"/>
        <v>-0.3641401938030232</v>
      </c>
      <c r="U174">
        <f t="shared" si="24"/>
        <v>0.71598168465541256</v>
      </c>
      <c r="V174" s="64">
        <f t="shared" si="25"/>
        <v>3.1084949634885148E-4</v>
      </c>
      <c r="W174" s="16">
        <f t="shared" si="26"/>
        <v>-3.5216439514874374E-2</v>
      </c>
      <c r="X174">
        <v>171</v>
      </c>
    </row>
    <row r="175" spans="10:24" x14ac:dyDescent="0.25">
      <c r="J175">
        <f t="shared" si="27"/>
        <v>172</v>
      </c>
      <c r="K175">
        <f>'Modelo Ajustado'!B173</f>
        <v>10700</v>
      </c>
      <c r="L175">
        <f>'Modelo Ajustado'!C173</f>
        <v>6</v>
      </c>
      <c r="M175">
        <f>'Modelo Ajustado'!D173</f>
        <v>50</v>
      </c>
      <c r="N175">
        <f>'Modelo Ajustado'!A173</f>
        <v>1300000</v>
      </c>
      <c r="O175">
        <v>3568193.7295470261</v>
      </c>
      <c r="P175">
        <f t="shared" si="20"/>
        <v>-2268193.7295470261</v>
      </c>
      <c r="Q175" s="17">
        <v>7.6360881603129436E-3</v>
      </c>
      <c r="R175">
        <f t="shared" si="21"/>
        <v>-0.46502358726561577</v>
      </c>
      <c r="S175">
        <f t="shared" si="22"/>
        <v>23846246889420.043</v>
      </c>
      <c r="T175">
        <f t="shared" si="23"/>
        <v>-0.46626696443216126</v>
      </c>
      <c r="U175">
        <f t="shared" si="24"/>
        <v>0.64132566512863354</v>
      </c>
      <c r="V175" s="64">
        <f t="shared" si="25"/>
        <v>4.1919778745150754E-4</v>
      </c>
      <c r="W175" s="16">
        <f t="shared" si="26"/>
        <v>-4.0901066454833455E-2</v>
      </c>
      <c r="X175">
        <v>172</v>
      </c>
    </row>
    <row r="176" spans="10:24" x14ac:dyDescent="0.25">
      <c r="J176">
        <f t="shared" si="27"/>
        <v>173</v>
      </c>
      <c r="K176">
        <f>'Modelo Ajustado'!B174</f>
        <v>12000</v>
      </c>
      <c r="L176">
        <f>'Modelo Ajustado'!C174</f>
        <v>20</v>
      </c>
      <c r="M176">
        <f>'Modelo Ajustado'!D174</f>
        <v>150</v>
      </c>
      <c r="N176">
        <f>'Modelo Ajustado'!A174</f>
        <v>11000000</v>
      </c>
      <c r="O176">
        <v>13100993.545703257</v>
      </c>
      <c r="P176">
        <f t="shared" si="20"/>
        <v>-2100993.5457032565</v>
      </c>
      <c r="Q176" s="17">
        <v>1.9466877044792705E-2</v>
      </c>
      <c r="R176">
        <f t="shared" si="21"/>
        <v>-0.43074431549546244</v>
      </c>
      <c r="S176">
        <f t="shared" si="22"/>
        <v>23848278081181.871</v>
      </c>
      <c r="T176">
        <f t="shared" si="23"/>
        <v>-0.4344752784332766</v>
      </c>
      <c r="U176">
        <f t="shared" si="24"/>
        <v>0.66422139954552328</v>
      </c>
      <c r="V176" s="64">
        <f t="shared" si="25"/>
        <v>9.3918439117464489E-4</v>
      </c>
      <c r="W176" s="16">
        <f t="shared" si="26"/>
        <v>-6.121841464921228E-2</v>
      </c>
      <c r="X176">
        <v>173</v>
      </c>
    </row>
    <row r="177" spans="10:24" x14ac:dyDescent="0.25">
      <c r="J177">
        <f t="shared" si="27"/>
        <v>174</v>
      </c>
      <c r="K177">
        <f>'Modelo Ajustado'!B175</f>
        <v>14000</v>
      </c>
      <c r="L177">
        <f>'Modelo Ajustado'!C175</f>
        <v>74</v>
      </c>
      <c r="M177">
        <f>'Modelo Ajustado'!D175</f>
        <v>175</v>
      </c>
      <c r="N177">
        <f>'Modelo Ajustado'!A175</f>
        <v>15000000</v>
      </c>
      <c r="O177">
        <v>17058444.489958968</v>
      </c>
      <c r="P177">
        <f t="shared" si="20"/>
        <v>-2058444.489958968</v>
      </c>
      <c r="Q177" s="17">
        <v>1.4970500651653788E-2</v>
      </c>
      <c r="R177">
        <f t="shared" si="21"/>
        <v>-0.42202093605955987</v>
      </c>
      <c r="S177">
        <f t="shared" si="22"/>
        <v>23848873972186.801</v>
      </c>
      <c r="T177">
        <f t="shared" si="23"/>
        <v>-0.42469837784174852</v>
      </c>
      <c r="U177">
        <f t="shared" si="24"/>
        <v>0.67132758207263521</v>
      </c>
      <c r="V177" s="64">
        <f t="shared" si="25"/>
        <v>6.8698278208388977E-4</v>
      </c>
      <c r="W177" s="16">
        <f t="shared" si="26"/>
        <v>-5.2356926707376551E-2</v>
      </c>
      <c r="X177">
        <v>174</v>
      </c>
    </row>
    <row r="178" spans="10:24" x14ac:dyDescent="0.25">
      <c r="J178">
        <f t="shared" si="27"/>
        <v>175</v>
      </c>
      <c r="K178">
        <f>'Modelo Ajustado'!B176</f>
        <v>16000</v>
      </c>
      <c r="L178">
        <f>'Modelo Ajustado'!C176</f>
        <v>50</v>
      </c>
      <c r="M178">
        <f>'Modelo Ajustado'!D176</f>
        <v>200</v>
      </c>
      <c r="N178">
        <f>'Modelo Ajustado'!A176</f>
        <v>18000000</v>
      </c>
      <c r="O178">
        <v>19081507.401891883</v>
      </c>
      <c r="P178">
        <f t="shared" si="20"/>
        <v>-1081507.4018918835</v>
      </c>
      <c r="Q178" s="134">
        <v>2.5064234053380513E-2</v>
      </c>
      <c r="R178">
        <f t="shared" si="21"/>
        <v>-0.22172993652641723</v>
      </c>
      <c r="S178">
        <f t="shared" si="22"/>
        <v>23858105704767.703</v>
      </c>
      <c r="T178">
        <f t="shared" si="23"/>
        <v>-0.22424538575196365</v>
      </c>
      <c r="U178">
        <f t="shared" si="24"/>
        <v>0.82270226190065543</v>
      </c>
      <c r="V178" s="64">
        <f t="shared" si="25"/>
        <v>3.2410901090102791E-4</v>
      </c>
      <c r="W178" s="16">
        <f t="shared" si="26"/>
        <v>-3.5955284759696268E-2</v>
      </c>
      <c r="X178" s="132">
        <v>175</v>
      </c>
    </row>
    <row r="179" spans="10:24" x14ac:dyDescent="0.25">
      <c r="J179">
        <f t="shared" si="27"/>
        <v>176</v>
      </c>
      <c r="K179">
        <f>'Modelo Ajustado'!B177</f>
        <v>12480</v>
      </c>
      <c r="L179">
        <f>'Modelo Ajustado'!C177</f>
        <v>5</v>
      </c>
      <c r="M179">
        <f>'Modelo Ajustado'!D177</f>
        <v>80</v>
      </c>
      <c r="N179">
        <f>'Modelo Ajustado'!A177</f>
        <v>6000000</v>
      </c>
      <c r="O179">
        <v>6566169.1865933593</v>
      </c>
      <c r="P179">
        <f t="shared" si="20"/>
        <v>-566169.18659335934</v>
      </c>
      <c r="Q179" s="17">
        <v>8.3423167018028092E-3</v>
      </c>
      <c r="R179">
        <f t="shared" si="21"/>
        <v>-0.11607563442187938</v>
      </c>
      <c r="S179">
        <f t="shared" si="22"/>
        <v>23860714289244.668</v>
      </c>
      <c r="T179">
        <f t="shared" si="23"/>
        <v>-0.11639213073149592</v>
      </c>
      <c r="U179">
        <f t="shared" si="24"/>
        <v>0.90741110043283579</v>
      </c>
      <c r="V179" s="64">
        <f t="shared" si="25"/>
        <v>2.8574935025324265E-5</v>
      </c>
      <c r="W179" s="16">
        <f t="shared" si="26"/>
        <v>-1.067544689885978E-2</v>
      </c>
      <c r="X179">
        <v>176</v>
      </c>
    </row>
    <row r="180" spans="10:24" x14ac:dyDescent="0.25">
      <c r="J180">
        <f t="shared" si="27"/>
        <v>177</v>
      </c>
      <c r="K180">
        <f>'Modelo Ajustado'!B178</f>
        <v>14560</v>
      </c>
      <c r="L180">
        <f>'Modelo Ajustado'!C178</f>
        <v>14</v>
      </c>
      <c r="M180">
        <f>'Modelo Ajustado'!D178</f>
        <v>150</v>
      </c>
      <c r="N180">
        <f>'Modelo Ajustado'!A178</f>
        <v>7700000</v>
      </c>
      <c r="O180">
        <v>13444109.911435572</v>
      </c>
      <c r="P180">
        <f t="shared" si="20"/>
        <v>-5744109.9114355724</v>
      </c>
      <c r="Q180" s="17">
        <v>1.9620177456132863E-2</v>
      </c>
      <c r="R180">
        <f t="shared" si="21"/>
        <v>-1.1776536377239677</v>
      </c>
      <c r="S180">
        <f t="shared" si="22"/>
        <v>23761512283558.895</v>
      </c>
      <c r="T180">
        <f t="shared" si="23"/>
        <v>-1.1901138804108222</v>
      </c>
      <c r="U180">
        <f t="shared" si="24"/>
        <v>0.23483934664519826</v>
      </c>
      <c r="V180" s="64">
        <f t="shared" si="25"/>
        <v>7.077654637824368E-3</v>
      </c>
      <c r="W180" s="16">
        <f t="shared" si="26"/>
        <v>-0.16836150674853612</v>
      </c>
      <c r="X180" s="132">
        <v>177</v>
      </c>
    </row>
    <row r="181" spans="10:24" x14ac:dyDescent="0.25">
      <c r="J181">
        <f t="shared" si="27"/>
        <v>178</v>
      </c>
      <c r="K181">
        <f>'Modelo Ajustado'!B179</f>
        <v>16640</v>
      </c>
      <c r="L181">
        <f>'Modelo Ajustado'!C179</f>
        <v>0</v>
      </c>
      <c r="M181">
        <f>'Modelo Ajustado'!D179</f>
        <v>120</v>
      </c>
      <c r="N181">
        <f>'Modelo Ajustado'!A179</f>
        <v>5643000</v>
      </c>
      <c r="O181">
        <v>10815853.012993438</v>
      </c>
      <c r="P181">
        <f t="shared" si="20"/>
        <v>-5172853.0129934382</v>
      </c>
      <c r="Q181" s="17">
        <v>1.4881716381116589E-2</v>
      </c>
      <c r="R181">
        <f t="shared" si="21"/>
        <v>-1.0605349239636388</v>
      </c>
      <c r="S181">
        <f t="shared" si="22"/>
        <v>23780835150047.699</v>
      </c>
      <c r="T181">
        <f t="shared" si="23"/>
        <v>-1.0687408193664381</v>
      </c>
      <c r="U181">
        <f t="shared" si="24"/>
        <v>0.28595140234194488</v>
      </c>
      <c r="V181" s="64">
        <f t="shared" si="25"/>
        <v>4.3118755947241837E-3</v>
      </c>
      <c r="W181" s="16">
        <f t="shared" si="26"/>
        <v>-0.13135745301855134</v>
      </c>
      <c r="X181" s="132">
        <v>178</v>
      </c>
    </row>
    <row r="182" spans="10:24" x14ac:dyDescent="0.25">
      <c r="J182">
        <f t="shared" si="27"/>
        <v>179</v>
      </c>
      <c r="K182">
        <f>'Modelo Ajustado'!B180</f>
        <v>8500</v>
      </c>
      <c r="L182">
        <f>'Modelo Ajustado'!C180</f>
        <v>10</v>
      </c>
      <c r="M182">
        <f>'Modelo Ajustado'!D180</f>
        <v>10</v>
      </c>
      <c r="N182">
        <f>'Modelo Ajustado'!A180</f>
        <v>307501</v>
      </c>
      <c r="O182">
        <v>-329667.18073463254</v>
      </c>
      <c r="P182">
        <f t="shared" si="20"/>
        <v>637168.18073463254</v>
      </c>
      <c r="Q182" s="17">
        <v>1.1725459560284944E-2</v>
      </c>
      <c r="R182">
        <f t="shared" si="21"/>
        <v>0.13063180152424539</v>
      </c>
      <c r="S182">
        <f t="shared" si="22"/>
        <v>23860453706037.281</v>
      </c>
      <c r="T182">
        <f t="shared" si="23"/>
        <v>0.13121271661723563</v>
      </c>
      <c r="U182">
        <f t="shared" si="24"/>
        <v>0.89568533213466472</v>
      </c>
      <c r="V182" s="64">
        <f t="shared" si="25"/>
        <v>5.1216806956936797E-5</v>
      </c>
      <c r="W182" s="16">
        <f t="shared" si="26"/>
        <v>1.4292297909559791E-2</v>
      </c>
      <c r="X182">
        <v>179</v>
      </c>
    </row>
    <row r="183" spans="10:24" x14ac:dyDescent="0.25">
      <c r="J183">
        <f t="shared" si="27"/>
        <v>180</v>
      </c>
      <c r="K183">
        <f>'Modelo Ajustado'!B181</f>
        <v>9000</v>
      </c>
      <c r="L183">
        <f>'Modelo Ajustado'!C181</f>
        <v>25</v>
      </c>
      <c r="M183">
        <f>'Modelo Ajustado'!D181</f>
        <v>25</v>
      </c>
      <c r="N183">
        <f>'Modelo Ajustado'!A181</f>
        <v>1961818</v>
      </c>
      <c r="O183">
        <v>1478777.9260004521</v>
      </c>
      <c r="P183">
        <f t="shared" si="20"/>
        <v>483040.07399954787</v>
      </c>
      <c r="Q183" s="17">
        <v>1.0705425433957912E-2</v>
      </c>
      <c r="R183">
        <f t="shared" si="21"/>
        <v>9.9032558409010957E-2</v>
      </c>
      <c r="S183">
        <f t="shared" si="22"/>
        <v>23860974383105.57</v>
      </c>
      <c r="T183">
        <f t="shared" si="23"/>
        <v>9.9420572879877045E-2</v>
      </c>
      <c r="U183">
        <f t="shared" si="24"/>
        <v>0.9208634626983081</v>
      </c>
      <c r="V183" s="64">
        <f t="shared" si="25"/>
        <v>2.6819376824281175E-5</v>
      </c>
      <c r="W183" s="16">
        <f t="shared" si="26"/>
        <v>1.0342259083040081E-2</v>
      </c>
      <c r="X183">
        <v>180</v>
      </c>
    </row>
    <row r="184" spans="10:24" x14ac:dyDescent="0.25">
      <c r="J184">
        <f t="shared" si="27"/>
        <v>181</v>
      </c>
      <c r="K184">
        <f>'Modelo Ajustado'!B182</f>
        <v>9400</v>
      </c>
      <c r="L184">
        <f>'Modelo Ajustado'!C182</f>
        <v>30</v>
      </c>
      <c r="M184">
        <f>'Modelo Ajustado'!D182</f>
        <v>34</v>
      </c>
      <c r="N184">
        <f>'Modelo Ajustado'!A182</f>
        <v>2650786</v>
      </c>
      <c r="O184">
        <v>2483861.0508443895</v>
      </c>
      <c r="P184">
        <f t="shared" si="20"/>
        <v>166924.94915561052</v>
      </c>
      <c r="Q184" s="17">
        <v>9.84424959169964E-3</v>
      </c>
      <c r="R184">
        <f t="shared" si="21"/>
        <v>3.4222843335332993E-2</v>
      </c>
      <c r="S184">
        <f t="shared" si="22"/>
        <v>23861592572541.117</v>
      </c>
      <c r="T184">
        <f t="shared" si="23"/>
        <v>3.4341541264560772E-2</v>
      </c>
      <c r="U184">
        <f t="shared" si="24"/>
        <v>0.9726251304941167</v>
      </c>
      <c r="V184" s="64">
        <f t="shared" si="25"/>
        <v>2.9400030116999641E-6</v>
      </c>
      <c r="W184" s="16">
        <f t="shared" si="26"/>
        <v>3.4242016621585003E-3</v>
      </c>
      <c r="X184">
        <v>181</v>
      </c>
    </row>
    <row r="185" spans="10:24" x14ac:dyDescent="0.25">
      <c r="J185">
        <f t="shared" si="27"/>
        <v>182</v>
      </c>
      <c r="K185">
        <f>'Modelo Ajustado'!B183</f>
        <v>16640</v>
      </c>
      <c r="L185">
        <f>'Modelo Ajustado'!C183</f>
        <v>3</v>
      </c>
      <c r="M185">
        <f>'Modelo Ajustado'!D183</f>
        <v>6</v>
      </c>
      <c r="N185">
        <f>'Modelo Ajustado'!A183</f>
        <v>600000</v>
      </c>
      <c r="O185">
        <v>703439.2391732838</v>
      </c>
      <c r="P185">
        <f t="shared" si="20"/>
        <v>-103439.2391732838</v>
      </c>
      <c r="Q185" s="17">
        <v>5.3058220286232192E-3</v>
      </c>
      <c r="R185">
        <f t="shared" si="21"/>
        <v>-2.1207044811817146E-2</v>
      </c>
      <c r="S185">
        <f t="shared" si="22"/>
        <v>23861644311278.43</v>
      </c>
      <c r="T185">
        <f t="shared" si="23"/>
        <v>-2.1231972630075126E-2</v>
      </c>
      <c r="U185">
        <f t="shared" si="24"/>
        <v>0.98307317496412217</v>
      </c>
      <c r="V185" s="64">
        <f t="shared" si="25"/>
        <v>6.0293964838717359E-7</v>
      </c>
      <c r="W185" s="16">
        <f t="shared" si="26"/>
        <v>-1.5506789693579878E-3</v>
      </c>
      <c r="X185">
        <v>182</v>
      </c>
    </row>
    <row r="186" spans="10:24" x14ac:dyDescent="0.25">
      <c r="J186">
        <f t="shared" si="27"/>
        <v>183</v>
      </c>
      <c r="K186">
        <f>'Modelo Ajustado'!B184</f>
        <v>18304</v>
      </c>
      <c r="L186">
        <f>'Modelo Ajustado'!C184</f>
        <v>5</v>
      </c>
      <c r="M186">
        <f>'Modelo Ajustado'!D184</f>
        <v>12</v>
      </c>
      <c r="N186">
        <f>'Modelo Ajustado'!A184</f>
        <v>820000</v>
      </c>
      <c r="O186">
        <v>1608932.0407848</v>
      </c>
      <c r="P186">
        <f t="shared" si="20"/>
        <v>-788932.04078479996</v>
      </c>
      <c r="Q186" s="17">
        <v>4.5304697487476018E-3</v>
      </c>
      <c r="R186">
        <f t="shared" si="21"/>
        <v>-0.16174632833845179</v>
      </c>
      <c r="S186">
        <f t="shared" si="22"/>
        <v>23859815472958.816</v>
      </c>
      <c r="T186">
        <f t="shared" si="23"/>
        <v>-0.16187957976661357</v>
      </c>
      <c r="U186">
        <f t="shared" si="24"/>
        <v>0.871497694771461</v>
      </c>
      <c r="V186" s="64">
        <f t="shared" si="25"/>
        <v>2.990171944308053E-5</v>
      </c>
      <c r="W186" s="16">
        <f t="shared" si="26"/>
        <v>-1.0920680464545571E-2</v>
      </c>
      <c r="X186">
        <v>183</v>
      </c>
    </row>
    <row r="187" spans="10:24" x14ac:dyDescent="0.25">
      <c r="J187">
        <f t="shared" si="27"/>
        <v>184</v>
      </c>
      <c r="K187">
        <f>'Modelo Ajustado'!B185</f>
        <v>19552</v>
      </c>
      <c r="L187">
        <f>'Modelo Ajustado'!C185</f>
        <v>4</v>
      </c>
      <c r="M187">
        <f>'Modelo Ajustado'!D185</f>
        <v>14</v>
      </c>
      <c r="N187">
        <f>'Modelo Ajustado'!A185</f>
        <v>1200000</v>
      </c>
      <c r="O187">
        <v>2002656.9967674627</v>
      </c>
      <c r="P187">
        <f t="shared" si="20"/>
        <v>-802656.9967674627</v>
      </c>
      <c r="Q187" s="17">
        <v>4.3612122820261322E-3</v>
      </c>
      <c r="R187">
        <f t="shared" si="21"/>
        <v>-0.16456020979089506</v>
      </c>
      <c r="S187">
        <f t="shared" si="22"/>
        <v>23859750491161.016</v>
      </c>
      <c r="T187">
        <f t="shared" si="23"/>
        <v>-0.16468200398958541</v>
      </c>
      <c r="U187">
        <f t="shared" si="24"/>
        <v>0.86929301561648342</v>
      </c>
      <c r="V187" s="64">
        <f t="shared" si="25"/>
        <v>2.9784703774535009E-5</v>
      </c>
      <c r="W187" s="16">
        <f t="shared" si="26"/>
        <v>-1.0899306179016901E-2</v>
      </c>
      <c r="X187">
        <v>184</v>
      </c>
    </row>
    <row r="188" spans="10:24" x14ac:dyDescent="0.25">
      <c r="J188">
        <f t="shared" si="27"/>
        <v>185</v>
      </c>
      <c r="K188">
        <f>'Modelo Ajustado'!B186</f>
        <v>35000</v>
      </c>
      <c r="L188">
        <f>'Modelo Ajustado'!C186</f>
        <v>10</v>
      </c>
      <c r="M188">
        <f>'Modelo Ajustado'!D186</f>
        <v>16</v>
      </c>
      <c r="N188">
        <f>'Modelo Ajustado'!A186</f>
        <v>1608573</v>
      </c>
      <c r="O188">
        <v>5298574.363498522</v>
      </c>
      <c r="P188">
        <f t="shared" si="20"/>
        <v>-3690001.363498522</v>
      </c>
      <c r="Q188" s="17">
        <v>2.0273718462629917E-2</v>
      </c>
      <c r="R188">
        <f t="shared" si="21"/>
        <v>-0.75652165364718682</v>
      </c>
      <c r="S188">
        <f t="shared" si="22"/>
        <v>23820313612322.945</v>
      </c>
      <c r="T188">
        <f t="shared" si="23"/>
        <v>-0.7638365046420259</v>
      </c>
      <c r="U188">
        <f t="shared" si="24"/>
        <v>0.44549911919185403</v>
      </c>
      <c r="V188" s="64">
        <f t="shared" si="25"/>
        <v>3.0220846825584672E-3</v>
      </c>
      <c r="W188" s="16">
        <f t="shared" si="26"/>
        <v>-0.10987900965059968</v>
      </c>
      <c r="X188">
        <v>185</v>
      </c>
    </row>
    <row r="189" spans="10:24" x14ac:dyDescent="0.25">
      <c r="J189">
        <f t="shared" si="27"/>
        <v>186</v>
      </c>
      <c r="K189">
        <f>'Modelo Ajustado'!B187</f>
        <v>38000</v>
      </c>
      <c r="L189">
        <f>'Modelo Ajustado'!C187</f>
        <v>16</v>
      </c>
      <c r="M189">
        <f>'Modelo Ajustado'!D187</f>
        <v>16</v>
      </c>
      <c r="N189">
        <f>'Modelo Ajustado'!A187</f>
        <v>1342236</v>
      </c>
      <c r="O189">
        <v>6023836.855183471</v>
      </c>
      <c r="P189">
        <f t="shared" si="20"/>
        <v>-4681600.855183471</v>
      </c>
      <c r="Q189" s="134">
        <v>2.7036519173708477E-2</v>
      </c>
      <c r="R189">
        <f t="shared" si="21"/>
        <v>-0.95981872953064074</v>
      </c>
      <c r="S189">
        <f t="shared" si="22"/>
        <v>23794633400936.594</v>
      </c>
      <c r="T189">
        <f t="shared" si="23"/>
        <v>-0.97298603014336571</v>
      </c>
      <c r="U189">
        <f t="shared" si="24"/>
        <v>0.33125810164688574</v>
      </c>
      <c r="V189" s="64">
        <f t="shared" si="25"/>
        <v>6.5777315823889199E-3</v>
      </c>
      <c r="W189" s="16">
        <f t="shared" si="26"/>
        <v>-0.16219360384705173</v>
      </c>
      <c r="X189" s="132">
        <v>186</v>
      </c>
    </row>
    <row r="190" spans="10:24" x14ac:dyDescent="0.25">
      <c r="J190">
        <f t="shared" si="27"/>
        <v>187</v>
      </c>
      <c r="K190">
        <f>'Modelo Ajustado'!B188</f>
        <v>41000</v>
      </c>
      <c r="L190">
        <f>'Modelo Ajustado'!C188</f>
        <v>10</v>
      </c>
      <c r="M190">
        <f>'Modelo Ajustado'!D188</f>
        <v>16</v>
      </c>
      <c r="N190">
        <f>'Modelo Ajustado'!A188</f>
        <v>1504283</v>
      </c>
      <c r="O190">
        <v>6451501.1880495269</v>
      </c>
      <c r="P190">
        <f t="shared" si="20"/>
        <v>-4947218.1880495269</v>
      </c>
      <c r="Q190" s="134">
        <v>3.4456563902590283E-2</v>
      </c>
      <c r="R190">
        <f t="shared" si="21"/>
        <v>-1.0142754204914988</v>
      </c>
      <c r="S190">
        <f t="shared" si="22"/>
        <v>23786234700160.758</v>
      </c>
      <c r="T190">
        <f t="shared" si="23"/>
        <v>-1.0323151637411676</v>
      </c>
      <c r="U190">
        <f t="shared" si="24"/>
        <v>0.3026647644667661</v>
      </c>
      <c r="V190" s="64">
        <f t="shared" si="25"/>
        <v>9.5056133637736843E-3</v>
      </c>
      <c r="W190" s="16">
        <f t="shared" si="26"/>
        <v>-0.19501246953728715</v>
      </c>
      <c r="X190" s="132">
        <v>187</v>
      </c>
    </row>
    <row r="191" spans="10:24" x14ac:dyDescent="0.25">
      <c r="J191">
        <f t="shared" si="27"/>
        <v>188</v>
      </c>
      <c r="K191">
        <f>'Modelo Ajustado'!B189</f>
        <v>12000</v>
      </c>
      <c r="L191">
        <f>'Modelo Ajustado'!C189</f>
        <v>0</v>
      </c>
      <c r="M191">
        <f>'Modelo Ajustado'!D189</f>
        <v>15</v>
      </c>
      <c r="N191">
        <f>'Modelo Ajustado'!A189</f>
        <v>1600000</v>
      </c>
      <c r="O191">
        <v>541665.05884845043</v>
      </c>
      <c r="P191">
        <f t="shared" si="20"/>
        <v>1058334.9411515496</v>
      </c>
      <c r="Q191" s="17">
        <v>7.2685115524152811E-3</v>
      </c>
      <c r="R191">
        <f t="shared" si="21"/>
        <v>0.21697913385957726</v>
      </c>
      <c r="S191">
        <f t="shared" si="22"/>
        <v>23858318367919.445</v>
      </c>
      <c r="T191">
        <f t="shared" si="23"/>
        <v>0.21746397448793953</v>
      </c>
      <c r="U191">
        <f t="shared" si="24"/>
        <v>0.82797838316664518</v>
      </c>
      <c r="V191" s="64">
        <f t="shared" si="25"/>
        <v>8.6807618374782773E-5</v>
      </c>
      <c r="W191" s="16">
        <f t="shared" si="26"/>
        <v>1.8607762955670688E-2</v>
      </c>
      <c r="X191">
        <v>188</v>
      </c>
    </row>
    <row r="192" spans="10:24" x14ac:dyDescent="0.25">
      <c r="J192">
        <f t="shared" si="27"/>
        <v>189</v>
      </c>
      <c r="K192">
        <f>'Modelo Ajustado'!B190</f>
        <v>13000</v>
      </c>
      <c r="L192">
        <f>'Modelo Ajustado'!C190</f>
        <v>9</v>
      </c>
      <c r="M192">
        <f>'Modelo Ajustado'!D190</f>
        <v>20</v>
      </c>
      <c r="N192">
        <f>'Modelo Ajustado'!A190</f>
        <v>1800000</v>
      </c>
      <c r="O192">
        <v>1403808.2063318598</v>
      </c>
      <c r="P192">
        <f t="shared" si="20"/>
        <v>396191.79366814019</v>
      </c>
      <c r="Q192" s="17">
        <v>6.2091428785565617E-3</v>
      </c>
      <c r="R192">
        <f t="shared" si="21"/>
        <v>8.1226981071652521E-2</v>
      </c>
      <c r="S192">
        <f t="shared" si="22"/>
        <v>23861206240107.035</v>
      </c>
      <c r="T192">
        <f t="shared" si="23"/>
        <v>8.1360157386795487E-2</v>
      </c>
      <c r="U192">
        <f t="shared" si="24"/>
        <v>0.93520383163519549</v>
      </c>
      <c r="V192" s="64">
        <f t="shared" si="25"/>
        <v>1.0370084445463506E-5</v>
      </c>
      <c r="W192" s="16">
        <f t="shared" si="26"/>
        <v>6.4310236741778222E-3</v>
      </c>
      <c r="X192">
        <v>189</v>
      </c>
    </row>
    <row r="193" spans="10:24" x14ac:dyDescent="0.25">
      <c r="J193">
        <f t="shared" si="27"/>
        <v>190</v>
      </c>
      <c r="K193">
        <f>'Modelo Ajustado'!B191</f>
        <v>16000</v>
      </c>
      <c r="L193">
        <f>'Modelo Ajustado'!C191</f>
        <v>6</v>
      </c>
      <c r="M193">
        <f>'Modelo Ajustado'!D191</f>
        <v>26</v>
      </c>
      <c r="N193">
        <f>'Modelo Ajustado'!A191</f>
        <v>2000000</v>
      </c>
      <c r="O193">
        <v>2442020.1480355277</v>
      </c>
      <c r="P193">
        <f t="shared" si="20"/>
        <v>-442020.14803552767</v>
      </c>
      <c r="Q193" s="17">
        <v>4.2042747655632144E-3</v>
      </c>
      <c r="R193">
        <f t="shared" si="21"/>
        <v>-9.0622680155371615E-2</v>
      </c>
      <c r="S193">
        <f t="shared" si="22"/>
        <v>23861092376848</v>
      </c>
      <c r="T193">
        <f t="shared" si="23"/>
        <v>-9.0680055204601956E-2</v>
      </c>
      <c r="U193">
        <f t="shared" si="24"/>
        <v>0.92780069186281566</v>
      </c>
      <c r="V193" s="64">
        <f t="shared" si="25"/>
        <v>8.7049120796268278E-6</v>
      </c>
      <c r="W193" s="16">
        <f t="shared" si="26"/>
        <v>-5.8921282680230924E-3</v>
      </c>
      <c r="X193">
        <v>190</v>
      </c>
    </row>
    <row r="194" spans="10:24" x14ac:dyDescent="0.25">
      <c r="J194">
        <f t="shared" si="27"/>
        <v>191</v>
      </c>
      <c r="K194">
        <f>'Modelo Ajustado'!B192</f>
        <v>17700</v>
      </c>
      <c r="L194">
        <f>'Modelo Ajustado'!C192</f>
        <v>67</v>
      </c>
      <c r="M194">
        <f>'Modelo Ajustado'!D192</f>
        <v>72</v>
      </c>
      <c r="N194">
        <f>'Modelo Ajustado'!A192</f>
        <v>10500000</v>
      </c>
      <c r="O194">
        <v>8391941.9190064855</v>
      </c>
      <c r="P194">
        <f t="shared" si="20"/>
        <v>2108058.0809935145</v>
      </c>
      <c r="Q194" s="17">
        <v>6.2435093480205095E-3</v>
      </c>
      <c r="R194">
        <f t="shared" si="21"/>
        <v>0.43219268187627258</v>
      </c>
      <c r="S194">
        <f t="shared" si="22"/>
        <v>23848367311195.043</v>
      </c>
      <c r="T194">
        <f t="shared" si="23"/>
        <v>0.43302528598743556</v>
      </c>
      <c r="U194">
        <f t="shared" si="24"/>
        <v>0.66527340954414127</v>
      </c>
      <c r="V194" s="64">
        <f t="shared" si="25"/>
        <v>2.9523214118939008E-4</v>
      </c>
      <c r="W194" s="16">
        <f t="shared" si="26"/>
        <v>3.4323190538000217E-2</v>
      </c>
      <c r="X194">
        <v>191</v>
      </c>
    </row>
    <row r="195" spans="10:24" x14ac:dyDescent="0.25">
      <c r="J195">
        <f t="shared" si="27"/>
        <v>192</v>
      </c>
      <c r="K195">
        <f>'Modelo Ajustado'!B193</f>
        <v>19350</v>
      </c>
      <c r="L195">
        <f>'Modelo Ajustado'!C193</f>
        <v>128</v>
      </c>
      <c r="M195">
        <f>'Modelo Ajustado'!D193</f>
        <v>128</v>
      </c>
      <c r="N195">
        <f>'Modelo Ajustado'!A193</f>
        <v>15400000</v>
      </c>
      <c r="O195">
        <v>15225836.081660999</v>
      </c>
      <c r="P195">
        <f t="shared" si="20"/>
        <v>174163.91833900101</v>
      </c>
      <c r="Q195" s="17">
        <v>1.7834658604375025E-2</v>
      </c>
      <c r="R195">
        <f t="shared" si="21"/>
        <v>3.5706972038236057E-2</v>
      </c>
      <c r="S195">
        <f t="shared" si="22"/>
        <v>23861584409123.082</v>
      </c>
      <c r="T195">
        <f t="shared" si="23"/>
        <v>3.5976279269259281E-2</v>
      </c>
      <c r="U195">
        <f t="shared" si="24"/>
        <v>0.97132257338496908</v>
      </c>
      <c r="V195" s="64">
        <f t="shared" si="25"/>
        <v>5.8930706339621117E-6</v>
      </c>
      <c r="W195" s="16">
        <f t="shared" si="26"/>
        <v>4.8479300368679725E-3</v>
      </c>
      <c r="X195">
        <v>192</v>
      </c>
    </row>
    <row r="196" spans="10:24" x14ac:dyDescent="0.25">
      <c r="J196">
        <f t="shared" si="27"/>
        <v>193</v>
      </c>
      <c r="K196">
        <f>'Modelo Ajustado'!B194</f>
        <v>23250</v>
      </c>
      <c r="L196">
        <f>'Modelo Ajustado'!C194</f>
        <v>108</v>
      </c>
      <c r="M196">
        <f>'Modelo Ajustado'!D194</f>
        <v>168</v>
      </c>
      <c r="N196">
        <f>'Modelo Ajustado'!A194</f>
        <v>23000000</v>
      </c>
      <c r="O196">
        <v>19053562.047140252</v>
      </c>
      <c r="P196">
        <f t="shared" si="20"/>
        <v>3946437.9528597482</v>
      </c>
      <c r="Q196" s="17">
        <v>1.4838757052764266E-2</v>
      </c>
      <c r="R196">
        <f t="shared" si="21"/>
        <v>0.80909611461033026</v>
      </c>
      <c r="S196">
        <f t="shared" si="22"/>
        <v>23814625855771.82</v>
      </c>
      <c r="T196">
        <f t="shared" si="23"/>
        <v>0.81476007345907564</v>
      </c>
      <c r="U196">
        <f t="shared" si="24"/>
        <v>0.41578505237892138</v>
      </c>
      <c r="V196" s="64">
        <f t="shared" si="25"/>
        <v>2.502206387222585E-3</v>
      </c>
      <c r="W196" s="16">
        <f t="shared" si="26"/>
        <v>9.9994207293638268E-2</v>
      </c>
      <c r="X196">
        <v>193</v>
      </c>
    </row>
    <row r="197" spans="10:24" x14ac:dyDescent="0.25">
      <c r="J197">
        <f t="shared" si="27"/>
        <v>194</v>
      </c>
      <c r="K197">
        <f>'Modelo Ajustado'!B195</f>
        <v>23000</v>
      </c>
      <c r="L197">
        <f>'Modelo Ajustado'!C195</f>
        <v>10</v>
      </c>
      <c r="M197">
        <f>'Modelo Ajustado'!D195</f>
        <v>60</v>
      </c>
      <c r="N197">
        <f>'Modelo Ajustado'!A195</f>
        <v>5600000</v>
      </c>
      <c r="O197">
        <v>6924473.2213710304</v>
      </c>
      <c r="P197">
        <f t="shared" ref="P197:P260" si="28">N197-O197</f>
        <v>-1324473.2213710304</v>
      </c>
      <c r="Q197" s="17">
        <v>4.7607344132585055E-3</v>
      </c>
      <c r="R197">
        <f t="shared" ref="R197:R260" si="29">P197/SQRT($Z$6)</f>
        <v>-0.27154262910435095</v>
      </c>
      <c r="S197">
        <f t="shared" ref="S197:S260" si="30">($Z$6-P197^2/((1-Q197)*$Z$5))*$Z$5/($Z$5-1)</f>
        <v>23856430430524.043</v>
      </c>
      <c r="T197">
        <f t="shared" ref="T197:T260" si="31">P197/SQRT(S197*(1-Q197))</f>
        <v>-0.27181705324433381</v>
      </c>
      <c r="U197">
        <f t="shared" ref="U197:U260" si="32">_xlfn.T.DIST.2T(ABS(T197),$Z$5)</f>
        <v>0.7859291367512149</v>
      </c>
      <c r="V197" s="64">
        <f t="shared" ref="V197:V260" si="33">(P197^2/$Z$6)*(Q197/(1-Q197)^2)/($Z$7+1)</f>
        <v>8.8600259898503298E-5</v>
      </c>
      <c r="W197" s="16">
        <f t="shared" ref="W197:W260" si="34">T197*SQRT(Q197/(1-Q197))</f>
        <v>-1.8799657018376541E-2</v>
      </c>
      <c r="X197">
        <v>194</v>
      </c>
    </row>
    <row r="198" spans="10:24" x14ac:dyDescent="0.25">
      <c r="J198">
        <f t="shared" ref="J198:J261" si="35">J197+1</f>
        <v>195</v>
      </c>
      <c r="K198">
        <f>'Modelo Ajustado'!B196</f>
        <v>25000</v>
      </c>
      <c r="L198">
        <f>'Modelo Ajustado'!C196</f>
        <v>50</v>
      </c>
      <c r="M198">
        <f>'Modelo Ajustado'!D196</f>
        <v>50</v>
      </c>
      <c r="N198">
        <f>'Modelo Ajustado'!A196</f>
        <v>6200000</v>
      </c>
      <c r="O198">
        <v>7407195.9103961866</v>
      </c>
      <c r="P198">
        <f t="shared" si="28"/>
        <v>-1207195.9103961866</v>
      </c>
      <c r="Q198" s="17">
        <v>7.3557589697057259E-3</v>
      </c>
      <c r="R198">
        <f t="shared" si="29"/>
        <v>-0.24749851190926533</v>
      </c>
      <c r="S198">
        <f t="shared" si="30"/>
        <v>23857306917345.367</v>
      </c>
      <c r="T198">
        <f t="shared" si="31"/>
        <v>-0.24806770742106732</v>
      </c>
      <c r="U198">
        <f t="shared" si="32"/>
        <v>0.80423310642506041</v>
      </c>
      <c r="V198" s="64">
        <f t="shared" si="33"/>
        <v>1.1432084562050858E-4</v>
      </c>
      <c r="W198" s="16">
        <f t="shared" si="34"/>
        <v>-2.1354389720306548E-2</v>
      </c>
      <c r="X198">
        <v>195</v>
      </c>
    </row>
    <row r="199" spans="10:24" x14ac:dyDescent="0.25">
      <c r="J199">
        <f t="shared" si="35"/>
        <v>196</v>
      </c>
      <c r="K199">
        <f>'Modelo Ajustado'!B197</f>
        <v>27000</v>
      </c>
      <c r="L199">
        <f>'Modelo Ajustado'!C197</f>
        <v>6</v>
      </c>
      <c r="M199">
        <f>'Modelo Ajustado'!D197</f>
        <v>48</v>
      </c>
      <c r="N199">
        <f>'Modelo Ajustado'!A197</f>
        <v>6300000</v>
      </c>
      <c r="O199">
        <v>6521595.579866292</v>
      </c>
      <c r="P199">
        <f t="shared" si="28"/>
        <v>-221595.57986629196</v>
      </c>
      <c r="Q199" s="17">
        <v>7.695947190192523E-3</v>
      </c>
      <c r="R199">
        <f t="shared" si="29"/>
        <v>-4.5431380101825153E-2</v>
      </c>
      <c r="S199">
        <f t="shared" si="30"/>
        <v>23861529047323.855</v>
      </c>
      <c r="T199">
        <f t="shared" si="31"/>
        <v>-4.5539638191594484E-2</v>
      </c>
      <c r="U199">
        <f t="shared" si="32"/>
        <v>0.96370415382109176</v>
      </c>
      <c r="V199" s="64">
        <f t="shared" si="33"/>
        <v>4.0329646666294943E-6</v>
      </c>
      <c r="W199" s="16">
        <f t="shared" si="34"/>
        <v>-4.0104973411383537E-3</v>
      </c>
      <c r="X199">
        <v>196</v>
      </c>
    </row>
    <row r="200" spans="10:24" x14ac:dyDescent="0.25">
      <c r="J200">
        <f t="shared" si="35"/>
        <v>197</v>
      </c>
      <c r="K200">
        <f>'Modelo Ajustado'!B198</f>
        <v>9048</v>
      </c>
      <c r="L200">
        <f>'Modelo Ajustado'!C198</f>
        <v>0</v>
      </c>
      <c r="M200">
        <f>'Modelo Ajustado'!D198</f>
        <v>15</v>
      </c>
      <c r="N200">
        <f>'Modelo Ajustado'!A198</f>
        <v>726833</v>
      </c>
      <c r="O200">
        <v>-25574.938830643427</v>
      </c>
      <c r="P200">
        <f t="shared" si="28"/>
        <v>752407.93883064343</v>
      </c>
      <c r="Q200" s="17">
        <v>1.0352603913750359E-2</v>
      </c>
      <c r="R200">
        <f t="shared" si="29"/>
        <v>0.15425818096764987</v>
      </c>
      <c r="S200">
        <f t="shared" si="30"/>
        <v>23859973825985.66</v>
      </c>
      <c r="T200">
        <f t="shared" si="31"/>
        <v>0.15483821092617084</v>
      </c>
      <c r="U200">
        <f t="shared" si="32"/>
        <v>0.87704155953936591</v>
      </c>
      <c r="V200" s="64">
        <f t="shared" si="33"/>
        <v>6.2881811745946526E-5</v>
      </c>
      <c r="W200" s="16">
        <f t="shared" si="34"/>
        <v>1.5836627465957785E-2</v>
      </c>
      <c r="X200">
        <v>197</v>
      </c>
    </row>
    <row r="201" spans="10:24" x14ac:dyDescent="0.25">
      <c r="J201">
        <f t="shared" si="35"/>
        <v>198</v>
      </c>
      <c r="K201">
        <f>'Modelo Ajustado'!B199</f>
        <v>10088</v>
      </c>
      <c r="L201">
        <f>'Modelo Ajustado'!C199</f>
        <v>40</v>
      </c>
      <c r="M201">
        <f>'Modelo Ajustado'!D199</f>
        <v>80</v>
      </c>
      <c r="N201">
        <f>'Modelo Ajustado'!A199</f>
        <v>4005963</v>
      </c>
      <c r="O201">
        <v>6974530.3224274572</v>
      </c>
      <c r="P201">
        <f t="shared" si="28"/>
        <v>-2968567.3224274572</v>
      </c>
      <c r="Q201" s="17">
        <v>8.0781719082781509E-3</v>
      </c>
      <c r="R201">
        <f t="shared" si="29"/>
        <v>-0.60861372083520671</v>
      </c>
      <c r="S201">
        <f t="shared" si="30"/>
        <v>23835235373874.734</v>
      </c>
      <c r="T201">
        <f t="shared" si="31"/>
        <v>-0.61051797676270603</v>
      </c>
      <c r="U201">
        <f t="shared" si="32"/>
        <v>0.54193024269109724</v>
      </c>
      <c r="V201" s="64">
        <f t="shared" si="33"/>
        <v>7.6029420967507538E-4</v>
      </c>
      <c r="W201" s="16">
        <f t="shared" si="34"/>
        <v>-5.5095518953129252E-2</v>
      </c>
      <c r="X201">
        <v>198</v>
      </c>
    </row>
    <row r="202" spans="10:24" x14ac:dyDescent="0.25">
      <c r="J202">
        <f t="shared" si="35"/>
        <v>199</v>
      </c>
      <c r="K202">
        <f>'Modelo Ajustado'!B200</f>
        <v>10504</v>
      </c>
      <c r="L202">
        <f>'Modelo Ajustado'!C200</f>
        <v>0</v>
      </c>
      <c r="M202">
        <f>'Modelo Ajustado'!D200</f>
        <v>30</v>
      </c>
      <c r="N202">
        <f>'Modelo Ajustado'!A200</f>
        <v>2089704</v>
      </c>
      <c r="O202">
        <v>1594572.143425954</v>
      </c>
      <c r="P202">
        <f t="shared" si="28"/>
        <v>495131.85657404596</v>
      </c>
      <c r="Q202" s="17">
        <v>8.1132847361870802E-3</v>
      </c>
      <c r="R202">
        <f t="shared" si="29"/>
        <v>0.10151160772300051</v>
      </c>
      <c r="S202">
        <f t="shared" si="30"/>
        <v>23860940727671.047</v>
      </c>
      <c r="T202">
        <f t="shared" si="31"/>
        <v>0.10177615784587277</v>
      </c>
      <c r="U202">
        <f t="shared" si="32"/>
        <v>0.91899487909075117</v>
      </c>
      <c r="V202" s="64">
        <f t="shared" si="33"/>
        <v>2.1244376595672776E-5</v>
      </c>
      <c r="W202" s="16">
        <f t="shared" si="34"/>
        <v>9.2047791699757624E-3</v>
      </c>
      <c r="X202">
        <v>199</v>
      </c>
    </row>
    <row r="203" spans="10:24" x14ac:dyDescent="0.25">
      <c r="J203">
        <f t="shared" si="35"/>
        <v>200</v>
      </c>
      <c r="K203">
        <f>'Modelo Ajustado'!B201</f>
        <v>18305</v>
      </c>
      <c r="L203">
        <f>'Modelo Ajustado'!C201</f>
        <v>0</v>
      </c>
      <c r="M203">
        <f>'Modelo Ajustado'!D201</f>
        <v>72</v>
      </c>
      <c r="N203">
        <f>'Modelo Ajustado'!A201</f>
        <v>7742994</v>
      </c>
      <c r="O203">
        <v>6846605.6537432354</v>
      </c>
      <c r="P203">
        <f t="shared" si="28"/>
        <v>896388.34625676461</v>
      </c>
      <c r="Q203" s="17">
        <v>5.9044497557516167E-3</v>
      </c>
      <c r="R203">
        <f t="shared" si="29"/>
        <v>0.1837769494419067</v>
      </c>
      <c r="S203">
        <f t="shared" si="30"/>
        <v>23859270716655.883</v>
      </c>
      <c r="T203">
        <f t="shared" si="31"/>
        <v>0.18405751506781232</v>
      </c>
      <c r="U203">
        <f t="shared" si="32"/>
        <v>0.85407903585628775</v>
      </c>
      <c r="V203" s="64">
        <f t="shared" si="33"/>
        <v>5.0448151417337939E-5</v>
      </c>
      <c r="W203" s="16">
        <f t="shared" si="34"/>
        <v>1.4184995590493068E-2</v>
      </c>
      <c r="X203">
        <v>200</v>
      </c>
    </row>
    <row r="204" spans="10:24" x14ac:dyDescent="0.25">
      <c r="J204">
        <f t="shared" si="35"/>
        <v>201</v>
      </c>
      <c r="K204">
        <f>'Modelo Ajustado'!B202</f>
        <v>19828</v>
      </c>
      <c r="L204">
        <f>'Modelo Ajustado'!C202</f>
        <v>70</v>
      </c>
      <c r="M204">
        <f>'Modelo Ajustado'!D202</f>
        <v>70</v>
      </c>
      <c r="N204">
        <f>'Modelo Ajustado'!A202</f>
        <v>8273868</v>
      </c>
      <c r="O204">
        <v>8696530.1494410019</v>
      </c>
      <c r="P204">
        <f t="shared" si="28"/>
        <v>-422662.14944100194</v>
      </c>
      <c r="Q204" s="17">
        <v>6.9010871083248406E-3</v>
      </c>
      <c r="R204">
        <f t="shared" si="29"/>
        <v>-8.6653916009944376E-2</v>
      </c>
      <c r="S204">
        <f t="shared" si="30"/>
        <v>23861140954305.508</v>
      </c>
      <c r="T204">
        <f t="shared" si="31"/>
        <v>-8.6826341278706434E-2</v>
      </c>
      <c r="U204">
        <f t="shared" si="32"/>
        <v>0.93086111542781924</v>
      </c>
      <c r="V204" s="64">
        <f t="shared" si="33"/>
        <v>1.3135569079343719E-5</v>
      </c>
      <c r="W204" s="16">
        <f t="shared" si="34"/>
        <v>-7.2379237290949713E-3</v>
      </c>
      <c r="X204">
        <v>201</v>
      </c>
    </row>
    <row r="205" spans="10:24" x14ac:dyDescent="0.25">
      <c r="J205">
        <f t="shared" si="35"/>
        <v>202</v>
      </c>
      <c r="K205">
        <f>'Modelo Ajustado'!B203</f>
        <v>17893</v>
      </c>
      <c r="L205">
        <f>'Modelo Ajustado'!C203</f>
        <v>0</v>
      </c>
      <c r="M205">
        <f>'Modelo Ajustado'!D203</f>
        <v>68</v>
      </c>
      <c r="N205">
        <f>'Modelo Ajustado'!A203</f>
        <v>8329656</v>
      </c>
      <c r="O205">
        <v>6410005.9657021407</v>
      </c>
      <c r="P205">
        <f t="shared" si="28"/>
        <v>1919650.0342978593</v>
      </c>
      <c r="Q205" s="17">
        <v>5.5084463365524068E-3</v>
      </c>
      <c r="R205">
        <f t="shared" si="29"/>
        <v>0.39356538800679419</v>
      </c>
      <c r="S205">
        <f t="shared" si="30"/>
        <v>23850648147962.543</v>
      </c>
      <c r="T205">
        <f t="shared" si="31"/>
        <v>0.39415897391028121</v>
      </c>
      <c r="U205">
        <f t="shared" si="32"/>
        <v>0.69371297150122546</v>
      </c>
      <c r="V205" s="64">
        <f t="shared" si="33"/>
        <v>2.1567545787197815E-4</v>
      </c>
      <c r="W205" s="16">
        <f t="shared" si="34"/>
        <v>2.93349552913258E-2</v>
      </c>
      <c r="X205">
        <v>202</v>
      </c>
    </row>
    <row r="206" spans="10:24" x14ac:dyDescent="0.25">
      <c r="J206">
        <f t="shared" si="35"/>
        <v>203</v>
      </c>
      <c r="K206">
        <f>'Modelo Ajustado'!B204</f>
        <v>28080</v>
      </c>
      <c r="L206">
        <f>'Modelo Ajustado'!C204</f>
        <v>0</v>
      </c>
      <c r="M206">
        <f>'Modelo Ajustado'!D204</f>
        <v>120</v>
      </c>
      <c r="N206">
        <f>'Modelo Ajustado'!A204</f>
        <v>10000000</v>
      </c>
      <c r="O206">
        <v>13014100.158470685</v>
      </c>
      <c r="P206">
        <f t="shared" si="28"/>
        <v>-3014100.1584706847</v>
      </c>
      <c r="Q206" s="17">
        <v>2.0505637497612098E-2</v>
      </c>
      <c r="R206">
        <f t="shared" si="29"/>
        <v>-0.61794883294638747</v>
      </c>
      <c r="S206">
        <f t="shared" si="30"/>
        <v>23834072190490.398</v>
      </c>
      <c r="T206">
        <f t="shared" si="31"/>
        <v>-0.62381754356949093</v>
      </c>
      <c r="U206">
        <f t="shared" si="32"/>
        <v>0.53316943205569145</v>
      </c>
      <c r="V206" s="64">
        <f t="shared" si="33"/>
        <v>2.040395868519946E-3</v>
      </c>
      <c r="W206" s="16">
        <f t="shared" si="34"/>
        <v>-9.0259568220459316E-2</v>
      </c>
      <c r="X206">
        <v>203</v>
      </c>
    </row>
    <row r="207" spans="10:24" x14ac:dyDescent="0.25">
      <c r="J207">
        <f t="shared" si="35"/>
        <v>204</v>
      </c>
      <c r="K207">
        <f>'Modelo Ajustado'!B205</f>
        <v>28080</v>
      </c>
      <c r="L207">
        <f>'Modelo Ajustado'!C205</f>
        <v>120</v>
      </c>
      <c r="M207">
        <f>'Modelo Ajustado'!D205</f>
        <v>120</v>
      </c>
      <c r="N207">
        <f>'Modelo Ajustado'!A205</f>
        <v>12000000</v>
      </c>
      <c r="O207">
        <v>15990081.746659597</v>
      </c>
      <c r="P207">
        <f t="shared" si="28"/>
        <v>-3990081.7466595974</v>
      </c>
      <c r="Q207" s="17">
        <v>2.0845904215768894E-2</v>
      </c>
      <c r="R207">
        <f t="shared" si="29"/>
        <v>-0.81804393652267637</v>
      </c>
      <c r="S207">
        <f t="shared" si="30"/>
        <v>23813284359627.488</v>
      </c>
      <c r="T207">
        <f t="shared" si="31"/>
        <v>-0.82631687487084871</v>
      </c>
      <c r="U207">
        <f t="shared" si="32"/>
        <v>0.409208995234424</v>
      </c>
      <c r="V207" s="64">
        <f t="shared" si="33"/>
        <v>3.6375746666860616E-3</v>
      </c>
      <c r="W207" s="16">
        <f t="shared" si="34"/>
        <v>-0.12056783664751042</v>
      </c>
      <c r="X207">
        <v>204</v>
      </c>
    </row>
    <row r="208" spans="10:24" x14ac:dyDescent="0.25">
      <c r="J208">
        <f t="shared" si="35"/>
        <v>205</v>
      </c>
      <c r="K208">
        <f>'Modelo Ajustado'!B206</f>
        <v>28080</v>
      </c>
      <c r="L208">
        <f>'Modelo Ajustado'!C206</f>
        <v>120</v>
      </c>
      <c r="M208">
        <f>'Modelo Ajustado'!D206</f>
        <v>120</v>
      </c>
      <c r="N208">
        <f>'Modelo Ajustado'!A206</f>
        <v>11000000</v>
      </c>
      <c r="O208">
        <v>15990081.746659597</v>
      </c>
      <c r="P208">
        <f t="shared" si="28"/>
        <v>-4990081.7466595974</v>
      </c>
      <c r="Q208" s="17">
        <v>2.0845904215768894E-2</v>
      </c>
      <c r="R208">
        <f t="shared" si="29"/>
        <v>-1.0230632790981822</v>
      </c>
      <c r="S208">
        <f t="shared" si="30"/>
        <v>23785988679429.117</v>
      </c>
      <c r="T208">
        <f t="shared" si="31"/>
        <v>-1.0340023691737004</v>
      </c>
      <c r="U208">
        <f t="shared" si="32"/>
        <v>0.30187648758396246</v>
      </c>
      <c r="V208" s="64">
        <f t="shared" si="33"/>
        <v>5.6893630820873155E-3</v>
      </c>
      <c r="W208" s="16">
        <f t="shared" si="34"/>
        <v>-0.15087121240160886</v>
      </c>
      <c r="X208">
        <v>205</v>
      </c>
    </row>
    <row r="209" spans="10:24" x14ac:dyDescent="0.25">
      <c r="J209">
        <f t="shared" si="35"/>
        <v>206</v>
      </c>
      <c r="K209">
        <f>'Modelo Ajustado'!B207</f>
        <v>15100</v>
      </c>
      <c r="L209">
        <f>'Modelo Ajustado'!C207</f>
        <v>25</v>
      </c>
      <c r="M209">
        <f>'Modelo Ajustado'!D207</f>
        <v>25</v>
      </c>
      <c r="N209">
        <f>'Modelo Ajustado'!A207</f>
        <v>1800000</v>
      </c>
      <c r="O209">
        <v>2650920.1976273055</v>
      </c>
      <c r="P209">
        <f t="shared" si="28"/>
        <v>-850920.19762730552</v>
      </c>
      <c r="Q209" s="17">
        <v>5.4239654085872537E-3</v>
      </c>
      <c r="R209">
        <f t="shared" si="29"/>
        <v>-0.1744550995017696</v>
      </c>
      <c r="S209">
        <f t="shared" si="30"/>
        <v>23859509617363.645</v>
      </c>
      <c r="T209">
        <f t="shared" si="31"/>
        <v>-0.17467834980869848</v>
      </c>
      <c r="U209">
        <f t="shared" si="32"/>
        <v>0.86143727478336063</v>
      </c>
      <c r="V209" s="64">
        <f t="shared" si="33"/>
        <v>4.1720382078403638E-5</v>
      </c>
      <c r="W209" s="16">
        <f t="shared" si="34"/>
        <v>-1.2899668236978763E-2</v>
      </c>
      <c r="X209">
        <v>206</v>
      </c>
    </row>
    <row r="210" spans="10:24" x14ac:dyDescent="0.25">
      <c r="J210">
        <f t="shared" si="35"/>
        <v>207</v>
      </c>
      <c r="K210">
        <f>'Modelo Ajustado'!B208</f>
        <v>16500</v>
      </c>
      <c r="L210">
        <f>'Modelo Ajustado'!C208</f>
        <v>30</v>
      </c>
      <c r="M210">
        <f>'Modelo Ajustado'!D208</f>
        <v>30</v>
      </c>
      <c r="N210">
        <f>'Modelo Ajustado'!A208</f>
        <v>2100000</v>
      </c>
      <c r="O210">
        <v>3490725.7471411522</v>
      </c>
      <c r="P210">
        <f t="shared" si="28"/>
        <v>-1390725.7471411522</v>
      </c>
      <c r="Q210" s="17">
        <v>4.8667258174376104E-3</v>
      </c>
      <c r="R210">
        <f t="shared" si="29"/>
        <v>-0.28512567838170805</v>
      </c>
      <c r="S210">
        <f t="shared" si="30"/>
        <v>23855891870176.258</v>
      </c>
      <c r="T210">
        <f t="shared" si="31"/>
        <v>-0.28543225082683871</v>
      </c>
      <c r="U210">
        <f t="shared" si="32"/>
        <v>0.77548835183923637</v>
      </c>
      <c r="V210" s="64">
        <f t="shared" si="33"/>
        <v>9.9881959884445543E-5</v>
      </c>
      <c r="W210" s="16">
        <f t="shared" si="34"/>
        <v>-1.9960933971132161E-2</v>
      </c>
      <c r="X210">
        <v>207</v>
      </c>
    </row>
    <row r="211" spans="10:24" x14ac:dyDescent="0.25">
      <c r="J211">
        <f t="shared" si="35"/>
        <v>208</v>
      </c>
      <c r="K211">
        <f>'Modelo Ajustado'!B209</f>
        <v>30000</v>
      </c>
      <c r="L211">
        <f>'Modelo Ajustado'!C209</f>
        <v>31</v>
      </c>
      <c r="M211">
        <f>'Modelo Ajustado'!D209</f>
        <v>31</v>
      </c>
      <c r="N211">
        <f>'Modelo Ajustado'!A209</f>
        <v>2000000</v>
      </c>
      <c r="O211">
        <v>6198968.9604713004</v>
      </c>
      <c r="P211">
        <f t="shared" si="28"/>
        <v>-4198968.9604713004</v>
      </c>
      <c r="Q211" s="17">
        <v>1.197327966340804E-2</v>
      </c>
      <c r="R211">
        <f t="shared" si="29"/>
        <v>-0.86086985577078079</v>
      </c>
      <c r="S211">
        <f t="shared" si="30"/>
        <v>23808566195803.758</v>
      </c>
      <c r="T211">
        <f t="shared" si="31"/>
        <v>-0.86574840144252274</v>
      </c>
      <c r="U211">
        <f t="shared" si="32"/>
        <v>0.38724405794985473</v>
      </c>
      <c r="V211" s="64">
        <f t="shared" si="33"/>
        <v>2.2724312718379763E-3</v>
      </c>
      <c r="W211" s="16">
        <f t="shared" si="34"/>
        <v>-9.5304611792963928E-2</v>
      </c>
      <c r="X211">
        <v>208</v>
      </c>
    </row>
    <row r="212" spans="10:24" x14ac:dyDescent="0.25">
      <c r="J212">
        <f t="shared" si="35"/>
        <v>209</v>
      </c>
      <c r="K212">
        <f>'Modelo Ajustado'!B210</f>
        <v>30000</v>
      </c>
      <c r="L212">
        <f>'Modelo Ajustado'!C210</f>
        <v>47</v>
      </c>
      <c r="M212">
        <f>'Modelo Ajustado'!D210</f>
        <v>47</v>
      </c>
      <c r="N212">
        <f>'Modelo Ajustado'!A210</f>
        <v>2200000</v>
      </c>
      <c r="O212">
        <v>8025494.6899175253</v>
      </c>
      <c r="P212">
        <f t="shared" si="28"/>
        <v>-5825494.6899175253</v>
      </c>
      <c r="Q212" s="17">
        <v>1.2454875674282766E-2</v>
      </c>
      <c r="R212">
        <f t="shared" si="29"/>
        <v>-1.1943390915039906</v>
      </c>
      <c r="S212">
        <f t="shared" si="30"/>
        <v>23759401347378.543</v>
      </c>
      <c r="T212">
        <f t="shared" si="31"/>
        <v>-1.2026426163484127</v>
      </c>
      <c r="U212">
        <f t="shared" si="32"/>
        <v>0.22995893059917433</v>
      </c>
      <c r="V212" s="64">
        <f t="shared" si="33"/>
        <v>4.5542912610388852E-3</v>
      </c>
      <c r="W212" s="16">
        <f t="shared" si="34"/>
        <v>-0.13506033202990594</v>
      </c>
      <c r="X212">
        <v>209</v>
      </c>
    </row>
    <row r="213" spans="10:24" x14ac:dyDescent="0.25">
      <c r="J213">
        <f t="shared" si="35"/>
        <v>210</v>
      </c>
      <c r="K213">
        <f>'Modelo Ajustado'!B211</f>
        <v>30000</v>
      </c>
      <c r="L213">
        <f>'Modelo Ajustado'!C211</f>
        <v>32</v>
      </c>
      <c r="M213">
        <f>'Modelo Ajustado'!D211</f>
        <v>32</v>
      </c>
      <c r="N213">
        <f>'Modelo Ajustado'!A211</f>
        <v>1800000</v>
      </c>
      <c r="O213">
        <v>6313126.8185616899</v>
      </c>
      <c r="P213">
        <f t="shared" si="28"/>
        <v>-4513126.8185616899</v>
      </c>
      <c r="Q213" s="17">
        <v>1.1983580812915142E-2</v>
      </c>
      <c r="R213">
        <f t="shared" si="29"/>
        <v>-0.92527829330140154</v>
      </c>
      <c r="S213">
        <f t="shared" si="30"/>
        <v>23800321088785.984</v>
      </c>
      <c r="T213">
        <f t="shared" si="31"/>
        <v>-0.93068785862143866</v>
      </c>
      <c r="U213">
        <f t="shared" si="32"/>
        <v>0.35268126464006433</v>
      </c>
      <c r="V213" s="64">
        <f t="shared" si="33"/>
        <v>2.6275019173195432E-3</v>
      </c>
      <c r="W213" s="16">
        <f t="shared" si="34"/>
        <v>-0.10249797181414239</v>
      </c>
      <c r="X213">
        <v>210</v>
      </c>
    </row>
    <row r="214" spans="10:24" x14ac:dyDescent="0.25">
      <c r="J214">
        <f t="shared" si="35"/>
        <v>211</v>
      </c>
      <c r="K214">
        <f>'Modelo Ajustado'!B212</f>
        <v>14000</v>
      </c>
      <c r="L214">
        <f>'Modelo Ajustado'!C212</f>
        <v>3</v>
      </c>
      <c r="M214">
        <f>'Modelo Ajustado'!D212</f>
        <v>25</v>
      </c>
      <c r="N214">
        <f>'Modelo Ajustado'!A212</f>
        <v>1400000</v>
      </c>
      <c r="O214">
        <v>1893953.6552916546</v>
      </c>
      <c r="P214">
        <f t="shared" si="28"/>
        <v>-493953.65529165464</v>
      </c>
      <c r="Q214" s="17">
        <v>5.2634944949338019E-3</v>
      </c>
      <c r="R214">
        <f t="shared" si="29"/>
        <v>-0.10127005367066302</v>
      </c>
      <c r="S214">
        <f t="shared" si="30"/>
        <v>23860946321693.648</v>
      </c>
      <c r="T214">
        <f t="shared" si="31"/>
        <v>-0.10138841728488487</v>
      </c>
      <c r="U214">
        <f t="shared" si="32"/>
        <v>0.91930242628411007</v>
      </c>
      <c r="V214" s="64">
        <f t="shared" si="33"/>
        <v>1.3638297178226675E-5</v>
      </c>
      <c r="W214" s="16">
        <f t="shared" si="34"/>
        <v>-7.3751592434860586E-3</v>
      </c>
      <c r="X214">
        <v>211</v>
      </c>
    </row>
    <row r="215" spans="10:24" x14ac:dyDescent="0.25">
      <c r="J215">
        <f t="shared" si="35"/>
        <v>212</v>
      </c>
      <c r="K215">
        <f>'Modelo Ajustado'!B213</f>
        <v>16000</v>
      </c>
      <c r="L215">
        <f>'Modelo Ajustado'!C213</f>
        <v>17</v>
      </c>
      <c r="M215">
        <f>'Modelo Ajustado'!D213</f>
        <v>30</v>
      </c>
      <c r="N215">
        <f>'Modelo Ajustado'!A213</f>
        <v>1680000</v>
      </c>
      <c r="O215">
        <v>3072250.5063747703</v>
      </c>
      <c r="P215">
        <f t="shared" si="28"/>
        <v>-1392250.5063747703</v>
      </c>
      <c r="Q215" s="17">
        <v>4.1364641215106829E-3</v>
      </c>
      <c r="R215">
        <f t="shared" si="29"/>
        <v>-0.28543828351737038</v>
      </c>
      <c r="S215">
        <f t="shared" si="30"/>
        <v>23855883430357.707</v>
      </c>
      <c r="T215">
        <f t="shared" si="31"/>
        <v>-0.28564045564300555</v>
      </c>
      <c r="U215">
        <f t="shared" si="32"/>
        <v>0.77532900111751502</v>
      </c>
      <c r="V215" s="64">
        <f t="shared" si="33"/>
        <v>8.4955998997543776E-5</v>
      </c>
      <c r="W215" s="16">
        <f t="shared" si="34"/>
        <v>-1.8409179513564848E-2</v>
      </c>
      <c r="X215">
        <v>212</v>
      </c>
    </row>
    <row r="216" spans="10:24" x14ac:dyDescent="0.25">
      <c r="J216">
        <f t="shared" si="35"/>
        <v>213</v>
      </c>
      <c r="K216">
        <f>'Modelo Ajustado'!B214</f>
        <v>17000</v>
      </c>
      <c r="L216">
        <f>'Modelo Ajustado'!C214</f>
        <v>4</v>
      </c>
      <c r="M216">
        <f>'Modelo Ajustado'!D214</f>
        <v>39</v>
      </c>
      <c r="N216">
        <f>'Modelo Ajustado'!A214</f>
        <v>2806000</v>
      </c>
      <c r="O216">
        <v>3746229.0754454709</v>
      </c>
      <c r="P216">
        <f t="shared" si="28"/>
        <v>-940229.07544547087</v>
      </c>
      <c r="Q216" s="17">
        <v>3.7259511122505972E-3</v>
      </c>
      <c r="R216">
        <f t="shared" si="29"/>
        <v>-0.19276514691820604</v>
      </c>
      <c r="S216">
        <f t="shared" si="30"/>
        <v>23859035441818.371</v>
      </c>
      <c r="T216">
        <f t="shared" si="31"/>
        <v>-0.1928491935080672</v>
      </c>
      <c r="U216">
        <f t="shared" si="32"/>
        <v>0.84719324322757505</v>
      </c>
      <c r="V216" s="64">
        <f t="shared" si="33"/>
        <v>3.4871975626046441E-5</v>
      </c>
      <c r="W216" s="16">
        <f t="shared" si="34"/>
        <v>-1.1793616302418987E-2</v>
      </c>
      <c r="X216">
        <v>213</v>
      </c>
    </row>
    <row r="217" spans="10:24" x14ac:dyDescent="0.25">
      <c r="J217">
        <f t="shared" si="35"/>
        <v>214</v>
      </c>
      <c r="K217">
        <f>'Modelo Ajustado'!B215</f>
        <v>8840</v>
      </c>
      <c r="L217">
        <f>'Modelo Ajustado'!C215</f>
        <v>0</v>
      </c>
      <c r="M217">
        <f>'Modelo Ajustado'!D215</f>
        <v>19</v>
      </c>
      <c r="N217">
        <f>'Modelo Ajustado'!A215</f>
        <v>580000</v>
      </c>
      <c r="O217">
        <v>291888.97734018089</v>
      </c>
      <c r="P217">
        <f t="shared" si="28"/>
        <v>288111.02265981911</v>
      </c>
      <c r="Q217" s="17">
        <v>1.0386238407753327E-2</v>
      </c>
      <c r="R217">
        <f t="shared" si="29"/>
        <v>5.9068332454472752E-2</v>
      </c>
      <c r="S217">
        <f t="shared" si="30"/>
        <v>23861426685086.078</v>
      </c>
      <c r="T217">
        <f t="shared" si="31"/>
        <v>5.9289639216977219E-2</v>
      </c>
      <c r="U217">
        <f t="shared" si="32"/>
        <v>0.95275655539148407</v>
      </c>
      <c r="V217" s="64">
        <f t="shared" si="33"/>
        <v>9.2507355308130815E-6</v>
      </c>
      <c r="W217" s="16">
        <f t="shared" si="34"/>
        <v>6.074004205407769E-3</v>
      </c>
      <c r="X217">
        <v>214</v>
      </c>
    </row>
    <row r="218" spans="10:24" x14ac:dyDescent="0.25">
      <c r="J218">
        <f t="shared" si="35"/>
        <v>215</v>
      </c>
      <c r="K218">
        <f>'Modelo Ajustado'!B216</f>
        <v>9360</v>
      </c>
      <c r="L218">
        <f>'Modelo Ajustado'!C216</f>
        <v>21</v>
      </c>
      <c r="M218">
        <f>'Modelo Ajustado'!D216</f>
        <v>21</v>
      </c>
      <c r="N218">
        <f>'Modelo Ajustado'!A216</f>
        <v>660000</v>
      </c>
      <c r="O218">
        <v>1091322.1031119567</v>
      </c>
      <c r="P218">
        <f t="shared" si="28"/>
        <v>-431322.10311195673</v>
      </c>
      <c r="Q218" s="17">
        <v>1.0309324939886273E-2</v>
      </c>
      <c r="R218">
        <f t="shared" si="29"/>
        <v>-8.8429374018297868E-2</v>
      </c>
      <c r="S218">
        <f t="shared" si="30"/>
        <v>23861116871041.531</v>
      </c>
      <c r="T218">
        <f t="shared" si="31"/>
        <v>-8.8757812671800163E-2</v>
      </c>
      <c r="U218">
        <f t="shared" si="32"/>
        <v>0.92932710786860251</v>
      </c>
      <c r="V218" s="64">
        <f t="shared" si="33"/>
        <v>2.0576162533523408E-5</v>
      </c>
      <c r="W218" s="16">
        <f t="shared" si="34"/>
        <v>-9.0588270044793182E-3</v>
      </c>
      <c r="X218">
        <v>215</v>
      </c>
    </row>
    <row r="219" spans="10:24" x14ac:dyDescent="0.25">
      <c r="J219">
        <f t="shared" si="35"/>
        <v>216</v>
      </c>
      <c r="K219">
        <f>'Modelo Ajustado'!B217</f>
        <v>10720</v>
      </c>
      <c r="L219">
        <f>'Modelo Ajustado'!C217</f>
        <v>0</v>
      </c>
      <c r="M219">
        <f>'Modelo Ajustado'!D217</f>
        <v>30</v>
      </c>
      <c r="N219">
        <f>'Modelo Ajustado'!A217</f>
        <v>984000</v>
      </c>
      <c r="O219">
        <v>1636077.5091097909</v>
      </c>
      <c r="P219">
        <f t="shared" si="28"/>
        <v>-652077.5091097909</v>
      </c>
      <c r="Q219" s="17">
        <v>7.8919989959871078E-3</v>
      </c>
      <c r="R219">
        <f t="shared" si="29"/>
        <v>-0.13368850222596268</v>
      </c>
      <c r="S219">
        <f t="shared" si="30"/>
        <v>23860400767408.406</v>
      </c>
      <c r="T219">
        <f t="shared" si="31"/>
        <v>-0.13402347619755436</v>
      </c>
      <c r="U219">
        <f t="shared" si="32"/>
        <v>0.89346401216396498</v>
      </c>
      <c r="V219" s="64">
        <f t="shared" si="33"/>
        <v>3.5825910883840933E-5</v>
      </c>
      <c r="W219" s="16">
        <f t="shared" si="34"/>
        <v>-1.1953495235188563E-2</v>
      </c>
      <c r="X219">
        <v>216</v>
      </c>
    </row>
    <row r="220" spans="10:24" x14ac:dyDescent="0.25">
      <c r="J220">
        <f t="shared" si="35"/>
        <v>217</v>
      </c>
      <c r="K220">
        <f>'Modelo Ajustado'!B218</f>
        <v>13000</v>
      </c>
      <c r="L220">
        <f>'Modelo Ajustado'!C218</f>
        <v>0</v>
      </c>
      <c r="M220">
        <f>'Modelo Ajustado'!D218</f>
        <v>15</v>
      </c>
      <c r="N220">
        <f>'Modelo Ajustado'!A218</f>
        <v>1300000</v>
      </c>
      <c r="O220">
        <v>733819.52960695093</v>
      </c>
      <c r="P220">
        <f t="shared" si="28"/>
        <v>566180.47039304907</v>
      </c>
      <c r="Q220" s="17">
        <v>6.469341502824218E-3</v>
      </c>
      <c r="R220">
        <f t="shared" si="29"/>
        <v>0.11607794781907352</v>
      </c>
      <c r="S220">
        <f t="shared" si="30"/>
        <v>23860716064572.352</v>
      </c>
      <c r="T220">
        <f t="shared" si="31"/>
        <v>0.1162846826332626</v>
      </c>
      <c r="U220">
        <f t="shared" si="32"/>
        <v>0.90749618855704772</v>
      </c>
      <c r="V220" s="64">
        <f t="shared" si="33"/>
        <v>2.2076843677413261E-5</v>
      </c>
      <c r="W220" s="16">
        <f t="shared" si="34"/>
        <v>9.383436383123743E-3</v>
      </c>
      <c r="X220">
        <v>217</v>
      </c>
    </row>
    <row r="221" spans="10:24" x14ac:dyDescent="0.25">
      <c r="J221">
        <f t="shared" si="35"/>
        <v>218</v>
      </c>
      <c r="K221">
        <f>'Modelo Ajustado'!B219</f>
        <v>14040</v>
      </c>
      <c r="L221">
        <f>'Modelo Ajustado'!C219</f>
        <v>18</v>
      </c>
      <c r="M221">
        <f>'Modelo Ajustado'!D219</f>
        <v>18</v>
      </c>
      <c r="N221">
        <f>'Modelo Ajustado'!A219</f>
        <v>1600000</v>
      </c>
      <c r="O221">
        <v>1648131.4519905723</v>
      </c>
      <c r="P221">
        <f t="shared" si="28"/>
        <v>-48131.45199057227</v>
      </c>
      <c r="Q221" s="17">
        <v>6.1162718143092654E-3</v>
      </c>
      <c r="R221">
        <f t="shared" si="29"/>
        <v>-9.867878644311644E-3</v>
      </c>
      <c r="S221">
        <f t="shared" si="30"/>
        <v>23861669388232.457</v>
      </c>
      <c r="T221">
        <f t="shared" si="31"/>
        <v>-9.8834998737901639E-3</v>
      </c>
      <c r="U221">
        <f t="shared" si="32"/>
        <v>0.99212008460486489</v>
      </c>
      <c r="V221" s="64">
        <f t="shared" si="33"/>
        <v>1.5073122382943808E-7</v>
      </c>
      <c r="W221" s="16">
        <f t="shared" si="34"/>
        <v>-7.7532959148870627E-4</v>
      </c>
      <c r="X221">
        <v>218</v>
      </c>
    </row>
    <row r="222" spans="10:24" x14ac:dyDescent="0.25">
      <c r="J222">
        <f t="shared" si="35"/>
        <v>219</v>
      </c>
      <c r="K222">
        <f>'Modelo Ajustado'!B220</f>
        <v>15080</v>
      </c>
      <c r="L222">
        <f>'Modelo Ajustado'!C220</f>
        <v>0</v>
      </c>
      <c r="M222">
        <f>'Modelo Ajustado'!D220</f>
        <v>28</v>
      </c>
      <c r="N222">
        <f>'Modelo Ajustado'!A220</f>
        <v>2300000</v>
      </c>
      <c r="O222">
        <v>2295154.9785725572</v>
      </c>
      <c r="P222">
        <f t="shared" si="28"/>
        <v>4845.0214274427854</v>
      </c>
      <c r="Q222" s="17">
        <v>4.6987085120720265E-3</v>
      </c>
      <c r="R222">
        <f t="shared" si="29"/>
        <v>9.9332310781855828E-4</v>
      </c>
      <c r="S222">
        <f t="shared" si="30"/>
        <v>23861676255220.535</v>
      </c>
      <c r="T222">
        <f t="shared" si="31"/>
        <v>9.9418668807308851E-4</v>
      </c>
      <c r="U222">
        <f t="shared" si="32"/>
        <v>0.99920734216449469</v>
      </c>
      <c r="V222" s="64">
        <f t="shared" si="33"/>
        <v>1.1700123739352569E-9</v>
      </c>
      <c r="W222" s="16">
        <f t="shared" si="34"/>
        <v>6.8309312119503162E-5</v>
      </c>
      <c r="X222">
        <v>219</v>
      </c>
    </row>
    <row r="223" spans="10:24" x14ac:dyDescent="0.25">
      <c r="J223">
        <f t="shared" si="35"/>
        <v>220</v>
      </c>
      <c r="K223">
        <f>'Modelo Ajustado'!B221</f>
        <v>14560</v>
      </c>
      <c r="L223">
        <f>'Modelo Ajustado'!C221</f>
        <v>4</v>
      </c>
      <c r="M223">
        <f>'Modelo Ajustado'!D221</f>
        <v>6</v>
      </c>
      <c r="N223">
        <f>'Modelo Ajustado'!A221</f>
        <v>490000</v>
      </c>
      <c r="O223">
        <v>328557.78656384349</v>
      </c>
      <c r="P223">
        <f t="shared" si="28"/>
        <v>161442.21343615651</v>
      </c>
      <c r="Q223" s="17">
        <v>6.2150512289088364E-3</v>
      </c>
      <c r="R223">
        <f t="shared" si="29"/>
        <v>3.309877646261529E-2</v>
      </c>
      <c r="S223">
        <f t="shared" si="30"/>
        <v>23861598270093.113</v>
      </c>
      <c r="T223">
        <f t="shared" si="31"/>
        <v>3.3152870022767414E-2</v>
      </c>
      <c r="U223">
        <f t="shared" si="32"/>
        <v>0.97357230844220644</v>
      </c>
      <c r="V223" s="64">
        <f t="shared" si="33"/>
        <v>1.7235495416850463E-6</v>
      </c>
      <c r="W223" s="16">
        <f t="shared" si="34"/>
        <v>2.6217862404440732E-3</v>
      </c>
      <c r="X223">
        <v>220</v>
      </c>
    </row>
    <row r="224" spans="10:24" x14ac:dyDescent="0.25">
      <c r="J224">
        <f t="shared" si="35"/>
        <v>221</v>
      </c>
      <c r="K224">
        <f>'Modelo Ajustado'!B222</f>
        <v>15600</v>
      </c>
      <c r="L224">
        <f>'Modelo Ajustado'!C222</f>
        <v>6</v>
      </c>
      <c r="M224">
        <f>'Modelo Ajustado'!D222</f>
        <v>7</v>
      </c>
      <c r="N224">
        <f>'Modelo Ajustado'!A222</f>
        <v>580000</v>
      </c>
      <c r="O224">
        <v>667356.14081131434</v>
      </c>
      <c r="P224">
        <f t="shared" si="28"/>
        <v>-87356.140811314341</v>
      </c>
      <c r="Q224" s="17">
        <v>5.6883194355487245E-3</v>
      </c>
      <c r="R224">
        <f t="shared" si="29"/>
        <v>-1.7909698559068973E-2</v>
      </c>
      <c r="S224">
        <f t="shared" si="30"/>
        <v>23861653483890.996</v>
      </c>
      <c r="T224">
        <f t="shared" si="31"/>
        <v>-1.7934195584383635E-2</v>
      </c>
      <c r="U224">
        <f t="shared" si="32"/>
        <v>0.98570196231324569</v>
      </c>
      <c r="V224" s="64">
        <f t="shared" si="33"/>
        <v>4.6137648434032553E-7</v>
      </c>
      <c r="W224" s="16">
        <f t="shared" si="34"/>
        <v>-1.3564775781340324E-3</v>
      </c>
      <c r="X224">
        <v>221</v>
      </c>
    </row>
    <row r="225" spans="10:24" x14ac:dyDescent="0.25">
      <c r="J225">
        <f t="shared" si="35"/>
        <v>222</v>
      </c>
      <c r="K225">
        <f>'Modelo Ajustado'!B223</f>
        <v>16640</v>
      </c>
      <c r="L225">
        <f>'Modelo Ajustado'!C223</f>
        <v>4</v>
      </c>
      <c r="M225">
        <f>'Modelo Ajustado'!D223</f>
        <v>8</v>
      </c>
      <c r="N225">
        <f>'Modelo Ajustado'!A223</f>
        <v>660000</v>
      </c>
      <c r="O225">
        <v>906955.10878582066</v>
      </c>
      <c r="P225">
        <f t="shared" si="28"/>
        <v>-246955.10878582066</v>
      </c>
      <c r="Q225" s="17">
        <v>5.1531386138311333E-3</v>
      </c>
      <c r="R225">
        <f t="shared" si="29"/>
        <v>-5.0630574048931454E-2</v>
      </c>
      <c r="S225">
        <f t="shared" si="30"/>
        <v>23861493876821.27</v>
      </c>
      <c r="T225">
        <f t="shared" si="31"/>
        <v>-5.0686357564186109E-2</v>
      </c>
      <c r="U225">
        <f t="shared" si="32"/>
        <v>0.9596054764052776</v>
      </c>
      <c r="V225" s="64">
        <f t="shared" si="33"/>
        <v>3.3367607472408619E-6</v>
      </c>
      <c r="W225" s="16">
        <f t="shared" si="34"/>
        <v>-3.6479500093661386E-3</v>
      </c>
      <c r="X225">
        <v>222</v>
      </c>
    </row>
    <row r="226" spans="10:24" x14ac:dyDescent="0.25">
      <c r="J226">
        <f t="shared" si="35"/>
        <v>223</v>
      </c>
      <c r="K226">
        <f>'Modelo Ajustado'!B224</f>
        <v>19042</v>
      </c>
      <c r="L226">
        <f>'Modelo Ajustado'!C224</f>
        <v>0</v>
      </c>
      <c r="M226">
        <f>'Modelo Ajustado'!D224</f>
        <v>28</v>
      </c>
      <c r="N226">
        <f>'Modelo Ajustado'!A224</f>
        <v>4568907</v>
      </c>
      <c r="O226">
        <v>3056470.9917177367</v>
      </c>
      <c r="P226">
        <f t="shared" si="28"/>
        <v>1512436.0082822633</v>
      </c>
      <c r="Q226" s="17">
        <v>3.8102836813104801E-3</v>
      </c>
      <c r="R226">
        <f t="shared" si="29"/>
        <v>0.31007863610555181</v>
      </c>
      <c r="S226">
        <f t="shared" si="30"/>
        <v>23854842361432.383</v>
      </c>
      <c r="T226">
        <f t="shared" si="31"/>
        <v>0.31025422613943143</v>
      </c>
      <c r="U226">
        <f t="shared" si="32"/>
        <v>0.75655941744752364</v>
      </c>
      <c r="V226" s="64">
        <f t="shared" si="33"/>
        <v>9.2290479260447313E-5</v>
      </c>
      <c r="W226" s="16">
        <f t="shared" si="34"/>
        <v>1.9187806680680066E-2</v>
      </c>
      <c r="X226">
        <v>223</v>
      </c>
    </row>
    <row r="227" spans="10:24" x14ac:dyDescent="0.25">
      <c r="J227">
        <f t="shared" si="35"/>
        <v>224</v>
      </c>
      <c r="K227">
        <f>'Modelo Ajustado'!B225</f>
        <v>19845</v>
      </c>
      <c r="L227">
        <f>'Modelo Ajustado'!C225</f>
        <v>14</v>
      </c>
      <c r="M227">
        <f>'Modelo Ajustado'!D225</f>
        <v>28</v>
      </c>
      <c r="N227">
        <f>'Modelo Ajustado'!A225</f>
        <v>4904008</v>
      </c>
      <c r="O227">
        <v>3557968.8836921859</v>
      </c>
      <c r="P227">
        <f t="shared" si="28"/>
        <v>1346039.1163078141</v>
      </c>
      <c r="Q227" s="17">
        <v>3.6762213628441401E-3</v>
      </c>
      <c r="R227">
        <f t="shared" si="29"/>
        <v>0.27596405470634278</v>
      </c>
      <c r="S227">
        <f t="shared" si="30"/>
        <v>23856264103583.18</v>
      </c>
      <c r="T227">
        <f t="shared" si="31"/>
        <v>0.27609352146712629</v>
      </c>
      <c r="U227">
        <f t="shared" si="32"/>
        <v>0.78264547010482255</v>
      </c>
      <c r="V227" s="64">
        <f t="shared" si="33"/>
        <v>7.0509186962364155E-5</v>
      </c>
      <c r="W227" s="16">
        <f t="shared" si="34"/>
        <v>1.6770916456365258E-2</v>
      </c>
      <c r="X227">
        <v>224</v>
      </c>
    </row>
    <row r="228" spans="10:24" x14ac:dyDescent="0.25">
      <c r="J228">
        <f t="shared" si="35"/>
        <v>225</v>
      </c>
      <c r="K228">
        <f>'Modelo Ajustado'!B226</f>
        <v>20426</v>
      </c>
      <c r="L228">
        <f>'Modelo Ajustado'!C226</f>
        <v>4</v>
      </c>
      <c r="M228">
        <f>'Modelo Ajustado'!D226</f>
        <v>29</v>
      </c>
      <c r="N228">
        <f>'Modelo Ajustado'!A226</f>
        <v>5884603</v>
      </c>
      <c r="O228">
        <v>3510970.1770426123</v>
      </c>
      <c r="P228">
        <f t="shared" si="28"/>
        <v>2373632.8229573877</v>
      </c>
      <c r="Q228" s="17">
        <v>3.773049028594393E-3</v>
      </c>
      <c r="R228">
        <f t="shared" si="29"/>
        <v>0.48664064087836545</v>
      </c>
      <c r="S228">
        <f t="shared" si="30"/>
        <v>23844844566044.668</v>
      </c>
      <c r="T228">
        <f t="shared" si="31"/>
        <v>0.48700918003716093</v>
      </c>
      <c r="U228">
        <f t="shared" si="32"/>
        <v>0.6265684315914517</v>
      </c>
      <c r="V228" s="64">
        <f t="shared" si="33"/>
        <v>2.2507778625968582E-4</v>
      </c>
      <c r="W228" s="16">
        <f t="shared" si="34"/>
        <v>2.9971206690684128E-2</v>
      </c>
      <c r="X228">
        <v>225</v>
      </c>
    </row>
    <row r="229" spans="10:24" x14ac:dyDescent="0.25">
      <c r="J229">
        <f t="shared" si="35"/>
        <v>226</v>
      </c>
      <c r="K229">
        <f>'Modelo Ajustado'!B227</f>
        <v>13728</v>
      </c>
      <c r="L229">
        <f>'Modelo Ajustado'!C227</f>
        <v>20</v>
      </c>
      <c r="M229">
        <f>'Modelo Ajustado'!D227</f>
        <v>80</v>
      </c>
      <c r="N229">
        <f>'Modelo Ajustado'!A227</f>
        <v>6900000</v>
      </c>
      <c r="O229">
        <v>7177975.6646235809</v>
      </c>
      <c r="P229">
        <f t="shared" si="28"/>
        <v>-277975.66462358087</v>
      </c>
      <c r="Q229" s="17">
        <v>5.6164613041260192E-3</v>
      </c>
      <c r="R229">
        <f t="shared" si="29"/>
        <v>-5.6990388013115824E-2</v>
      </c>
      <c r="S229">
        <f t="shared" si="30"/>
        <v>23861445054854.727</v>
      </c>
      <c r="T229">
        <f t="shared" si="31"/>
        <v>-5.7066527115252681E-2</v>
      </c>
      <c r="U229">
        <f t="shared" si="32"/>
        <v>0.95452602050778801</v>
      </c>
      <c r="V229" s="64">
        <f t="shared" si="33"/>
        <v>4.6120940501518837E-6</v>
      </c>
      <c r="W229" s="16">
        <f t="shared" si="34"/>
        <v>-4.2888007088001667E-3</v>
      </c>
      <c r="X229">
        <v>226</v>
      </c>
    </row>
    <row r="230" spans="10:24" x14ac:dyDescent="0.25">
      <c r="J230">
        <f t="shared" si="35"/>
        <v>227</v>
      </c>
      <c r="K230">
        <f>'Modelo Ajustado'!B228</f>
        <v>14664</v>
      </c>
      <c r="L230">
        <f>'Modelo Ajustado'!C228</f>
        <v>25</v>
      </c>
      <c r="M230">
        <f>'Modelo Ajustado'!D228</f>
        <v>65</v>
      </c>
      <c r="N230">
        <f>'Modelo Ajustado'!A228</f>
        <v>8400000</v>
      </c>
      <c r="O230">
        <v>6141461.3092625216</v>
      </c>
      <c r="P230">
        <f t="shared" si="28"/>
        <v>2258538.6907374784</v>
      </c>
      <c r="Q230" s="17">
        <v>4.0914383885994297E-3</v>
      </c>
      <c r="R230">
        <f t="shared" si="29"/>
        <v>0.46304411755634134</v>
      </c>
      <c r="S230">
        <f t="shared" si="30"/>
        <v>23846432417159.984</v>
      </c>
      <c r="T230">
        <f t="shared" si="31"/>
        <v>0.46345342325060335</v>
      </c>
      <c r="U230">
        <f t="shared" si="32"/>
        <v>0.64333856632175779</v>
      </c>
      <c r="V230" s="64">
        <f t="shared" si="33"/>
        <v>2.2111684816431996E-4</v>
      </c>
      <c r="W230" s="16">
        <f t="shared" si="34"/>
        <v>2.9705329171818107E-2</v>
      </c>
      <c r="X230">
        <v>227</v>
      </c>
    </row>
    <row r="231" spans="10:24" x14ac:dyDescent="0.25">
      <c r="J231">
        <f t="shared" si="35"/>
        <v>228</v>
      </c>
      <c r="K231">
        <f>'Modelo Ajustado'!B229</f>
        <v>15600</v>
      </c>
      <c r="L231">
        <f>'Modelo Ajustado'!C229</f>
        <v>30</v>
      </c>
      <c r="M231">
        <f>'Modelo Ajustado'!D229</f>
        <v>75</v>
      </c>
      <c r="N231">
        <f>'Modelo Ajustado'!A229</f>
        <v>7100000</v>
      </c>
      <c r="O231">
        <v>7338897.241955163</v>
      </c>
      <c r="P231">
        <f t="shared" si="28"/>
        <v>-238897.24195516296</v>
      </c>
      <c r="Q231" s="17">
        <v>3.8486204305069175E-3</v>
      </c>
      <c r="R231">
        <f t="shared" si="29"/>
        <v>-4.8978555488749041E-2</v>
      </c>
      <c r="S231">
        <f t="shared" si="30"/>
        <v>23861505812352.023</v>
      </c>
      <c r="T231">
        <f t="shared" si="31"/>
        <v>-4.9000390609922402E-2</v>
      </c>
      <c r="U231">
        <f t="shared" si="32"/>
        <v>0.96094801203532798</v>
      </c>
      <c r="V231" s="64">
        <f t="shared" si="33"/>
        <v>2.3259820188368627E-6</v>
      </c>
      <c r="W231" s="16">
        <f t="shared" si="34"/>
        <v>-3.0457160518114193E-3</v>
      </c>
      <c r="X231">
        <v>228</v>
      </c>
    </row>
    <row r="232" spans="10:24" x14ac:dyDescent="0.25">
      <c r="J232">
        <f t="shared" si="35"/>
        <v>229</v>
      </c>
      <c r="K232">
        <f>'Modelo Ajustado'!B230</f>
        <v>20000</v>
      </c>
      <c r="L232">
        <f>'Modelo Ajustado'!C230</f>
        <v>0</v>
      </c>
      <c r="M232">
        <f>'Modelo Ajustado'!D230</f>
        <v>25</v>
      </c>
      <c r="N232">
        <f>'Modelo Ajustado'!A230</f>
        <v>3000000</v>
      </c>
      <c r="O232">
        <v>2972480.9401379353</v>
      </c>
      <c r="P232">
        <f t="shared" si="28"/>
        <v>27519.059862064663</v>
      </c>
      <c r="Q232" s="17">
        <v>3.9517494637217234E-3</v>
      </c>
      <c r="R232">
        <f t="shared" si="29"/>
        <v>5.6419395612164851E-3</v>
      </c>
      <c r="S232">
        <f t="shared" si="30"/>
        <v>23861674062607.051</v>
      </c>
      <c r="T232">
        <f t="shared" si="31"/>
        <v>5.6447270932708498E-3</v>
      </c>
      <c r="U232">
        <f t="shared" si="32"/>
        <v>0.99549952325716029</v>
      </c>
      <c r="V232" s="64">
        <f t="shared" si="33"/>
        <v>3.1697536943243973E-8</v>
      </c>
      <c r="W232" s="16">
        <f t="shared" si="34"/>
        <v>3.5554736374824968E-4</v>
      </c>
      <c r="X232">
        <v>229</v>
      </c>
    </row>
    <row r="233" spans="10:24" x14ac:dyDescent="0.25">
      <c r="J233">
        <f t="shared" si="35"/>
        <v>230</v>
      </c>
      <c r="K233">
        <f>'Modelo Ajustado'!B231</f>
        <v>25000</v>
      </c>
      <c r="L233">
        <f>'Modelo Ajustado'!C231</f>
        <v>0</v>
      </c>
      <c r="M233">
        <f>'Modelo Ajustado'!D231</f>
        <v>30</v>
      </c>
      <c r="N233">
        <f>'Modelo Ajustado'!A231</f>
        <v>4000000</v>
      </c>
      <c r="O233">
        <v>4380043.3515411802</v>
      </c>
      <c r="P233">
        <f t="shared" si="28"/>
        <v>-380043.35154118016</v>
      </c>
      <c r="Q233" s="17">
        <v>6.1256806504457854E-3</v>
      </c>
      <c r="R233">
        <f t="shared" si="29"/>
        <v>-7.7916238083164571E-2</v>
      </c>
      <c r="S233">
        <f t="shared" si="30"/>
        <v>23861243816032.379</v>
      </c>
      <c r="T233">
        <f t="shared" si="31"/>
        <v>-7.8040647791650902E-2</v>
      </c>
      <c r="U233">
        <f t="shared" si="32"/>
        <v>0.93784203446546088</v>
      </c>
      <c r="V233" s="64">
        <f t="shared" si="33"/>
        <v>9.4121182437165952E-6</v>
      </c>
      <c r="W233" s="16">
        <f t="shared" si="34"/>
        <v>-6.1267802988066687E-3</v>
      </c>
      <c r="X233">
        <v>230</v>
      </c>
    </row>
    <row r="234" spans="10:24" x14ac:dyDescent="0.25">
      <c r="J234">
        <f t="shared" si="35"/>
        <v>231</v>
      </c>
      <c r="K234">
        <f>'Modelo Ajustado'!B232</f>
        <v>30000</v>
      </c>
      <c r="L234">
        <f>'Modelo Ajustado'!C232</f>
        <v>0</v>
      </c>
      <c r="M234">
        <f>'Modelo Ajustado'!D232</f>
        <v>40</v>
      </c>
      <c r="N234">
        <f>'Modelo Ajustado'!A232</f>
        <v>6000000</v>
      </c>
      <c r="O234">
        <v>6234395.8205551635</v>
      </c>
      <c r="P234">
        <f t="shared" si="28"/>
        <v>-234395.82055516355</v>
      </c>
      <c r="Q234" s="17">
        <v>1.1599401178238386E-2</v>
      </c>
      <c r="R234">
        <f t="shared" si="29"/>
        <v>-4.8055677032665847E-2</v>
      </c>
      <c r="S234">
        <f t="shared" si="30"/>
        <v>23861510890393.473</v>
      </c>
      <c r="T234">
        <f t="shared" si="31"/>
        <v>-4.82652315493921E-2</v>
      </c>
      <c r="U234">
        <f t="shared" si="32"/>
        <v>0.96153345431236814</v>
      </c>
      <c r="V234" s="64">
        <f t="shared" si="33"/>
        <v>6.8548661429964364E-6</v>
      </c>
      <c r="W234" s="16">
        <f t="shared" si="34"/>
        <v>-5.2286031322249012E-3</v>
      </c>
      <c r="X234">
        <v>231</v>
      </c>
    </row>
    <row r="235" spans="10:24" x14ac:dyDescent="0.25">
      <c r="J235">
        <f t="shared" si="35"/>
        <v>232</v>
      </c>
      <c r="K235">
        <f>'Modelo Ajustado'!B233</f>
        <v>24000</v>
      </c>
      <c r="L235">
        <f>'Modelo Ajustado'!C233</f>
        <v>6</v>
      </c>
      <c r="M235">
        <f>'Modelo Ajustado'!D233</f>
        <v>17</v>
      </c>
      <c r="N235">
        <f>'Modelo Ajustado'!A233</f>
        <v>1083644</v>
      </c>
      <c r="O235">
        <v>3175033.8104041996</v>
      </c>
      <c r="P235">
        <f t="shared" si="28"/>
        <v>-2091389.8104041996</v>
      </c>
      <c r="Q235" s="17">
        <v>5.7398059457748974E-3</v>
      </c>
      <c r="R235">
        <f t="shared" si="29"/>
        <v>-0.42877536399818061</v>
      </c>
      <c r="S235">
        <f t="shared" si="30"/>
        <v>23848583582338.57</v>
      </c>
      <c r="T235">
        <f t="shared" si="31"/>
        <v>-0.42949060309866793</v>
      </c>
      <c r="U235">
        <f t="shared" si="32"/>
        <v>0.66784069231895593</v>
      </c>
      <c r="V235" s="64">
        <f t="shared" si="33"/>
        <v>2.6686816053022179E-4</v>
      </c>
      <c r="W235" s="16">
        <f t="shared" si="34"/>
        <v>-3.2632642633204062E-2</v>
      </c>
      <c r="X235">
        <v>232</v>
      </c>
    </row>
    <row r="236" spans="10:24" x14ac:dyDescent="0.25">
      <c r="J236">
        <f t="shared" si="35"/>
        <v>233</v>
      </c>
      <c r="K236">
        <f>'Modelo Ajustado'!B234</f>
        <v>24000</v>
      </c>
      <c r="L236">
        <f>'Modelo Ajustado'!C234</f>
        <v>13</v>
      </c>
      <c r="M236">
        <f>'Modelo Ajustado'!D234</f>
        <v>13</v>
      </c>
      <c r="N236">
        <f>'Modelo Ajustado'!A234</f>
        <v>851605</v>
      </c>
      <c r="O236">
        <v>2991200.6902932939</v>
      </c>
      <c r="P236">
        <f t="shared" si="28"/>
        <v>-2139595.6902932939</v>
      </c>
      <c r="Q236" s="17">
        <v>6.2822878535133634E-3</v>
      </c>
      <c r="R236">
        <f t="shared" si="29"/>
        <v>-0.43865850180131655</v>
      </c>
      <c r="S236">
        <f t="shared" si="30"/>
        <v>23847965578298.355</v>
      </c>
      <c r="T236">
        <f t="shared" si="31"/>
        <v>-0.43951583942830125</v>
      </c>
      <c r="U236">
        <f t="shared" si="32"/>
        <v>0.66056951054112312</v>
      </c>
      <c r="V236" s="64">
        <f t="shared" si="33"/>
        <v>3.0604471266640993E-4</v>
      </c>
      <c r="W236" s="16">
        <f t="shared" si="34"/>
        <v>-3.4946358791184844E-2</v>
      </c>
      <c r="X236">
        <v>233</v>
      </c>
    </row>
    <row r="237" spans="10:24" x14ac:dyDescent="0.25">
      <c r="J237">
        <f t="shared" si="35"/>
        <v>234</v>
      </c>
      <c r="K237">
        <f>'Modelo Ajustado'!B235</f>
        <v>16000</v>
      </c>
      <c r="L237">
        <f>'Modelo Ajustado'!C235</f>
        <v>1</v>
      </c>
      <c r="M237">
        <f>'Modelo Ajustado'!D235</f>
        <v>9</v>
      </c>
      <c r="N237">
        <f>'Modelo Ajustado'!A235</f>
        <v>885852</v>
      </c>
      <c r="O237">
        <v>798934.71931780549</v>
      </c>
      <c r="P237">
        <f t="shared" si="28"/>
        <v>86917.280682194512</v>
      </c>
      <c r="Q237" s="17">
        <v>5.2236304702847547E-3</v>
      </c>
      <c r="R237">
        <f t="shared" si="29"/>
        <v>1.7819723743914224E-2</v>
      </c>
      <c r="S237">
        <f t="shared" si="30"/>
        <v>23861653723380.18</v>
      </c>
      <c r="T237">
        <f t="shared" si="31"/>
        <v>1.7839929376190538E-2</v>
      </c>
      <c r="U237">
        <f t="shared" si="32"/>
        <v>0.98577710803175256</v>
      </c>
      <c r="V237" s="64">
        <f t="shared" si="33"/>
        <v>4.1904770704992675E-7</v>
      </c>
      <c r="W237" s="16">
        <f t="shared" si="34"/>
        <v>1.2927561839617657E-3</v>
      </c>
      <c r="X237">
        <v>234</v>
      </c>
    </row>
    <row r="238" spans="10:24" x14ac:dyDescent="0.25">
      <c r="J238">
        <f t="shared" si="35"/>
        <v>235</v>
      </c>
      <c r="K238">
        <f>'Modelo Ajustado'!B236</f>
        <v>14560</v>
      </c>
      <c r="L238">
        <f>'Modelo Ajustado'!C236</f>
        <v>0</v>
      </c>
      <c r="M238">
        <f>'Modelo Ajustado'!D236</f>
        <v>20</v>
      </c>
      <c r="N238">
        <f>'Modelo Ajustado'!A236</f>
        <v>3499895</v>
      </c>
      <c r="O238">
        <v>1480370.5616009529</v>
      </c>
      <c r="P238">
        <f t="shared" si="28"/>
        <v>2019524.4383990471</v>
      </c>
      <c r="Q238" s="17">
        <v>5.2153405226085196E-3</v>
      </c>
      <c r="R238">
        <f t="shared" si="29"/>
        <v>0.4140415726757401</v>
      </c>
      <c r="S238">
        <f t="shared" si="30"/>
        <v>23849474357767.785</v>
      </c>
      <c r="T238">
        <f t="shared" si="31"/>
        <v>0.41461515029558477</v>
      </c>
      <c r="U238">
        <f t="shared" si="32"/>
        <v>0.67868745447549139</v>
      </c>
      <c r="V238" s="64">
        <f t="shared" si="33"/>
        <v>2.2586681027825576E-4</v>
      </c>
      <c r="W238" s="16">
        <f t="shared" si="34"/>
        <v>3.0020779361654027E-2</v>
      </c>
      <c r="X238">
        <v>235</v>
      </c>
    </row>
    <row r="239" spans="10:24" x14ac:dyDescent="0.25">
      <c r="J239">
        <f t="shared" si="35"/>
        <v>236</v>
      </c>
      <c r="K239">
        <f>'Modelo Ajustado'!B237</f>
        <v>16848</v>
      </c>
      <c r="L239">
        <f>'Modelo Ajustado'!C237</f>
        <v>6</v>
      </c>
      <c r="M239">
        <f>'Modelo Ajustado'!D237</f>
        <v>17</v>
      </c>
      <c r="N239">
        <f>'Modelo Ajustado'!A237</f>
        <v>4008997</v>
      </c>
      <c r="O239">
        <v>1800745.0355394031</v>
      </c>
      <c r="P239">
        <f t="shared" si="28"/>
        <v>2208251.9644605969</v>
      </c>
      <c r="Q239" s="17">
        <v>4.4324123809951852E-3</v>
      </c>
      <c r="R239">
        <f t="shared" si="29"/>
        <v>0.45273436599478067</v>
      </c>
      <c r="S239">
        <f t="shared" si="30"/>
        <v>23847098685294.016</v>
      </c>
      <c r="T239">
        <f t="shared" si="31"/>
        <v>0.45320581805316723</v>
      </c>
      <c r="U239">
        <f t="shared" si="32"/>
        <v>0.65069220698386021</v>
      </c>
      <c r="V239" s="64">
        <f t="shared" si="33"/>
        <v>2.2915302468918983E-4</v>
      </c>
      <c r="W239" s="16">
        <f t="shared" si="34"/>
        <v>3.0239888232948559E-2</v>
      </c>
      <c r="X239">
        <v>236</v>
      </c>
    </row>
    <row r="240" spans="10:24" x14ac:dyDescent="0.25">
      <c r="J240">
        <f t="shared" si="35"/>
        <v>237</v>
      </c>
      <c r="K240">
        <f>'Modelo Ajustado'!B238</f>
        <v>18720</v>
      </c>
      <c r="L240">
        <f>'Modelo Ajustado'!C238</f>
        <v>0</v>
      </c>
      <c r="M240">
        <f>'Modelo Ajustado'!D238</f>
        <v>13</v>
      </c>
      <c r="N240">
        <f>'Modelo Ajustado'!A238</f>
        <v>3379103</v>
      </c>
      <c r="O240">
        <v>1654227.0793012786</v>
      </c>
      <c r="P240">
        <f t="shared" si="28"/>
        <v>1724875.9206987214</v>
      </c>
      <c r="Q240" s="17">
        <v>4.4043153710114366E-3</v>
      </c>
      <c r="R240">
        <f t="shared" si="29"/>
        <v>0.35363292728597207</v>
      </c>
      <c r="S240">
        <f t="shared" si="30"/>
        <v>23852782400962.98</v>
      </c>
      <c r="T240">
        <f t="shared" si="31"/>
        <v>0.35395400729478682</v>
      </c>
      <c r="U240">
        <f t="shared" si="32"/>
        <v>0.72359469948256994</v>
      </c>
      <c r="V240" s="64">
        <f t="shared" si="33"/>
        <v>1.3891776861418907E-4</v>
      </c>
      <c r="W240" s="16">
        <f t="shared" si="34"/>
        <v>2.354206396367977E-2</v>
      </c>
      <c r="X240">
        <v>237</v>
      </c>
    </row>
    <row r="241" spans="10:24" x14ac:dyDescent="0.25">
      <c r="J241">
        <f t="shared" si="35"/>
        <v>238</v>
      </c>
      <c r="K241">
        <f>'Modelo Ajustado'!B239</f>
        <v>16141</v>
      </c>
      <c r="L241">
        <f>'Modelo Ajustado'!C239</f>
        <v>60</v>
      </c>
      <c r="M241">
        <f>'Modelo Ajustado'!D239</f>
        <v>70</v>
      </c>
      <c r="N241">
        <f>'Modelo Ajustado'!A239</f>
        <v>6400000</v>
      </c>
      <c r="O241">
        <v>7740058.1500720009</v>
      </c>
      <c r="P241">
        <f t="shared" si="28"/>
        <v>-1340058.1500720009</v>
      </c>
      <c r="Q241" s="17">
        <v>5.6316182957952482E-3</v>
      </c>
      <c r="R241">
        <f t="shared" si="29"/>
        <v>-0.27473784094071008</v>
      </c>
      <c r="S241">
        <f t="shared" si="30"/>
        <v>23856301545258.719</v>
      </c>
      <c r="T241">
        <f t="shared" si="31"/>
        <v>-0.27513664256551168</v>
      </c>
      <c r="U241">
        <f t="shared" si="32"/>
        <v>0.78337986975838692</v>
      </c>
      <c r="V241" s="64">
        <f t="shared" si="33"/>
        <v>1.0747700827584369E-4</v>
      </c>
      <c r="W241" s="16">
        <f t="shared" si="34"/>
        <v>-2.0705770009251574E-2</v>
      </c>
      <c r="X241">
        <v>238</v>
      </c>
    </row>
    <row r="242" spans="10:24" x14ac:dyDescent="0.25">
      <c r="J242">
        <f t="shared" si="35"/>
        <v>239</v>
      </c>
      <c r="K242">
        <f>'Modelo Ajustado'!B240</f>
        <v>16578</v>
      </c>
      <c r="L242">
        <f>'Modelo Ajustado'!C240</f>
        <v>65</v>
      </c>
      <c r="M242">
        <f>'Modelo Ajustado'!D240</f>
        <v>65</v>
      </c>
      <c r="N242">
        <f>'Modelo Ajustado'!A240</f>
        <v>6800000</v>
      </c>
      <c r="O242">
        <v>7501238.8290239293</v>
      </c>
      <c r="P242">
        <f t="shared" si="28"/>
        <v>-701238.82902392931</v>
      </c>
      <c r="Q242" s="17">
        <v>6.7074178801143627E-3</v>
      </c>
      <c r="R242">
        <f t="shared" si="29"/>
        <v>-0.14376752371490348</v>
      </c>
      <c r="S242">
        <f t="shared" si="30"/>
        <v>23860202943135.016</v>
      </c>
      <c r="T242">
        <f t="shared" si="31"/>
        <v>-0.14404238151711271</v>
      </c>
      <c r="U242">
        <f t="shared" si="32"/>
        <v>0.88555310028742018</v>
      </c>
      <c r="V242" s="64">
        <f t="shared" si="33"/>
        <v>3.5128740049277569E-5</v>
      </c>
      <c r="W242" s="16">
        <f t="shared" si="34"/>
        <v>-1.1836665619863233E-2</v>
      </c>
      <c r="X242">
        <v>239</v>
      </c>
    </row>
    <row r="243" spans="10:24" x14ac:dyDescent="0.25">
      <c r="J243">
        <f t="shared" si="35"/>
        <v>240</v>
      </c>
      <c r="K243">
        <f>'Modelo Ajustado'!B241</f>
        <v>16952</v>
      </c>
      <c r="L243">
        <f>'Modelo Ajustado'!C241</f>
        <v>30</v>
      </c>
      <c r="M243">
        <f>'Modelo Ajustado'!D241</f>
        <v>30</v>
      </c>
      <c r="N243">
        <f>'Modelo Ajustado'!A241</f>
        <v>2100000</v>
      </c>
      <c r="O243">
        <v>3577579.5679239943</v>
      </c>
      <c r="P243">
        <f t="shared" si="28"/>
        <v>-1477579.5679239943</v>
      </c>
      <c r="Q243" s="17">
        <v>4.7379253136304849E-3</v>
      </c>
      <c r="R243">
        <f t="shared" si="29"/>
        <v>-0.30293239161877716</v>
      </c>
      <c r="S243">
        <f t="shared" si="30"/>
        <v>23855147650840.586</v>
      </c>
      <c r="T243">
        <f t="shared" si="31"/>
        <v>-0.30324321676274252</v>
      </c>
      <c r="U243">
        <f t="shared" si="32"/>
        <v>0.7618916297727889</v>
      </c>
      <c r="V243" s="64">
        <f t="shared" si="33"/>
        <v>1.0973489080159895E-4</v>
      </c>
      <c r="W243" s="16">
        <f t="shared" si="34"/>
        <v>-2.0922639517846408E-2</v>
      </c>
      <c r="X243">
        <v>240</v>
      </c>
    </row>
    <row r="244" spans="10:24" x14ac:dyDescent="0.25">
      <c r="J244">
        <f t="shared" si="35"/>
        <v>241</v>
      </c>
      <c r="K244">
        <f>'Modelo Ajustado'!B242</f>
        <v>22866</v>
      </c>
      <c r="L244">
        <f>'Modelo Ajustado'!C242</f>
        <v>0</v>
      </c>
      <c r="M244">
        <f>'Modelo Ajustado'!D242</f>
        <v>6</v>
      </c>
      <c r="N244">
        <f>'Modelo Ajustado'!A242</f>
        <v>564694</v>
      </c>
      <c r="O244">
        <v>1825393.434410987</v>
      </c>
      <c r="P244">
        <f t="shared" si="28"/>
        <v>-1260699.434410987</v>
      </c>
      <c r="Q244" s="17">
        <v>5.8456540472407855E-3</v>
      </c>
      <c r="R244">
        <f t="shared" si="29"/>
        <v>-0.25846776922825249</v>
      </c>
      <c r="S244">
        <f t="shared" si="30"/>
        <v>23856918264220.406</v>
      </c>
      <c r="T244">
        <f t="shared" si="31"/>
        <v>-0.25886746986288411</v>
      </c>
      <c r="U244">
        <f t="shared" si="32"/>
        <v>0.79589554123429851</v>
      </c>
      <c r="V244" s="64">
        <f t="shared" si="33"/>
        <v>9.8782105047507616E-5</v>
      </c>
      <c r="W244" s="16">
        <f t="shared" si="34"/>
        <v>-1.9850302352490128E-2</v>
      </c>
      <c r="X244">
        <v>241</v>
      </c>
    </row>
    <row r="245" spans="10:24" x14ac:dyDescent="0.25">
      <c r="J245">
        <f t="shared" si="35"/>
        <v>242</v>
      </c>
      <c r="K245">
        <f>'Modelo Ajustado'!B243</f>
        <v>22995</v>
      </c>
      <c r="L245">
        <f>'Modelo Ajustado'!C243</f>
        <v>0</v>
      </c>
      <c r="M245">
        <f>'Modelo Ajustado'!D243</f>
        <v>6</v>
      </c>
      <c r="N245">
        <f>'Modelo Ajustado'!A243</f>
        <v>620439</v>
      </c>
      <c r="O245">
        <v>1850181.3611388332</v>
      </c>
      <c r="P245">
        <f t="shared" si="28"/>
        <v>-1229742.3611388332</v>
      </c>
      <c r="Q245" s="17">
        <v>5.909060887046895E-3</v>
      </c>
      <c r="R245">
        <f t="shared" si="29"/>
        <v>-0.25212097041793374</v>
      </c>
      <c r="S245">
        <f t="shared" si="30"/>
        <v>23857148779384.52</v>
      </c>
      <c r="T245">
        <f t="shared" si="31"/>
        <v>-0.25251768916797834</v>
      </c>
      <c r="U245">
        <f t="shared" si="32"/>
        <v>0.80079489025055217</v>
      </c>
      <c r="V245" s="64">
        <f t="shared" si="33"/>
        <v>9.5022003503295377E-5</v>
      </c>
      <c r="W245" s="16">
        <f t="shared" si="34"/>
        <v>-1.9468746093470286E-2</v>
      </c>
      <c r="X245">
        <v>242</v>
      </c>
    </row>
    <row r="246" spans="10:24" x14ac:dyDescent="0.25">
      <c r="J246">
        <f t="shared" si="35"/>
        <v>243</v>
      </c>
      <c r="K246">
        <f>'Modelo Ajustado'!B244</f>
        <v>29114</v>
      </c>
      <c r="L246">
        <f>'Modelo Ajustado'!C244</f>
        <v>6</v>
      </c>
      <c r="M246">
        <f>'Modelo Ajustado'!D244</f>
        <v>6</v>
      </c>
      <c r="N246">
        <f>'Modelo Ajustado'!A244</f>
        <v>783261</v>
      </c>
      <c r="O246">
        <v>3174773.647119544</v>
      </c>
      <c r="P246">
        <f t="shared" si="28"/>
        <v>-2391512.647119544</v>
      </c>
      <c r="Q246" s="17">
        <v>1.1412145257781463E-2</v>
      </c>
      <c r="R246">
        <f t="shared" si="29"/>
        <v>-0.4903063506734564</v>
      </c>
      <c r="S246">
        <f t="shared" si="30"/>
        <v>23844458003791.777</v>
      </c>
      <c r="T246">
        <f t="shared" si="31"/>
        <v>-0.49257381248942678</v>
      </c>
      <c r="U246">
        <f t="shared" si="32"/>
        <v>0.62263451396643399</v>
      </c>
      <c r="V246" s="64">
        <f t="shared" si="33"/>
        <v>7.0179746504953153E-4</v>
      </c>
      <c r="W246" s="16">
        <f t="shared" si="34"/>
        <v>-5.2923350278522636E-2</v>
      </c>
      <c r="X246">
        <v>243</v>
      </c>
    </row>
    <row r="247" spans="10:24" x14ac:dyDescent="0.25">
      <c r="J247">
        <f t="shared" si="35"/>
        <v>244</v>
      </c>
      <c r="K247">
        <f>'Modelo Ajustado'!B245</f>
        <v>31000</v>
      </c>
      <c r="L247">
        <f>'Modelo Ajustado'!C245</f>
        <v>6</v>
      </c>
      <c r="M247">
        <f>'Modelo Ajustado'!D245</f>
        <v>35</v>
      </c>
      <c r="N247">
        <f>'Modelo Ajustado'!A245</f>
        <v>4200000</v>
      </c>
      <c r="O247">
        <v>6128559.3131123688</v>
      </c>
      <c r="P247">
        <f t="shared" si="28"/>
        <v>-1928559.3131123688</v>
      </c>
      <c r="Q247" s="17">
        <v>1.2593131636790069E-2</v>
      </c>
      <c r="R247">
        <f t="shared" si="29"/>
        <v>-0.39539196249216679</v>
      </c>
      <c r="S247">
        <f t="shared" si="30"/>
        <v>23850465680958.875</v>
      </c>
      <c r="T247">
        <f t="shared" si="31"/>
        <v>-0.39740790057126751</v>
      </c>
      <c r="U247">
        <f t="shared" si="32"/>
        <v>0.69131827931900458</v>
      </c>
      <c r="V247" s="64">
        <f t="shared" si="33"/>
        <v>5.0482068013321343E-4</v>
      </c>
      <c r="W247" s="16">
        <f t="shared" si="34"/>
        <v>-4.4880252990335073E-2</v>
      </c>
      <c r="X247">
        <v>244</v>
      </c>
    </row>
    <row r="248" spans="10:24" x14ac:dyDescent="0.25">
      <c r="J248">
        <f t="shared" si="35"/>
        <v>245</v>
      </c>
      <c r="K248">
        <f>'Modelo Ajustado'!B246</f>
        <v>33000</v>
      </c>
      <c r="L248">
        <f>'Modelo Ajustado'!C246</f>
        <v>8</v>
      </c>
      <c r="M248">
        <f>'Modelo Ajustado'!D246</f>
        <v>40</v>
      </c>
      <c r="N248">
        <f>'Modelo Ajustado'!A246</f>
        <v>4800000</v>
      </c>
      <c r="O248">
        <v>7009258.0053765923</v>
      </c>
      <c r="P248">
        <f t="shared" si="28"/>
        <v>-2209258.0053765923</v>
      </c>
      <c r="Q248" s="17">
        <v>1.5761225404823866E-2</v>
      </c>
      <c r="R248">
        <f t="shared" si="29"/>
        <v>-0.45294062384198208</v>
      </c>
      <c r="S248">
        <f t="shared" si="30"/>
        <v>23846917454746.105</v>
      </c>
      <c r="T248">
        <f t="shared" si="31"/>
        <v>-0.4560159970695653</v>
      </c>
      <c r="U248">
        <f t="shared" si="32"/>
        <v>0.6486721932088193</v>
      </c>
      <c r="V248" s="64">
        <f t="shared" si="33"/>
        <v>8.3447166772269272E-4</v>
      </c>
      <c r="W248" s="16">
        <f t="shared" si="34"/>
        <v>-5.7706513086331998E-2</v>
      </c>
      <c r="X248">
        <v>245</v>
      </c>
    </row>
    <row r="249" spans="10:24" x14ac:dyDescent="0.25">
      <c r="J249">
        <f t="shared" si="35"/>
        <v>246</v>
      </c>
      <c r="K249">
        <f>'Modelo Ajustado'!B247</f>
        <v>34800</v>
      </c>
      <c r="L249">
        <f>'Modelo Ajustado'!C247</f>
        <v>43</v>
      </c>
      <c r="M249">
        <f>'Modelo Ajustado'!D247</f>
        <v>43</v>
      </c>
      <c r="N249">
        <f>'Modelo Ajustado'!A247</f>
        <v>5200000</v>
      </c>
      <c r="O249">
        <v>8491204.7171967719</v>
      </c>
      <c r="P249">
        <f t="shared" si="28"/>
        <v>-3291204.7171967719</v>
      </c>
      <c r="Q249" s="17">
        <v>2.0250096454598895E-2</v>
      </c>
      <c r="R249">
        <f t="shared" si="29"/>
        <v>-0.67476062740108544</v>
      </c>
      <c r="S249">
        <f t="shared" si="30"/>
        <v>23828771826097.957</v>
      </c>
      <c r="T249">
        <f t="shared" si="31"/>
        <v>-0.68115579030057238</v>
      </c>
      <c r="U249">
        <f t="shared" si="32"/>
        <v>0.49624069612639155</v>
      </c>
      <c r="V249" s="64">
        <f t="shared" si="33"/>
        <v>2.4012430053090908E-3</v>
      </c>
      <c r="W249" s="16">
        <f t="shared" si="34"/>
        <v>-9.7926985591055393E-2</v>
      </c>
      <c r="X249">
        <v>246</v>
      </c>
    </row>
    <row r="250" spans="10:24" x14ac:dyDescent="0.25">
      <c r="J250">
        <f t="shared" si="35"/>
        <v>247</v>
      </c>
      <c r="K250">
        <f>'Modelo Ajustado'!B248</f>
        <v>30000</v>
      </c>
      <c r="L250">
        <f>'Modelo Ajustado'!C248</f>
        <v>4</v>
      </c>
      <c r="M250">
        <f>'Modelo Ajustado'!D248</f>
        <v>15</v>
      </c>
      <c r="N250">
        <f>'Modelo Ajustado'!A248</f>
        <v>930000</v>
      </c>
      <c r="O250">
        <v>4099644.9187744264</v>
      </c>
      <c r="P250">
        <f t="shared" si="28"/>
        <v>-3169644.9187744264</v>
      </c>
      <c r="Q250" s="17">
        <v>1.185533663136489E-2</v>
      </c>
      <c r="R250">
        <f t="shared" si="29"/>
        <v>-0.64983851744492527</v>
      </c>
      <c r="S250">
        <f t="shared" si="30"/>
        <v>23831416848320.02</v>
      </c>
      <c r="T250">
        <f t="shared" si="31"/>
        <v>-0.65316877735885293</v>
      </c>
      <c r="U250">
        <f t="shared" si="32"/>
        <v>0.51409283787444848</v>
      </c>
      <c r="V250" s="64">
        <f t="shared" si="33"/>
        <v>1.28181024597871E-3</v>
      </c>
      <c r="W250" s="16">
        <f t="shared" si="34"/>
        <v>-7.1543815352194354E-2</v>
      </c>
      <c r="X250">
        <v>247</v>
      </c>
    </row>
    <row r="251" spans="10:24" x14ac:dyDescent="0.25">
      <c r="J251">
        <f t="shared" si="35"/>
        <v>248</v>
      </c>
      <c r="K251">
        <f>'Modelo Ajustado'!B249</f>
        <v>33000</v>
      </c>
      <c r="L251">
        <f>'Modelo Ajustado'!C249</f>
        <v>5</v>
      </c>
      <c r="M251">
        <f>'Modelo Ajustado'!D249</f>
        <v>18</v>
      </c>
      <c r="N251">
        <f>'Modelo Ajustado'!A249</f>
        <v>980000</v>
      </c>
      <c r="O251">
        <v>4968982.2121846136</v>
      </c>
      <c r="P251">
        <f t="shared" si="28"/>
        <v>-3988982.2121846136</v>
      </c>
      <c r="Q251" s="17">
        <v>1.636477334269254E-2</v>
      </c>
      <c r="R251">
        <f t="shared" si="29"/>
        <v>-0.81781851068747602</v>
      </c>
      <c r="S251">
        <f t="shared" si="30"/>
        <v>23813531363400.805</v>
      </c>
      <c r="T251">
        <f t="shared" si="31"/>
        <v>-0.82420104633272295</v>
      </c>
      <c r="U251">
        <f t="shared" si="32"/>
        <v>0.41040827506584543</v>
      </c>
      <c r="V251" s="64">
        <f t="shared" si="33"/>
        <v>2.828106295158817E-3</v>
      </c>
      <c r="W251" s="16">
        <f t="shared" si="34"/>
        <v>-0.10630926658349064</v>
      </c>
      <c r="X251">
        <v>248</v>
      </c>
    </row>
    <row r="252" spans="10:24" x14ac:dyDescent="0.25">
      <c r="J252">
        <f t="shared" si="35"/>
        <v>249</v>
      </c>
      <c r="K252">
        <f>'Modelo Ajustado'!B250</f>
        <v>35000</v>
      </c>
      <c r="L252">
        <f>'Modelo Ajustado'!C250</f>
        <v>10</v>
      </c>
      <c r="M252">
        <f>'Modelo Ajustado'!D250</f>
        <v>21</v>
      </c>
      <c r="N252">
        <f>'Modelo Ajustado'!A250</f>
        <v>1500000</v>
      </c>
      <c r="O252">
        <v>5745364.4211092629</v>
      </c>
      <c r="P252">
        <f t="shared" si="28"/>
        <v>-4245364.4211092629</v>
      </c>
      <c r="Q252" s="17">
        <v>1.9958493109782753E-2</v>
      </c>
      <c r="R252">
        <f t="shared" si="29"/>
        <v>-0.87038182260926367</v>
      </c>
      <c r="S252">
        <f t="shared" si="30"/>
        <v>23806943709556.172</v>
      </c>
      <c r="T252">
        <f t="shared" si="31"/>
        <v>-0.87890294294747162</v>
      </c>
      <c r="U252">
        <f t="shared" si="32"/>
        <v>0.38008013792431028</v>
      </c>
      <c r="V252" s="64">
        <f t="shared" si="33"/>
        <v>3.9354866476673861E-3</v>
      </c>
      <c r="W252" s="16">
        <f t="shared" si="34"/>
        <v>-0.12542455192448088</v>
      </c>
      <c r="X252" s="132">
        <v>249</v>
      </c>
    </row>
    <row r="253" spans="10:24" x14ac:dyDescent="0.25">
      <c r="J253">
        <f t="shared" si="35"/>
        <v>250</v>
      </c>
      <c r="K253">
        <f>'Modelo Ajustado'!B251</f>
        <v>28000</v>
      </c>
      <c r="L253">
        <f>'Modelo Ajustado'!C251</f>
        <v>12</v>
      </c>
      <c r="M253">
        <f>'Modelo Ajustado'!D251</f>
        <v>12</v>
      </c>
      <c r="N253">
        <f>'Modelo Ajustado'!A251</f>
        <v>1200000</v>
      </c>
      <c r="O253">
        <v>3645660.7152369074</v>
      </c>
      <c r="P253">
        <f t="shared" si="28"/>
        <v>-2445660.7152369074</v>
      </c>
      <c r="Q253" s="17">
        <v>9.7962335996393257E-3</v>
      </c>
      <c r="R253">
        <f t="shared" si="29"/>
        <v>-0.50140775200061194</v>
      </c>
      <c r="S253">
        <f t="shared" si="30"/>
        <v>23843698855785.063</v>
      </c>
      <c r="T253">
        <f t="shared" si="31"/>
        <v>-0.50332338247200858</v>
      </c>
      <c r="U253">
        <f t="shared" si="32"/>
        <v>0.61506574542595094</v>
      </c>
      <c r="V253" s="64">
        <f t="shared" si="33"/>
        <v>6.2796014591639496E-4</v>
      </c>
      <c r="W253" s="16">
        <f t="shared" si="34"/>
        <v>-5.0062713542740937E-2</v>
      </c>
      <c r="X253">
        <v>250</v>
      </c>
    </row>
    <row r="254" spans="10:24" x14ac:dyDescent="0.25">
      <c r="J254">
        <f t="shared" si="35"/>
        <v>251</v>
      </c>
      <c r="K254">
        <f>'Modelo Ajustado'!B252</f>
        <v>30000</v>
      </c>
      <c r="L254">
        <f>'Modelo Ajustado'!C252</f>
        <v>10</v>
      </c>
      <c r="M254">
        <f>'Modelo Ajustado'!D252</f>
        <v>10</v>
      </c>
      <c r="N254">
        <f>'Modelo Ajustado'!A252</f>
        <v>1300000</v>
      </c>
      <c r="O254">
        <v>3801653.9405731312</v>
      </c>
      <c r="P254">
        <f t="shared" si="28"/>
        <v>-2501653.9405731312</v>
      </c>
      <c r="Q254" s="17">
        <v>1.2366752439873912E-2</v>
      </c>
      <c r="R254">
        <f t="shared" si="29"/>
        <v>-0.51288744624772664</v>
      </c>
      <c r="S254">
        <f t="shared" si="30"/>
        <v>23842817289557.93</v>
      </c>
      <c r="T254">
        <f t="shared" si="31"/>
        <v>-0.51552602740812314</v>
      </c>
      <c r="U254">
        <f t="shared" si="32"/>
        <v>0.60652350577806136</v>
      </c>
      <c r="V254" s="64">
        <f t="shared" si="33"/>
        <v>8.3377412049995834E-4</v>
      </c>
      <c r="W254" s="16">
        <f t="shared" si="34"/>
        <v>-5.7687348684826008E-2</v>
      </c>
      <c r="X254">
        <v>251</v>
      </c>
    </row>
    <row r="255" spans="10:24" x14ac:dyDescent="0.25">
      <c r="J255">
        <f t="shared" si="35"/>
        <v>252</v>
      </c>
      <c r="K255">
        <f>'Modelo Ajustado'!B253</f>
        <v>30000</v>
      </c>
      <c r="L255">
        <f>'Modelo Ajustado'!C253</f>
        <v>8</v>
      </c>
      <c r="M255">
        <f>'Modelo Ajustado'!D253</f>
        <v>8</v>
      </c>
      <c r="N255">
        <f>'Modelo Ajustado'!A253</f>
        <v>1100000</v>
      </c>
      <c r="O255">
        <v>3573338.2243923531</v>
      </c>
      <c r="P255">
        <f t="shared" si="28"/>
        <v>-2473338.2243923531</v>
      </c>
      <c r="Q255" s="17">
        <v>1.2464941747895112E-2</v>
      </c>
      <c r="R255">
        <f t="shared" si="29"/>
        <v>-0.5070821767317889</v>
      </c>
      <c r="S255">
        <f t="shared" si="30"/>
        <v>23843239963751.16</v>
      </c>
      <c r="T255">
        <f t="shared" si="31"/>
        <v>-0.50971171269699644</v>
      </c>
      <c r="U255">
        <f t="shared" si="32"/>
        <v>0.61058707262291811</v>
      </c>
      <c r="V255" s="64">
        <f t="shared" si="33"/>
        <v>8.2164063413246095E-4</v>
      </c>
      <c r="W255" s="16">
        <f t="shared" si="34"/>
        <v>-5.7265555621598678E-2</v>
      </c>
      <c r="X255">
        <v>252</v>
      </c>
    </row>
    <row r="256" spans="10:24" x14ac:dyDescent="0.25">
      <c r="J256">
        <f t="shared" si="35"/>
        <v>253</v>
      </c>
      <c r="K256">
        <f>'Modelo Ajustado'!B254</f>
        <v>18720</v>
      </c>
      <c r="L256">
        <f>'Modelo Ajustado'!C254</f>
        <v>0</v>
      </c>
      <c r="M256">
        <f>'Modelo Ajustado'!D254</f>
        <v>13</v>
      </c>
      <c r="N256">
        <f>'Modelo Ajustado'!A254</f>
        <v>1200000</v>
      </c>
      <c r="O256">
        <v>1654227.0793012786</v>
      </c>
      <c r="P256">
        <f t="shared" si="28"/>
        <v>-454227.07930127857</v>
      </c>
      <c r="Q256" s="17">
        <v>4.4043153710114366E-3</v>
      </c>
      <c r="R256">
        <f t="shared" si="29"/>
        <v>-9.3125337178340248E-2</v>
      </c>
      <c r="S256">
        <f t="shared" si="30"/>
        <v>23861059554676.867</v>
      </c>
      <c r="T256">
        <f t="shared" si="31"/>
        <v>-9.3193721889304693E-2</v>
      </c>
      <c r="U256">
        <f t="shared" si="32"/>
        <v>0.92580504072613357</v>
      </c>
      <c r="V256" s="64">
        <f t="shared" si="33"/>
        <v>9.6335892034175528E-6</v>
      </c>
      <c r="W256" s="16">
        <f t="shared" si="34"/>
        <v>-6.1984679266653079E-3</v>
      </c>
      <c r="X256">
        <v>253</v>
      </c>
    </row>
    <row r="257" spans="10:24" x14ac:dyDescent="0.25">
      <c r="J257">
        <f t="shared" si="35"/>
        <v>254</v>
      </c>
      <c r="K257">
        <f>'Modelo Ajustado'!B255</f>
        <v>20800</v>
      </c>
      <c r="L257">
        <f>'Modelo Ajustado'!C255</f>
        <v>0</v>
      </c>
      <c r="M257">
        <f>'Modelo Ajustado'!D255</f>
        <v>14</v>
      </c>
      <c r="N257">
        <f>'Modelo Ajustado'!A255</f>
        <v>1350000</v>
      </c>
      <c r="O257">
        <v>2143266.3900011084</v>
      </c>
      <c r="P257">
        <f t="shared" si="28"/>
        <v>-793266.3900011084</v>
      </c>
      <c r="Q257" s="17">
        <v>4.5571582099098061E-3</v>
      </c>
      <c r="R257">
        <f t="shared" si="29"/>
        <v>-0.16263495376527198</v>
      </c>
      <c r="S257">
        <f t="shared" si="30"/>
        <v>23859794919509.586</v>
      </c>
      <c r="T257">
        <f t="shared" si="31"/>
        <v>-0.16277118933226153</v>
      </c>
      <c r="U257">
        <f t="shared" si="32"/>
        <v>0.870796152074098</v>
      </c>
      <c r="V257" s="64">
        <f t="shared" si="33"/>
        <v>3.0410897684243998E-5</v>
      </c>
      <c r="W257" s="16">
        <f t="shared" si="34"/>
        <v>-1.1013273535736069E-2</v>
      </c>
      <c r="X257">
        <v>254</v>
      </c>
    </row>
    <row r="258" spans="10:24" x14ac:dyDescent="0.25">
      <c r="J258">
        <f t="shared" si="35"/>
        <v>255</v>
      </c>
      <c r="K258">
        <f>'Modelo Ajustado'!B256</f>
        <v>29120</v>
      </c>
      <c r="L258">
        <f>'Modelo Ajustado'!C256</f>
        <v>15</v>
      </c>
      <c r="M258">
        <f>'Modelo Ajustado'!D256</f>
        <v>15</v>
      </c>
      <c r="N258">
        <f>'Modelo Ajustado'!A256</f>
        <v>1480000</v>
      </c>
      <c r="O258">
        <v>4203347.2967575956</v>
      </c>
      <c r="P258">
        <f t="shared" si="28"/>
        <v>-2723347.2967575956</v>
      </c>
      <c r="Q258" s="17">
        <v>1.1013905331954574E-2</v>
      </c>
      <c r="R258">
        <f t="shared" si="29"/>
        <v>-0.55833887238602298</v>
      </c>
      <c r="S258">
        <f t="shared" si="30"/>
        <v>23839357229713.078</v>
      </c>
      <c r="T258">
        <f t="shared" si="31"/>
        <v>-0.56086800365169753</v>
      </c>
      <c r="U258">
        <f t="shared" si="32"/>
        <v>0.57526023714421815</v>
      </c>
      <c r="V258" s="64">
        <f t="shared" si="33"/>
        <v>8.7760018768398443E-4</v>
      </c>
      <c r="W258" s="16">
        <f t="shared" si="34"/>
        <v>-5.9188351199074493E-2</v>
      </c>
      <c r="X258">
        <v>255</v>
      </c>
    </row>
    <row r="259" spans="10:24" x14ac:dyDescent="0.25">
      <c r="J259">
        <f t="shared" si="35"/>
        <v>256</v>
      </c>
      <c r="K259">
        <f>'Modelo Ajustado'!B257</f>
        <v>22006</v>
      </c>
      <c r="L259">
        <f>'Modelo Ajustado'!C257</f>
        <v>100</v>
      </c>
      <c r="M259">
        <f>'Modelo Ajustado'!D257</f>
        <v>150</v>
      </c>
      <c r="N259">
        <f>'Modelo Ajustado'!A257</f>
        <v>22700000</v>
      </c>
      <c r="O259">
        <v>17007678.905572087</v>
      </c>
      <c r="P259">
        <f t="shared" si="28"/>
        <v>5692321.0944279134</v>
      </c>
      <c r="Q259" s="17">
        <v>1.1699903597599426E-2</v>
      </c>
      <c r="R259">
        <f t="shared" si="29"/>
        <v>1.1670359285082943</v>
      </c>
      <c r="S259">
        <f t="shared" si="30"/>
        <v>23764098605732.531</v>
      </c>
      <c r="T259">
        <f t="shared" si="31"/>
        <v>1.1745845883608543</v>
      </c>
      <c r="U259">
        <f t="shared" si="32"/>
        <v>0.24099025639275096</v>
      </c>
      <c r="V259" s="64">
        <f t="shared" si="33"/>
        <v>4.0786183568489618E-3</v>
      </c>
      <c r="W259" s="16">
        <f t="shared" si="34"/>
        <v>0.12780004919852483</v>
      </c>
      <c r="X259">
        <v>256</v>
      </c>
    </row>
    <row r="260" spans="10:24" x14ac:dyDescent="0.25">
      <c r="J260">
        <f t="shared" si="35"/>
        <v>257</v>
      </c>
      <c r="K260">
        <f>'Modelo Ajustado'!B258</f>
        <v>22027</v>
      </c>
      <c r="L260">
        <f>'Modelo Ajustado'!C258</f>
        <v>60</v>
      </c>
      <c r="M260">
        <f>'Modelo Ajustado'!D258</f>
        <v>178</v>
      </c>
      <c r="N260">
        <f>'Modelo Ajustado'!A258</f>
        <v>30800000</v>
      </c>
      <c r="O260">
        <v>18521744.609348521</v>
      </c>
      <c r="P260">
        <f t="shared" si="28"/>
        <v>12278255.390651479</v>
      </c>
      <c r="Q260" s="17">
        <v>1.6744065156122753E-2</v>
      </c>
      <c r="R260">
        <f t="shared" si="29"/>
        <v>2.5172798481655256</v>
      </c>
      <c r="S260">
        <f t="shared" si="30"/>
        <v>23405358461033.48</v>
      </c>
      <c r="T260">
        <f t="shared" si="31"/>
        <v>2.5594445549502756</v>
      </c>
      <c r="U260">
        <f t="shared" si="32"/>
        <v>1.0919949779729638E-2</v>
      </c>
      <c r="V260" s="135">
        <f t="shared" si="33"/>
        <v>2.7436629541660363E-2</v>
      </c>
      <c r="W260" s="133">
        <f t="shared" si="34"/>
        <v>0.33399724946684095</v>
      </c>
      <c r="X260" s="132">
        <v>257</v>
      </c>
    </row>
    <row r="261" spans="10:24" x14ac:dyDescent="0.25">
      <c r="J261">
        <f t="shared" si="35"/>
        <v>258</v>
      </c>
      <c r="K261">
        <f>'Modelo Ajustado'!B259</f>
        <v>24107</v>
      </c>
      <c r="L261">
        <f>'Modelo Ajustado'!C259</f>
        <v>40</v>
      </c>
      <c r="M261">
        <f>'Modelo Ajustado'!D259</f>
        <v>171</v>
      </c>
      <c r="N261">
        <f>'Modelo Ajustado'!A259</f>
        <v>28400000</v>
      </c>
      <c r="O261">
        <v>17799922.896506347</v>
      </c>
      <c r="P261">
        <f t="shared" ref="P261:P324" si="36">N261-O261</f>
        <v>10600077.103493653</v>
      </c>
      <c r="Q261" s="17">
        <v>1.992237495621656E-2</v>
      </c>
      <c r="R261">
        <f t="shared" ref="R261:R324" si="37">P261/SQRT($Z$6)</f>
        <v>2.1732208390079402</v>
      </c>
      <c r="S261">
        <f t="shared" ref="S261:S324" si="38">($Z$6-P261^2/((1-Q261)*$Z$5))*$Z$5/($Z$5-1)</f>
        <v>23520469039133.32</v>
      </c>
      <c r="T261">
        <f t="shared" ref="T261:T324" si="39">P261/SQRT(S261*(1-Q261))</f>
        <v>2.2077800162575625</v>
      </c>
      <c r="U261">
        <f t="shared" ref="U261:U324" si="40">_xlfn.T.DIST.2T(ABS(T261),$Z$5)</f>
        <v>2.793276479587949E-2</v>
      </c>
      <c r="V261" s="135">
        <f t="shared" ref="V261:V324" si="41">(P261^2/$Z$6)*(Q261/(1-Q261)^2)/($Z$7+1)</f>
        <v>2.4488821804739463E-2</v>
      </c>
      <c r="W261" s="133">
        <f t="shared" ref="W261:W324" si="42">T261*SQRT(Q261/(1-Q261))</f>
        <v>0.31477201601933003</v>
      </c>
      <c r="X261" s="132">
        <v>258</v>
      </c>
    </row>
    <row r="262" spans="10:24" x14ac:dyDescent="0.25">
      <c r="J262">
        <f t="shared" ref="J262:J325" si="43">J261+1</f>
        <v>259</v>
      </c>
      <c r="K262">
        <f>'Modelo Ajustado'!B260</f>
        <v>33280</v>
      </c>
      <c r="L262">
        <f>'Modelo Ajustado'!C260</f>
        <v>0</v>
      </c>
      <c r="M262">
        <f>'Modelo Ajustado'!D260</f>
        <v>80</v>
      </c>
      <c r="N262">
        <f>'Modelo Ajustado'!A260</f>
        <v>10000000</v>
      </c>
      <c r="O262">
        <v>10438982.945528967</v>
      </c>
      <c r="P262">
        <f t="shared" si="36"/>
        <v>-438982.94552896731</v>
      </c>
      <c r="Q262" s="17">
        <v>2.0273104118130512E-2</v>
      </c>
      <c r="R262">
        <f t="shared" si="37"/>
        <v>-8.999999489420793E-2</v>
      </c>
      <c r="S262">
        <f t="shared" si="38"/>
        <v>23861090927745.59</v>
      </c>
      <c r="T262">
        <f t="shared" si="39"/>
        <v>-9.0792502167602637E-2</v>
      </c>
      <c r="U262">
        <f t="shared" si="40"/>
        <v>0.92771140808806052</v>
      </c>
      <c r="V262" s="64">
        <f t="shared" si="41"/>
        <v>4.2769597954786492E-5</v>
      </c>
      <c r="W262" s="16">
        <f t="shared" si="42"/>
        <v>-1.3060433588266203E-2</v>
      </c>
      <c r="X262">
        <v>259</v>
      </c>
    </row>
    <row r="263" spans="10:24" x14ac:dyDescent="0.25">
      <c r="J263">
        <f t="shared" si="43"/>
        <v>260</v>
      </c>
      <c r="K263">
        <f>'Modelo Ajustado'!B261</f>
        <v>32240</v>
      </c>
      <c r="L263">
        <f>'Modelo Ajustado'!C261</f>
        <v>0</v>
      </c>
      <c r="M263">
        <f>'Modelo Ajustado'!D261</f>
        <v>70</v>
      </c>
      <c r="N263">
        <f>'Modelo Ajustado'!A261</f>
        <v>9000000</v>
      </c>
      <c r="O263">
        <v>9345562.1807186473</v>
      </c>
      <c r="P263">
        <f t="shared" si="36"/>
        <v>-345562.18071864732</v>
      </c>
      <c r="Q263" s="17">
        <v>1.7146697750177256E-2</v>
      </c>
      <c r="R263">
        <f t="shared" si="37"/>
        <v>-7.0846931109895178E-2</v>
      </c>
      <c r="S263">
        <f t="shared" si="38"/>
        <v>23861314728734.867</v>
      </c>
      <c r="T263">
        <f t="shared" si="39"/>
        <v>-7.1356685816281379E-2</v>
      </c>
      <c r="U263">
        <f t="shared" si="40"/>
        <v>0.94315620890402885</v>
      </c>
      <c r="V263" s="64">
        <f t="shared" si="41"/>
        <v>2.2273331660378643E-5</v>
      </c>
      <c r="W263" s="16">
        <f t="shared" si="42"/>
        <v>-9.424982805022632E-3</v>
      </c>
      <c r="X263">
        <v>260</v>
      </c>
    </row>
    <row r="264" spans="10:24" x14ac:dyDescent="0.25">
      <c r="J264">
        <f t="shared" si="43"/>
        <v>261</v>
      </c>
      <c r="K264">
        <f>'Modelo Ajustado'!B262</f>
        <v>30784</v>
      </c>
      <c r="L264">
        <f>'Modelo Ajustado'!C262</f>
        <v>60</v>
      </c>
      <c r="M264">
        <f>'Modelo Ajustado'!D262</f>
        <v>65</v>
      </c>
      <c r="N264">
        <f>'Modelo Ajustado'!A262</f>
        <v>9500000</v>
      </c>
      <c r="O264">
        <v>10106986.007777985</v>
      </c>
      <c r="P264">
        <f t="shared" si="36"/>
        <v>-606986.00777798519</v>
      </c>
      <c r="Q264" s="17">
        <v>1.4081015005912582E-2</v>
      </c>
      <c r="R264">
        <f t="shared" si="37"/>
        <v>-0.12444387226717334</v>
      </c>
      <c r="S264">
        <f t="shared" si="38"/>
        <v>23860564140876.867</v>
      </c>
      <c r="T264">
        <f t="shared" si="39"/>
        <v>-0.12514621275876053</v>
      </c>
      <c r="U264">
        <f t="shared" si="40"/>
        <v>0.90048241789966643</v>
      </c>
      <c r="V264" s="64">
        <f t="shared" si="41"/>
        <v>5.6083943578891249E-5</v>
      </c>
      <c r="W264" s="16">
        <f t="shared" si="42"/>
        <v>-1.4955952500502681E-2</v>
      </c>
      <c r="X264">
        <v>261</v>
      </c>
    </row>
    <row r="265" spans="10:24" x14ac:dyDescent="0.25">
      <c r="J265">
        <f t="shared" si="43"/>
        <v>262</v>
      </c>
      <c r="K265">
        <f>'Modelo Ajustado'!B263</f>
        <v>13500</v>
      </c>
      <c r="L265">
        <f>'Modelo Ajustado'!C263</f>
        <v>0</v>
      </c>
      <c r="M265">
        <f>'Modelo Ajustado'!D263</f>
        <v>6</v>
      </c>
      <c r="N265">
        <f>'Modelo Ajustado'!A263</f>
        <v>875000</v>
      </c>
      <c r="O265">
        <v>25674.661286869086</v>
      </c>
      <c r="P265">
        <f t="shared" si="36"/>
        <v>849325.33871313091</v>
      </c>
      <c r="Q265" s="17">
        <v>6.7681299428201964E-3</v>
      </c>
      <c r="R265">
        <f t="shared" si="37"/>
        <v>0.17412812257568483</v>
      </c>
      <c r="S265">
        <f t="shared" si="38"/>
        <v>23859514810491.402</v>
      </c>
      <c r="T265">
        <f t="shared" si="39"/>
        <v>0.17446887224103413</v>
      </c>
      <c r="U265">
        <f t="shared" si="40"/>
        <v>0.86160175675455331</v>
      </c>
      <c r="V265" s="64">
        <f t="shared" si="41"/>
        <v>5.2005016579203845E-5</v>
      </c>
      <c r="W265" s="16">
        <f t="shared" si="42"/>
        <v>1.4402138223815864E-2</v>
      </c>
      <c r="X265">
        <v>262</v>
      </c>
    </row>
    <row r="266" spans="10:24" x14ac:dyDescent="0.25">
      <c r="J266">
        <f t="shared" si="43"/>
        <v>263</v>
      </c>
      <c r="K266">
        <f>'Modelo Ajustado'!B264</f>
        <v>14100</v>
      </c>
      <c r="L266">
        <f>'Modelo Ajustado'!C264</f>
        <v>2</v>
      </c>
      <c r="M266">
        <f>'Modelo Ajustado'!D264</f>
        <v>8</v>
      </c>
      <c r="N266">
        <f>'Modelo Ajustado'!A264</f>
        <v>15900000</v>
      </c>
      <c r="O266">
        <v>369283.05992274778</v>
      </c>
      <c r="P266">
        <f t="shared" si="36"/>
        <v>15530716.940077253</v>
      </c>
      <c r="Q266" s="17">
        <v>6.2458016884290373E-3</v>
      </c>
      <c r="R266">
        <f t="shared" si="37"/>
        <v>3.1840973767809087</v>
      </c>
      <c r="S266">
        <f t="shared" si="38"/>
        <v>23139297919717.195</v>
      </c>
      <c r="T266" s="132">
        <f t="shared" si="39"/>
        <v>3.2387462813429782</v>
      </c>
      <c r="U266">
        <f t="shared" si="40"/>
        <v>1.3200588343289718E-3</v>
      </c>
      <c r="V266" s="135">
        <f t="shared" si="41"/>
        <v>1.6030347188001504E-2</v>
      </c>
      <c r="W266" s="133">
        <f t="shared" si="42"/>
        <v>0.25676246388343171</v>
      </c>
      <c r="X266" s="132">
        <v>263</v>
      </c>
    </row>
    <row r="267" spans="10:24" x14ac:dyDescent="0.25">
      <c r="J267">
        <f t="shared" si="43"/>
        <v>264</v>
      </c>
      <c r="K267">
        <f>'Modelo Ajustado'!B265</f>
        <v>15050</v>
      </c>
      <c r="L267">
        <f>'Modelo Ajustado'!C265</f>
        <v>11</v>
      </c>
      <c r="M267">
        <f>'Modelo Ajustado'!D265</f>
        <v>11</v>
      </c>
      <c r="N267">
        <f>'Modelo Ajustado'!A265</f>
        <v>2250000</v>
      </c>
      <c r="O267">
        <v>1043102.4608239359</v>
      </c>
      <c r="P267">
        <f t="shared" si="36"/>
        <v>1206897.5391760641</v>
      </c>
      <c r="Q267" s="17">
        <v>5.791629939453472E-3</v>
      </c>
      <c r="R267">
        <f t="shared" si="37"/>
        <v>0.24743734003787235</v>
      </c>
      <c r="S267">
        <f t="shared" si="38"/>
        <v>23857315947701.973</v>
      </c>
      <c r="T267">
        <f t="shared" si="39"/>
        <v>0.24781118430484461</v>
      </c>
      <c r="U267">
        <f t="shared" si="40"/>
        <v>0.80443142212552965</v>
      </c>
      <c r="V267" s="64">
        <f t="shared" si="41"/>
        <v>8.9684307633272471E-5</v>
      </c>
      <c r="W267" s="16">
        <f t="shared" si="42"/>
        <v>1.8913965735699981E-2</v>
      </c>
      <c r="X267">
        <v>264</v>
      </c>
    </row>
    <row r="268" spans="10:24" x14ac:dyDescent="0.25">
      <c r="J268">
        <f t="shared" si="43"/>
        <v>265</v>
      </c>
      <c r="K268">
        <f>'Modelo Ajustado'!B266</f>
        <v>22360</v>
      </c>
      <c r="L268">
        <f>'Modelo Ajustado'!C266</f>
        <v>4</v>
      </c>
      <c r="M268">
        <f>'Modelo Ajustado'!D266</f>
        <v>262</v>
      </c>
      <c r="N268">
        <f>'Modelo Ajustado'!A266</f>
        <v>18100000</v>
      </c>
      <c r="O268">
        <v>24703013.608150043</v>
      </c>
      <c r="P268">
        <f t="shared" si="36"/>
        <v>-6603013.6081500426</v>
      </c>
      <c r="Q268" s="134">
        <v>7.9082908298276855E-2</v>
      </c>
      <c r="R268">
        <f t="shared" si="37"/>
        <v>-1.3537455089600399</v>
      </c>
      <c r="S268">
        <f t="shared" si="38"/>
        <v>23720771919262.773</v>
      </c>
      <c r="T268">
        <f t="shared" si="39"/>
        <v>-1.4127571593048998</v>
      </c>
      <c r="U268">
        <f t="shared" si="40"/>
        <v>0.15865000041476238</v>
      </c>
      <c r="V268" s="135">
        <f t="shared" si="41"/>
        <v>4.2722399030354012E-2</v>
      </c>
      <c r="W268" s="16">
        <f t="shared" si="42"/>
        <v>-0.41399830810332494</v>
      </c>
      <c r="X268" s="132">
        <v>265</v>
      </c>
    </row>
    <row r="269" spans="10:24" x14ac:dyDescent="0.25">
      <c r="J269">
        <f t="shared" si="43"/>
        <v>266</v>
      </c>
      <c r="K269">
        <f>'Modelo Ajustado'!B267</f>
        <v>23026</v>
      </c>
      <c r="L269">
        <f>'Modelo Ajustado'!C267</f>
        <v>3</v>
      </c>
      <c r="M269">
        <f>'Modelo Ajustado'!D267</f>
        <v>264</v>
      </c>
      <c r="N269">
        <f>'Modelo Ajustado'!A267</f>
        <v>19300000</v>
      </c>
      <c r="O269">
        <v>24984904.662151258</v>
      </c>
      <c r="P269">
        <f t="shared" si="36"/>
        <v>-5684904.6621512584</v>
      </c>
      <c r="Q269" s="134">
        <v>8.1517089088530476E-2</v>
      </c>
      <c r="R269">
        <f t="shared" si="37"/>
        <v>-1.1655154164386787</v>
      </c>
      <c r="S269">
        <f t="shared" si="38"/>
        <v>23756954786926.555</v>
      </c>
      <c r="T269">
        <f t="shared" si="39"/>
        <v>-1.2170047129370178</v>
      </c>
      <c r="U269">
        <f t="shared" si="40"/>
        <v>0.22445399805525387</v>
      </c>
      <c r="V269" s="135">
        <f t="shared" si="41"/>
        <v>3.281576671827071E-2</v>
      </c>
      <c r="W269" s="16">
        <f t="shared" si="42"/>
        <v>-0.36256097107041607</v>
      </c>
      <c r="X269" s="132">
        <v>266</v>
      </c>
    </row>
    <row r="270" spans="10:24" x14ac:dyDescent="0.25">
      <c r="J270">
        <f t="shared" si="43"/>
        <v>267</v>
      </c>
      <c r="K270">
        <f>'Modelo Ajustado'!B268</f>
        <v>21736</v>
      </c>
      <c r="L270">
        <f>'Modelo Ajustado'!C268</f>
        <v>302</v>
      </c>
      <c r="M270">
        <f>'Modelo Ajustado'!D268</f>
        <v>302</v>
      </c>
      <c r="N270">
        <f>'Modelo Ajustado'!A268</f>
        <v>22200000</v>
      </c>
      <c r="O270">
        <v>35547783.956618465</v>
      </c>
      <c r="P270">
        <f t="shared" si="36"/>
        <v>-13347783.956618465</v>
      </c>
      <c r="Q270" s="134">
        <v>0.10443199204110702</v>
      </c>
      <c r="R270">
        <f t="shared" si="37"/>
        <v>-2.7365538916258005</v>
      </c>
      <c r="S270">
        <f t="shared" si="38"/>
        <v>23269596192200.641</v>
      </c>
      <c r="T270">
        <f t="shared" si="39"/>
        <v>-2.9239198236652961</v>
      </c>
      <c r="U270">
        <f t="shared" si="40"/>
        <v>3.6904520507225541E-3</v>
      </c>
      <c r="V270" s="135">
        <f t="shared" si="41"/>
        <v>0.24377234735554698</v>
      </c>
      <c r="W270" s="16">
        <f t="shared" si="42"/>
        <v>-0.99846525182940082</v>
      </c>
      <c r="X270" s="132">
        <v>267</v>
      </c>
    </row>
    <row r="271" spans="10:24" x14ac:dyDescent="0.25">
      <c r="J271">
        <f t="shared" si="43"/>
        <v>268</v>
      </c>
      <c r="K271">
        <f>'Modelo Ajustado'!B269</f>
        <v>24960</v>
      </c>
      <c r="L271">
        <f>'Modelo Ajustado'!C269</f>
        <v>6</v>
      </c>
      <c r="M271">
        <f>'Modelo Ajustado'!D269</f>
        <v>6</v>
      </c>
      <c r="N271">
        <f>'Modelo Ajustado'!A269</f>
        <v>600000</v>
      </c>
      <c r="O271">
        <v>2376563.9755887329</v>
      </c>
      <c r="P271">
        <f t="shared" si="36"/>
        <v>-1776563.9755887329</v>
      </c>
      <c r="Q271" s="17">
        <v>7.2672255338259804E-3</v>
      </c>
      <c r="R271">
        <f t="shared" si="37"/>
        <v>-0.36422997831852888</v>
      </c>
      <c r="S271">
        <f t="shared" si="38"/>
        <v>23852214170252.836</v>
      </c>
      <c r="T271">
        <f t="shared" si="39"/>
        <v>-0.36509032255158952</v>
      </c>
      <c r="U271">
        <f t="shared" si="40"/>
        <v>0.71527300185724807</v>
      </c>
      <c r="V271" s="64">
        <f t="shared" si="41"/>
        <v>2.4456556211787251E-4</v>
      </c>
      <c r="W271" s="16">
        <f t="shared" si="42"/>
        <v>-3.1236938349681519E-2</v>
      </c>
      <c r="X271">
        <v>268</v>
      </c>
    </row>
    <row r="272" spans="10:24" x14ac:dyDescent="0.25">
      <c r="J272">
        <f t="shared" si="43"/>
        <v>269</v>
      </c>
      <c r="K272">
        <f>'Modelo Ajustado'!B270</f>
        <v>28080</v>
      </c>
      <c r="L272">
        <f>'Modelo Ajustado'!C270</f>
        <v>9</v>
      </c>
      <c r="M272">
        <f>'Modelo Ajustado'!D270</f>
        <v>9</v>
      </c>
      <c r="N272">
        <f>'Modelo Ajustado'!A270</f>
        <v>750000</v>
      </c>
      <c r="O272">
        <v>3318559.4986264198</v>
      </c>
      <c r="P272">
        <f t="shared" si="36"/>
        <v>-2568559.4986264198</v>
      </c>
      <c r="Q272" s="17">
        <v>1.0021091756632763E-2</v>
      </c>
      <c r="R272">
        <f t="shared" si="37"/>
        <v>-0.52660437977445929</v>
      </c>
      <c r="S272">
        <f t="shared" si="38"/>
        <v>23841842154961.453</v>
      </c>
      <c r="T272">
        <f t="shared" si="39"/>
        <v>-0.5286968892285866</v>
      </c>
      <c r="U272">
        <f t="shared" si="40"/>
        <v>0.59736375354969629</v>
      </c>
      <c r="V272" s="64">
        <f t="shared" si="41"/>
        <v>7.088789775221262E-4</v>
      </c>
      <c r="W272" s="16">
        <f t="shared" si="42"/>
        <v>-5.3192610381592419E-2</v>
      </c>
      <c r="X272">
        <v>269</v>
      </c>
    </row>
    <row r="273" spans="10:24" x14ac:dyDescent="0.25">
      <c r="J273">
        <f t="shared" si="43"/>
        <v>270</v>
      </c>
      <c r="K273">
        <f>'Modelo Ajustado'!B271</f>
        <v>30160</v>
      </c>
      <c r="L273">
        <f>'Modelo Ajustado'!C271</f>
        <v>12</v>
      </c>
      <c r="M273">
        <f>'Modelo Ajustado'!D271</f>
        <v>12</v>
      </c>
      <c r="N273">
        <f>'Modelo Ajustado'!A271</f>
        <v>1000000</v>
      </c>
      <c r="O273">
        <v>4060714.3720752695</v>
      </c>
      <c r="P273">
        <f t="shared" si="36"/>
        <v>-3060714.3720752695</v>
      </c>
      <c r="Q273" s="17">
        <v>1.2499229020697162E-2</v>
      </c>
      <c r="R273">
        <f t="shared" si="37"/>
        <v>-0.62750564837427369</v>
      </c>
      <c r="S273">
        <f t="shared" si="38"/>
        <v>23833442554607.945</v>
      </c>
      <c r="T273">
        <f t="shared" si="39"/>
        <v>-0.63090023981654753</v>
      </c>
      <c r="U273">
        <f t="shared" si="40"/>
        <v>0.52853338610499456</v>
      </c>
      <c r="V273" s="64">
        <f t="shared" si="41"/>
        <v>1.2617799623684846E-3</v>
      </c>
      <c r="W273" s="16">
        <f t="shared" si="42"/>
        <v>-7.0979605888240621E-2</v>
      </c>
      <c r="X273">
        <v>270</v>
      </c>
    </row>
    <row r="274" spans="10:24" x14ac:dyDescent="0.25">
      <c r="J274">
        <f t="shared" si="43"/>
        <v>271</v>
      </c>
      <c r="K274">
        <f>'Modelo Ajustado'!B272</f>
        <v>21133</v>
      </c>
      <c r="L274">
        <f>'Modelo Ajustado'!C272</f>
        <v>60</v>
      </c>
      <c r="M274">
        <f>'Modelo Ajustado'!D272</f>
        <v>60</v>
      </c>
      <c r="N274">
        <f>'Modelo Ajustado'!A272</f>
        <v>5845000</v>
      </c>
      <c r="O274">
        <v>7805713.1528769564</v>
      </c>
      <c r="P274">
        <f t="shared" si="36"/>
        <v>-1960713.1528769564</v>
      </c>
      <c r="Q274" s="17">
        <v>6.143027658715489E-3</v>
      </c>
      <c r="R274">
        <f t="shared" si="37"/>
        <v>-0.40198412158198071</v>
      </c>
      <c r="S274">
        <f t="shared" si="38"/>
        <v>23850163949607.258</v>
      </c>
      <c r="T274">
        <f t="shared" si="39"/>
        <v>-0.4027229999752811</v>
      </c>
      <c r="U274">
        <f t="shared" si="40"/>
        <v>0.68740735815333043</v>
      </c>
      <c r="V274" s="64">
        <f t="shared" si="41"/>
        <v>2.5124214883999701E-4</v>
      </c>
      <c r="W274" s="16">
        <f t="shared" si="42"/>
        <v>-3.1661808973147472E-2</v>
      </c>
      <c r="X274">
        <v>271</v>
      </c>
    </row>
    <row r="275" spans="10:24" x14ac:dyDescent="0.25">
      <c r="J275">
        <f t="shared" si="43"/>
        <v>272</v>
      </c>
      <c r="K275">
        <f>'Modelo Ajustado'!B273</f>
        <v>20904</v>
      </c>
      <c r="L275">
        <f>'Modelo Ajustado'!C273</f>
        <v>71</v>
      </c>
      <c r="M275">
        <f>'Modelo Ajustado'!D273</f>
        <v>71</v>
      </c>
      <c r="N275">
        <f>'Modelo Ajustado'!A273</f>
        <v>6927000</v>
      </c>
      <c r="O275">
        <v>9017446.218067538</v>
      </c>
      <c r="P275">
        <f t="shared" si="36"/>
        <v>-2090446.218067538</v>
      </c>
      <c r="Q275" s="17">
        <v>7.1926151026956743E-3</v>
      </c>
      <c r="R275">
        <f t="shared" si="37"/>
        <v>-0.42858190931765899</v>
      </c>
      <c r="S275">
        <f t="shared" si="38"/>
        <v>23848576252253.195</v>
      </c>
      <c r="T275">
        <f t="shared" si="39"/>
        <v>-0.42961087931150765</v>
      </c>
      <c r="U275">
        <f t="shared" si="40"/>
        <v>0.66775326985078876</v>
      </c>
      <c r="V275" s="64">
        <f t="shared" si="41"/>
        <v>3.3509234127550308E-4</v>
      </c>
      <c r="W275" s="16">
        <f t="shared" si="42"/>
        <v>-3.6566734758246677E-2</v>
      </c>
      <c r="X275">
        <v>272</v>
      </c>
    </row>
    <row r="276" spans="10:24" x14ac:dyDescent="0.25">
      <c r="J276">
        <f t="shared" si="43"/>
        <v>273</v>
      </c>
      <c r="K276">
        <f>'Modelo Ajustado'!B274</f>
        <v>21445</v>
      </c>
      <c r="L276">
        <f>'Modelo Ajustado'!C274</f>
        <v>97</v>
      </c>
      <c r="M276">
        <f>'Modelo Ajustado'!D274</f>
        <v>97</v>
      </c>
      <c r="N276">
        <f>'Modelo Ajustado'!A274</f>
        <v>11000000</v>
      </c>
      <c r="O276">
        <v>12089506.097097998</v>
      </c>
      <c r="P276">
        <f t="shared" si="36"/>
        <v>-1089506.0970979985</v>
      </c>
      <c r="Q276" s="17">
        <v>1.1219763595476091E-2</v>
      </c>
      <c r="R276">
        <f t="shared" si="37"/>
        <v>-0.22336982375903677</v>
      </c>
      <c r="S276">
        <f t="shared" si="38"/>
        <v>23858103430233.156</v>
      </c>
      <c r="T276">
        <f t="shared" si="39"/>
        <v>-0.22431680877407678</v>
      </c>
      <c r="U276">
        <f t="shared" si="40"/>
        <v>0.82264673523822729</v>
      </c>
      <c r="V276" s="64">
        <f t="shared" si="41"/>
        <v>1.4314400483798716E-4</v>
      </c>
      <c r="W276" s="16">
        <f t="shared" si="42"/>
        <v>-2.3894821049695158E-2</v>
      </c>
      <c r="X276">
        <v>273</v>
      </c>
    </row>
    <row r="277" spans="10:24" x14ac:dyDescent="0.25">
      <c r="J277">
        <f t="shared" si="43"/>
        <v>274</v>
      </c>
      <c r="K277">
        <f>'Modelo Ajustado'!B275</f>
        <v>40563</v>
      </c>
      <c r="L277">
        <f>'Modelo Ajustado'!C275</f>
        <v>0</v>
      </c>
      <c r="M277">
        <f>'Modelo Ajustado'!D275</f>
        <v>57</v>
      </c>
      <c r="N277">
        <f>'Modelo Ajustado'!A275</f>
        <v>8486927</v>
      </c>
      <c r="O277">
        <v>9783209.6910537221</v>
      </c>
      <c r="P277">
        <f t="shared" si="36"/>
        <v>-1296282.6910537221</v>
      </c>
      <c r="Q277" s="134">
        <v>3.4191592161457236E-2</v>
      </c>
      <c r="R277">
        <f t="shared" si="37"/>
        <v>-0.26576302511184152</v>
      </c>
      <c r="S277">
        <f t="shared" si="38"/>
        <v>23856498240299.469</v>
      </c>
      <c r="T277">
        <f t="shared" si="39"/>
        <v>-0.27005416699596235</v>
      </c>
      <c r="U277">
        <f t="shared" si="40"/>
        <v>0.78728387886360229</v>
      </c>
      <c r="V277" s="64">
        <f t="shared" si="41"/>
        <v>6.4724169534655215E-4</v>
      </c>
      <c r="W277" s="16">
        <f t="shared" si="42"/>
        <v>-5.0811855492920395E-2</v>
      </c>
      <c r="X277" s="132">
        <v>274</v>
      </c>
    </row>
    <row r="278" spans="10:24" x14ac:dyDescent="0.25">
      <c r="J278">
        <f t="shared" si="43"/>
        <v>275</v>
      </c>
      <c r="K278">
        <f>'Modelo Ajustado'!B276</f>
        <v>37429</v>
      </c>
      <c r="L278">
        <f>'Modelo Ajustado'!C276</f>
        <v>10</v>
      </c>
      <c r="M278">
        <f>'Modelo Ajustado'!D276</f>
        <v>53</v>
      </c>
      <c r="N278">
        <f>'Modelo Ajustado'!A276</f>
        <v>4327519</v>
      </c>
      <c r="O278">
        <v>9071563.9992903974</v>
      </c>
      <c r="P278">
        <f t="shared" si="36"/>
        <v>-4744044.9992903974</v>
      </c>
      <c r="Q278" s="134">
        <v>2.4947558422476264E-2</v>
      </c>
      <c r="R278">
        <f t="shared" si="37"/>
        <v>-0.97262098690313292</v>
      </c>
      <c r="S278">
        <f t="shared" si="38"/>
        <v>23792980499683.305</v>
      </c>
      <c r="T278">
        <f t="shared" si="39"/>
        <v>-0.98494139077876897</v>
      </c>
      <c r="U278">
        <f t="shared" si="40"/>
        <v>0.32535946313613928</v>
      </c>
      <c r="V278" s="64">
        <f t="shared" si="41"/>
        <v>6.2058229555055902E-3</v>
      </c>
      <c r="W278" s="16">
        <f t="shared" si="42"/>
        <v>-0.15754710439214173</v>
      </c>
      <c r="X278" s="132">
        <v>275</v>
      </c>
    </row>
    <row r="279" spans="10:24" x14ac:dyDescent="0.25">
      <c r="J279">
        <f t="shared" si="43"/>
        <v>276</v>
      </c>
      <c r="K279">
        <f>'Modelo Ajustado'!B277</f>
        <v>42583</v>
      </c>
      <c r="L279">
        <f>'Modelo Ajustado'!C277</f>
        <v>5</v>
      </c>
      <c r="M279">
        <f>'Modelo Ajustado'!D277</f>
        <v>62</v>
      </c>
      <c r="N279">
        <f>'Modelo Ajustado'!A277</f>
        <v>8533205</v>
      </c>
      <c r="O279">
        <v>10742151.012437839</v>
      </c>
      <c r="P279">
        <f t="shared" si="36"/>
        <v>-2208946.0124378391</v>
      </c>
      <c r="Q279" s="134">
        <v>3.9647924099299681E-2</v>
      </c>
      <c r="R279">
        <f t="shared" si="37"/>
        <v>-0.4528766592547907</v>
      </c>
      <c r="S279">
        <f t="shared" si="38"/>
        <v>23846554631381.324</v>
      </c>
      <c r="T279">
        <f t="shared" si="39"/>
        <v>-0.46159069083163579</v>
      </c>
      <c r="U279">
        <f t="shared" si="40"/>
        <v>0.64467267639577952</v>
      </c>
      <c r="V279" s="64">
        <f t="shared" si="41"/>
        <v>2.2042425389114969E-3</v>
      </c>
      <c r="W279" s="16">
        <f t="shared" si="42"/>
        <v>-9.3789026592015962E-2</v>
      </c>
      <c r="X279" s="132">
        <v>276</v>
      </c>
    </row>
    <row r="280" spans="10:24" x14ac:dyDescent="0.25">
      <c r="J280">
        <f t="shared" si="43"/>
        <v>277</v>
      </c>
      <c r="K280">
        <f>'Modelo Ajustado'!B278</f>
        <v>15000</v>
      </c>
      <c r="L280">
        <f>'Modelo Ajustado'!C278</f>
        <v>0</v>
      </c>
      <c r="M280">
        <f>'Modelo Ajustado'!D278</f>
        <v>40</v>
      </c>
      <c r="N280">
        <f>'Modelo Ajustado'!A278</f>
        <v>8000000</v>
      </c>
      <c r="O280">
        <v>3352078.7591776536</v>
      </c>
      <c r="P280">
        <f t="shared" si="36"/>
        <v>4647921.2408223469</v>
      </c>
      <c r="Q280" s="17">
        <v>4.7115195201923501E-3</v>
      </c>
      <c r="R280">
        <f t="shared" si="37"/>
        <v>0.95291375713612647</v>
      </c>
      <c r="S280">
        <f t="shared" si="38"/>
        <v>23797076809184.551</v>
      </c>
      <c r="T280">
        <f t="shared" si="39"/>
        <v>0.95504198752081892</v>
      </c>
      <c r="U280">
        <f t="shared" si="40"/>
        <v>0.34024102340876472</v>
      </c>
      <c r="V280" s="64">
        <f t="shared" si="41"/>
        <v>1.0797177526539823E-3</v>
      </c>
      <c r="W280" s="16">
        <f t="shared" si="42"/>
        <v>6.5709547117511535E-2</v>
      </c>
      <c r="X280">
        <v>277</v>
      </c>
    </row>
    <row r="281" spans="10:24" x14ac:dyDescent="0.25">
      <c r="J281">
        <f t="shared" si="43"/>
        <v>278</v>
      </c>
      <c r="K281">
        <f>'Modelo Ajustado'!B279</f>
        <v>15500</v>
      </c>
      <c r="L281">
        <f>'Modelo Ajustado'!C279</f>
        <v>0</v>
      </c>
      <c r="M281">
        <f>'Modelo Ajustado'!D279</f>
        <v>40</v>
      </c>
      <c r="N281">
        <f>'Modelo Ajustado'!A279</f>
        <v>8500000</v>
      </c>
      <c r="O281">
        <v>3448155.9945569034</v>
      </c>
      <c r="P281">
        <f t="shared" si="36"/>
        <v>5051844.0054430962</v>
      </c>
      <c r="Q281" s="17">
        <v>4.4906016664854912E-3</v>
      </c>
      <c r="R281">
        <f t="shared" si="37"/>
        <v>1.0357257367899533</v>
      </c>
      <c r="S281">
        <f t="shared" si="38"/>
        <v>23785377962192.43</v>
      </c>
      <c r="T281">
        <f t="shared" si="39"/>
        <v>1.0381789547592832</v>
      </c>
      <c r="U281">
        <f t="shared" si="40"/>
        <v>0.29993105980602186</v>
      </c>
      <c r="V281" s="64">
        <f t="shared" si="41"/>
        <v>1.2151876562247585E-3</v>
      </c>
      <c r="W281" s="16">
        <f t="shared" si="42"/>
        <v>6.9727132484833559E-2</v>
      </c>
      <c r="X281">
        <v>278</v>
      </c>
    </row>
    <row r="282" spans="10:24" x14ac:dyDescent="0.25">
      <c r="J282">
        <f t="shared" si="43"/>
        <v>279</v>
      </c>
      <c r="K282">
        <f>'Modelo Ajustado'!B280</f>
        <v>17000</v>
      </c>
      <c r="L282">
        <f>'Modelo Ajustado'!C280</f>
        <v>0</v>
      </c>
      <c r="M282">
        <f>'Modelo Ajustado'!D280</f>
        <v>60</v>
      </c>
      <c r="N282">
        <f>'Modelo Ajustado'!A280</f>
        <v>10000000</v>
      </c>
      <c r="O282">
        <v>5523547.9311376158</v>
      </c>
      <c r="P282">
        <f t="shared" si="36"/>
        <v>4476452.0688623842</v>
      </c>
      <c r="Q282" s="17">
        <v>4.9419264146092602E-3</v>
      </c>
      <c r="R282">
        <f t="shared" si="37"/>
        <v>0.91775926022892862</v>
      </c>
      <c r="S282">
        <f t="shared" si="38"/>
        <v>23801741371984.563</v>
      </c>
      <c r="T282">
        <f t="shared" si="39"/>
        <v>0.91982531714713922</v>
      </c>
      <c r="U282">
        <f t="shared" si="40"/>
        <v>0.35832197931504439</v>
      </c>
      <c r="V282" s="64">
        <f t="shared" si="41"/>
        <v>1.0509861141155892E-3</v>
      </c>
      <c r="W282" s="16">
        <f t="shared" si="42"/>
        <v>6.4823023277206626E-2</v>
      </c>
      <c r="X282">
        <v>279</v>
      </c>
    </row>
    <row r="283" spans="10:24" x14ac:dyDescent="0.25">
      <c r="J283">
        <f t="shared" si="43"/>
        <v>280</v>
      </c>
      <c r="K283">
        <f>'Modelo Ajustado'!B281</f>
        <v>15000</v>
      </c>
      <c r="L283">
        <f>'Modelo Ajustado'!C281</f>
        <v>5</v>
      </c>
      <c r="M283">
        <f>'Modelo Ajustado'!D281</f>
        <v>100</v>
      </c>
      <c r="N283">
        <f>'Modelo Ajustado'!A281</f>
        <v>10000000</v>
      </c>
      <c r="O283">
        <v>8837558.6833477411</v>
      </c>
      <c r="P283">
        <f t="shared" si="36"/>
        <v>1162441.3166522589</v>
      </c>
      <c r="Q283" s="17">
        <v>9.7986096321978581E-3</v>
      </c>
      <c r="R283">
        <f t="shared" si="37"/>
        <v>0.23832295452265143</v>
      </c>
      <c r="S283">
        <f t="shared" si="38"/>
        <v>23857614892666.949</v>
      </c>
      <c r="T283">
        <f t="shared" si="39"/>
        <v>0.23916397326895608</v>
      </c>
      <c r="U283">
        <f t="shared" si="40"/>
        <v>0.81112382021852403</v>
      </c>
      <c r="V283" s="64">
        <f t="shared" si="41"/>
        <v>1.4190220687058041E-4</v>
      </c>
      <c r="W283" s="16">
        <f t="shared" si="42"/>
        <v>2.3791193101743248E-2</v>
      </c>
      <c r="X283">
        <v>280</v>
      </c>
    </row>
    <row r="284" spans="10:24" x14ac:dyDescent="0.25">
      <c r="J284">
        <f t="shared" si="43"/>
        <v>281</v>
      </c>
      <c r="K284">
        <f>'Modelo Ajustado'!B282</f>
        <v>16000</v>
      </c>
      <c r="L284">
        <f>'Modelo Ajustado'!C282</f>
        <v>21</v>
      </c>
      <c r="M284">
        <f>'Modelo Ajustado'!D282</f>
        <v>125</v>
      </c>
      <c r="N284">
        <f>'Modelo Ajustado'!A282</f>
        <v>12000000</v>
      </c>
      <c r="O284">
        <v>11660460.987251798</v>
      </c>
      <c r="P284">
        <f t="shared" si="36"/>
        <v>339539.01274820231</v>
      </c>
      <c r="Q284" s="17">
        <v>1.0868198487321993E-2</v>
      </c>
      <c r="R284">
        <f t="shared" si="37"/>
        <v>6.96120651723727E-2</v>
      </c>
      <c r="S284">
        <f t="shared" si="38"/>
        <v>23861329440094.508</v>
      </c>
      <c r="T284">
        <f t="shared" si="39"/>
        <v>6.9890038644034119E-2</v>
      </c>
      <c r="U284">
        <f t="shared" si="40"/>
        <v>0.94432263501565772</v>
      </c>
      <c r="V284" s="64">
        <f t="shared" si="41"/>
        <v>1.3457310598640708E-5</v>
      </c>
      <c r="W284" s="16">
        <f t="shared" si="42"/>
        <v>7.3260010871065723E-3</v>
      </c>
      <c r="X284">
        <v>281</v>
      </c>
    </row>
    <row r="285" spans="10:24" x14ac:dyDescent="0.25">
      <c r="J285">
        <f t="shared" si="43"/>
        <v>282</v>
      </c>
      <c r="K285">
        <f>'Modelo Ajustado'!B283</f>
        <v>18700</v>
      </c>
      <c r="L285">
        <f>'Modelo Ajustado'!C283</f>
        <v>290</v>
      </c>
      <c r="M285">
        <f>'Modelo Ajustado'!D283</f>
        <v>290</v>
      </c>
      <c r="N285">
        <f>'Modelo Ajustado'!A283</f>
        <v>48000000</v>
      </c>
      <c r="O285">
        <v>33594508.686310984</v>
      </c>
      <c r="P285">
        <f t="shared" si="36"/>
        <v>14405491.313689016</v>
      </c>
      <c r="Q285" s="134">
        <v>9.5515207924408638E-2</v>
      </c>
      <c r="R285">
        <f t="shared" si="37"/>
        <v>2.9534043586096805</v>
      </c>
      <c r="S285">
        <f t="shared" si="38"/>
        <v>23178841593055.988</v>
      </c>
      <c r="T285" s="132">
        <f t="shared" si="39"/>
        <v>3.1461655887675004</v>
      </c>
      <c r="U285">
        <f t="shared" si="40"/>
        <v>1.8016880639996023E-3</v>
      </c>
      <c r="V285" s="135">
        <f t="shared" si="41"/>
        <v>0.25459848726685624</v>
      </c>
      <c r="W285" s="133">
        <f t="shared" si="42"/>
        <v>1.0223914403201979</v>
      </c>
      <c r="X285" s="132">
        <v>282</v>
      </c>
    </row>
    <row r="286" spans="10:24" x14ac:dyDescent="0.25">
      <c r="J286">
        <f t="shared" si="43"/>
        <v>283</v>
      </c>
      <c r="K286">
        <f>'Modelo Ajustado'!B284</f>
        <v>17000</v>
      </c>
      <c r="L286">
        <f>'Modelo Ajustado'!C284</f>
        <v>0</v>
      </c>
      <c r="M286">
        <f>'Modelo Ajustado'!D284</f>
        <v>9</v>
      </c>
      <c r="N286">
        <f>'Modelo Ajustado'!A284</f>
        <v>1000000</v>
      </c>
      <c r="O286">
        <v>966289.34350806521</v>
      </c>
      <c r="P286">
        <f t="shared" si="36"/>
        <v>33710.656491934787</v>
      </c>
      <c r="Q286" s="17">
        <v>4.9103237116975423E-3</v>
      </c>
      <c r="R286">
        <f t="shared" si="37"/>
        <v>6.9113366317651755E-3</v>
      </c>
      <c r="S286">
        <f t="shared" si="38"/>
        <v>23861672926556.91</v>
      </c>
      <c r="T286">
        <f t="shared" si="39"/>
        <v>6.9180812072381385E-3</v>
      </c>
      <c r="U286">
        <f t="shared" si="40"/>
        <v>0.99448430724668568</v>
      </c>
      <c r="V286" s="64">
        <f t="shared" si="41"/>
        <v>5.921746128063816E-8</v>
      </c>
      <c r="W286" s="16">
        <f t="shared" si="42"/>
        <v>4.859701646021892E-4</v>
      </c>
      <c r="X286">
        <v>283</v>
      </c>
    </row>
    <row r="287" spans="10:24" x14ac:dyDescent="0.25">
      <c r="J287">
        <f t="shared" si="43"/>
        <v>284</v>
      </c>
      <c r="K287">
        <f>'Modelo Ajustado'!B285</f>
        <v>12750</v>
      </c>
      <c r="L287">
        <f>'Modelo Ajustado'!C285</f>
        <v>60</v>
      </c>
      <c r="M287">
        <f>'Modelo Ajustado'!D285</f>
        <v>60</v>
      </c>
      <c r="N287">
        <f>'Modelo Ajustado'!A285</f>
        <v>6870314</v>
      </c>
      <c r="O287">
        <v>6194882.2245084438</v>
      </c>
      <c r="P287">
        <f t="shared" si="36"/>
        <v>675431.77549155615</v>
      </c>
      <c r="Q287" s="17">
        <v>8.3211684242669066E-3</v>
      </c>
      <c r="R287">
        <f t="shared" si="37"/>
        <v>0.13847657856588544</v>
      </c>
      <c r="S287">
        <f t="shared" si="38"/>
        <v>23860307170290.957</v>
      </c>
      <c r="T287">
        <f t="shared" si="39"/>
        <v>0.13885385815312062</v>
      </c>
      <c r="U287">
        <f t="shared" si="40"/>
        <v>0.88964857106714024</v>
      </c>
      <c r="V287" s="64">
        <f t="shared" si="41"/>
        <v>4.0563449913311269E-5</v>
      </c>
      <c r="W287" s="16">
        <f t="shared" si="42"/>
        <v>1.2719340282131415E-2</v>
      </c>
      <c r="X287">
        <v>284</v>
      </c>
    </row>
    <row r="288" spans="10:24" x14ac:dyDescent="0.25">
      <c r="J288">
        <f t="shared" si="43"/>
        <v>285</v>
      </c>
      <c r="K288">
        <f>'Modelo Ajustado'!B286</f>
        <v>11875</v>
      </c>
      <c r="L288">
        <f>'Modelo Ajustado'!C286</f>
        <v>65</v>
      </c>
      <c r="M288">
        <f>'Modelo Ajustado'!D286</f>
        <v>65</v>
      </c>
      <c r="N288">
        <f>'Modelo Ajustado'!A286</f>
        <v>7079852</v>
      </c>
      <c r="O288">
        <v>6597536.3530467022</v>
      </c>
      <c r="P288">
        <f t="shared" si="36"/>
        <v>482315.64695329778</v>
      </c>
      <c r="Q288" s="17">
        <v>9.517570047197825E-3</v>
      </c>
      <c r="R288">
        <f t="shared" si="37"/>
        <v>9.8884036852244839E-2</v>
      </c>
      <c r="S288">
        <f t="shared" si="38"/>
        <v>23860977326261.895</v>
      </c>
      <c r="T288">
        <f t="shared" si="39"/>
        <v>9.9211918808114141E-2</v>
      </c>
      <c r="U288">
        <f t="shared" si="40"/>
        <v>0.92102900025669709</v>
      </c>
      <c r="V288" s="64">
        <f t="shared" si="41"/>
        <v>2.3715097470524059E-5</v>
      </c>
      <c r="W288" s="16">
        <f t="shared" si="42"/>
        <v>9.7253110851147854E-3</v>
      </c>
      <c r="X288">
        <v>285</v>
      </c>
    </row>
    <row r="289" spans="10:24" x14ac:dyDescent="0.25">
      <c r="J289">
        <f t="shared" si="43"/>
        <v>286</v>
      </c>
      <c r="K289">
        <f>'Modelo Ajustado'!B287</f>
        <v>12625</v>
      </c>
      <c r="L289">
        <f>'Modelo Ajustado'!C287</f>
        <v>75</v>
      </c>
      <c r="M289">
        <f>'Modelo Ajustado'!D287</f>
        <v>75</v>
      </c>
      <c r="N289">
        <f>'Modelo Ajustado'!A287</f>
        <v>8040128</v>
      </c>
      <c r="O289">
        <v>7883230.787019467</v>
      </c>
      <c r="P289">
        <f t="shared" si="36"/>
        <v>156897.21298053302</v>
      </c>
      <c r="Q289" s="17">
        <v>1.0014115942844182E-2</v>
      </c>
      <c r="R289">
        <f t="shared" si="37"/>
        <v>3.2166963457197988E-2</v>
      </c>
      <c r="S289">
        <f t="shared" si="38"/>
        <v>23861602320224.016</v>
      </c>
      <c r="T289">
        <f t="shared" si="39"/>
        <v>3.2281293344862926E-2</v>
      </c>
      <c r="U289">
        <f t="shared" si="40"/>
        <v>0.97426683738171127</v>
      </c>
      <c r="V289" s="64">
        <f t="shared" si="41"/>
        <v>2.6431070376520055E-6</v>
      </c>
      <c r="W289" s="16">
        <f t="shared" si="42"/>
        <v>3.2467042755141506E-3</v>
      </c>
      <c r="X289">
        <v>286</v>
      </c>
    </row>
    <row r="290" spans="10:24" x14ac:dyDescent="0.25">
      <c r="J290">
        <f t="shared" si="43"/>
        <v>287</v>
      </c>
      <c r="K290">
        <f>'Modelo Ajustado'!B288</f>
        <v>15250</v>
      </c>
      <c r="L290">
        <f>'Modelo Ajustado'!C288</f>
        <v>5</v>
      </c>
      <c r="M290">
        <f>'Modelo Ajustado'!D288</f>
        <v>32</v>
      </c>
      <c r="N290">
        <f>'Modelo Ajustado'!A288</f>
        <v>6000000</v>
      </c>
      <c r="O290">
        <v>2809252.5175312995</v>
      </c>
      <c r="P290">
        <f t="shared" si="36"/>
        <v>3190747.4824687005</v>
      </c>
      <c r="Q290" s="17">
        <v>4.3400153329840232E-3</v>
      </c>
      <c r="R290">
        <f t="shared" si="37"/>
        <v>0.65416495118018303</v>
      </c>
      <c r="S290">
        <f t="shared" si="38"/>
        <v>23831244042001.559</v>
      </c>
      <c r="T290">
        <f t="shared" si="39"/>
        <v>0.65503356055689899</v>
      </c>
      <c r="U290">
        <f t="shared" si="40"/>
        <v>0.51289299735200999</v>
      </c>
      <c r="V290" s="64">
        <f t="shared" si="41"/>
        <v>4.6836421910660637E-4</v>
      </c>
      <c r="W290" s="16">
        <f t="shared" si="42"/>
        <v>4.324676803701176E-2</v>
      </c>
      <c r="X290">
        <v>287</v>
      </c>
    </row>
    <row r="291" spans="10:24" x14ac:dyDescent="0.25">
      <c r="J291">
        <f t="shared" si="43"/>
        <v>288</v>
      </c>
      <c r="K291">
        <f>'Modelo Ajustado'!B289</f>
        <v>16290</v>
      </c>
      <c r="L291">
        <f>'Modelo Ajustado'!C289</f>
        <v>10</v>
      </c>
      <c r="M291">
        <f>'Modelo Ajustado'!D289</f>
        <v>36</v>
      </c>
      <c r="N291">
        <f>'Modelo Ajustado'!A289</f>
        <v>6100000</v>
      </c>
      <c r="O291">
        <v>3490524.4460499357</v>
      </c>
      <c r="P291">
        <f t="shared" si="36"/>
        <v>2609475.5539500643</v>
      </c>
      <c r="Q291" s="17">
        <v>3.7246183170209367E-3</v>
      </c>
      <c r="R291">
        <f t="shared" si="37"/>
        <v>0.5349929625376959</v>
      </c>
      <c r="S291">
        <f t="shared" si="38"/>
        <v>23841334599933.367</v>
      </c>
      <c r="T291">
        <f t="shared" si="39"/>
        <v>0.5354245147927037</v>
      </c>
      <c r="U291">
        <f t="shared" si="40"/>
        <v>0.5927094931679856</v>
      </c>
      <c r="V291" s="64">
        <f t="shared" si="41"/>
        <v>2.6850917120626146E-4</v>
      </c>
      <c r="W291" s="16">
        <f t="shared" si="42"/>
        <v>3.2737796118171243E-2</v>
      </c>
      <c r="X291">
        <v>288</v>
      </c>
    </row>
    <row r="292" spans="10:24" x14ac:dyDescent="0.25">
      <c r="J292">
        <f t="shared" si="43"/>
        <v>289</v>
      </c>
      <c r="K292">
        <f>'Modelo Ajustado'!B290</f>
        <v>17370</v>
      </c>
      <c r="L292">
        <f>'Modelo Ajustado'!C290</f>
        <v>40</v>
      </c>
      <c r="M292">
        <f>'Modelo Ajustado'!D290</f>
        <v>40</v>
      </c>
      <c r="N292">
        <f>'Modelo Ajustado'!A290</f>
        <v>6300000</v>
      </c>
      <c r="O292">
        <v>4799478.717604937</v>
      </c>
      <c r="P292">
        <f t="shared" si="36"/>
        <v>1500521.282395063</v>
      </c>
      <c r="Q292" s="17">
        <v>4.8437782637719366E-3</v>
      </c>
      <c r="R292">
        <f t="shared" si="37"/>
        <v>0.30763588683719062</v>
      </c>
      <c r="S292">
        <f t="shared" si="38"/>
        <v>23854942625176.031</v>
      </c>
      <c r="T292">
        <f t="shared" si="39"/>
        <v>0.30796923914990704</v>
      </c>
      <c r="U292">
        <f t="shared" si="40"/>
        <v>0.75829599618778987</v>
      </c>
      <c r="V292" s="64">
        <f t="shared" si="41"/>
        <v>1.1572194640873784E-4</v>
      </c>
      <c r="W292" s="16">
        <f t="shared" si="42"/>
        <v>2.1485914134625184E-2</v>
      </c>
      <c r="X292">
        <v>289</v>
      </c>
    </row>
    <row r="293" spans="10:24" x14ac:dyDescent="0.25">
      <c r="J293">
        <f t="shared" si="43"/>
        <v>290</v>
      </c>
      <c r="K293">
        <f>'Modelo Ajustado'!B291</f>
        <v>10920</v>
      </c>
      <c r="L293">
        <f>'Modelo Ajustado'!C291</f>
        <v>5</v>
      </c>
      <c r="M293">
        <f>'Modelo Ajustado'!D291</f>
        <v>20</v>
      </c>
      <c r="N293">
        <f>'Modelo Ajustado'!A291</f>
        <v>2700000</v>
      </c>
      <c r="O293">
        <v>904927.52088121511</v>
      </c>
      <c r="P293">
        <f t="shared" si="36"/>
        <v>1795072.4791187849</v>
      </c>
      <c r="Q293" s="17">
        <v>7.9593919449384171E-3</v>
      </c>
      <c r="R293">
        <f t="shared" si="37"/>
        <v>0.36802457954431655</v>
      </c>
      <c r="S293">
        <f t="shared" si="38"/>
        <v>23852009246806.992</v>
      </c>
      <c r="T293">
        <f t="shared" si="39"/>
        <v>0.36902414203765949</v>
      </c>
      <c r="U293">
        <f t="shared" si="40"/>
        <v>0.71234146977179402</v>
      </c>
      <c r="V293" s="64">
        <f t="shared" si="41"/>
        <v>2.7385120141769652E-4</v>
      </c>
      <c r="W293" s="16">
        <f t="shared" si="42"/>
        <v>3.3054454919405299E-2</v>
      </c>
      <c r="X293">
        <v>290</v>
      </c>
    </row>
    <row r="294" spans="10:24" x14ac:dyDescent="0.25">
      <c r="J294">
        <f t="shared" si="43"/>
        <v>291</v>
      </c>
      <c r="K294">
        <f>'Modelo Ajustado'!B292</f>
        <v>11856</v>
      </c>
      <c r="L294">
        <f>'Modelo Ajustado'!C292</f>
        <v>12</v>
      </c>
      <c r="M294">
        <f>'Modelo Ajustado'!D292</f>
        <v>22</v>
      </c>
      <c r="N294">
        <f>'Modelo Ajustado'!A292</f>
        <v>3100000</v>
      </c>
      <c r="O294">
        <v>1437099.0545331542</v>
      </c>
      <c r="P294">
        <f t="shared" si="36"/>
        <v>1662900.9454668458</v>
      </c>
      <c r="Q294" s="17">
        <v>7.0820590646914648E-3</v>
      </c>
      <c r="R294">
        <f t="shared" si="37"/>
        <v>0.34092685860779964</v>
      </c>
      <c r="S294">
        <f t="shared" si="38"/>
        <v>23853387745575.871</v>
      </c>
      <c r="T294">
        <f t="shared" si="39"/>
        <v>0.34169188709054615</v>
      </c>
      <c r="U294">
        <f t="shared" si="40"/>
        <v>0.732795745135013</v>
      </c>
      <c r="V294" s="64">
        <f t="shared" si="41"/>
        <v>2.0873499735855132E-4</v>
      </c>
      <c r="W294" s="16">
        <f t="shared" si="42"/>
        <v>2.8857437289291708E-2</v>
      </c>
      <c r="X294">
        <v>291</v>
      </c>
    </row>
    <row r="295" spans="10:24" x14ac:dyDescent="0.25">
      <c r="J295">
        <f t="shared" si="43"/>
        <v>292</v>
      </c>
      <c r="K295">
        <f>'Modelo Ajustado'!B293</f>
        <v>13520</v>
      </c>
      <c r="L295">
        <f>'Modelo Ajustado'!C293</f>
        <v>37</v>
      </c>
      <c r="M295">
        <f>'Modelo Ajustado'!D293</f>
        <v>37</v>
      </c>
      <c r="N295">
        <f>'Modelo Ajustado'!A293</f>
        <v>4700000</v>
      </c>
      <c r="O295">
        <v>3717210.4309135429</v>
      </c>
      <c r="P295">
        <f t="shared" si="36"/>
        <v>982789.56908645714</v>
      </c>
      <c r="Q295" s="17">
        <v>6.4668484451052815E-3</v>
      </c>
      <c r="R295">
        <f t="shared" si="37"/>
        <v>0.20149087134417004</v>
      </c>
      <c r="S295">
        <f t="shared" si="38"/>
        <v>23858782985644.875</v>
      </c>
      <c r="T295">
        <f t="shared" si="39"/>
        <v>0.20185765024490093</v>
      </c>
      <c r="U295">
        <f t="shared" si="40"/>
        <v>0.84014980468937006</v>
      </c>
      <c r="V295" s="64">
        <f t="shared" si="41"/>
        <v>6.6493426880984827E-5</v>
      </c>
      <c r="W295" s="16">
        <f t="shared" si="42"/>
        <v>1.6285472875885294E-2</v>
      </c>
      <c r="X295">
        <v>292</v>
      </c>
    </row>
    <row r="296" spans="10:24" x14ac:dyDescent="0.25">
      <c r="J296">
        <f t="shared" si="43"/>
        <v>293</v>
      </c>
      <c r="K296">
        <f>'Modelo Ajustado'!B294</f>
        <v>14560</v>
      </c>
      <c r="L296">
        <f>'Modelo Ajustado'!C294</f>
        <v>1</v>
      </c>
      <c r="M296">
        <f>'Modelo Ajustado'!D294</f>
        <v>14</v>
      </c>
      <c r="N296">
        <f>'Modelo Ajustado'!A294</f>
        <v>1585000</v>
      </c>
      <c r="O296">
        <v>969022.33903630497</v>
      </c>
      <c r="P296">
        <f t="shared" si="36"/>
        <v>615977.66096369503</v>
      </c>
      <c r="Q296" s="17">
        <v>5.525426544112747E-3</v>
      </c>
      <c r="R296">
        <f t="shared" si="37"/>
        <v>0.12628733509197454</v>
      </c>
      <c r="S296">
        <f t="shared" si="38"/>
        <v>23860540799725.344</v>
      </c>
      <c r="T296">
        <f t="shared" si="39"/>
        <v>0.12645266283801601</v>
      </c>
      <c r="U296">
        <f t="shared" si="40"/>
        <v>0.89944902828069495</v>
      </c>
      <c r="V296" s="64">
        <f t="shared" si="41"/>
        <v>2.2276043068082342E-5</v>
      </c>
      <c r="W296" s="16">
        <f t="shared" si="42"/>
        <v>9.4257093151855521E-3</v>
      </c>
      <c r="X296">
        <v>293</v>
      </c>
    </row>
    <row r="297" spans="10:24" x14ac:dyDescent="0.25">
      <c r="J297">
        <f t="shared" si="43"/>
        <v>294</v>
      </c>
      <c r="K297">
        <f>'Modelo Ajustado'!B295</f>
        <v>19240</v>
      </c>
      <c r="L297">
        <f>'Modelo Ajustado'!C295</f>
        <v>0</v>
      </c>
      <c r="M297">
        <f>'Modelo Ajustado'!D295</f>
        <v>11</v>
      </c>
      <c r="N297">
        <f>'Modelo Ajustado'!A295</f>
        <v>1560000</v>
      </c>
      <c r="O297">
        <v>1575431.381051403</v>
      </c>
      <c r="P297">
        <f t="shared" si="36"/>
        <v>-15431.381051403005</v>
      </c>
      <c r="Q297" s="17">
        <v>4.5357048352181453E-3</v>
      </c>
      <c r="R297">
        <f t="shared" si="37"/>
        <v>-3.1637315981907607E-3</v>
      </c>
      <c r="S297">
        <f t="shared" si="38"/>
        <v>23861675613472.121</v>
      </c>
      <c r="T297">
        <f t="shared" si="39"/>
        <v>-3.1662228810972648E-3</v>
      </c>
      <c r="U297">
        <f t="shared" si="40"/>
        <v>0.99747559727497248</v>
      </c>
      <c r="V297" s="64">
        <f t="shared" si="41"/>
        <v>1.1453353956898333E-8</v>
      </c>
      <c r="W297" s="16">
        <f t="shared" si="42"/>
        <v>-2.1372288678648396E-4</v>
      </c>
      <c r="X297">
        <v>294</v>
      </c>
    </row>
    <row r="298" spans="10:24" x14ac:dyDescent="0.25">
      <c r="J298">
        <f t="shared" si="43"/>
        <v>295</v>
      </c>
      <c r="K298">
        <f>'Modelo Ajustado'!B296</f>
        <v>20280</v>
      </c>
      <c r="L298">
        <f>'Modelo Ajustado'!C296</f>
        <v>12</v>
      </c>
      <c r="M298">
        <f>'Modelo Ajustado'!D296</f>
        <v>12</v>
      </c>
      <c r="N298">
        <f>'Modelo Ajustado'!A296</f>
        <v>1747000</v>
      </c>
      <c r="O298">
        <v>2162228.2009812831</v>
      </c>
      <c r="P298">
        <f t="shared" si="36"/>
        <v>-415228.20098128309</v>
      </c>
      <c r="Q298" s="17">
        <v>4.8751577687714508E-3</v>
      </c>
      <c r="R298">
        <f t="shared" si="37"/>
        <v>-8.5129812783992634E-2</v>
      </c>
      <c r="S298">
        <f t="shared" si="38"/>
        <v>23861160673258.023</v>
      </c>
      <c r="T298">
        <f t="shared" si="39"/>
        <v>-8.5212297538273488E-2</v>
      </c>
      <c r="U298">
        <f t="shared" si="40"/>
        <v>0.93214321467526062</v>
      </c>
      <c r="V298" s="64">
        <f t="shared" si="41"/>
        <v>8.9194259426038303E-6</v>
      </c>
      <c r="W298" s="16">
        <f t="shared" si="42"/>
        <v>-5.9642773191048064E-3</v>
      </c>
      <c r="X298">
        <v>295</v>
      </c>
    </row>
    <row r="299" spans="10:24" x14ac:dyDescent="0.25">
      <c r="J299">
        <f t="shared" si="43"/>
        <v>296</v>
      </c>
      <c r="K299">
        <f>'Modelo Ajustado'!B297</f>
        <v>16307</v>
      </c>
      <c r="L299">
        <f>'Modelo Ajustado'!C297</f>
        <v>10</v>
      </c>
      <c r="M299">
        <f>'Modelo Ajustado'!D297</f>
        <v>40</v>
      </c>
      <c r="N299">
        <f>'Modelo Ajustado'!A297</f>
        <v>2400000</v>
      </c>
      <c r="O299">
        <v>3851223.1181414234</v>
      </c>
      <c r="P299">
        <f t="shared" si="36"/>
        <v>-1451223.1181414234</v>
      </c>
      <c r="Q299" s="17">
        <v>3.6507235652077346E-3</v>
      </c>
      <c r="R299">
        <f t="shared" si="37"/>
        <v>-0.29752880961173017</v>
      </c>
      <c r="S299">
        <f t="shared" si="38"/>
        <v>23855385357225.27</v>
      </c>
      <c r="T299">
        <f t="shared" si="39"/>
        <v>-0.29767006685925146</v>
      </c>
      <c r="U299">
        <f t="shared" si="40"/>
        <v>0.76613840983439241</v>
      </c>
      <c r="V299" s="64">
        <f t="shared" si="41"/>
        <v>8.1386765271301769E-5</v>
      </c>
      <c r="W299" s="16">
        <f t="shared" si="42"/>
        <v>-1.8018508323738403E-2</v>
      </c>
      <c r="X299">
        <v>296</v>
      </c>
    </row>
    <row r="300" spans="10:24" x14ac:dyDescent="0.25">
      <c r="J300">
        <f t="shared" si="43"/>
        <v>297</v>
      </c>
      <c r="K300">
        <f>'Modelo Ajustado'!B298</f>
        <v>16827</v>
      </c>
      <c r="L300">
        <f>'Modelo Ajustado'!C298</f>
        <v>15</v>
      </c>
      <c r="M300">
        <f>'Modelo Ajustado'!D298</f>
        <v>36</v>
      </c>
      <c r="N300">
        <f>'Modelo Ajustado'!A298</f>
        <v>2300000</v>
      </c>
      <c r="O300">
        <v>3717710.6296884562</v>
      </c>
      <c r="P300">
        <f t="shared" si="36"/>
        <v>-1417710.6296884562</v>
      </c>
      <c r="Q300" s="17">
        <v>3.5442920317092902E-3</v>
      </c>
      <c r="R300">
        <f t="shared" si="37"/>
        <v>-0.29065810126103359</v>
      </c>
      <c r="S300">
        <f t="shared" si="38"/>
        <v>23855673193115.137</v>
      </c>
      <c r="T300">
        <f t="shared" si="39"/>
        <v>-0.29077881187544313</v>
      </c>
      <c r="U300">
        <f t="shared" si="40"/>
        <v>0.77139935835347107</v>
      </c>
      <c r="V300" s="64">
        <f t="shared" si="41"/>
        <v>7.5390803655131316E-5</v>
      </c>
      <c r="W300" s="16">
        <f t="shared" si="42"/>
        <v>-1.7341973060111815E-2</v>
      </c>
      <c r="X300">
        <v>297</v>
      </c>
    </row>
    <row r="301" spans="10:24" x14ac:dyDescent="0.25">
      <c r="J301">
        <f t="shared" si="43"/>
        <v>298</v>
      </c>
      <c r="K301">
        <f>'Modelo Ajustado'!B299</f>
        <v>17347</v>
      </c>
      <c r="L301">
        <f>'Modelo Ajustado'!C299</f>
        <v>33</v>
      </c>
      <c r="M301">
        <f>'Modelo Ajustado'!D299</f>
        <v>33</v>
      </c>
      <c r="N301">
        <f>'Modelo Ajustado'!A299</f>
        <v>2700000</v>
      </c>
      <c r="O301">
        <v>3995954.1581447688</v>
      </c>
      <c r="P301">
        <f t="shared" si="36"/>
        <v>-1295954.1581447688</v>
      </c>
      <c r="Q301" s="17">
        <v>4.6791530747481696E-3</v>
      </c>
      <c r="R301">
        <f t="shared" si="37"/>
        <v>-0.26569566951083351</v>
      </c>
      <c r="S301">
        <f t="shared" si="38"/>
        <v>23856654323185.031</v>
      </c>
      <c r="T301">
        <f t="shared" si="39"/>
        <v>-0.26595203658552452</v>
      </c>
      <c r="U301">
        <f t="shared" si="40"/>
        <v>0.79043877964662312</v>
      </c>
      <c r="V301" s="64">
        <f t="shared" si="41"/>
        <v>8.3358523382993707E-5</v>
      </c>
      <c r="W301" s="16">
        <f t="shared" si="42"/>
        <v>-1.8234984423363909E-2</v>
      </c>
      <c r="X301">
        <v>298</v>
      </c>
    </row>
    <row r="302" spans="10:24" x14ac:dyDescent="0.25">
      <c r="J302">
        <f t="shared" si="43"/>
        <v>299</v>
      </c>
      <c r="K302">
        <f>'Modelo Ajustado'!B300</f>
        <v>17680</v>
      </c>
      <c r="L302">
        <f>'Modelo Ajustado'!C300</f>
        <v>2</v>
      </c>
      <c r="M302">
        <f>'Modelo Ajustado'!D300</f>
        <v>6</v>
      </c>
      <c r="N302">
        <f>'Modelo Ajustado'!A300</f>
        <v>373164</v>
      </c>
      <c r="O302">
        <v>878480.04219388403</v>
      </c>
      <c r="P302">
        <f t="shared" si="36"/>
        <v>-505316.04219388403</v>
      </c>
      <c r="Q302" s="17">
        <v>5.0439537267537755E-3</v>
      </c>
      <c r="R302">
        <f t="shared" si="37"/>
        <v>-0.10359956276344663</v>
      </c>
      <c r="S302">
        <f t="shared" si="38"/>
        <v>23860912519531.367</v>
      </c>
      <c r="T302">
        <f t="shared" si="39"/>
        <v>-0.10370927874221396</v>
      </c>
      <c r="U302">
        <f t="shared" si="40"/>
        <v>0.91746175309759104</v>
      </c>
      <c r="V302" s="64">
        <f t="shared" si="41"/>
        <v>1.3671594108919326E-5</v>
      </c>
      <c r="W302" s="16">
        <f t="shared" si="42"/>
        <v>-7.3841619483485379E-3</v>
      </c>
      <c r="X302">
        <v>299</v>
      </c>
    </row>
    <row r="303" spans="10:24" x14ac:dyDescent="0.25">
      <c r="J303">
        <f t="shared" si="43"/>
        <v>300</v>
      </c>
      <c r="K303">
        <f>'Modelo Ajustado'!B301</f>
        <v>17680</v>
      </c>
      <c r="L303">
        <f>'Modelo Ajustado'!C301</f>
        <v>4</v>
      </c>
      <c r="M303">
        <f>'Modelo Ajustado'!D301</f>
        <v>8</v>
      </c>
      <c r="N303">
        <f>'Modelo Ajustado'!A301</f>
        <v>422611</v>
      </c>
      <c r="O303">
        <v>1106795.7583746617</v>
      </c>
      <c r="P303">
        <f t="shared" si="36"/>
        <v>-684184.75837466167</v>
      </c>
      <c r="Q303" s="17">
        <v>4.9169589575857233E-3</v>
      </c>
      <c r="R303">
        <f t="shared" si="37"/>
        <v>-0.14027110936215439</v>
      </c>
      <c r="S303">
        <f t="shared" si="38"/>
        <v>23860276260448.621</v>
      </c>
      <c r="T303">
        <f t="shared" si="39"/>
        <v>-0.14041257340087634</v>
      </c>
      <c r="U303">
        <f t="shared" si="40"/>
        <v>0.88841791025669181</v>
      </c>
      <c r="V303" s="64">
        <f t="shared" si="41"/>
        <v>2.4426115471018543E-5</v>
      </c>
      <c r="W303" s="16">
        <f t="shared" si="42"/>
        <v>-9.870169893223044E-3</v>
      </c>
      <c r="X303">
        <v>300</v>
      </c>
    </row>
    <row r="304" spans="10:24" x14ac:dyDescent="0.25">
      <c r="J304">
        <f t="shared" si="43"/>
        <v>301</v>
      </c>
      <c r="K304">
        <f>'Modelo Ajustado'!B302</f>
        <v>17846</v>
      </c>
      <c r="L304">
        <f>'Modelo Ajustado'!C302</f>
        <v>4</v>
      </c>
      <c r="M304">
        <f>'Modelo Ajustado'!D302</f>
        <v>9</v>
      </c>
      <c r="N304">
        <f>'Modelo Ajustado'!A302</f>
        <v>390210</v>
      </c>
      <c r="O304">
        <v>1228051.4120427207</v>
      </c>
      <c r="P304">
        <f t="shared" si="36"/>
        <v>-837841.41204272071</v>
      </c>
      <c r="Q304" s="17">
        <v>4.8050305228078205E-3</v>
      </c>
      <c r="R304">
        <f t="shared" si="37"/>
        <v>-0.17177369547953203</v>
      </c>
      <c r="S304">
        <f t="shared" si="38"/>
        <v>23859577017246.539</v>
      </c>
      <c r="T304">
        <f t="shared" si="39"/>
        <v>-0.17193977983822253</v>
      </c>
      <c r="U304">
        <f t="shared" si="40"/>
        <v>0.86358807608630106</v>
      </c>
      <c r="V304" s="64">
        <f t="shared" si="41"/>
        <v>3.578764604313361E-5</v>
      </c>
      <c r="W304" s="16">
        <f t="shared" si="42"/>
        <v>-1.1947316136281274E-2</v>
      </c>
      <c r="X304">
        <v>301</v>
      </c>
    </row>
    <row r="305" spans="10:24" x14ac:dyDescent="0.25">
      <c r="J305">
        <f t="shared" si="43"/>
        <v>302</v>
      </c>
      <c r="K305">
        <f>'Modelo Ajustado'!B303</f>
        <v>29000</v>
      </c>
      <c r="L305">
        <f>'Modelo Ajustado'!C303</f>
        <v>13</v>
      </c>
      <c r="M305">
        <f>'Modelo Ajustado'!D303</f>
        <v>62</v>
      </c>
      <c r="N305">
        <f>'Modelo Ajustado'!A303</f>
        <v>5000000</v>
      </c>
      <c r="O305">
        <v>8330515.6086710524</v>
      </c>
      <c r="P305">
        <f t="shared" si="36"/>
        <v>-3330515.6086710524</v>
      </c>
      <c r="Q305" s="17">
        <v>1.0006039722393712E-2</v>
      </c>
      <c r="R305">
        <f t="shared" si="37"/>
        <v>-0.68282012052719954</v>
      </c>
      <c r="S305">
        <f t="shared" si="38"/>
        <v>23828329758881.715</v>
      </c>
      <c r="T305">
        <f t="shared" si="39"/>
        <v>-0.68572250026757375</v>
      </c>
      <c r="U305">
        <f t="shared" si="40"/>
        <v>0.49335956200157161</v>
      </c>
      <c r="V305" s="64">
        <f t="shared" si="41"/>
        <v>1.1900076710384901E-3</v>
      </c>
      <c r="W305" s="16">
        <f t="shared" si="42"/>
        <v>-6.8938723691448586E-2</v>
      </c>
      <c r="X305">
        <v>302</v>
      </c>
    </row>
    <row r="306" spans="10:24" x14ac:dyDescent="0.25">
      <c r="J306">
        <f t="shared" si="43"/>
        <v>303</v>
      </c>
      <c r="K306">
        <f>'Modelo Ajustado'!B304</f>
        <v>34000</v>
      </c>
      <c r="L306">
        <f>'Modelo Ajustado'!C304</f>
        <v>13</v>
      </c>
      <c r="M306">
        <f>'Modelo Ajustado'!D304</f>
        <v>74</v>
      </c>
      <c r="N306">
        <f>'Modelo Ajustado'!A304</f>
        <v>6000000</v>
      </c>
      <c r="O306">
        <v>10363584.10072933</v>
      </c>
      <c r="P306">
        <f t="shared" si="36"/>
        <v>-4363584.1007293295</v>
      </c>
      <c r="Q306" s="17">
        <v>1.880930001178243E-2</v>
      </c>
      <c r="R306">
        <f t="shared" si="37"/>
        <v>-0.8946191436044566</v>
      </c>
      <c r="S306">
        <f t="shared" si="38"/>
        <v>23803920738599.215</v>
      </c>
      <c r="T306">
        <f t="shared" si="39"/>
        <v>-0.90290569298283974</v>
      </c>
      <c r="U306">
        <f t="shared" si="40"/>
        <v>0.36722086066988224</v>
      </c>
      <c r="V306" s="64">
        <f t="shared" si="41"/>
        <v>3.9091485153675901E-3</v>
      </c>
      <c r="W306" s="16">
        <f t="shared" si="42"/>
        <v>-0.12501208441431705</v>
      </c>
      <c r="X306" s="132">
        <v>303</v>
      </c>
    </row>
    <row r="307" spans="10:24" x14ac:dyDescent="0.25">
      <c r="J307">
        <f t="shared" si="43"/>
        <v>304</v>
      </c>
      <c r="K307">
        <f>'Modelo Ajustado'!B305</f>
        <v>39000</v>
      </c>
      <c r="L307">
        <f>'Modelo Ajustado'!C305</f>
        <v>13</v>
      </c>
      <c r="M307">
        <f>'Modelo Ajustado'!D305</f>
        <v>82</v>
      </c>
      <c r="N307">
        <f>'Modelo Ajustado'!A305</f>
        <v>8000000</v>
      </c>
      <c r="O307">
        <v>12039220.546699019</v>
      </c>
      <c r="P307">
        <f t="shared" si="36"/>
        <v>-4039220.5466990191</v>
      </c>
      <c r="Q307" s="134">
        <v>3.0721251335263586E-2</v>
      </c>
      <c r="R307">
        <f t="shared" si="37"/>
        <v>-0.82811834100170778</v>
      </c>
      <c r="S307">
        <f t="shared" si="38"/>
        <v>23811579850736.23</v>
      </c>
      <c r="T307">
        <f t="shared" si="39"/>
        <v>-0.8407736955727908</v>
      </c>
      <c r="U307">
        <f t="shared" si="40"/>
        <v>0.40107087296631705</v>
      </c>
      <c r="V307" s="64">
        <f t="shared" si="41"/>
        <v>5.6061709275598975E-3</v>
      </c>
      <c r="W307" s="16">
        <f t="shared" si="42"/>
        <v>-0.14968360047544746</v>
      </c>
      <c r="X307" s="132">
        <v>304</v>
      </c>
    </row>
    <row r="308" spans="10:24" x14ac:dyDescent="0.25">
      <c r="J308">
        <f t="shared" si="43"/>
        <v>305</v>
      </c>
      <c r="K308">
        <f>'Modelo Ajustado'!B306</f>
        <v>13416</v>
      </c>
      <c r="L308">
        <f>'Modelo Ajustado'!C306</f>
        <v>40</v>
      </c>
      <c r="M308">
        <f>'Modelo Ajustado'!D306</f>
        <v>75</v>
      </c>
      <c r="N308">
        <f>'Modelo Ajustado'!A306</f>
        <v>8450000</v>
      </c>
      <c r="O308">
        <v>7167230.3435010072</v>
      </c>
      <c r="P308">
        <f t="shared" si="36"/>
        <v>1282769.6564989928</v>
      </c>
      <c r="Q308" s="17">
        <v>5.0795425264207822E-3</v>
      </c>
      <c r="R308">
        <f t="shared" si="37"/>
        <v>0.26299259165123084</v>
      </c>
      <c r="S308">
        <f t="shared" si="38"/>
        <v>23856754006836.305</v>
      </c>
      <c r="T308">
        <f t="shared" si="39"/>
        <v>0.26329876472872582</v>
      </c>
      <c r="U308">
        <f t="shared" si="40"/>
        <v>0.7924812224137876</v>
      </c>
      <c r="V308" s="64">
        <f t="shared" si="41"/>
        <v>8.8730906253301189E-5</v>
      </c>
      <c r="W308" s="16">
        <f t="shared" si="42"/>
        <v>1.8813384931889953E-2</v>
      </c>
      <c r="X308">
        <v>305</v>
      </c>
    </row>
    <row r="309" spans="10:24" x14ac:dyDescent="0.25">
      <c r="J309">
        <f t="shared" si="43"/>
        <v>306</v>
      </c>
      <c r="K309">
        <f>'Modelo Ajustado'!B307</f>
        <v>15184</v>
      </c>
      <c r="L309">
        <f>'Modelo Ajustado'!C307</f>
        <v>72</v>
      </c>
      <c r="M309">
        <f>'Modelo Ajustado'!D307</f>
        <v>72</v>
      </c>
      <c r="N309">
        <f>'Modelo Ajustado'!A307</f>
        <v>10300000</v>
      </c>
      <c r="O309">
        <v>8032480.5034193024</v>
      </c>
      <c r="P309">
        <f t="shared" si="36"/>
        <v>2267519.4965806976</v>
      </c>
      <c r="Q309" s="17">
        <v>8.0152668163529072E-3</v>
      </c>
      <c r="R309">
        <f t="shared" si="37"/>
        <v>0.4648853564661164</v>
      </c>
      <c r="S309">
        <f t="shared" si="38"/>
        <v>23846250166745.469</v>
      </c>
      <c r="T309">
        <f t="shared" si="39"/>
        <v>0.46621741050251386</v>
      </c>
      <c r="U309">
        <f t="shared" si="40"/>
        <v>0.6413610948163162</v>
      </c>
      <c r="V309" s="64">
        <f t="shared" si="41"/>
        <v>4.4008822511889005E-4</v>
      </c>
      <c r="W309" s="16">
        <f t="shared" si="42"/>
        <v>4.1907811872488897E-2</v>
      </c>
      <c r="X309">
        <v>306</v>
      </c>
    </row>
    <row r="310" spans="10:24" x14ac:dyDescent="0.25">
      <c r="J310">
        <f t="shared" si="43"/>
        <v>307</v>
      </c>
      <c r="K310">
        <f>'Modelo Ajustado'!B308</f>
        <v>17451</v>
      </c>
      <c r="L310">
        <f>'Modelo Ajustado'!C308</f>
        <v>75</v>
      </c>
      <c r="M310">
        <f>'Modelo Ajustado'!D308</f>
        <v>75</v>
      </c>
      <c r="N310">
        <f>'Modelo Ajustado'!A308</f>
        <v>10200000</v>
      </c>
      <c r="O310">
        <v>8810568.2628999911</v>
      </c>
      <c r="P310">
        <f t="shared" si="36"/>
        <v>1389431.7371000089</v>
      </c>
      <c r="Q310" s="17">
        <v>7.6145245788632075E-3</v>
      </c>
      <c r="R310">
        <f t="shared" si="37"/>
        <v>0.28486038129378677</v>
      </c>
      <c r="S310">
        <f t="shared" si="38"/>
        <v>23855886642852.844</v>
      </c>
      <c r="T310">
        <f t="shared" si="39"/>
        <v>0.28556122336103534</v>
      </c>
      <c r="U310">
        <f t="shared" si="40"/>
        <v>0.77538964086845241</v>
      </c>
      <c r="V310" s="64">
        <f t="shared" si="41"/>
        <v>1.568505715162313E-4</v>
      </c>
      <c r="W310" s="16">
        <f t="shared" si="42"/>
        <v>2.5013843631197484E-2</v>
      </c>
      <c r="X310">
        <v>307</v>
      </c>
    </row>
    <row r="311" spans="10:24" x14ac:dyDescent="0.25">
      <c r="J311">
        <f t="shared" si="43"/>
        <v>308</v>
      </c>
      <c r="K311">
        <f>'Modelo Ajustado'!B309</f>
        <v>15600</v>
      </c>
      <c r="L311">
        <f>'Modelo Ajustado'!C309</f>
        <v>0</v>
      </c>
      <c r="M311">
        <f>'Modelo Ajustado'!D309</f>
        <v>19</v>
      </c>
      <c r="N311">
        <f>'Modelo Ajustado'!A309</f>
        <v>1980000</v>
      </c>
      <c r="O311">
        <v>1590853.1996676452</v>
      </c>
      <c r="P311">
        <f t="shared" si="36"/>
        <v>389146.80033235485</v>
      </c>
      <c r="Q311" s="17">
        <v>4.7654475459096039E-3</v>
      </c>
      <c r="R311">
        <f t="shared" si="37"/>
        <v>7.9782621169500995E-2</v>
      </c>
      <c r="S311">
        <f t="shared" si="38"/>
        <v>23861223467246.438</v>
      </c>
      <c r="T311">
        <f t="shared" si="39"/>
        <v>7.9855417976376228E-2</v>
      </c>
      <c r="U311">
        <f t="shared" si="40"/>
        <v>0.93639964671972997</v>
      </c>
      <c r="V311" s="64">
        <f t="shared" si="41"/>
        <v>7.6561319969845173E-6</v>
      </c>
      <c r="W311" s="16">
        <f t="shared" si="42"/>
        <v>5.5257789958301938E-3</v>
      </c>
      <c r="X311">
        <v>308</v>
      </c>
    </row>
    <row r="312" spans="10:24" x14ac:dyDescent="0.25">
      <c r="J312">
        <f t="shared" si="43"/>
        <v>309</v>
      </c>
      <c r="K312">
        <f>'Modelo Ajustado'!B310</f>
        <v>17160</v>
      </c>
      <c r="L312">
        <f>'Modelo Ajustado'!C310</f>
        <v>0</v>
      </c>
      <c r="M312">
        <f>'Modelo Ajustado'!D310</f>
        <v>15</v>
      </c>
      <c r="N312">
        <f>'Modelo Ajustado'!A310</f>
        <v>1600000</v>
      </c>
      <c r="O312">
        <v>1533182.1279623141</v>
      </c>
      <c r="P312">
        <f t="shared" si="36"/>
        <v>66817.872037685942</v>
      </c>
      <c r="Q312" s="17">
        <v>4.4786632502488398E-3</v>
      </c>
      <c r="R312">
        <f t="shared" si="37"/>
        <v>1.369895619746064E-2</v>
      </c>
      <c r="S312">
        <f t="shared" si="38"/>
        <v>23861662978052.398</v>
      </c>
      <c r="T312">
        <f t="shared" si="39"/>
        <v>1.3709354303443107E-2</v>
      </c>
      <c r="U312">
        <f t="shared" si="40"/>
        <v>0.98906997283618625</v>
      </c>
      <c r="V312" s="64">
        <f t="shared" si="41"/>
        <v>2.1201287078698306E-7</v>
      </c>
      <c r="W312" s="16">
        <f t="shared" si="42"/>
        <v>9.1953003369452016E-4</v>
      </c>
      <c r="X312">
        <v>309</v>
      </c>
    </row>
    <row r="313" spans="10:24" x14ac:dyDescent="0.25">
      <c r="J313">
        <f t="shared" si="43"/>
        <v>310</v>
      </c>
      <c r="K313">
        <f>'Modelo Ajustado'!B311</f>
        <v>18720</v>
      </c>
      <c r="L313">
        <f>'Modelo Ajustado'!C311</f>
        <v>12</v>
      </c>
      <c r="M313">
        <f>'Modelo Ajustado'!D311</f>
        <v>12</v>
      </c>
      <c r="N313">
        <f>'Modelo Ajustado'!A311</f>
        <v>1430000</v>
      </c>
      <c r="O313">
        <v>1862467.226598022</v>
      </c>
      <c r="P313">
        <f t="shared" si="36"/>
        <v>-432467.22659802204</v>
      </c>
      <c r="Q313" s="17">
        <v>4.7803296551462825E-3</v>
      </c>
      <c r="R313">
        <f t="shared" si="37"/>
        <v>-8.8664146482578754E-2</v>
      </c>
      <c r="S313">
        <f t="shared" si="38"/>
        <v>23861117021094.16</v>
      </c>
      <c r="T313">
        <f t="shared" si="39"/>
        <v>-8.8745908619482325E-2</v>
      </c>
      <c r="U313">
        <f t="shared" si="40"/>
        <v>0.92933656146835086</v>
      </c>
      <c r="V313" s="64">
        <f t="shared" si="41"/>
        <v>9.4854082740991596E-6</v>
      </c>
      <c r="W313" s="16">
        <f t="shared" si="42"/>
        <v>-6.1506043085599203E-3</v>
      </c>
      <c r="X313">
        <v>310</v>
      </c>
    </row>
    <row r="314" spans="10:24" x14ac:dyDescent="0.25">
      <c r="J314">
        <f t="shared" si="43"/>
        <v>311</v>
      </c>
      <c r="K314">
        <f>'Modelo Ajustado'!B312</f>
        <v>14352</v>
      </c>
      <c r="L314">
        <f>'Modelo Ajustado'!C312</f>
        <v>250</v>
      </c>
      <c r="M314">
        <f>'Modelo Ajustado'!D312</f>
        <v>250</v>
      </c>
      <c r="N314">
        <f>'Modelo Ajustado'!A312</f>
        <v>6000000</v>
      </c>
      <c r="O314">
        <v>28192706.723837469</v>
      </c>
      <c r="P314">
        <f t="shared" si="36"/>
        <v>-22192706.723837469</v>
      </c>
      <c r="Q314" s="134">
        <v>7.1294220758807661E-2</v>
      </c>
      <c r="R314">
        <f t="shared" si="37"/>
        <v>-4.5499341424921642</v>
      </c>
      <c r="S314">
        <f t="shared" si="38"/>
        <v>22283327023612.137</v>
      </c>
      <c r="T314">
        <f t="shared" si="39"/>
        <v>-4.878442415323943</v>
      </c>
      <c r="U314">
        <f t="shared" si="40"/>
        <v>1.651906284643334E-6</v>
      </c>
      <c r="V314" s="135">
        <f t="shared" si="41"/>
        <v>0.42780736807044933</v>
      </c>
      <c r="W314" s="16">
        <f t="shared" si="42"/>
        <v>-1.3516656345479916</v>
      </c>
      <c r="X314" s="132">
        <v>311</v>
      </c>
    </row>
    <row r="315" spans="10:24" x14ac:dyDescent="0.25">
      <c r="J315">
        <f t="shared" si="43"/>
        <v>312</v>
      </c>
      <c r="K315">
        <f>'Modelo Ajustado'!B313</f>
        <v>15184</v>
      </c>
      <c r="L315">
        <f>'Modelo Ajustado'!C313</f>
        <v>290</v>
      </c>
      <c r="M315">
        <f>'Modelo Ajustado'!D313</f>
        <v>290</v>
      </c>
      <c r="N315">
        <f>'Modelo Ajustado'!A313</f>
        <v>18000000</v>
      </c>
      <c r="O315">
        <v>32918893.567124095</v>
      </c>
      <c r="P315">
        <f t="shared" si="36"/>
        <v>-14918893.567124095</v>
      </c>
      <c r="Q315" s="134">
        <v>9.6473123565090912E-2</v>
      </c>
      <c r="R315">
        <f t="shared" si="37"/>
        <v>-3.0586617510857237</v>
      </c>
      <c r="S315">
        <f t="shared" si="38"/>
        <v>23128526258977.391</v>
      </c>
      <c r="T315">
        <f t="shared" si="39"/>
        <v>-3.2635637272932461</v>
      </c>
      <c r="U315">
        <f t="shared" si="40"/>
        <v>1.2129607785295144E-3</v>
      </c>
      <c r="V315" s="135">
        <f t="shared" si="41"/>
        <v>0.27639303953882205</v>
      </c>
      <c r="W315" s="16">
        <f t="shared" si="42"/>
        <v>-1.0664112789839104</v>
      </c>
      <c r="X315" s="132">
        <v>312</v>
      </c>
    </row>
    <row r="316" spans="10:24" x14ac:dyDescent="0.25">
      <c r="J316">
        <f t="shared" si="43"/>
        <v>313</v>
      </c>
      <c r="K316">
        <f>'Modelo Ajustado'!B314</f>
        <v>16432</v>
      </c>
      <c r="L316">
        <f>'Modelo Ajustado'!C314</f>
        <v>350</v>
      </c>
      <c r="M316">
        <f>'Modelo Ajustado'!D314</f>
        <v>350</v>
      </c>
      <c r="N316">
        <f>'Modelo Ajustado'!A314</f>
        <v>54000000</v>
      </c>
      <c r="O316">
        <v>40008173.832054049</v>
      </c>
      <c r="P316">
        <f t="shared" si="36"/>
        <v>13991826.167945951</v>
      </c>
      <c r="Q316" s="134">
        <v>0.14231534386108277</v>
      </c>
      <c r="R316">
        <f t="shared" si="37"/>
        <v>2.8685950023830369</v>
      </c>
      <c r="S316">
        <f t="shared" si="38"/>
        <v>23182344620765.305</v>
      </c>
      <c r="T316" s="132">
        <f t="shared" si="39"/>
        <v>3.1378479970208759</v>
      </c>
      <c r="U316">
        <f t="shared" si="40"/>
        <v>1.8520883825331369E-3</v>
      </c>
      <c r="V316" s="135">
        <f t="shared" si="41"/>
        <v>0.39799253725337974</v>
      </c>
      <c r="W316" s="16">
        <f t="shared" si="42"/>
        <v>1.2781856711140096</v>
      </c>
      <c r="X316" s="132">
        <v>313</v>
      </c>
    </row>
    <row r="317" spans="10:24" x14ac:dyDescent="0.25">
      <c r="J317">
        <f t="shared" si="43"/>
        <v>314</v>
      </c>
      <c r="K317">
        <f>'Modelo Ajustado'!B315</f>
        <v>16640</v>
      </c>
      <c r="L317">
        <f>'Modelo Ajustado'!C315</f>
        <v>4</v>
      </c>
      <c r="M317">
        <f>'Modelo Ajustado'!D315</f>
        <v>19</v>
      </c>
      <c r="N317">
        <f>'Modelo Ajustado'!A315</f>
        <v>1700000</v>
      </c>
      <c r="O317">
        <v>1889893.2355294493</v>
      </c>
      <c r="P317">
        <f t="shared" si="36"/>
        <v>-189893.2355294493</v>
      </c>
      <c r="Q317" s="17">
        <v>4.3538874827679895E-3</v>
      </c>
      <c r="R317">
        <f t="shared" si="37"/>
        <v>-3.8931786307783364E-2</v>
      </c>
      <c r="S317">
        <f t="shared" si="38"/>
        <v>23861568536348.094</v>
      </c>
      <c r="T317">
        <f t="shared" si="39"/>
        <v>-3.8958972910149853E-2</v>
      </c>
      <c r="U317">
        <f t="shared" si="40"/>
        <v>0.96894616743054984</v>
      </c>
      <c r="V317" s="64">
        <f t="shared" si="41"/>
        <v>1.6642396592105333E-6</v>
      </c>
      <c r="W317" s="16">
        <f t="shared" si="42"/>
        <v>-2.5762831817188123E-3</v>
      </c>
      <c r="X317">
        <v>314</v>
      </c>
    </row>
    <row r="318" spans="10:24" x14ac:dyDescent="0.25">
      <c r="J318">
        <f t="shared" si="43"/>
        <v>315</v>
      </c>
      <c r="K318">
        <f>'Modelo Ajustado'!B316</f>
        <v>17160</v>
      </c>
      <c r="L318">
        <f>'Modelo Ajustado'!C316</f>
        <v>19</v>
      </c>
      <c r="M318">
        <f>'Modelo Ajustado'!D316</f>
        <v>19</v>
      </c>
      <c r="N318">
        <f>'Modelo Ajustado'!A316</f>
        <v>2000000</v>
      </c>
      <c r="O318">
        <v>2361811.2588474839</v>
      </c>
      <c r="P318">
        <f t="shared" si="36"/>
        <v>-361811.2588474839</v>
      </c>
      <c r="Q318" s="17">
        <v>4.7693521081430094E-3</v>
      </c>
      <c r="R318">
        <f t="shared" si="37"/>
        <v>-7.4178306425327287E-2</v>
      </c>
      <c r="S318">
        <f t="shared" si="38"/>
        <v>23861284853025.945</v>
      </c>
      <c r="T318">
        <f t="shared" si="39"/>
        <v>-7.4246039774919018E-2</v>
      </c>
      <c r="U318">
        <f t="shared" si="40"/>
        <v>0.94085866305014942</v>
      </c>
      <c r="V318" s="64">
        <f t="shared" si="41"/>
        <v>6.6237775566081158E-6</v>
      </c>
      <c r="W318" s="16">
        <f t="shared" si="42"/>
        <v>-5.1397395960138953E-3</v>
      </c>
      <c r="X318">
        <v>315</v>
      </c>
    </row>
    <row r="319" spans="10:24" x14ac:dyDescent="0.25">
      <c r="J319">
        <f t="shared" si="43"/>
        <v>316</v>
      </c>
      <c r="K319">
        <f>'Modelo Ajustado'!B317</f>
        <v>17680</v>
      </c>
      <c r="L319">
        <f>'Modelo Ajustado'!C317</f>
        <v>11</v>
      </c>
      <c r="M319">
        <f>'Modelo Ajustado'!D317</f>
        <v>21</v>
      </c>
      <c r="N319">
        <f>'Modelo Ajustado'!A317</f>
        <v>2200000</v>
      </c>
      <c r="O319">
        <v>2442048.8341402733</v>
      </c>
      <c r="P319">
        <f t="shared" si="36"/>
        <v>-242048.83414027328</v>
      </c>
      <c r="Q319" s="17">
        <v>4.0872229754209607E-3</v>
      </c>
      <c r="R319">
        <f t="shared" si="37"/>
        <v>-4.9624692846606457E-2</v>
      </c>
      <c r="S319">
        <f t="shared" si="38"/>
        <v>23861501241837.965</v>
      </c>
      <c r="T319">
        <f t="shared" si="39"/>
        <v>-4.9652767657326388E-2</v>
      </c>
      <c r="U319">
        <f t="shared" si="40"/>
        <v>0.9604285107326872</v>
      </c>
      <c r="V319" s="64">
        <f t="shared" si="41"/>
        <v>2.5370054180485108E-6</v>
      </c>
      <c r="W319" s="16">
        <f t="shared" si="42"/>
        <v>-3.1808777229432911E-3</v>
      </c>
      <c r="X319">
        <v>316</v>
      </c>
    </row>
    <row r="320" spans="10:24" x14ac:dyDescent="0.25">
      <c r="J320">
        <f t="shared" si="43"/>
        <v>317</v>
      </c>
      <c r="K320">
        <f>'Modelo Ajustado'!B318</f>
        <v>14394</v>
      </c>
      <c r="L320">
        <f>'Modelo Ajustado'!C318</f>
        <v>0</v>
      </c>
      <c r="M320">
        <f>'Modelo Ajustado'!D318</f>
        <v>89</v>
      </c>
      <c r="N320">
        <f>'Modelo Ajustado'!A318</f>
        <v>11400000</v>
      </c>
      <c r="O320">
        <v>7614175.7144832555</v>
      </c>
      <c r="P320">
        <f t="shared" si="36"/>
        <v>3785824.2855167445</v>
      </c>
      <c r="Q320" s="17">
        <v>9.3119107119967095E-3</v>
      </c>
      <c r="R320">
        <f t="shared" si="37"/>
        <v>0.7761672061230267</v>
      </c>
      <c r="S320">
        <f t="shared" si="38"/>
        <v>23818619234242.27</v>
      </c>
      <c r="T320">
        <f t="shared" si="39"/>
        <v>0.77935206615043862</v>
      </c>
      <c r="U320">
        <f t="shared" si="40"/>
        <v>0.43631930006711517</v>
      </c>
      <c r="V320" s="64">
        <f t="shared" si="41"/>
        <v>1.4289449805261207E-3</v>
      </c>
      <c r="W320" s="16">
        <f t="shared" si="42"/>
        <v>7.5558725158889492E-2</v>
      </c>
      <c r="X320">
        <v>317</v>
      </c>
    </row>
    <row r="321" spans="10:24" x14ac:dyDescent="0.25">
      <c r="J321">
        <f t="shared" si="43"/>
        <v>318</v>
      </c>
      <c r="K321">
        <f>'Modelo Ajustado'!B319</f>
        <v>15454</v>
      </c>
      <c r="L321">
        <f>'Modelo Ajustado'!C319</f>
        <v>0</v>
      </c>
      <c r="M321">
        <f>'Modelo Ajustado'!D319</f>
        <v>59</v>
      </c>
      <c r="N321">
        <f>'Modelo Ajustado'!A319</f>
        <v>4748000</v>
      </c>
      <c r="O321">
        <v>5137119.1078228261</v>
      </c>
      <c r="P321">
        <f t="shared" si="36"/>
        <v>-389119.10782282613</v>
      </c>
      <c r="Q321" s="17">
        <v>5.344567290892898E-3</v>
      </c>
      <c r="R321">
        <f t="shared" si="37"/>
        <v>-7.9776943669403147E-2</v>
      </c>
      <c r="S321">
        <f t="shared" si="38"/>
        <v>23861223268066.063</v>
      </c>
      <c r="T321">
        <f t="shared" si="39"/>
        <v>-7.9872977763085384E-2</v>
      </c>
      <c r="U321">
        <f t="shared" si="40"/>
        <v>0.93638569113632508</v>
      </c>
      <c r="V321" s="64">
        <f t="shared" si="41"/>
        <v>8.5953195687583778E-6</v>
      </c>
      <c r="W321" s="16">
        <f t="shared" si="42"/>
        <v>-5.8549045717419586E-3</v>
      </c>
      <c r="X321">
        <v>318</v>
      </c>
    </row>
    <row r="322" spans="10:24" x14ac:dyDescent="0.25">
      <c r="J322">
        <f t="shared" si="43"/>
        <v>319</v>
      </c>
      <c r="K322">
        <f>'Modelo Ajustado'!B320</f>
        <v>15558</v>
      </c>
      <c r="L322">
        <f>'Modelo Ajustado'!C320</f>
        <v>105</v>
      </c>
      <c r="M322">
        <f>'Modelo Ajustado'!D320</f>
        <v>105</v>
      </c>
      <c r="N322">
        <f>'Modelo Ajustado'!A320</f>
        <v>7175000</v>
      </c>
      <c r="O322">
        <v>11871555.592465818</v>
      </c>
      <c r="P322">
        <f t="shared" si="36"/>
        <v>-4696555.5924658179</v>
      </c>
      <c r="Q322" s="17">
        <v>1.3176544324287713E-2</v>
      </c>
      <c r="R322">
        <f t="shared" si="37"/>
        <v>-0.96288473993665691</v>
      </c>
      <c r="S322">
        <f t="shared" si="38"/>
        <v>23795152043740.883</v>
      </c>
      <c r="T322">
        <f t="shared" si="39"/>
        <v>-0.96920465979492076</v>
      </c>
      <c r="U322">
        <f t="shared" si="40"/>
        <v>0.33313815744774455</v>
      </c>
      <c r="V322" s="64">
        <f t="shared" si="41"/>
        <v>3.1362539158795934E-3</v>
      </c>
      <c r="W322" s="16">
        <f t="shared" si="42"/>
        <v>-0.11199445619569877</v>
      </c>
      <c r="X322">
        <v>319</v>
      </c>
    </row>
    <row r="323" spans="10:24" x14ac:dyDescent="0.25">
      <c r="J323">
        <f t="shared" si="43"/>
        <v>320</v>
      </c>
      <c r="K323">
        <f>'Modelo Ajustado'!B321</f>
        <v>16640</v>
      </c>
      <c r="L323">
        <f>'Modelo Ajustado'!C321</f>
        <v>40</v>
      </c>
      <c r="M323">
        <f>'Modelo Ajustado'!D321</f>
        <v>40</v>
      </c>
      <c r="N323">
        <f>'Modelo Ajustado'!A321</f>
        <v>3317000</v>
      </c>
      <c r="O323">
        <v>4659205.9539512321</v>
      </c>
      <c r="P323">
        <f t="shared" si="36"/>
        <v>-1342205.9539512321</v>
      </c>
      <c r="Q323" s="17">
        <v>5.0268871362887067E-3</v>
      </c>
      <c r="R323">
        <f t="shared" si="37"/>
        <v>-0.27517818228001117</v>
      </c>
      <c r="S323">
        <f t="shared" si="38"/>
        <v>23856287579586.281</v>
      </c>
      <c r="T323">
        <f t="shared" si="39"/>
        <v>-0.27549394483083134</v>
      </c>
      <c r="U323">
        <f t="shared" si="40"/>
        <v>0.78310561938328738</v>
      </c>
      <c r="V323" s="64">
        <f t="shared" si="41"/>
        <v>9.6126791855914709E-5</v>
      </c>
      <c r="W323" s="16">
        <f t="shared" si="42"/>
        <v>-1.9581950688439511E-2</v>
      </c>
      <c r="X323">
        <v>320</v>
      </c>
    </row>
    <row r="324" spans="10:24" x14ac:dyDescent="0.25">
      <c r="J324">
        <f t="shared" si="43"/>
        <v>321</v>
      </c>
      <c r="K324">
        <f>'Modelo Ajustado'!B322</f>
        <v>16640</v>
      </c>
      <c r="L324">
        <f>'Modelo Ajustado'!C322</f>
        <v>55</v>
      </c>
      <c r="M324">
        <f>'Modelo Ajustado'!D322</f>
        <v>55</v>
      </c>
      <c r="N324">
        <f>'Modelo Ajustado'!A322</f>
        <v>3692000</v>
      </c>
      <c r="O324">
        <v>6371573.8253070675</v>
      </c>
      <c r="P324">
        <f t="shared" si="36"/>
        <v>-2679573.8253070675</v>
      </c>
      <c r="Q324" s="17">
        <v>5.8260064888539442E-3</v>
      </c>
      <c r="R324">
        <f t="shared" si="37"/>
        <v>-0.54936446404698802</v>
      </c>
      <c r="S324">
        <f t="shared" si="38"/>
        <v>23840181705101.035</v>
      </c>
      <c r="T324">
        <f t="shared" si="39"/>
        <v>-0.5504016752851707</v>
      </c>
      <c r="U324">
        <f t="shared" si="40"/>
        <v>0.58240853824996708</v>
      </c>
      <c r="V324" s="64">
        <f t="shared" si="41"/>
        <v>4.4474113789849348E-4</v>
      </c>
      <c r="W324" s="16">
        <f t="shared" si="42"/>
        <v>-4.2134129910677491E-2</v>
      </c>
      <c r="X324">
        <v>321</v>
      </c>
    </row>
    <row r="325" spans="10:24" x14ac:dyDescent="0.25">
      <c r="J325">
        <f t="shared" si="43"/>
        <v>322</v>
      </c>
      <c r="K325">
        <f>'Modelo Ajustado'!B323</f>
        <v>16640</v>
      </c>
      <c r="L325">
        <f>'Modelo Ajustado'!C323</f>
        <v>15</v>
      </c>
      <c r="M325">
        <f>'Modelo Ajustado'!D323</f>
        <v>65</v>
      </c>
      <c r="N325">
        <f>'Modelo Ajustado'!A323</f>
        <v>3252000</v>
      </c>
      <c r="O325">
        <v>6273160.0777989086</v>
      </c>
      <c r="P325">
        <f t="shared" ref="P325:P344" si="44">N325-O325</f>
        <v>-3021160.0777989086</v>
      </c>
      <c r="Q325" s="17">
        <v>3.7742228926504005E-3</v>
      </c>
      <c r="R325">
        <f t="shared" ref="R325:R344" si="45">P325/SQRT($Z$6)</f>
        <v>-0.619396252965696</v>
      </c>
      <c r="S325">
        <f t="shared" ref="S325:S344" si="46">($Z$6-P325^2/((1-Q325)*$Z$5))*$Z$5/($Z$5-1)</f>
        <v>23834408505178.949</v>
      </c>
      <c r="T325">
        <f t="shared" ref="T325:T344" si="47">P325/SQRT(S325*(1-Q325))</f>
        <v>-0.62000138623075551</v>
      </c>
      <c r="U325">
        <f t="shared" ref="U325:U344" si="48">_xlfn.T.DIST.2T(ABS(T325),$Z$5)</f>
        <v>0.53567586875632434</v>
      </c>
      <c r="V325" s="64">
        <f t="shared" ref="V325:V344" si="49">(P325^2/$Z$6)*(Q325/(1-Q325)^2)/($Z$7+1)</f>
        <v>3.6474483531013466E-4</v>
      </c>
      <c r="W325" s="16">
        <f t="shared" ref="W325:W344" si="50">T325*SQRT(Q325/(1-Q325))</f>
        <v>-3.8161685261897359E-2</v>
      </c>
      <c r="X325">
        <v>322</v>
      </c>
    </row>
    <row r="326" spans="10:24" x14ac:dyDescent="0.25">
      <c r="J326">
        <f t="shared" ref="J326:J344" si="51">J325+1</f>
        <v>323</v>
      </c>
      <c r="K326">
        <f>'Modelo Ajustado'!B324</f>
        <v>9360</v>
      </c>
      <c r="L326">
        <f>'Modelo Ajustado'!C324</f>
        <v>0</v>
      </c>
      <c r="M326">
        <f>'Modelo Ajustado'!D324</f>
        <v>175</v>
      </c>
      <c r="N326">
        <f>'Modelo Ajustado'!A324</f>
        <v>12500000</v>
      </c>
      <c r="O326">
        <v>14331659.099589696</v>
      </c>
      <c r="P326">
        <f t="shared" si="44"/>
        <v>-1831659.0995896962</v>
      </c>
      <c r="Q326" s="134">
        <v>3.7893435495657324E-2</v>
      </c>
      <c r="R326">
        <f t="shared" si="45"/>
        <v>-0.37552554442032232</v>
      </c>
      <c r="S326">
        <f t="shared" si="46"/>
        <v>23851298010598.289</v>
      </c>
      <c r="T326">
        <f t="shared" si="47"/>
        <v>-0.38236404695542586</v>
      </c>
      <c r="U326">
        <f t="shared" si="48"/>
        <v>0.70243237773682587</v>
      </c>
      <c r="V326" s="64">
        <f t="shared" si="49"/>
        <v>1.4432335058866641E-3</v>
      </c>
      <c r="W326" s="16">
        <f t="shared" si="50"/>
        <v>-7.588351701205745E-2</v>
      </c>
      <c r="X326" s="132">
        <v>323</v>
      </c>
    </row>
    <row r="327" spans="10:24" x14ac:dyDescent="0.25">
      <c r="J327">
        <f t="shared" si="51"/>
        <v>324</v>
      </c>
      <c r="K327">
        <f>'Modelo Ajustado'!B325</f>
        <v>10400</v>
      </c>
      <c r="L327">
        <f>'Modelo Ajustado'!C325</f>
        <v>0</v>
      </c>
      <c r="M327">
        <f>'Modelo Ajustado'!D325</f>
        <v>225</v>
      </c>
      <c r="N327">
        <f>'Modelo Ajustado'!A325</f>
        <v>12500000</v>
      </c>
      <c r="O327">
        <v>18999400.325285938</v>
      </c>
      <c r="P327">
        <f t="shared" si="44"/>
        <v>-6499400.3252859376</v>
      </c>
      <c r="Q327" s="134">
        <v>6.108447097319937E-2</v>
      </c>
      <c r="R327">
        <f t="shared" si="45"/>
        <v>-1.3325027818251511</v>
      </c>
      <c r="S327">
        <f t="shared" si="46"/>
        <v>23727776264010.984</v>
      </c>
      <c r="T327">
        <f t="shared" si="47"/>
        <v>-1.3769922864846929</v>
      </c>
      <c r="U327">
        <f t="shared" si="48"/>
        <v>0.16942862505481385</v>
      </c>
      <c r="V327" s="135">
        <f t="shared" si="49"/>
        <v>3.0757712295737184E-2</v>
      </c>
      <c r="W327" s="16">
        <f t="shared" si="50"/>
        <v>-0.35122357160239709</v>
      </c>
      <c r="X327" s="132">
        <v>324</v>
      </c>
    </row>
    <row r="328" spans="10:24" x14ac:dyDescent="0.25">
      <c r="J328">
        <f t="shared" si="51"/>
        <v>325</v>
      </c>
      <c r="K328">
        <f>'Modelo Ajustado'!B326</f>
        <v>11440</v>
      </c>
      <c r="L328">
        <f>'Modelo Ajustado'!C326</f>
        <v>200</v>
      </c>
      <c r="M328">
        <f>'Modelo Ajustado'!D326</f>
        <v>275</v>
      </c>
      <c r="N328">
        <f>'Modelo Ajustado'!A326</f>
        <v>18200000</v>
      </c>
      <c r="O328">
        <v>28627110.864630368</v>
      </c>
      <c r="P328">
        <f t="shared" si="44"/>
        <v>-10427110.864630368</v>
      </c>
      <c r="Q328" s="134">
        <v>5.0728991183023618E-2</v>
      </c>
      <c r="R328">
        <f t="shared" si="45"/>
        <v>-2.1377594144284311</v>
      </c>
      <c r="S328">
        <f t="shared" si="46"/>
        <v>23520798706677.031</v>
      </c>
      <c r="T328">
        <f t="shared" si="47"/>
        <v>-2.2066977377249146</v>
      </c>
      <c r="U328">
        <f t="shared" si="48"/>
        <v>2.8009059424304508E-2</v>
      </c>
      <c r="V328" s="135">
        <f t="shared" si="49"/>
        <v>6.4318136770703194E-2</v>
      </c>
      <c r="W328" s="16">
        <f t="shared" si="50"/>
        <v>-0.51012411453825024</v>
      </c>
      <c r="X328" s="132">
        <v>325</v>
      </c>
    </row>
    <row r="329" spans="10:24" x14ac:dyDescent="0.25">
      <c r="J329">
        <f t="shared" si="51"/>
        <v>326</v>
      </c>
      <c r="K329">
        <f>'Modelo Ajustado'!B327</f>
        <v>21000</v>
      </c>
      <c r="L329">
        <f>'Modelo Ajustado'!C327</f>
        <v>35</v>
      </c>
      <c r="M329">
        <f>'Modelo Ajustado'!D327</f>
        <v>110</v>
      </c>
      <c r="N329">
        <f>'Modelo Ajustado'!A327</f>
        <v>15100000</v>
      </c>
      <c r="O329">
        <v>11628061.020167453</v>
      </c>
      <c r="P329">
        <f t="shared" si="44"/>
        <v>3471938.9798325468</v>
      </c>
      <c r="Q329" s="17">
        <v>6.1779022690238508E-3</v>
      </c>
      <c r="R329">
        <f t="shared" si="45"/>
        <v>0.71181464710754083</v>
      </c>
      <c r="S329">
        <f t="shared" si="46"/>
        <v>23825577236509.938</v>
      </c>
      <c r="T329">
        <f t="shared" si="47"/>
        <v>0.71350339433783783</v>
      </c>
      <c r="U329">
        <f t="shared" si="48"/>
        <v>0.47602812978735465</v>
      </c>
      <c r="V329" s="64">
        <f t="shared" si="49"/>
        <v>7.9231446506868367E-4</v>
      </c>
      <c r="W329" s="16">
        <f t="shared" si="50"/>
        <v>5.6255143367243243E-2</v>
      </c>
      <c r="X329">
        <v>326</v>
      </c>
    </row>
    <row r="330" spans="10:24" x14ac:dyDescent="0.25">
      <c r="J330">
        <f t="shared" si="51"/>
        <v>327</v>
      </c>
      <c r="K330">
        <f>'Modelo Ajustado'!B328</f>
        <v>21000</v>
      </c>
      <c r="L330">
        <f>'Modelo Ajustado'!C328</f>
        <v>40</v>
      </c>
      <c r="M330">
        <f>'Modelo Ajustado'!D328</f>
        <v>125</v>
      </c>
      <c r="N330">
        <f>'Modelo Ajustado'!A328</f>
        <v>16000000</v>
      </c>
      <c r="O330">
        <v>13092430.425840879</v>
      </c>
      <c r="P330">
        <f t="shared" si="44"/>
        <v>2907569.5741591211</v>
      </c>
      <c r="Q330" s="17">
        <v>7.8322303805381556E-3</v>
      </c>
      <c r="R330">
        <f t="shared" si="45"/>
        <v>0.5961080025866462</v>
      </c>
      <c r="S330">
        <f t="shared" si="46"/>
        <v>23836317108480.758</v>
      </c>
      <c r="T330">
        <f t="shared" si="47"/>
        <v>0.59788544480517569</v>
      </c>
      <c r="U330">
        <f t="shared" si="48"/>
        <v>0.55031793631070758</v>
      </c>
      <c r="V330" s="64">
        <f t="shared" si="49"/>
        <v>7.0681398941645289E-4</v>
      </c>
      <c r="W330" s="16">
        <f t="shared" si="50"/>
        <v>5.3121233397506309E-2</v>
      </c>
      <c r="X330">
        <v>327</v>
      </c>
    </row>
    <row r="331" spans="10:24" x14ac:dyDescent="0.25">
      <c r="J331">
        <f t="shared" si="51"/>
        <v>328</v>
      </c>
      <c r="K331">
        <f>'Modelo Ajustado'!B329</f>
        <v>21000</v>
      </c>
      <c r="L331">
        <f>'Modelo Ajustado'!C329</f>
        <v>160</v>
      </c>
      <c r="M331">
        <f>'Modelo Ajustado'!D329</f>
        <v>225</v>
      </c>
      <c r="N331">
        <f>'Modelo Ajustado'!A329</f>
        <v>28900000</v>
      </c>
      <c r="O331">
        <v>25004213.166244593</v>
      </c>
      <c r="P331">
        <f t="shared" si="44"/>
        <v>3895786.8337554075</v>
      </c>
      <c r="Q331" s="134">
        <v>2.9698254438407561E-2</v>
      </c>
      <c r="R331">
        <f t="shared" si="45"/>
        <v>0.79871165547084477</v>
      </c>
      <c r="S331">
        <f t="shared" si="46"/>
        <v>23815123689046.965</v>
      </c>
      <c r="T331">
        <f t="shared" si="47"/>
        <v>0.81042971887780924</v>
      </c>
      <c r="U331">
        <f t="shared" si="48"/>
        <v>0.41826516764924393</v>
      </c>
      <c r="V331" s="64">
        <f t="shared" si="49"/>
        <v>5.030803462946363E-3</v>
      </c>
      <c r="W331" s="16">
        <f t="shared" si="50"/>
        <v>0.14178406186655007</v>
      </c>
      <c r="X331" s="132">
        <v>328</v>
      </c>
    </row>
    <row r="332" spans="10:24" x14ac:dyDescent="0.25">
      <c r="J332">
        <f t="shared" si="51"/>
        <v>329</v>
      </c>
      <c r="K332">
        <f>'Modelo Ajustado'!B330</f>
        <v>30000</v>
      </c>
      <c r="L332">
        <f>'Modelo Ajustado'!C330</f>
        <v>4</v>
      </c>
      <c r="M332">
        <f>'Modelo Ajustado'!D330</f>
        <v>4</v>
      </c>
      <c r="N332">
        <f>'Modelo Ajustado'!A330</f>
        <v>1494764</v>
      </c>
      <c r="O332">
        <v>3116706.7920307978</v>
      </c>
      <c r="P332">
        <f t="shared" si="44"/>
        <v>-1621942.7920307978</v>
      </c>
      <c r="Q332" s="17">
        <v>1.2692998125813601E-2</v>
      </c>
      <c r="R332">
        <f t="shared" si="45"/>
        <v>-0.33252964491723441</v>
      </c>
      <c r="S332">
        <f t="shared" si="46"/>
        <v>23853746208874.59</v>
      </c>
      <c r="T332">
        <f t="shared" si="47"/>
        <v>-0.33421899303364544</v>
      </c>
      <c r="U332">
        <f t="shared" si="48"/>
        <v>0.73842220473957154</v>
      </c>
      <c r="V332" s="64">
        <f t="shared" si="49"/>
        <v>3.599652089879081E-4</v>
      </c>
      <c r="W332" s="16">
        <f t="shared" si="50"/>
        <v>-3.7895454997776967E-2</v>
      </c>
      <c r="X332">
        <v>329</v>
      </c>
    </row>
    <row r="333" spans="10:24" x14ac:dyDescent="0.25">
      <c r="J333">
        <f t="shared" si="51"/>
        <v>330</v>
      </c>
      <c r="K333">
        <f>'Modelo Ajustado'!B331</f>
        <v>31000</v>
      </c>
      <c r="L333">
        <f>'Modelo Ajustado'!C331</f>
        <v>5</v>
      </c>
      <c r="M333">
        <f>'Modelo Ajustado'!D331</f>
        <v>5</v>
      </c>
      <c r="N333">
        <f>'Modelo Ajustado'!A331</f>
        <v>2566104</v>
      </c>
      <c r="O333">
        <v>3423019.1208796869</v>
      </c>
      <c r="P333">
        <f t="shared" si="44"/>
        <v>-856915.1208796869</v>
      </c>
      <c r="Q333" s="17">
        <v>1.4060274121524594E-2</v>
      </c>
      <c r="R333">
        <f t="shared" si="45"/>
        <v>-0.17568417472576345</v>
      </c>
      <c r="S333">
        <f t="shared" si="46"/>
        <v>23859459732352.145</v>
      </c>
      <c r="T333">
        <f t="shared" si="47"/>
        <v>-0.17667793750687258</v>
      </c>
      <c r="U333">
        <f t="shared" si="48"/>
        <v>0.85986750155519676</v>
      </c>
      <c r="V333" s="64">
        <f t="shared" si="49"/>
        <v>1.1160877742042024E-4</v>
      </c>
      <c r="W333" s="16">
        <f t="shared" si="50"/>
        <v>-2.109861910389723E-2</v>
      </c>
      <c r="X333">
        <v>330</v>
      </c>
    </row>
    <row r="334" spans="10:24" x14ac:dyDescent="0.25">
      <c r="J334">
        <f t="shared" si="51"/>
        <v>331</v>
      </c>
      <c r="K334">
        <f>'Modelo Ajustado'!B332</f>
        <v>35000</v>
      </c>
      <c r="L334">
        <f>'Modelo Ajustado'!C332</f>
        <v>10</v>
      </c>
      <c r="M334">
        <f>'Modelo Ajustado'!D332</f>
        <v>10</v>
      </c>
      <c r="N334">
        <f>'Modelo Ajustado'!A332</f>
        <v>2191680</v>
      </c>
      <c r="O334">
        <v>4762426.2943656351</v>
      </c>
      <c r="P334">
        <f t="shared" si="44"/>
        <v>-2570746.2943656351</v>
      </c>
      <c r="Q334" s="17">
        <v>2.0749420379426745E-2</v>
      </c>
      <c r="R334">
        <f t="shared" si="45"/>
        <v>-0.52705271519926011</v>
      </c>
      <c r="S334">
        <f t="shared" si="46"/>
        <v>23841590701703.488</v>
      </c>
      <c r="T334">
        <f t="shared" si="47"/>
        <v>-0.53204049129218189</v>
      </c>
      <c r="U334">
        <f t="shared" si="48"/>
        <v>0.59504851857799057</v>
      </c>
      <c r="V334" s="64">
        <f t="shared" si="49"/>
        <v>1.5026796798145985E-3</v>
      </c>
      <c r="W334" s="16">
        <f t="shared" si="50"/>
        <v>-7.7446313869858993E-2</v>
      </c>
      <c r="X334">
        <v>331</v>
      </c>
    </row>
    <row r="335" spans="10:24" x14ac:dyDescent="0.25">
      <c r="J335">
        <f t="shared" si="51"/>
        <v>332</v>
      </c>
      <c r="K335">
        <f>'Modelo Ajustado'!B333</f>
        <v>15500</v>
      </c>
      <c r="L335">
        <f>'Modelo Ajustado'!C333</f>
        <v>0</v>
      </c>
      <c r="M335">
        <f>'Modelo Ajustado'!D333</f>
        <v>30</v>
      </c>
      <c r="N335">
        <f>'Modelo Ajustado'!A333</f>
        <v>1503906</v>
      </c>
      <c r="O335">
        <v>2554575.8793354235</v>
      </c>
      <c r="P335">
        <f t="shared" si="44"/>
        <v>-1050669.8793354235</v>
      </c>
      <c r="Q335" s="17">
        <v>4.4789818125004445E-3</v>
      </c>
      <c r="R335">
        <f t="shared" si="45"/>
        <v>-0.21540764792523448</v>
      </c>
      <c r="S335">
        <f t="shared" si="46"/>
        <v>23858376105708.727</v>
      </c>
      <c r="T335">
        <f t="shared" si="47"/>
        <v>-0.21558603490315345</v>
      </c>
      <c r="U335">
        <f t="shared" si="48"/>
        <v>0.829440861398133</v>
      </c>
      <c r="V335" s="64">
        <f t="shared" si="49"/>
        <v>5.2425270213766476E-5</v>
      </c>
      <c r="W335" s="16">
        <f t="shared" si="50"/>
        <v>-1.4460558197011872E-2</v>
      </c>
      <c r="X335">
        <v>332</v>
      </c>
    </row>
    <row r="336" spans="10:24" x14ac:dyDescent="0.25">
      <c r="J336">
        <f t="shared" si="51"/>
        <v>333</v>
      </c>
      <c r="K336">
        <f>'Modelo Ajustado'!B334</f>
        <v>16500</v>
      </c>
      <c r="L336">
        <f>'Modelo Ajustado'!C334</f>
        <v>13</v>
      </c>
      <c r="M336">
        <f>'Modelo Ajustado'!D334</f>
        <v>30</v>
      </c>
      <c r="N336">
        <f>'Modelo Ajustado'!A334</f>
        <v>1360372</v>
      </c>
      <c r="O336">
        <v>3069128.355481056</v>
      </c>
      <c r="P336">
        <f t="shared" si="44"/>
        <v>-1708756.355481056</v>
      </c>
      <c r="Q336" s="17">
        <v>3.8697995698264648E-3</v>
      </c>
      <c r="R336">
        <f t="shared" si="45"/>
        <v>-0.35032810462244329</v>
      </c>
      <c r="S336">
        <f t="shared" si="46"/>
        <v>23852952541468.793</v>
      </c>
      <c r="T336">
        <f t="shared" si="47"/>
        <v>-0.35055084415394921</v>
      </c>
      <c r="U336">
        <f t="shared" si="48"/>
        <v>0.72614435482304651</v>
      </c>
      <c r="V336" s="64">
        <f t="shared" si="49"/>
        <v>1.1965923590211723E-4</v>
      </c>
      <c r="W336" s="16">
        <f t="shared" si="50"/>
        <v>-2.1849283495393799E-2</v>
      </c>
      <c r="X336">
        <v>333</v>
      </c>
    </row>
    <row r="337" spans="10:24" x14ac:dyDescent="0.25">
      <c r="J337">
        <f t="shared" si="51"/>
        <v>334</v>
      </c>
      <c r="K337">
        <f>'Modelo Ajustado'!B335</f>
        <v>10000</v>
      </c>
      <c r="L337">
        <f>'Modelo Ajustado'!C335</f>
        <v>0</v>
      </c>
      <c r="M337">
        <f>'Modelo Ajustado'!D335</f>
        <v>15</v>
      </c>
      <c r="N337">
        <f>'Modelo Ajustado'!A335</f>
        <v>1000000</v>
      </c>
      <c r="O337">
        <v>157356.11733144941</v>
      </c>
      <c r="P337">
        <f t="shared" si="44"/>
        <v>842643.88266855059</v>
      </c>
      <c r="Q337" s="17">
        <v>9.2396907486802168E-3</v>
      </c>
      <c r="R337">
        <f t="shared" si="45"/>
        <v>0.17275829484997784</v>
      </c>
      <c r="S337">
        <f t="shared" si="46"/>
        <v>23859543377417.008</v>
      </c>
      <c r="T337">
        <f t="shared" si="47"/>
        <v>0.17331202965850448</v>
      </c>
      <c r="U337">
        <f t="shared" si="48"/>
        <v>0.86251021896213509</v>
      </c>
      <c r="V337" s="64">
        <f t="shared" si="49"/>
        <v>7.0232489344744468E-5</v>
      </c>
      <c r="W337" s="16">
        <f t="shared" si="50"/>
        <v>1.6736826963991751E-2</v>
      </c>
      <c r="X337">
        <v>334</v>
      </c>
    </row>
    <row r="338" spans="10:24" x14ac:dyDescent="0.25">
      <c r="J338">
        <f t="shared" si="51"/>
        <v>335</v>
      </c>
      <c r="K338">
        <f>'Modelo Ajustado'!B336</f>
        <v>10000</v>
      </c>
      <c r="L338">
        <f>'Modelo Ajustado'!C336</f>
        <v>18</v>
      </c>
      <c r="M338">
        <f>'Modelo Ajustado'!D336</f>
        <v>18</v>
      </c>
      <c r="N338">
        <f>'Modelo Ajustado'!A336</f>
        <v>1000000</v>
      </c>
      <c r="O338">
        <v>871827.3901262302</v>
      </c>
      <c r="P338">
        <f t="shared" si="44"/>
        <v>128172.6098737698</v>
      </c>
      <c r="Q338" s="17">
        <v>9.627660604298191E-3</v>
      </c>
      <c r="R338">
        <f t="shared" si="45"/>
        <v>2.6277864212507062E-2</v>
      </c>
      <c r="S338">
        <f t="shared" si="46"/>
        <v>23861626956602.258</v>
      </c>
      <c r="T338">
        <f t="shared" si="47"/>
        <v>2.6366103378440857E-2</v>
      </c>
      <c r="U338">
        <f t="shared" si="48"/>
        <v>0.97898093610005243</v>
      </c>
      <c r="V338" s="64">
        <f t="shared" si="49"/>
        <v>1.6945090965661312E-6</v>
      </c>
      <c r="W338" s="16">
        <f t="shared" si="50"/>
        <v>2.599603335230201E-3</v>
      </c>
      <c r="X338">
        <v>335</v>
      </c>
    </row>
    <row r="339" spans="10:24" x14ac:dyDescent="0.25">
      <c r="J339">
        <f t="shared" si="51"/>
        <v>336</v>
      </c>
      <c r="K339">
        <f>'Modelo Ajustado'!B337</f>
        <v>13957</v>
      </c>
      <c r="L339">
        <f>'Modelo Ajustado'!C337</f>
        <v>0</v>
      </c>
      <c r="M339">
        <f>'Modelo Ajustado'!D337</f>
        <v>133</v>
      </c>
      <c r="N339">
        <f>'Modelo Ajustado'!A337</f>
        <v>11000000</v>
      </c>
      <c r="O339">
        <v>11461956.717736306</v>
      </c>
      <c r="P339">
        <f t="shared" si="44"/>
        <v>-461956.71773630567</v>
      </c>
      <c r="Q339" s="17">
        <v>1.9431932710286301E-2</v>
      </c>
      <c r="R339">
        <f t="shared" si="45"/>
        <v>-9.4710062568635858E-2</v>
      </c>
      <c r="S339">
        <f t="shared" si="46"/>
        <v>23861028608034.25</v>
      </c>
      <c r="T339">
        <f t="shared" si="47"/>
        <v>-9.5503180115919906E-2</v>
      </c>
      <c r="U339">
        <f t="shared" si="48"/>
        <v>0.92397192777554271</v>
      </c>
      <c r="V339" s="64">
        <f t="shared" si="49"/>
        <v>4.5320298472043765E-5</v>
      </c>
      <c r="W339" s="16">
        <f t="shared" si="50"/>
        <v>-1.3444261744206314E-2</v>
      </c>
      <c r="X339">
        <v>336</v>
      </c>
    </row>
    <row r="340" spans="10:24" x14ac:dyDescent="0.25">
      <c r="J340">
        <f t="shared" si="51"/>
        <v>337</v>
      </c>
      <c r="K340">
        <f>'Modelo Ajustado'!B338</f>
        <v>14810</v>
      </c>
      <c r="L340">
        <f>'Modelo Ajustado'!C338</f>
        <v>0</v>
      </c>
      <c r="M340">
        <f>'Modelo Ajustado'!D338</f>
        <v>108</v>
      </c>
      <c r="N340">
        <f>'Modelo Ajustado'!A338</f>
        <v>11500000</v>
      </c>
      <c r="O340">
        <v>9391914.1932396069</v>
      </c>
      <c r="P340">
        <f t="shared" si="44"/>
        <v>2108085.8067603931</v>
      </c>
      <c r="Q340" s="17">
        <v>1.2683366239567529E-2</v>
      </c>
      <c r="R340">
        <f t="shared" si="45"/>
        <v>0.43219836619477042</v>
      </c>
      <c r="S340">
        <f t="shared" si="46"/>
        <v>23848280149641.969</v>
      </c>
      <c r="T340">
        <f t="shared" si="47"/>
        <v>0.43444172051669655</v>
      </c>
      <c r="U340">
        <f t="shared" si="48"/>
        <v>0.66424573925039287</v>
      </c>
      <c r="V340" s="64">
        <f t="shared" si="49"/>
        <v>6.0761414541953527E-4</v>
      </c>
      <c r="W340" s="16">
        <f t="shared" si="50"/>
        <v>4.9240285757161717E-2</v>
      </c>
      <c r="X340">
        <v>337</v>
      </c>
    </row>
    <row r="341" spans="10:24" x14ac:dyDescent="0.25">
      <c r="J341">
        <f t="shared" si="51"/>
        <v>338</v>
      </c>
      <c r="K341">
        <f>'Modelo Ajustado'!B339</f>
        <v>14227</v>
      </c>
      <c r="L341">
        <f>'Modelo Ajustado'!C339</f>
        <v>20</v>
      </c>
      <c r="M341">
        <f>'Modelo Ajustado'!D339</f>
        <v>129</v>
      </c>
      <c r="N341">
        <f>'Modelo Ajustado'!A339</f>
        <v>12000000</v>
      </c>
      <c r="O341">
        <v>11652403.310117327</v>
      </c>
      <c r="P341">
        <f t="shared" si="44"/>
        <v>347596.68988267332</v>
      </c>
      <c r="Q341" s="17">
        <v>1.2687519868436343E-2</v>
      </c>
      <c r="R341">
        <f t="shared" si="45"/>
        <v>7.1264044841167634E-2</v>
      </c>
      <c r="S341">
        <f t="shared" si="46"/>
        <v>23861312110806.645</v>
      </c>
      <c r="T341">
        <f t="shared" si="47"/>
        <v>7.1614531969646927E-2</v>
      </c>
      <c r="U341">
        <f t="shared" si="48"/>
        <v>0.94295115615680014</v>
      </c>
      <c r="V341" s="64">
        <f t="shared" si="49"/>
        <v>1.6525264816915455E-5</v>
      </c>
      <c r="W341" s="16">
        <f t="shared" si="50"/>
        <v>8.1182460945380588E-3</v>
      </c>
      <c r="X341">
        <v>338</v>
      </c>
    </row>
    <row r="342" spans="10:24" x14ac:dyDescent="0.25">
      <c r="J342">
        <f t="shared" si="51"/>
        <v>339</v>
      </c>
      <c r="K342">
        <f>'Modelo Ajustado'!B340</f>
        <v>16000</v>
      </c>
      <c r="L342">
        <f>'Modelo Ajustado'!C340</f>
        <v>0</v>
      </c>
      <c r="M342">
        <f>'Modelo Ajustado'!D340</f>
        <v>80</v>
      </c>
      <c r="N342">
        <f>'Modelo Ajustado'!A340</f>
        <v>7000000</v>
      </c>
      <c r="O342">
        <v>7118553.6908220761</v>
      </c>
      <c r="P342">
        <f t="shared" si="44"/>
        <v>-118553.69082207605</v>
      </c>
      <c r="Q342" s="17">
        <v>7.3121547857272363E-3</v>
      </c>
      <c r="R342">
        <f t="shared" si="45"/>
        <v>-2.4305799752241803E-2</v>
      </c>
      <c r="S342">
        <f t="shared" si="46"/>
        <v>23861634187001.043</v>
      </c>
      <c r="T342">
        <f t="shared" si="47"/>
        <v>-2.4358953993152448E-2</v>
      </c>
      <c r="U342">
        <f t="shared" si="48"/>
        <v>0.98058070560041943</v>
      </c>
      <c r="V342" s="64">
        <f t="shared" si="49"/>
        <v>1.095922409110012E-6</v>
      </c>
      <c r="W342" s="16">
        <f t="shared" si="50"/>
        <v>-2.0906193756207738E-3</v>
      </c>
      <c r="X342">
        <v>339</v>
      </c>
    </row>
    <row r="343" spans="10:24" x14ac:dyDescent="0.25">
      <c r="J343">
        <f t="shared" si="51"/>
        <v>340</v>
      </c>
      <c r="K343">
        <f>'Modelo Ajustado'!B341</f>
        <v>17000</v>
      </c>
      <c r="L343">
        <f>'Modelo Ajustado'!C341</f>
        <v>0</v>
      </c>
      <c r="M343">
        <f>'Modelo Ajustado'!D341</f>
        <v>90</v>
      </c>
      <c r="N343">
        <f>'Modelo Ajustado'!A341</f>
        <v>8500000</v>
      </c>
      <c r="O343">
        <v>8204288.2768020574</v>
      </c>
      <c r="P343">
        <f t="shared" si="44"/>
        <v>295711.7231979426</v>
      </c>
      <c r="Q343" s="17">
        <v>8.5477666779414287E-3</v>
      </c>
      <c r="R343">
        <f t="shared" si="45"/>
        <v>6.0626623081912127E-2</v>
      </c>
      <c r="S343">
        <f t="shared" si="46"/>
        <v>23861413827406.594</v>
      </c>
      <c r="T343">
        <f t="shared" si="47"/>
        <v>6.0797337130011557E-2</v>
      </c>
      <c r="U343">
        <f t="shared" si="48"/>
        <v>0.95155665002661882</v>
      </c>
      <c r="V343" s="64">
        <f t="shared" si="49"/>
        <v>7.9905345582683995E-6</v>
      </c>
      <c r="W343" s="16">
        <f t="shared" si="50"/>
        <v>5.6451435467268444E-3</v>
      </c>
      <c r="X343">
        <v>340</v>
      </c>
    </row>
    <row r="344" spans="10:24" x14ac:dyDescent="0.25">
      <c r="J344" s="4">
        <f t="shared" si="51"/>
        <v>341</v>
      </c>
      <c r="K344" s="4">
        <f>'Modelo Ajustado'!B342</f>
        <v>18000</v>
      </c>
      <c r="L344" s="4">
        <f>'Modelo Ajustado'!C342</f>
        <v>90</v>
      </c>
      <c r="M344" s="4">
        <f>'Modelo Ajustado'!D342</f>
        <v>100</v>
      </c>
      <c r="N344" s="4">
        <f>'Modelo Ajustado'!A342</f>
        <v>9900000</v>
      </c>
      <c r="O344" s="4">
        <v>11522009.05392372</v>
      </c>
      <c r="P344" s="4">
        <f t="shared" si="44"/>
        <v>-1622009.0539237205</v>
      </c>
      <c r="Q344" s="19">
        <v>9.0205877235302549E-3</v>
      </c>
      <c r="R344" s="4">
        <f t="shared" si="45"/>
        <v>-0.33254322988695922</v>
      </c>
      <c r="S344" s="4">
        <f t="shared" si="46"/>
        <v>23853774951055.117</v>
      </c>
      <c r="T344" s="4">
        <f t="shared" si="47"/>
        <v>-0.33361256496959352</v>
      </c>
      <c r="U344" s="4">
        <f t="shared" si="48"/>
        <v>0.73887941659059986</v>
      </c>
      <c r="V344" s="131">
        <f t="shared" si="49"/>
        <v>2.539462477219641E-4</v>
      </c>
      <c r="W344" s="128">
        <f t="shared" si="50"/>
        <v>-3.1829330254020752E-2</v>
      </c>
      <c r="X344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C2711-E3B7-4C9D-A22B-8B27B6C52BA2}">
  <dimension ref="A1:M296"/>
  <sheetViews>
    <sheetView showGridLines="0" tabSelected="1" topLeftCell="F1" workbookViewId="0">
      <selection activeCell="F2" sqref="F2:M21"/>
    </sheetView>
  </sheetViews>
  <sheetFormatPr baseColWidth="10" defaultRowHeight="12" x14ac:dyDescent="0.2"/>
  <cols>
    <col min="1" max="1" width="14.85546875" style="103" customWidth="1"/>
    <col min="2" max="2" width="10.85546875" style="103" bestFit="1" customWidth="1"/>
    <col min="3" max="3" width="12.5703125" style="103" bestFit="1" customWidth="1"/>
    <col min="4" max="4" width="10.7109375" style="103" bestFit="1" customWidth="1"/>
    <col min="5" max="16384" width="11.42578125" style="103"/>
  </cols>
  <sheetData>
    <row r="1" spans="1:12" ht="12.75" thickTop="1" x14ac:dyDescent="0.2">
      <c r="A1" s="140" t="str">
        <f>'Modelo Ajustado'!A1</f>
        <v>ventas_anuales</v>
      </c>
      <c r="B1" s="140" t="str">
        <f>'Modelo Ajustado'!B1</f>
        <v>salario_prom</v>
      </c>
      <c r="C1" s="140" t="str">
        <f>'Modelo Ajustado'!C1</f>
        <v>total_emp_entr</v>
      </c>
      <c r="D1" s="140" t="str">
        <f>'Modelo Ajustado'!D1</f>
        <v>n°empleados</v>
      </c>
    </row>
    <row r="2" spans="1:12" x14ac:dyDescent="0.2">
      <c r="A2" s="103">
        <f>'Modelo Ajustado'!A5</f>
        <v>1560000</v>
      </c>
      <c r="B2" s="103">
        <f>'Modelo Ajustado'!B5</f>
        <v>10500</v>
      </c>
      <c r="C2" s="103">
        <f>'Modelo Ajustado'!C5</f>
        <v>12</v>
      </c>
      <c r="D2" s="103">
        <f>'Modelo Ajustado'!D5</f>
        <v>12</v>
      </c>
      <c r="F2" s="103" t="s">
        <v>9</v>
      </c>
    </row>
    <row r="3" spans="1:12" x14ac:dyDescent="0.2">
      <c r="A3" s="103">
        <f>'Modelo Ajustado'!A6</f>
        <v>1970000</v>
      </c>
      <c r="B3" s="103">
        <f>'Modelo Ajustado'!B6</f>
        <v>11000</v>
      </c>
      <c r="C3" s="103">
        <f>'Modelo Ajustado'!C6</f>
        <v>13</v>
      </c>
      <c r="D3" s="103">
        <f>'Modelo Ajustado'!D6</f>
        <v>13</v>
      </c>
    </row>
    <row r="4" spans="1:12" ht="12.75" thickBot="1" x14ac:dyDescent="0.25">
      <c r="A4" s="103">
        <f>'Modelo Ajustado'!A7</f>
        <v>2350000</v>
      </c>
      <c r="B4" s="103">
        <f>'Modelo Ajustado'!B7</f>
        <v>11500</v>
      </c>
      <c r="C4" s="103">
        <f>'Modelo Ajustado'!C7</f>
        <v>14</v>
      </c>
      <c r="D4" s="103">
        <f>'Modelo Ajustado'!D7</f>
        <v>14</v>
      </c>
      <c r="F4" s="142" t="s">
        <v>10</v>
      </c>
      <c r="G4" s="142"/>
      <c r="I4" s="142"/>
      <c r="J4" s="142"/>
    </row>
    <row r="5" spans="1:12" ht="12.75" thickTop="1" x14ac:dyDescent="0.2">
      <c r="A5" s="103">
        <f>'Modelo Ajustado'!A8</f>
        <v>750000</v>
      </c>
      <c r="B5" s="103">
        <f>'Modelo Ajustado'!B8</f>
        <v>17680</v>
      </c>
      <c r="C5" s="103">
        <f>'Modelo Ajustado'!C8</f>
        <v>15</v>
      </c>
      <c r="D5" s="103">
        <f>'Modelo Ajustado'!D8</f>
        <v>20</v>
      </c>
      <c r="F5" s="103" t="s">
        <v>11</v>
      </c>
      <c r="G5" s="103">
        <f>SQRT(G6)</f>
        <v>0.90952104697192626</v>
      </c>
      <c r="I5" s="103" t="s">
        <v>16</v>
      </c>
      <c r="J5" s="103">
        <f>G9*LN(H14/G9)+2*(G13+1)</f>
        <v>8459.6839035980156</v>
      </c>
    </row>
    <row r="6" spans="1:12" x14ac:dyDescent="0.2">
      <c r="A6" s="103">
        <f>'Modelo Ajustado'!A9</f>
        <v>110000</v>
      </c>
      <c r="B6" s="103">
        <f>'Modelo Ajustado'!B9</f>
        <v>18720</v>
      </c>
      <c r="C6" s="103">
        <f>'Modelo Ajustado'!C9</f>
        <v>10</v>
      </c>
      <c r="D6" s="103">
        <f>'Modelo Ajustado'!D9</f>
        <v>25</v>
      </c>
      <c r="F6" s="103" t="s">
        <v>12</v>
      </c>
      <c r="G6" s="103">
        <f>H13/H15</f>
        <v>0.82722853488490888</v>
      </c>
      <c r="I6" s="103" t="s">
        <v>17</v>
      </c>
      <c r="J6" s="103">
        <f>J5+2*(G13+2)*(G13+3)/(G9-G13-3)</f>
        <v>8459.8915160547622</v>
      </c>
    </row>
    <row r="7" spans="1:12" x14ac:dyDescent="0.2">
      <c r="A7" s="103">
        <f>'Modelo Ajustado'!A10</f>
        <v>950000</v>
      </c>
      <c r="B7" s="103">
        <f>'Modelo Ajustado'!B10</f>
        <v>19760</v>
      </c>
      <c r="C7" s="103">
        <f>'Modelo Ajustado'!C10</f>
        <v>20</v>
      </c>
      <c r="D7" s="103">
        <f>'Modelo Ajustado'!D10</f>
        <v>24</v>
      </c>
      <c r="F7" s="103" t="s">
        <v>13</v>
      </c>
      <c r="G7" s="103">
        <f>1-(1-G6)*(G9-1)/(G9-G13-1)</f>
        <v>0.82544738576001109</v>
      </c>
      <c r="I7" s="141" t="s">
        <v>18</v>
      </c>
      <c r="J7" s="141">
        <f>G9*LN(H14/G9)+(G13+1)*LN(G9)</f>
        <v>8474.4318050233742</v>
      </c>
    </row>
    <row r="8" spans="1:12" x14ac:dyDescent="0.2">
      <c r="A8" s="103">
        <f>'Modelo Ajustado'!A14</f>
        <v>3400000</v>
      </c>
      <c r="B8" s="103">
        <f>'Modelo Ajustado'!B14</f>
        <v>18500</v>
      </c>
      <c r="C8" s="103">
        <f>'Modelo Ajustado'!C14</f>
        <v>0</v>
      </c>
      <c r="D8" s="103">
        <f>'Modelo Ajustado'!D14</f>
        <v>20</v>
      </c>
      <c r="F8" s="103" t="s">
        <v>14</v>
      </c>
      <c r="G8" s="103">
        <f>SQRT(I14)</f>
        <v>1675653.8692765147</v>
      </c>
    </row>
    <row r="9" spans="1:12" x14ac:dyDescent="0.2">
      <c r="A9" s="103">
        <f>'Modelo Ajustado'!A15</f>
        <v>1413900</v>
      </c>
      <c r="B9" s="103">
        <f>'Modelo Ajustado'!B15</f>
        <v>18465</v>
      </c>
      <c r="C9" s="103">
        <f>'Modelo Ajustado'!C15</f>
        <v>0</v>
      </c>
      <c r="D9" s="103">
        <f>'Modelo Ajustado'!D15</f>
        <v>15</v>
      </c>
      <c r="F9" s="141" t="s">
        <v>15</v>
      </c>
      <c r="G9" s="141">
        <f>COUNT(A2:A296)</f>
        <v>295</v>
      </c>
    </row>
    <row r="10" spans="1:12" x14ac:dyDescent="0.2">
      <c r="A10" s="103">
        <f>'Modelo Ajustado'!A16</f>
        <v>1869348</v>
      </c>
      <c r="B10" s="103">
        <f>'Modelo Ajustado'!B16</f>
        <v>18972</v>
      </c>
      <c r="C10" s="103">
        <f>'Modelo Ajustado'!C16</f>
        <v>0</v>
      </c>
      <c r="D10" s="103">
        <f>'Modelo Ajustado'!D16</f>
        <v>16</v>
      </c>
    </row>
    <row r="11" spans="1:12" ht="12.75" thickBot="1" x14ac:dyDescent="0.25">
      <c r="A11" s="103">
        <f>'Modelo Ajustado'!A17</f>
        <v>1857765</v>
      </c>
      <c r="B11" s="103">
        <f>'Modelo Ajustado'!B17</f>
        <v>19589</v>
      </c>
      <c r="C11" s="103">
        <f>'Modelo Ajustado'!C17</f>
        <v>16</v>
      </c>
      <c r="D11" s="103">
        <f>'Modelo Ajustado'!D17</f>
        <v>16</v>
      </c>
      <c r="F11" s="103" t="s">
        <v>19</v>
      </c>
      <c r="J11" s="126" t="s">
        <v>20</v>
      </c>
      <c r="K11" s="126">
        <v>0.05</v>
      </c>
    </row>
    <row r="12" spans="1:12" ht="12.75" thickTop="1" x14ac:dyDescent="0.2">
      <c r="A12" s="103">
        <f>'Modelo Ajustado'!A18</f>
        <v>2160900</v>
      </c>
      <c r="B12" s="103">
        <f>'Modelo Ajustado'!B18</f>
        <v>14352</v>
      </c>
      <c r="C12" s="103">
        <f>'Modelo Ajustado'!C18</f>
        <v>3</v>
      </c>
      <c r="D12" s="103">
        <f>'Modelo Ajustado'!D18</f>
        <v>48</v>
      </c>
      <c r="F12" s="140"/>
      <c r="G12" s="140" t="s">
        <v>21</v>
      </c>
      <c r="H12" s="140" t="s">
        <v>22</v>
      </c>
      <c r="I12" s="140" t="s">
        <v>23</v>
      </c>
      <c r="J12" s="140" t="s">
        <v>24</v>
      </c>
      <c r="K12" s="140" t="s">
        <v>25</v>
      </c>
      <c r="L12" s="140" t="s">
        <v>26</v>
      </c>
    </row>
    <row r="13" spans="1:12" x14ac:dyDescent="0.2">
      <c r="A13" s="103">
        <f>'Modelo Ajustado'!A19</f>
        <v>2454500</v>
      </c>
      <c r="B13" s="103">
        <f>'Modelo Ajustado'!B19</f>
        <v>16328</v>
      </c>
      <c r="C13" s="103">
        <f>'Modelo Ajustado'!C19</f>
        <v>3</v>
      </c>
      <c r="D13" s="103">
        <f>'Modelo Ajustado'!D19</f>
        <v>47</v>
      </c>
      <c r="F13" s="103" t="s">
        <v>27</v>
      </c>
      <c r="G13" s="103">
        <f>COUNT(B2:D2)</f>
        <v>3</v>
      </c>
      <c r="H13" s="103">
        <f>DEVSQ(MMULT([1]!DESIGN(B2:D296),G18:G21))</f>
        <v>3912146476895224.5</v>
      </c>
      <c r="I13" s="103">
        <f>H13/G13</f>
        <v>1304048825631741.5</v>
      </c>
      <c r="J13" s="103">
        <f>I13/I14</f>
        <v>464.43530377185715</v>
      </c>
      <c r="K13" s="103">
        <f>_xlfn.F.DIST.RT(J13,G13,G14)</f>
        <v>1.4005662487012489E-110</v>
      </c>
      <c r="L13" s="126" t="str">
        <f>IF(K13&lt;K11,"yes","no")</f>
        <v>yes</v>
      </c>
    </row>
    <row r="14" spans="1:12" x14ac:dyDescent="0.2">
      <c r="A14" s="103">
        <f>'Modelo Ajustado'!A20</f>
        <v>3359800</v>
      </c>
      <c r="B14" s="103">
        <f>'Modelo Ajustado'!B20</f>
        <v>17555</v>
      </c>
      <c r="C14" s="103">
        <f>'Modelo Ajustado'!C20</f>
        <v>4</v>
      </c>
      <c r="D14" s="103">
        <f>'Modelo Ajustado'!D20</f>
        <v>66</v>
      </c>
      <c r="F14" s="103" t="s">
        <v>28</v>
      </c>
      <c r="G14" s="103">
        <f>G15-G13</f>
        <v>291</v>
      </c>
      <c r="H14" s="103">
        <f>H15-H13</f>
        <v>817074423879814.5</v>
      </c>
      <c r="I14" s="103">
        <f>H14/G14</f>
        <v>2807815889621.3555</v>
      </c>
    </row>
    <row r="15" spans="1:12" x14ac:dyDescent="0.2">
      <c r="A15" s="103">
        <f>'Modelo Ajustado'!A21</f>
        <v>1453081</v>
      </c>
      <c r="B15" s="103">
        <f>'Modelo Ajustado'!B21</f>
        <v>16454</v>
      </c>
      <c r="C15" s="103">
        <f>'Modelo Ajustado'!C21</f>
        <v>5</v>
      </c>
      <c r="D15" s="103">
        <f>'Modelo Ajustado'!D21</f>
        <v>17</v>
      </c>
      <c r="F15" s="141" t="s">
        <v>29</v>
      </c>
      <c r="G15" s="141">
        <f>G9-1</f>
        <v>294</v>
      </c>
      <c r="H15" s="141">
        <f>DEVSQ(A2:A296)</f>
        <v>4729220900775039</v>
      </c>
      <c r="I15" s="141"/>
      <c r="J15" s="141"/>
      <c r="K15" s="141"/>
      <c r="L15" s="141"/>
    </row>
    <row r="16" spans="1:12" ht="12.75" thickBot="1" x14ac:dyDescent="0.25">
      <c r="A16" s="103">
        <f>'Modelo Ajustado'!A22</f>
        <v>1546911</v>
      </c>
      <c r="B16" s="103">
        <f>'Modelo Ajustado'!B22</f>
        <v>18529</v>
      </c>
      <c r="C16" s="103">
        <f>'Modelo Ajustado'!C22</f>
        <v>3</v>
      </c>
      <c r="D16" s="103">
        <f>'Modelo Ajustado'!D22</f>
        <v>16</v>
      </c>
    </row>
    <row r="17" spans="1:13" ht="12.75" thickTop="1" x14ac:dyDescent="0.2">
      <c r="A17" s="103">
        <f>'Modelo Ajustado'!A23</f>
        <v>1672366</v>
      </c>
      <c r="B17" s="103">
        <f>'Modelo Ajustado'!B23</f>
        <v>26428</v>
      </c>
      <c r="C17" s="103">
        <f>'Modelo Ajustado'!C23</f>
        <v>0</v>
      </c>
      <c r="D17" s="103">
        <f>'Modelo Ajustado'!D23</f>
        <v>14</v>
      </c>
      <c r="F17" s="140"/>
      <c r="G17" s="140" t="s">
        <v>30</v>
      </c>
      <c r="H17" s="140" t="s">
        <v>31</v>
      </c>
      <c r="I17" s="140" t="s">
        <v>32</v>
      </c>
      <c r="J17" s="140" t="s">
        <v>25</v>
      </c>
      <c r="K17" s="140" t="s">
        <v>33</v>
      </c>
      <c r="L17" s="140" t="s">
        <v>34</v>
      </c>
      <c r="M17" s="140" t="s">
        <v>35</v>
      </c>
    </row>
    <row r="18" spans="1:13" x14ac:dyDescent="0.2">
      <c r="A18" s="103">
        <f>'Modelo Ajustado'!A24</f>
        <v>8000000</v>
      </c>
      <c r="B18" s="103">
        <f>'Modelo Ajustado'!B24</f>
        <v>19760</v>
      </c>
      <c r="C18" s="103">
        <f>'Modelo Ajustado'!C24</f>
        <v>35</v>
      </c>
      <c r="D18" s="103">
        <f>'Modelo Ajustado'!D24</f>
        <v>70</v>
      </c>
      <c r="F18" s="103" t="s">
        <v>36</v>
      </c>
      <c r="G18" s="103">
        <f t="array" ref="G18:H21">[1]!RegCoeff(B2:D296,A2:A296)</f>
        <v>-1001089.9890706451</v>
      </c>
      <c r="H18" s="103">
        <v>327087.406534234</v>
      </c>
      <c r="I18" s="103">
        <f>G18/H18</f>
        <v>-3.060619177234718</v>
      </c>
      <c r="J18" s="143">
        <f>_xlfn.T.DIST.2T(ABS(I18),$G$14)</f>
        <v>2.4148775838615786E-3</v>
      </c>
      <c r="K18" s="103">
        <f>G18-_xlfn.T.INV.2T(K$11,$G$14)*H18</f>
        <v>-1644846.922441069</v>
      </c>
      <c r="L18" s="103">
        <f>G18+_xlfn.T.INV.2T(K$11,$G$14)*H18</f>
        <v>-357333.0557002211</v>
      </c>
    </row>
    <row r="19" spans="1:13" x14ac:dyDescent="0.2">
      <c r="A19" s="103">
        <f>'Modelo Ajustado'!A25</f>
        <v>11000000</v>
      </c>
      <c r="B19" s="103">
        <f>'Modelo Ajustado'!B25</f>
        <v>22360</v>
      </c>
      <c r="C19" s="103">
        <f>'Modelo Ajustado'!C25</f>
        <v>40</v>
      </c>
      <c r="D19" s="103">
        <f>'Modelo Ajustado'!D25</f>
        <v>85</v>
      </c>
      <c r="F19" s="103" t="str">
        <f t="array" ref="F19:F21">TRANSPOSE(B1:D1)</f>
        <v>salario_prom</v>
      </c>
      <c r="G19" s="103">
        <v>57.127273626902394</v>
      </c>
      <c r="H19" s="103">
        <v>16.075806260169671</v>
      </c>
      <c r="I19" s="103">
        <f t="shared" ref="I19:I21" si="0">G19/H19</f>
        <v>3.5536179462702386</v>
      </c>
      <c r="J19" s="143">
        <f t="shared" ref="J19:J21" si="1">_xlfn.T.DIST.2T(ABS(I19),$G$14)</f>
        <v>4.4318274886437164E-4</v>
      </c>
      <c r="K19" s="103">
        <f t="shared" ref="K19:K21" si="2">G19-_xlfn.T.INV.2T(K$11,$G$14)*H19</f>
        <v>25.487682701775348</v>
      </c>
      <c r="L19" s="103">
        <f t="shared" ref="L19:L21" si="3">G19+_xlfn.T.INV.2T(K$11,$G$14)*H19</f>
        <v>88.766864552029432</v>
      </c>
      <c r="M19" s="103">
        <f>[1]!VIF(B2:D296,1)</f>
        <v>1.0074783055803782</v>
      </c>
    </row>
    <row r="20" spans="1:13" x14ac:dyDescent="0.2">
      <c r="A20" s="103">
        <f>'Modelo Ajustado'!A26</f>
        <v>15000000</v>
      </c>
      <c r="B20" s="103">
        <f>'Modelo Ajustado'!B26</f>
        <v>23920</v>
      </c>
      <c r="C20" s="103">
        <f>'Modelo Ajustado'!C26</f>
        <v>40</v>
      </c>
      <c r="D20" s="103">
        <f>'Modelo Ajustado'!D26</f>
        <v>98</v>
      </c>
      <c r="F20" s="103" t="str">
        <v>total_emp_entr</v>
      </c>
      <c r="G20" s="103">
        <v>18821.787785880664</v>
      </c>
      <c r="H20" s="103">
        <v>4794.7494912159445</v>
      </c>
      <c r="I20" s="103">
        <f t="shared" si="0"/>
        <v>3.9254997201339656</v>
      </c>
      <c r="J20" s="143">
        <f t="shared" si="1"/>
        <v>1.0809735231512947E-4</v>
      </c>
      <c r="K20" s="103">
        <f t="shared" si="2"/>
        <v>9385.0037120141023</v>
      </c>
      <c r="L20" s="103">
        <f t="shared" si="3"/>
        <v>28258.571859747226</v>
      </c>
      <c r="M20" s="103">
        <f>[1]!VIF(B2:D296,2)</f>
        <v>1.6188620481394984</v>
      </c>
    </row>
    <row r="21" spans="1:13" x14ac:dyDescent="0.2">
      <c r="A21" s="103">
        <f>'Modelo Ajustado'!A27</f>
        <v>1535242</v>
      </c>
      <c r="B21" s="103">
        <f>'Modelo Ajustado'!B27</f>
        <v>20000</v>
      </c>
      <c r="C21" s="103">
        <f>'Modelo Ajustado'!C27</f>
        <v>0</v>
      </c>
      <c r="D21" s="103">
        <f>'Modelo Ajustado'!D27</f>
        <v>45</v>
      </c>
      <c r="F21" s="141" t="str">
        <v>n°empleados</v>
      </c>
      <c r="G21" s="141">
        <v>90327.178722895813</v>
      </c>
      <c r="H21" s="141">
        <v>3390.4301424810592</v>
      </c>
      <c r="I21" s="141">
        <f t="shared" si="0"/>
        <v>26.641805000233958</v>
      </c>
      <c r="J21" s="141">
        <f t="shared" si="1"/>
        <v>4.9025074220154604E-80</v>
      </c>
      <c r="K21" s="141">
        <f t="shared" si="2"/>
        <v>83654.305149263382</v>
      </c>
      <c r="L21" s="141">
        <f t="shared" si="3"/>
        <v>97000.052296528243</v>
      </c>
      <c r="M21" s="141">
        <f>[1]!VIF(B2:D296,3)</f>
        <v>1.6101840780687775</v>
      </c>
    </row>
    <row r="22" spans="1:13" x14ac:dyDescent="0.2">
      <c r="A22" s="103">
        <f>'Modelo Ajustado'!A28</f>
        <v>3209188</v>
      </c>
      <c r="B22" s="103">
        <f>'Modelo Ajustado'!B28</f>
        <v>22000</v>
      </c>
      <c r="C22" s="103">
        <f>'Modelo Ajustado'!C28</f>
        <v>0</v>
      </c>
      <c r="D22" s="103">
        <f>'Modelo Ajustado'!D28</f>
        <v>47</v>
      </c>
    </row>
    <row r="23" spans="1:13" x14ac:dyDescent="0.2">
      <c r="A23" s="103">
        <f>'Modelo Ajustado'!A29</f>
        <v>4030352</v>
      </c>
      <c r="B23" s="103">
        <f>'Modelo Ajustado'!B29</f>
        <v>23650</v>
      </c>
      <c r="C23" s="103">
        <f>'Modelo Ajustado'!C29</f>
        <v>2</v>
      </c>
      <c r="D23" s="103">
        <f>'Modelo Ajustado'!D29</f>
        <v>51</v>
      </c>
    </row>
    <row r="24" spans="1:13" x14ac:dyDescent="0.2">
      <c r="A24" s="103">
        <f>'Modelo Ajustado'!A33</f>
        <v>1600000</v>
      </c>
      <c r="B24" s="103">
        <f>'Modelo Ajustado'!B33</f>
        <v>11500</v>
      </c>
      <c r="C24" s="103">
        <f>'Modelo Ajustado'!C33</f>
        <v>3</v>
      </c>
      <c r="D24" s="103">
        <f>'Modelo Ajustado'!D33</f>
        <v>14</v>
      </c>
    </row>
    <row r="25" spans="1:13" x14ac:dyDescent="0.2">
      <c r="A25" s="103">
        <f>'Modelo Ajustado'!A34</f>
        <v>900000</v>
      </c>
      <c r="B25" s="103">
        <f>'Modelo Ajustado'!B34</f>
        <v>13000</v>
      </c>
      <c r="C25" s="103">
        <f>'Modelo Ajustado'!C34</f>
        <v>5</v>
      </c>
      <c r="D25" s="103">
        <f>'Modelo Ajustado'!D34</f>
        <v>12</v>
      </c>
    </row>
    <row r="26" spans="1:13" x14ac:dyDescent="0.2">
      <c r="A26" s="103">
        <f>'Modelo Ajustado'!A35</f>
        <v>1300000</v>
      </c>
      <c r="B26" s="103">
        <f>'Modelo Ajustado'!B35</f>
        <v>14700</v>
      </c>
      <c r="C26" s="103">
        <f>'Modelo Ajustado'!C35</f>
        <v>9</v>
      </c>
      <c r="D26" s="103">
        <f>'Modelo Ajustado'!D35</f>
        <v>16</v>
      </c>
    </row>
    <row r="27" spans="1:13" x14ac:dyDescent="0.2">
      <c r="A27" s="103">
        <f>'Modelo Ajustado'!A36</f>
        <v>420664</v>
      </c>
      <c r="B27" s="103">
        <f>'Modelo Ajustado'!B36</f>
        <v>4237</v>
      </c>
      <c r="C27" s="103">
        <f>'Modelo Ajustado'!C36</f>
        <v>0</v>
      </c>
      <c r="D27" s="103">
        <f>'Modelo Ajustado'!D36</f>
        <v>10</v>
      </c>
    </row>
    <row r="28" spans="1:13" x14ac:dyDescent="0.2">
      <c r="A28" s="103">
        <f>'Modelo Ajustado'!A37</f>
        <v>544602</v>
      </c>
      <c r="B28" s="103">
        <f>'Modelo Ajustado'!B37</f>
        <v>7484</v>
      </c>
      <c r="C28" s="103">
        <f>'Modelo Ajustado'!C37</f>
        <v>0</v>
      </c>
      <c r="D28" s="103">
        <f>'Modelo Ajustado'!D37</f>
        <v>11</v>
      </c>
    </row>
    <row r="29" spans="1:13" x14ac:dyDescent="0.2">
      <c r="A29" s="103">
        <f>'Modelo Ajustado'!A38</f>
        <v>495331</v>
      </c>
      <c r="B29" s="103">
        <f>'Modelo Ajustado'!B38</f>
        <v>9548</v>
      </c>
      <c r="C29" s="103">
        <f>'Modelo Ajustado'!C38</f>
        <v>0</v>
      </c>
      <c r="D29" s="103">
        <f>'Modelo Ajustado'!D38</f>
        <v>9</v>
      </c>
    </row>
    <row r="30" spans="1:13" x14ac:dyDescent="0.2">
      <c r="A30" s="103">
        <f>'Modelo Ajustado'!A39</f>
        <v>1502502</v>
      </c>
      <c r="B30" s="103">
        <f>'Modelo Ajustado'!B39</f>
        <v>11742</v>
      </c>
      <c r="C30" s="103">
        <f>'Modelo Ajustado'!C39</f>
        <v>2</v>
      </c>
      <c r="D30" s="103">
        <f>'Modelo Ajustado'!D39</f>
        <v>15</v>
      </c>
    </row>
    <row r="31" spans="1:13" x14ac:dyDescent="0.2">
      <c r="A31" s="103">
        <f>'Modelo Ajustado'!A40</f>
        <v>1840912</v>
      </c>
      <c r="B31" s="103">
        <f>'Modelo Ajustado'!B40</f>
        <v>12740</v>
      </c>
      <c r="C31" s="103">
        <f>'Modelo Ajustado'!C40</f>
        <v>2</v>
      </c>
      <c r="D31" s="103">
        <f>'Modelo Ajustado'!D40</f>
        <v>16</v>
      </c>
    </row>
    <row r="32" spans="1:13" x14ac:dyDescent="0.2">
      <c r="A32" s="103">
        <f>'Modelo Ajustado'!A41</f>
        <v>2273869</v>
      </c>
      <c r="B32" s="103">
        <f>'Modelo Ajustado'!B41</f>
        <v>13700</v>
      </c>
      <c r="C32" s="103">
        <f>'Modelo Ajustado'!C41</f>
        <v>3</v>
      </c>
      <c r="D32" s="103">
        <f>'Modelo Ajustado'!D41</f>
        <v>18</v>
      </c>
    </row>
    <row r="33" spans="1:4" x14ac:dyDescent="0.2">
      <c r="A33" s="103">
        <f>'Modelo Ajustado'!A42</f>
        <v>5286605</v>
      </c>
      <c r="B33" s="103">
        <f>'Modelo Ajustado'!B42</f>
        <v>20800</v>
      </c>
      <c r="C33" s="103">
        <f>'Modelo Ajustado'!C42</f>
        <v>50</v>
      </c>
      <c r="D33" s="103">
        <f>'Modelo Ajustado'!D42</f>
        <v>60</v>
      </c>
    </row>
    <row r="34" spans="1:4" x14ac:dyDescent="0.2">
      <c r="A34" s="103">
        <f>'Modelo Ajustado'!A43</f>
        <v>5200000</v>
      </c>
      <c r="B34" s="103">
        <f>'Modelo Ajustado'!B43</f>
        <v>20000</v>
      </c>
      <c r="C34" s="103">
        <f>'Modelo Ajustado'!C43</f>
        <v>0</v>
      </c>
      <c r="D34" s="103">
        <f>'Modelo Ajustado'!D43</f>
        <v>50</v>
      </c>
    </row>
    <row r="35" spans="1:4" x14ac:dyDescent="0.2">
      <c r="A35" s="103">
        <f>'Modelo Ajustado'!A44</f>
        <v>6500000</v>
      </c>
      <c r="B35" s="103">
        <f>'Modelo Ajustado'!B44</f>
        <v>23000</v>
      </c>
      <c r="C35" s="103">
        <f>'Modelo Ajustado'!C44</f>
        <v>0</v>
      </c>
      <c r="D35" s="103">
        <f>'Modelo Ajustado'!D44</f>
        <v>50</v>
      </c>
    </row>
    <row r="36" spans="1:4" x14ac:dyDescent="0.2">
      <c r="A36" s="103">
        <f>'Modelo Ajustado'!A45</f>
        <v>5600000</v>
      </c>
      <c r="B36" s="103">
        <f>'Modelo Ajustado'!B45</f>
        <v>25000</v>
      </c>
      <c r="C36" s="103">
        <f>'Modelo Ajustado'!C45</f>
        <v>0</v>
      </c>
      <c r="D36" s="103">
        <f>'Modelo Ajustado'!D45</f>
        <v>55</v>
      </c>
    </row>
    <row r="37" spans="1:4" x14ac:dyDescent="0.2">
      <c r="A37" s="103">
        <f>'Modelo Ajustado'!A47</f>
        <v>11000000</v>
      </c>
      <c r="B37" s="103">
        <f>'Modelo Ajustado'!B47</f>
        <v>13000</v>
      </c>
      <c r="C37" s="103">
        <f>'Modelo Ajustado'!C47</f>
        <v>6</v>
      </c>
      <c r="D37" s="103">
        <f>'Modelo Ajustado'!D47</f>
        <v>134</v>
      </c>
    </row>
    <row r="38" spans="1:4" x14ac:dyDescent="0.2">
      <c r="A38" s="103">
        <f>'Modelo Ajustado'!A48</f>
        <v>12000000</v>
      </c>
      <c r="B38" s="103">
        <f>'Modelo Ajustado'!B48</f>
        <v>13500</v>
      </c>
      <c r="C38" s="103">
        <f>'Modelo Ajustado'!C48</f>
        <v>28</v>
      </c>
      <c r="D38" s="103">
        <f>'Modelo Ajustado'!D48</f>
        <v>146</v>
      </c>
    </row>
    <row r="39" spans="1:4" x14ac:dyDescent="0.2">
      <c r="A39" s="103">
        <f>'Modelo Ajustado'!A49</f>
        <v>2300000</v>
      </c>
      <c r="B39" s="103">
        <f>'Modelo Ajustado'!B49</f>
        <v>20000</v>
      </c>
      <c r="C39" s="103">
        <f>'Modelo Ajustado'!C49</f>
        <v>0</v>
      </c>
      <c r="D39" s="103">
        <f>'Modelo Ajustado'!D49</f>
        <v>20</v>
      </c>
    </row>
    <row r="40" spans="1:4" x14ac:dyDescent="0.2">
      <c r="A40" s="103">
        <f>'Modelo Ajustado'!A50</f>
        <v>2500000</v>
      </c>
      <c r="B40" s="103">
        <f>'Modelo Ajustado'!B50</f>
        <v>23000</v>
      </c>
      <c r="C40" s="103">
        <f>'Modelo Ajustado'!C50</f>
        <v>0</v>
      </c>
      <c r="D40" s="103">
        <f>'Modelo Ajustado'!D50</f>
        <v>23</v>
      </c>
    </row>
    <row r="41" spans="1:4" x14ac:dyDescent="0.2">
      <c r="A41" s="103">
        <f>'Modelo Ajustado'!A51</f>
        <v>3000000</v>
      </c>
      <c r="B41" s="103">
        <f>'Modelo Ajustado'!B51</f>
        <v>25000</v>
      </c>
      <c r="C41" s="103">
        <f>'Modelo Ajustado'!C51</f>
        <v>1</v>
      </c>
      <c r="D41" s="103">
        <f>'Modelo Ajustado'!D51</f>
        <v>25</v>
      </c>
    </row>
    <row r="42" spans="1:4" x14ac:dyDescent="0.2">
      <c r="A42" s="103">
        <f>'Modelo Ajustado'!A52</f>
        <v>7588770</v>
      </c>
      <c r="B42" s="103">
        <f>'Modelo Ajustado'!B52</f>
        <v>16640</v>
      </c>
      <c r="C42" s="103">
        <f>'Modelo Ajustado'!C52</f>
        <v>0</v>
      </c>
      <c r="D42" s="103">
        <f>'Modelo Ajustado'!D52</f>
        <v>131</v>
      </c>
    </row>
    <row r="43" spans="1:4" x14ac:dyDescent="0.2">
      <c r="A43" s="103">
        <f>'Modelo Ajustado'!A53</f>
        <v>725000</v>
      </c>
      <c r="B43" s="103">
        <f>'Modelo Ajustado'!B53</f>
        <v>9000</v>
      </c>
      <c r="C43" s="103">
        <f>'Modelo Ajustado'!C53</f>
        <v>0</v>
      </c>
      <c r="D43" s="103">
        <f>'Modelo Ajustado'!D53</f>
        <v>22</v>
      </c>
    </row>
    <row r="44" spans="1:4" x14ac:dyDescent="0.2">
      <c r="A44" s="103">
        <f>'Modelo Ajustado'!A54</f>
        <v>785000</v>
      </c>
      <c r="B44" s="103">
        <f>'Modelo Ajustado'!B54</f>
        <v>9000</v>
      </c>
      <c r="C44" s="103">
        <f>'Modelo Ajustado'!C54</f>
        <v>0</v>
      </c>
      <c r="D44" s="103">
        <f>'Modelo Ajustado'!D54</f>
        <v>25</v>
      </c>
    </row>
    <row r="45" spans="1:4" x14ac:dyDescent="0.2">
      <c r="A45" s="103">
        <f>'Modelo Ajustado'!A55</f>
        <v>785000</v>
      </c>
      <c r="B45" s="103">
        <f>'Modelo Ajustado'!B55</f>
        <v>10000</v>
      </c>
      <c r="C45" s="103">
        <f>'Modelo Ajustado'!C55</f>
        <v>0</v>
      </c>
      <c r="D45" s="103">
        <f>'Modelo Ajustado'!D55</f>
        <v>23</v>
      </c>
    </row>
    <row r="46" spans="1:4" x14ac:dyDescent="0.2">
      <c r="A46" s="103">
        <f>'Modelo Ajustado'!A56</f>
        <v>4000000</v>
      </c>
      <c r="B46" s="103">
        <f>'Modelo Ajustado'!B56</f>
        <v>32000</v>
      </c>
      <c r="C46" s="103">
        <f>'Modelo Ajustado'!C56</f>
        <v>2</v>
      </c>
      <c r="D46" s="103">
        <f>'Modelo Ajustado'!D56</f>
        <v>15</v>
      </c>
    </row>
    <row r="47" spans="1:4" x14ac:dyDescent="0.2">
      <c r="A47" s="103">
        <f>'Modelo Ajustado'!A57</f>
        <v>5000000</v>
      </c>
      <c r="B47" s="103">
        <f>'Modelo Ajustado'!B57</f>
        <v>34000</v>
      </c>
      <c r="C47" s="103">
        <f>'Modelo Ajustado'!C57</f>
        <v>2</v>
      </c>
      <c r="D47" s="103">
        <f>'Modelo Ajustado'!D57</f>
        <v>18</v>
      </c>
    </row>
    <row r="48" spans="1:4" x14ac:dyDescent="0.2">
      <c r="A48" s="103">
        <f>'Modelo Ajustado'!A59</f>
        <v>5300000</v>
      </c>
      <c r="B48" s="103">
        <f>'Modelo Ajustado'!B59</f>
        <v>21500</v>
      </c>
      <c r="C48" s="103">
        <f>'Modelo Ajustado'!C59</f>
        <v>0</v>
      </c>
      <c r="D48" s="103">
        <f>'Modelo Ajustado'!D59</f>
        <v>73</v>
      </c>
    </row>
    <row r="49" spans="1:4" x14ac:dyDescent="0.2">
      <c r="A49" s="103">
        <f>'Modelo Ajustado'!A60</f>
        <v>5800000</v>
      </c>
      <c r="B49" s="103">
        <f>'Modelo Ajustado'!B60</f>
        <v>22200</v>
      </c>
      <c r="C49" s="103">
        <f>'Modelo Ajustado'!C60</f>
        <v>0</v>
      </c>
      <c r="D49" s="103">
        <f>'Modelo Ajustado'!D60</f>
        <v>76</v>
      </c>
    </row>
    <row r="50" spans="1:4" x14ac:dyDescent="0.2">
      <c r="A50" s="103">
        <f>'Modelo Ajustado'!A61</f>
        <v>6400000</v>
      </c>
      <c r="B50" s="103">
        <f>'Modelo Ajustado'!B61</f>
        <v>23000</v>
      </c>
      <c r="C50" s="103">
        <f>'Modelo Ajustado'!C61</f>
        <v>8</v>
      </c>
      <c r="D50" s="103">
        <f>'Modelo Ajustado'!D61</f>
        <v>80</v>
      </c>
    </row>
    <row r="51" spans="1:4" x14ac:dyDescent="0.2">
      <c r="A51" s="103">
        <f>'Modelo Ajustado'!A64</f>
        <v>2101581</v>
      </c>
      <c r="B51" s="103">
        <f>'Modelo Ajustado'!B64</f>
        <v>14850</v>
      </c>
      <c r="C51" s="103">
        <f>'Modelo Ajustado'!C64</f>
        <v>12</v>
      </c>
      <c r="D51" s="103">
        <f>'Modelo Ajustado'!D64</f>
        <v>14</v>
      </c>
    </row>
    <row r="52" spans="1:4" x14ac:dyDescent="0.2">
      <c r="A52" s="103">
        <f>'Modelo Ajustado'!A65</f>
        <v>2400723</v>
      </c>
      <c r="B52" s="103">
        <f>'Modelo Ajustado'!B65</f>
        <v>18100</v>
      </c>
      <c r="C52" s="103">
        <f>'Modelo Ajustado'!C65</f>
        <v>10</v>
      </c>
      <c r="D52" s="103">
        <f>'Modelo Ajustado'!D65</f>
        <v>16</v>
      </c>
    </row>
    <row r="53" spans="1:4" x14ac:dyDescent="0.2">
      <c r="A53" s="103">
        <f>'Modelo Ajustado'!A66</f>
        <v>2470633</v>
      </c>
      <c r="B53" s="103">
        <f>'Modelo Ajustado'!B66</f>
        <v>20500</v>
      </c>
      <c r="C53" s="103">
        <f>'Modelo Ajustado'!C66</f>
        <v>10</v>
      </c>
      <c r="D53" s="103">
        <f>'Modelo Ajustado'!D66</f>
        <v>13</v>
      </c>
    </row>
    <row r="54" spans="1:4" x14ac:dyDescent="0.2">
      <c r="A54" s="103">
        <f>'Modelo Ajustado'!A67</f>
        <v>3000000</v>
      </c>
      <c r="B54" s="103">
        <f>'Modelo Ajustado'!B67</f>
        <v>10000</v>
      </c>
      <c r="C54" s="103">
        <f>'Modelo Ajustado'!C67</f>
        <v>0</v>
      </c>
      <c r="D54" s="103">
        <f>'Modelo Ajustado'!D67</f>
        <v>40</v>
      </c>
    </row>
    <row r="55" spans="1:4" x14ac:dyDescent="0.2">
      <c r="A55" s="103">
        <f>'Modelo Ajustado'!A68</f>
        <v>3800000</v>
      </c>
      <c r="B55" s="103">
        <f>'Modelo Ajustado'!B68</f>
        <v>11000</v>
      </c>
      <c r="C55" s="103">
        <f>'Modelo Ajustado'!C68</f>
        <v>0</v>
      </c>
      <c r="D55" s="103">
        <f>'Modelo Ajustado'!D68</f>
        <v>48</v>
      </c>
    </row>
    <row r="56" spans="1:4" x14ac:dyDescent="0.2">
      <c r="A56" s="103">
        <f>'Modelo Ajustado'!A69</f>
        <v>3100000</v>
      </c>
      <c r="B56" s="103">
        <f>'Modelo Ajustado'!B69</f>
        <v>11500</v>
      </c>
      <c r="C56" s="103">
        <f>'Modelo Ajustado'!C69</f>
        <v>50</v>
      </c>
      <c r="D56" s="103">
        <f>'Modelo Ajustado'!D69</f>
        <v>50</v>
      </c>
    </row>
    <row r="57" spans="1:4" x14ac:dyDescent="0.2">
      <c r="A57" s="103">
        <f>'Modelo Ajustado'!A70</f>
        <v>755050</v>
      </c>
      <c r="B57" s="103">
        <f>'Modelo Ajustado'!B70</f>
        <v>10400</v>
      </c>
      <c r="C57" s="103">
        <f>'Modelo Ajustado'!C70</f>
        <v>17</v>
      </c>
      <c r="D57" s="103">
        <f>'Modelo Ajustado'!D70</f>
        <v>17</v>
      </c>
    </row>
    <row r="58" spans="1:4" x14ac:dyDescent="0.2">
      <c r="A58" s="103">
        <f>'Modelo Ajustado'!A71</f>
        <v>1102723</v>
      </c>
      <c r="B58" s="103">
        <f>'Modelo Ajustado'!B71</f>
        <v>10400</v>
      </c>
      <c r="C58" s="103">
        <f>'Modelo Ajustado'!C71</f>
        <v>15</v>
      </c>
      <c r="D58" s="103">
        <f>'Modelo Ajustado'!D71</f>
        <v>15</v>
      </c>
    </row>
    <row r="59" spans="1:4" x14ac:dyDescent="0.2">
      <c r="A59" s="103">
        <f>'Modelo Ajustado'!A72</f>
        <v>1073785</v>
      </c>
      <c r="B59" s="103">
        <f>'Modelo Ajustado'!B72</f>
        <v>10400</v>
      </c>
      <c r="C59" s="103">
        <f>'Modelo Ajustado'!C72</f>
        <v>10</v>
      </c>
      <c r="D59" s="103">
        <f>'Modelo Ajustado'!D72</f>
        <v>20</v>
      </c>
    </row>
    <row r="60" spans="1:4" x14ac:dyDescent="0.2">
      <c r="A60" s="103">
        <f>'Modelo Ajustado'!A73</f>
        <v>4750000</v>
      </c>
      <c r="B60" s="103">
        <f>'Modelo Ajustado'!B73</f>
        <v>16120</v>
      </c>
      <c r="C60" s="103">
        <f>'Modelo Ajustado'!C73</f>
        <v>30</v>
      </c>
      <c r="D60" s="103">
        <f>'Modelo Ajustado'!D73</f>
        <v>75</v>
      </c>
    </row>
    <row r="61" spans="1:4" x14ac:dyDescent="0.2">
      <c r="A61" s="103">
        <f>'Modelo Ajustado'!A74</f>
        <v>5100000</v>
      </c>
      <c r="B61" s="103">
        <f>'Modelo Ajustado'!B74</f>
        <v>16432</v>
      </c>
      <c r="C61" s="103">
        <f>'Modelo Ajustado'!C74</f>
        <v>35</v>
      </c>
      <c r="D61" s="103">
        <f>'Modelo Ajustado'!D74</f>
        <v>80</v>
      </c>
    </row>
    <row r="62" spans="1:4" x14ac:dyDescent="0.2">
      <c r="A62" s="103">
        <f>'Modelo Ajustado'!A75</f>
        <v>5500000</v>
      </c>
      <c r="B62" s="103">
        <f>'Modelo Ajustado'!B75</f>
        <v>16640</v>
      </c>
      <c r="C62" s="103">
        <f>'Modelo Ajustado'!C75</f>
        <v>35</v>
      </c>
      <c r="D62" s="103">
        <f>'Modelo Ajustado'!D75</f>
        <v>94</v>
      </c>
    </row>
    <row r="63" spans="1:4" x14ac:dyDescent="0.2">
      <c r="A63" s="103">
        <f>'Modelo Ajustado'!A76</f>
        <v>11000000</v>
      </c>
      <c r="B63" s="103">
        <f>'Modelo Ajustado'!B76</f>
        <v>23500</v>
      </c>
      <c r="C63" s="103">
        <f>'Modelo Ajustado'!C76</f>
        <v>96</v>
      </c>
      <c r="D63" s="103">
        <f>'Modelo Ajustado'!D76</f>
        <v>116</v>
      </c>
    </row>
    <row r="64" spans="1:4" x14ac:dyDescent="0.2">
      <c r="A64" s="103">
        <f>'Modelo Ajustado'!A77</f>
        <v>11000000</v>
      </c>
      <c r="B64" s="103">
        <f>'Modelo Ajustado'!B77</f>
        <v>24000</v>
      </c>
      <c r="C64" s="103">
        <f>'Modelo Ajustado'!C77</f>
        <v>94</v>
      </c>
      <c r="D64" s="103">
        <f>'Modelo Ajustado'!D77</f>
        <v>114</v>
      </c>
    </row>
    <row r="65" spans="1:4" x14ac:dyDescent="0.2">
      <c r="A65" s="103">
        <f>'Modelo Ajustado'!A78</f>
        <v>11000000</v>
      </c>
      <c r="B65" s="103">
        <f>'Modelo Ajustado'!B78</f>
        <v>24600</v>
      </c>
      <c r="C65" s="103">
        <f>'Modelo Ajustado'!C78</f>
        <v>99</v>
      </c>
      <c r="D65" s="103">
        <f>'Modelo Ajustado'!D78</f>
        <v>119</v>
      </c>
    </row>
    <row r="66" spans="1:4" x14ac:dyDescent="0.2">
      <c r="A66" s="103">
        <f>'Modelo Ajustado'!A79</f>
        <v>990400</v>
      </c>
      <c r="B66" s="103">
        <f>'Modelo Ajustado'!B79</f>
        <v>12480</v>
      </c>
      <c r="C66" s="103">
        <f>'Modelo Ajustado'!C79</f>
        <v>8</v>
      </c>
      <c r="D66" s="103">
        <f>'Modelo Ajustado'!D79</f>
        <v>8</v>
      </c>
    </row>
    <row r="67" spans="1:4" x14ac:dyDescent="0.2">
      <c r="A67" s="103">
        <f>'Modelo Ajustado'!A80</f>
        <v>1166100</v>
      </c>
      <c r="B67" s="103">
        <f>'Modelo Ajustado'!B80</f>
        <v>13520</v>
      </c>
      <c r="C67" s="103">
        <f>'Modelo Ajustado'!C80</f>
        <v>16</v>
      </c>
      <c r="D67" s="103">
        <f>'Modelo Ajustado'!D80</f>
        <v>16</v>
      </c>
    </row>
    <row r="68" spans="1:4" x14ac:dyDescent="0.2">
      <c r="A68" s="103">
        <f>'Modelo Ajustado'!A81</f>
        <v>1815900</v>
      </c>
      <c r="B68" s="103">
        <f>'Modelo Ajustado'!B81</f>
        <v>14560</v>
      </c>
      <c r="C68" s="103">
        <f>'Modelo Ajustado'!C81</f>
        <v>20</v>
      </c>
      <c r="D68" s="103">
        <f>'Modelo Ajustado'!D81</f>
        <v>20</v>
      </c>
    </row>
    <row r="69" spans="1:4" x14ac:dyDescent="0.2">
      <c r="A69" s="103">
        <f>'Modelo Ajustado'!A82</f>
        <v>1212478</v>
      </c>
      <c r="B69" s="103">
        <f>'Modelo Ajustado'!B82</f>
        <v>12700</v>
      </c>
      <c r="C69" s="103">
        <f>'Modelo Ajustado'!C82</f>
        <v>4</v>
      </c>
      <c r="D69" s="103">
        <f>'Modelo Ajustado'!D82</f>
        <v>10</v>
      </c>
    </row>
    <row r="70" spans="1:4" x14ac:dyDescent="0.2">
      <c r="A70" s="103">
        <f>'Modelo Ajustado'!A83</f>
        <v>1159622</v>
      </c>
      <c r="B70" s="103">
        <f>'Modelo Ajustado'!B83</f>
        <v>13600</v>
      </c>
      <c r="C70" s="103">
        <f>'Modelo Ajustado'!C83</f>
        <v>3</v>
      </c>
      <c r="D70" s="103">
        <f>'Modelo Ajustado'!D83</f>
        <v>14</v>
      </c>
    </row>
    <row r="71" spans="1:4" x14ac:dyDescent="0.2">
      <c r="A71" s="103">
        <f>'Modelo Ajustado'!A84</f>
        <v>1612170</v>
      </c>
      <c r="B71" s="103">
        <f>'Modelo Ajustado'!B84</f>
        <v>14900</v>
      </c>
      <c r="C71" s="103">
        <f>'Modelo Ajustado'!C84</f>
        <v>0</v>
      </c>
      <c r="D71" s="103">
        <f>'Modelo Ajustado'!D84</f>
        <v>17</v>
      </c>
    </row>
    <row r="72" spans="1:4" x14ac:dyDescent="0.2">
      <c r="A72" s="103">
        <f>'Modelo Ajustado'!A85</f>
        <v>12200000</v>
      </c>
      <c r="B72" s="103">
        <f>'Modelo Ajustado'!B85</f>
        <v>14538</v>
      </c>
      <c r="C72" s="103">
        <f>'Modelo Ajustado'!C85</f>
        <v>30</v>
      </c>
      <c r="D72" s="103">
        <f>'Modelo Ajustado'!D85</f>
        <v>127</v>
      </c>
    </row>
    <row r="73" spans="1:4" x14ac:dyDescent="0.2">
      <c r="A73" s="103">
        <f>'Modelo Ajustado'!A86</f>
        <v>12000000</v>
      </c>
      <c r="B73" s="103">
        <f>'Modelo Ajustado'!B86</f>
        <v>14865</v>
      </c>
      <c r="C73" s="103">
        <f>'Modelo Ajustado'!C86</f>
        <v>87</v>
      </c>
      <c r="D73" s="103">
        <f>'Modelo Ajustado'!D86</f>
        <v>128</v>
      </c>
    </row>
    <row r="74" spans="1:4" x14ac:dyDescent="0.2">
      <c r="A74" s="103">
        <f>'Modelo Ajustado'!A87</f>
        <v>1650831</v>
      </c>
      <c r="B74" s="103">
        <f>'Modelo Ajustado'!B87</f>
        <v>24900</v>
      </c>
      <c r="C74" s="103">
        <f>'Modelo Ajustado'!C87</f>
        <v>0</v>
      </c>
      <c r="D74" s="103">
        <f>'Modelo Ajustado'!D87</f>
        <v>22</v>
      </c>
    </row>
    <row r="75" spans="1:4" x14ac:dyDescent="0.2">
      <c r="A75" s="103">
        <f>'Modelo Ajustado'!A88</f>
        <v>1817961</v>
      </c>
      <c r="B75" s="103">
        <f>'Modelo Ajustado'!B88</f>
        <v>23000</v>
      </c>
      <c r="C75" s="103">
        <f>'Modelo Ajustado'!C88</f>
        <v>0</v>
      </c>
      <c r="D75" s="103">
        <f>'Modelo Ajustado'!D88</f>
        <v>37</v>
      </c>
    </row>
    <row r="76" spans="1:4" x14ac:dyDescent="0.2">
      <c r="A76" s="103">
        <f>'Modelo Ajustado'!A89</f>
        <v>1642441</v>
      </c>
      <c r="B76" s="103">
        <f>'Modelo Ajustado'!B89</f>
        <v>23200</v>
      </c>
      <c r="C76" s="103">
        <f>'Modelo Ajustado'!C89</f>
        <v>0</v>
      </c>
      <c r="D76" s="103">
        <f>'Modelo Ajustado'!D89</f>
        <v>44</v>
      </c>
    </row>
    <row r="77" spans="1:4" x14ac:dyDescent="0.2">
      <c r="A77" s="103">
        <f>'Modelo Ajustado'!A90</f>
        <v>7000000</v>
      </c>
      <c r="B77" s="103">
        <f>'Modelo Ajustado'!B90</f>
        <v>8840</v>
      </c>
      <c r="C77" s="103">
        <f>'Modelo Ajustado'!C90</f>
        <v>60</v>
      </c>
      <c r="D77" s="103">
        <f>'Modelo Ajustado'!D90</f>
        <v>60</v>
      </c>
    </row>
    <row r="78" spans="1:4" x14ac:dyDescent="0.2">
      <c r="A78" s="103">
        <f>'Modelo Ajustado'!A91</f>
        <v>8500000</v>
      </c>
      <c r="B78" s="103">
        <f>'Modelo Ajustado'!B91</f>
        <v>9880</v>
      </c>
      <c r="C78" s="103">
        <f>'Modelo Ajustado'!C91</f>
        <v>65</v>
      </c>
      <c r="D78" s="103">
        <f>'Modelo Ajustado'!D91</f>
        <v>65</v>
      </c>
    </row>
    <row r="79" spans="1:4" x14ac:dyDescent="0.2">
      <c r="A79" s="103">
        <f>'Modelo Ajustado'!A92</f>
        <v>11000000</v>
      </c>
      <c r="B79" s="103">
        <f>'Modelo Ajustado'!B92</f>
        <v>10920</v>
      </c>
      <c r="C79" s="103">
        <f>'Modelo Ajustado'!C92</f>
        <v>70</v>
      </c>
      <c r="D79" s="103">
        <f>'Modelo Ajustado'!D92</f>
        <v>70</v>
      </c>
    </row>
    <row r="80" spans="1:4" x14ac:dyDescent="0.2">
      <c r="A80" s="103">
        <f>'Modelo Ajustado'!A93</f>
        <v>4600000</v>
      </c>
      <c r="B80" s="103">
        <f>'Modelo Ajustado'!B93</f>
        <v>18000</v>
      </c>
      <c r="C80" s="103">
        <f>'Modelo Ajustado'!C93</f>
        <v>3</v>
      </c>
      <c r="D80" s="103">
        <f>'Modelo Ajustado'!D93</f>
        <v>27</v>
      </c>
    </row>
    <row r="81" spans="1:4" x14ac:dyDescent="0.2">
      <c r="A81" s="103">
        <f>'Modelo Ajustado'!A94</f>
        <v>4900000</v>
      </c>
      <c r="B81" s="103">
        <f>'Modelo Ajustado'!B94</f>
        <v>19000</v>
      </c>
      <c r="C81" s="103">
        <f>'Modelo Ajustado'!C94</f>
        <v>2</v>
      </c>
      <c r="D81" s="103">
        <f>'Modelo Ajustado'!D94</f>
        <v>28</v>
      </c>
    </row>
    <row r="82" spans="1:4" x14ac:dyDescent="0.2">
      <c r="A82" s="103">
        <f>'Modelo Ajustado'!A95</f>
        <v>5600000</v>
      </c>
      <c r="B82" s="103">
        <f>'Modelo Ajustado'!B95</f>
        <v>21000</v>
      </c>
      <c r="C82" s="103">
        <f>'Modelo Ajustado'!C95</f>
        <v>6</v>
      </c>
      <c r="D82" s="103">
        <f>'Modelo Ajustado'!D95</f>
        <v>30</v>
      </c>
    </row>
    <row r="83" spans="1:4" x14ac:dyDescent="0.2">
      <c r="A83" s="103">
        <f>'Modelo Ajustado'!A96</f>
        <v>2900000</v>
      </c>
      <c r="B83" s="103">
        <f>'Modelo Ajustado'!B96</f>
        <v>21830</v>
      </c>
      <c r="C83" s="103">
        <f>'Modelo Ajustado'!C96</f>
        <v>25</v>
      </c>
      <c r="D83" s="103">
        <f>'Modelo Ajustado'!D96</f>
        <v>25</v>
      </c>
    </row>
    <row r="84" spans="1:4" x14ac:dyDescent="0.2">
      <c r="A84" s="103">
        <f>'Modelo Ajustado'!A97</f>
        <v>2800000</v>
      </c>
      <c r="B84" s="103">
        <f>'Modelo Ajustado'!B97</f>
        <v>22454</v>
      </c>
      <c r="C84" s="103">
        <f>'Modelo Ajustado'!C97</f>
        <v>25</v>
      </c>
      <c r="D84" s="103">
        <f>'Modelo Ajustado'!D97</f>
        <v>25</v>
      </c>
    </row>
    <row r="85" spans="1:4" x14ac:dyDescent="0.2">
      <c r="A85" s="103">
        <f>'Modelo Ajustado'!A98</f>
        <v>2900000</v>
      </c>
      <c r="B85" s="103">
        <f>'Modelo Ajustado'!B98</f>
        <v>23078</v>
      </c>
      <c r="C85" s="103">
        <f>'Modelo Ajustado'!C98</f>
        <v>25</v>
      </c>
      <c r="D85" s="103">
        <f>'Modelo Ajustado'!D98</f>
        <v>25</v>
      </c>
    </row>
    <row r="86" spans="1:4" x14ac:dyDescent="0.2">
      <c r="A86" s="103">
        <f>'Modelo Ajustado'!A99</f>
        <v>1100000</v>
      </c>
      <c r="B86" s="103">
        <f>'Modelo Ajustado'!B99</f>
        <v>18500</v>
      </c>
      <c r="C86" s="103">
        <f>'Modelo Ajustado'!C99</f>
        <v>16</v>
      </c>
      <c r="D86" s="103">
        <f>'Modelo Ajustado'!D99</f>
        <v>16</v>
      </c>
    </row>
    <row r="87" spans="1:4" x14ac:dyDescent="0.2">
      <c r="A87" s="103">
        <f>'Modelo Ajustado'!A100</f>
        <v>2050000</v>
      </c>
      <c r="B87" s="103">
        <f>'Modelo Ajustado'!B100</f>
        <v>21000</v>
      </c>
      <c r="C87" s="103">
        <f>'Modelo Ajustado'!C100</f>
        <v>19</v>
      </c>
      <c r="D87" s="103">
        <f>'Modelo Ajustado'!D100</f>
        <v>19</v>
      </c>
    </row>
    <row r="88" spans="1:4" x14ac:dyDescent="0.2">
      <c r="A88" s="103">
        <f>'Modelo Ajustado'!A101</f>
        <v>2260000</v>
      </c>
      <c r="B88" s="103">
        <f>'Modelo Ajustado'!B101</f>
        <v>23500</v>
      </c>
      <c r="C88" s="103">
        <f>'Modelo Ajustado'!C101</f>
        <v>23</v>
      </c>
      <c r="D88" s="103">
        <f>'Modelo Ajustado'!D101</f>
        <v>23</v>
      </c>
    </row>
    <row r="89" spans="1:4" x14ac:dyDescent="0.2">
      <c r="A89" s="103">
        <f>'Modelo Ajustado'!A104</f>
        <v>16000000</v>
      </c>
      <c r="B89" s="103">
        <f>'Modelo Ajustado'!B104</f>
        <v>22000</v>
      </c>
      <c r="C89" s="103">
        <f>'Modelo Ajustado'!C104</f>
        <v>50</v>
      </c>
      <c r="D89" s="103">
        <f>'Modelo Ajustado'!D104</f>
        <v>85</v>
      </c>
    </row>
    <row r="90" spans="1:4" x14ac:dyDescent="0.2">
      <c r="A90" s="103">
        <f>'Modelo Ajustado'!A105</f>
        <v>386807</v>
      </c>
      <c r="B90" s="103">
        <f>'Modelo Ajustado'!B105</f>
        <v>14110</v>
      </c>
      <c r="C90" s="103">
        <f>'Modelo Ajustado'!C105</f>
        <v>8</v>
      </c>
      <c r="D90" s="103">
        <f>'Modelo Ajustado'!D105</f>
        <v>8</v>
      </c>
    </row>
    <row r="91" spans="1:4" x14ac:dyDescent="0.2">
      <c r="A91" s="103">
        <f>'Modelo Ajustado'!A106</f>
        <v>734613</v>
      </c>
      <c r="B91" s="103">
        <f>'Modelo Ajustado'!B106</f>
        <v>14040</v>
      </c>
      <c r="C91" s="103">
        <f>'Modelo Ajustado'!C106</f>
        <v>10</v>
      </c>
      <c r="D91" s="103">
        <f>'Modelo Ajustado'!D106</f>
        <v>10</v>
      </c>
    </row>
    <row r="92" spans="1:4" x14ac:dyDescent="0.2">
      <c r="A92" s="103">
        <f>'Modelo Ajustado'!A107</f>
        <v>518842</v>
      </c>
      <c r="B92" s="103">
        <f>'Modelo Ajustado'!B107</f>
        <v>14126</v>
      </c>
      <c r="C92" s="103">
        <f>'Modelo Ajustado'!C107</f>
        <v>8</v>
      </c>
      <c r="D92" s="103">
        <f>'Modelo Ajustado'!D107</f>
        <v>8</v>
      </c>
    </row>
    <row r="93" spans="1:4" x14ac:dyDescent="0.2">
      <c r="A93" s="103">
        <f>'Modelo Ajustado'!A108</f>
        <v>14000000</v>
      </c>
      <c r="B93" s="103">
        <f>'Modelo Ajustado'!B108</f>
        <v>20384</v>
      </c>
      <c r="C93" s="103">
        <f>'Modelo Ajustado'!C108</f>
        <v>50</v>
      </c>
      <c r="D93" s="103">
        <f>'Modelo Ajustado'!D108</f>
        <v>135</v>
      </c>
    </row>
    <row r="94" spans="1:4" x14ac:dyDescent="0.2">
      <c r="A94" s="103">
        <f>'Modelo Ajustado'!A109</f>
        <v>15000000</v>
      </c>
      <c r="B94" s="103">
        <f>'Modelo Ajustado'!B109</f>
        <v>20800</v>
      </c>
      <c r="C94" s="103">
        <f>'Modelo Ajustado'!C109</f>
        <v>75</v>
      </c>
      <c r="D94" s="103">
        <f>'Modelo Ajustado'!D109</f>
        <v>135</v>
      </c>
    </row>
    <row r="95" spans="1:4" x14ac:dyDescent="0.2">
      <c r="A95" s="103">
        <f>'Modelo Ajustado'!A110</f>
        <v>15500000</v>
      </c>
      <c r="B95" s="103">
        <f>'Modelo Ajustado'!B110</f>
        <v>20592</v>
      </c>
      <c r="C95" s="103">
        <f>'Modelo Ajustado'!C110</f>
        <v>100</v>
      </c>
      <c r="D95" s="103">
        <f>'Modelo Ajustado'!D110</f>
        <v>144</v>
      </c>
    </row>
    <row r="96" spans="1:4" x14ac:dyDescent="0.2">
      <c r="A96" s="103">
        <f>'Modelo Ajustado'!A111</f>
        <v>1656000</v>
      </c>
      <c r="B96" s="103">
        <f>'Modelo Ajustado'!B111</f>
        <v>19266</v>
      </c>
      <c r="C96" s="103">
        <f>'Modelo Ajustado'!C111</f>
        <v>3</v>
      </c>
      <c r="D96" s="103">
        <f>'Modelo Ajustado'!D111</f>
        <v>13</v>
      </c>
    </row>
    <row r="97" spans="1:4" x14ac:dyDescent="0.2">
      <c r="A97" s="103">
        <f>'Modelo Ajustado'!A112</f>
        <v>1527000</v>
      </c>
      <c r="B97" s="103">
        <f>'Modelo Ajustado'!B112</f>
        <v>20867</v>
      </c>
      <c r="C97" s="103">
        <f>'Modelo Ajustado'!C112</f>
        <v>2</v>
      </c>
      <c r="D97" s="103">
        <f>'Modelo Ajustado'!D112</f>
        <v>11</v>
      </c>
    </row>
    <row r="98" spans="1:4" x14ac:dyDescent="0.2">
      <c r="A98" s="103">
        <f>'Modelo Ajustado'!A113</f>
        <v>1454000</v>
      </c>
      <c r="B98" s="103">
        <f>'Modelo Ajustado'!B113</f>
        <v>25154</v>
      </c>
      <c r="C98" s="103">
        <f>'Modelo Ajustado'!C113</f>
        <v>2</v>
      </c>
      <c r="D98" s="103">
        <f>'Modelo Ajustado'!D113</f>
        <v>13</v>
      </c>
    </row>
    <row r="99" spans="1:4" x14ac:dyDescent="0.2">
      <c r="A99" s="103">
        <f>'Modelo Ajustado'!A114</f>
        <v>2100000</v>
      </c>
      <c r="B99" s="103">
        <f>'Modelo Ajustado'!B114</f>
        <v>25500</v>
      </c>
      <c r="C99" s="103">
        <f>'Modelo Ajustado'!C114</f>
        <v>30</v>
      </c>
      <c r="D99" s="103">
        <f>'Modelo Ajustado'!D114</f>
        <v>30</v>
      </c>
    </row>
    <row r="100" spans="1:4" x14ac:dyDescent="0.2">
      <c r="A100" s="103">
        <f>'Modelo Ajustado'!A115</f>
        <v>2252000</v>
      </c>
      <c r="B100" s="103">
        <f>'Modelo Ajustado'!B115</f>
        <v>26000</v>
      </c>
      <c r="C100" s="103">
        <f>'Modelo Ajustado'!C115</f>
        <v>27</v>
      </c>
      <c r="D100" s="103">
        <f>'Modelo Ajustado'!D115</f>
        <v>27</v>
      </c>
    </row>
    <row r="101" spans="1:4" x14ac:dyDescent="0.2">
      <c r="A101" s="103">
        <f>'Modelo Ajustado'!A116</f>
        <v>1866064</v>
      </c>
      <c r="B101" s="103">
        <f>'Modelo Ajustado'!B116</f>
        <v>28000</v>
      </c>
      <c r="C101" s="103">
        <f>'Modelo Ajustado'!C116</f>
        <v>24</v>
      </c>
      <c r="D101" s="103">
        <f>'Modelo Ajustado'!D116</f>
        <v>24</v>
      </c>
    </row>
    <row r="102" spans="1:4" x14ac:dyDescent="0.2">
      <c r="A102" s="103">
        <f>'Modelo Ajustado'!A117</f>
        <v>1950000</v>
      </c>
      <c r="B102" s="103">
        <f>'Modelo Ajustado'!B117</f>
        <v>16000</v>
      </c>
      <c r="C102" s="103">
        <f>'Modelo Ajustado'!C117</f>
        <v>14</v>
      </c>
      <c r="D102" s="103">
        <f>'Modelo Ajustado'!D117</f>
        <v>14</v>
      </c>
    </row>
    <row r="103" spans="1:4" x14ac:dyDescent="0.2">
      <c r="A103" s="103">
        <f>'Modelo Ajustado'!A118</f>
        <v>1850000</v>
      </c>
      <c r="B103" s="103">
        <f>'Modelo Ajustado'!B118</f>
        <v>17000</v>
      </c>
      <c r="C103" s="103">
        <f>'Modelo Ajustado'!C118</f>
        <v>13</v>
      </c>
      <c r="D103" s="103">
        <f>'Modelo Ajustado'!D118</f>
        <v>13</v>
      </c>
    </row>
    <row r="104" spans="1:4" x14ac:dyDescent="0.2">
      <c r="A104" s="103">
        <f>'Modelo Ajustado'!A119</f>
        <v>1550000</v>
      </c>
      <c r="B104" s="103">
        <f>'Modelo Ajustado'!B119</f>
        <v>18000</v>
      </c>
      <c r="C104" s="103">
        <f>'Modelo Ajustado'!C119</f>
        <v>12</v>
      </c>
      <c r="D104" s="103">
        <f>'Modelo Ajustado'!D119</f>
        <v>12</v>
      </c>
    </row>
    <row r="105" spans="1:4" x14ac:dyDescent="0.2">
      <c r="A105" s="103">
        <f>'Modelo Ajustado'!A120</f>
        <v>1000000</v>
      </c>
      <c r="B105" s="103">
        <f>'Modelo Ajustado'!B120</f>
        <v>29120</v>
      </c>
      <c r="C105" s="103">
        <f>'Modelo Ajustado'!C120</f>
        <v>2</v>
      </c>
      <c r="D105" s="103">
        <f>'Modelo Ajustado'!D120</f>
        <v>12</v>
      </c>
    </row>
    <row r="106" spans="1:4" x14ac:dyDescent="0.2">
      <c r="A106" s="103">
        <f>'Modelo Ajustado'!A121</f>
        <v>1200000</v>
      </c>
      <c r="B106" s="103">
        <f>'Modelo Ajustado'!B121</f>
        <v>29120</v>
      </c>
      <c r="C106" s="103">
        <f>'Modelo Ajustado'!C121</f>
        <v>4</v>
      </c>
      <c r="D106" s="103">
        <f>'Modelo Ajustado'!D121</f>
        <v>14</v>
      </c>
    </row>
    <row r="107" spans="1:4" x14ac:dyDescent="0.2">
      <c r="A107" s="103">
        <f>'Modelo Ajustado'!A122</f>
        <v>2873000</v>
      </c>
      <c r="B107" s="103">
        <f>'Modelo Ajustado'!B122</f>
        <v>19762</v>
      </c>
      <c r="C107" s="103">
        <f>'Modelo Ajustado'!C122</f>
        <v>14</v>
      </c>
      <c r="D107" s="103">
        <f>'Modelo Ajustado'!D122</f>
        <v>27</v>
      </c>
    </row>
    <row r="108" spans="1:4" x14ac:dyDescent="0.2">
      <c r="A108" s="103">
        <f>'Modelo Ajustado'!A123</f>
        <v>6097000</v>
      </c>
      <c r="B108" s="103">
        <f>'Modelo Ajustado'!B123</f>
        <v>21120</v>
      </c>
      <c r="C108" s="103">
        <f>'Modelo Ajustado'!C123</f>
        <v>5</v>
      </c>
      <c r="D108" s="103">
        <f>'Modelo Ajustado'!D123</f>
        <v>61</v>
      </c>
    </row>
    <row r="109" spans="1:4" x14ac:dyDescent="0.2">
      <c r="A109" s="103">
        <f>'Modelo Ajustado'!A124</f>
        <v>5670000</v>
      </c>
      <c r="B109" s="103">
        <f>'Modelo Ajustado'!B124</f>
        <v>22360</v>
      </c>
      <c r="C109" s="103">
        <f>'Modelo Ajustado'!C124</f>
        <v>9</v>
      </c>
      <c r="D109" s="103">
        <f>'Modelo Ajustado'!D124</f>
        <v>52</v>
      </c>
    </row>
    <row r="110" spans="1:4" x14ac:dyDescent="0.2">
      <c r="A110" s="103">
        <f>'Modelo Ajustado'!A125</f>
        <v>2213235</v>
      </c>
      <c r="B110" s="103">
        <f>'Modelo Ajustado'!B125</f>
        <v>20004</v>
      </c>
      <c r="C110" s="103">
        <f>'Modelo Ajustado'!C125</f>
        <v>24</v>
      </c>
      <c r="D110" s="103">
        <f>'Modelo Ajustado'!D125</f>
        <v>24</v>
      </c>
    </row>
    <row r="111" spans="1:4" x14ac:dyDescent="0.2">
      <c r="A111" s="103">
        <f>'Modelo Ajustado'!A126</f>
        <v>2100943</v>
      </c>
      <c r="B111" s="103">
        <f>'Modelo Ajustado'!B126</f>
        <v>19078</v>
      </c>
      <c r="C111" s="103">
        <f>'Modelo Ajustado'!C126</f>
        <v>20</v>
      </c>
      <c r="D111" s="103">
        <f>'Modelo Ajustado'!D126</f>
        <v>20</v>
      </c>
    </row>
    <row r="112" spans="1:4" x14ac:dyDescent="0.2">
      <c r="A112" s="103">
        <f>'Modelo Ajustado'!A127</f>
        <v>2174049</v>
      </c>
      <c r="B112" s="103">
        <f>'Modelo Ajustado'!B127</f>
        <v>21099</v>
      </c>
      <c r="C112" s="103">
        <f>'Modelo Ajustado'!C127</f>
        <v>20</v>
      </c>
      <c r="D112" s="103">
        <f>'Modelo Ajustado'!D127</f>
        <v>20</v>
      </c>
    </row>
    <row r="113" spans="1:4" x14ac:dyDescent="0.2">
      <c r="A113" s="103">
        <f>'Modelo Ajustado'!A128</f>
        <v>2100000</v>
      </c>
      <c r="B113" s="103">
        <f>'Modelo Ajustado'!B128</f>
        <v>16640</v>
      </c>
      <c r="C113" s="103">
        <f>'Modelo Ajustado'!C128</f>
        <v>0</v>
      </c>
      <c r="D113" s="103">
        <f>'Modelo Ajustado'!D128</f>
        <v>6</v>
      </c>
    </row>
    <row r="114" spans="1:4" x14ac:dyDescent="0.2">
      <c r="A114" s="103">
        <f>'Modelo Ajustado'!A129</f>
        <v>1800000</v>
      </c>
      <c r="B114" s="103">
        <f>'Modelo Ajustado'!B129</f>
        <v>18720</v>
      </c>
      <c r="C114" s="103">
        <f>'Modelo Ajustado'!C129</f>
        <v>2</v>
      </c>
      <c r="D114" s="103">
        <f>'Modelo Ajustado'!D129</f>
        <v>7</v>
      </c>
    </row>
    <row r="115" spans="1:4" x14ac:dyDescent="0.2">
      <c r="A115" s="103">
        <f>'Modelo Ajustado'!A130</f>
        <v>1600000</v>
      </c>
      <c r="B115" s="103">
        <f>'Modelo Ajustado'!B130</f>
        <v>20800</v>
      </c>
      <c r="C115" s="103">
        <f>'Modelo Ajustado'!C130</f>
        <v>0</v>
      </c>
      <c r="D115" s="103">
        <f>'Modelo Ajustado'!D130</f>
        <v>6</v>
      </c>
    </row>
    <row r="116" spans="1:4" x14ac:dyDescent="0.2">
      <c r="A116" s="103">
        <f>'Modelo Ajustado'!A131</f>
        <v>2200000</v>
      </c>
      <c r="B116" s="103">
        <f>'Modelo Ajustado'!B131</f>
        <v>10712</v>
      </c>
      <c r="C116" s="103">
        <f>'Modelo Ajustado'!C131</f>
        <v>26</v>
      </c>
      <c r="D116" s="103">
        <f>'Modelo Ajustado'!D131</f>
        <v>26</v>
      </c>
    </row>
    <row r="117" spans="1:4" x14ac:dyDescent="0.2">
      <c r="A117" s="103">
        <f>'Modelo Ajustado'!A132</f>
        <v>1800000</v>
      </c>
      <c r="B117" s="103">
        <f>'Modelo Ajustado'!B132</f>
        <v>10940</v>
      </c>
      <c r="C117" s="103">
        <f>'Modelo Ajustado'!C132</f>
        <v>24</v>
      </c>
      <c r="D117" s="103">
        <f>'Modelo Ajustado'!D132</f>
        <v>24</v>
      </c>
    </row>
    <row r="118" spans="1:4" x14ac:dyDescent="0.2">
      <c r="A118" s="103">
        <f>'Modelo Ajustado'!A133</f>
        <v>1700000</v>
      </c>
      <c r="B118" s="103">
        <f>'Modelo Ajustado'!B133</f>
        <v>11148</v>
      </c>
      <c r="C118" s="103">
        <f>'Modelo Ajustado'!C133</f>
        <v>21</v>
      </c>
      <c r="D118" s="103">
        <f>'Modelo Ajustado'!D133</f>
        <v>21</v>
      </c>
    </row>
    <row r="119" spans="1:4" x14ac:dyDescent="0.2">
      <c r="A119" s="103">
        <f>'Modelo Ajustado'!A134</f>
        <v>1100000</v>
      </c>
      <c r="B119" s="103">
        <f>'Modelo Ajustado'!B134</f>
        <v>20000</v>
      </c>
      <c r="C119" s="103">
        <f>'Modelo Ajustado'!C134</f>
        <v>1</v>
      </c>
      <c r="D119" s="103">
        <f>'Modelo Ajustado'!D134</f>
        <v>12</v>
      </c>
    </row>
    <row r="120" spans="1:4" x14ac:dyDescent="0.2">
      <c r="A120" s="103">
        <f>'Modelo Ajustado'!A135</f>
        <v>4200000</v>
      </c>
      <c r="B120" s="103">
        <f>'Modelo Ajustado'!B135</f>
        <v>12400</v>
      </c>
      <c r="C120" s="103">
        <f>'Modelo Ajustado'!C135</f>
        <v>0</v>
      </c>
      <c r="D120" s="103">
        <f>'Modelo Ajustado'!D135</f>
        <v>70</v>
      </c>
    </row>
    <row r="121" spans="1:4" x14ac:dyDescent="0.2">
      <c r="A121" s="103">
        <f>'Modelo Ajustado'!A136</f>
        <v>3740000</v>
      </c>
      <c r="B121" s="103">
        <f>'Modelo Ajustado'!B136</f>
        <v>13400</v>
      </c>
      <c r="C121" s="103">
        <f>'Modelo Ajustado'!C136</f>
        <v>10</v>
      </c>
      <c r="D121" s="103">
        <f>'Modelo Ajustado'!D136</f>
        <v>50</v>
      </c>
    </row>
    <row r="122" spans="1:4" x14ac:dyDescent="0.2">
      <c r="A122" s="103">
        <f>'Modelo Ajustado'!A137</f>
        <v>2040000</v>
      </c>
      <c r="B122" s="103">
        <f>'Modelo Ajustado'!B137</f>
        <v>14000</v>
      </c>
      <c r="C122" s="103">
        <f>'Modelo Ajustado'!C137</f>
        <v>5</v>
      </c>
      <c r="D122" s="103">
        <f>'Modelo Ajustado'!D137</f>
        <v>30</v>
      </c>
    </row>
    <row r="123" spans="1:4" x14ac:dyDescent="0.2">
      <c r="A123" s="103">
        <f>'Modelo Ajustado'!A138</f>
        <v>750000</v>
      </c>
      <c r="B123" s="103">
        <f>'Modelo Ajustado'!B138</f>
        <v>14560</v>
      </c>
      <c r="C123" s="103">
        <f>'Modelo Ajustado'!C138</f>
        <v>2</v>
      </c>
      <c r="D123" s="103">
        <f>'Modelo Ajustado'!D138</f>
        <v>20</v>
      </c>
    </row>
    <row r="124" spans="1:4" x14ac:dyDescent="0.2">
      <c r="A124" s="103">
        <f>'Modelo Ajustado'!A139</f>
        <v>800000</v>
      </c>
      <c r="B124" s="103">
        <f>'Modelo Ajustado'!B139</f>
        <v>16640</v>
      </c>
      <c r="C124" s="103">
        <f>'Modelo Ajustado'!C139</f>
        <v>3</v>
      </c>
      <c r="D124" s="103">
        <f>'Modelo Ajustado'!D139</f>
        <v>18</v>
      </c>
    </row>
    <row r="125" spans="1:4" x14ac:dyDescent="0.2">
      <c r="A125" s="103">
        <f>'Modelo Ajustado'!A140</f>
        <v>950000</v>
      </c>
      <c r="B125" s="103">
        <f>'Modelo Ajustado'!B140</f>
        <v>17680</v>
      </c>
      <c r="C125" s="103">
        <f>'Modelo Ajustado'!C140</f>
        <v>3</v>
      </c>
      <c r="D125" s="103">
        <f>'Modelo Ajustado'!D140</f>
        <v>20</v>
      </c>
    </row>
    <row r="126" spans="1:4" x14ac:dyDescent="0.2">
      <c r="A126" s="103">
        <f>'Modelo Ajustado'!A141</f>
        <v>6802180</v>
      </c>
      <c r="B126" s="103">
        <f>'Modelo Ajustado'!B141</f>
        <v>13478</v>
      </c>
      <c r="C126" s="103">
        <f>'Modelo Ajustado'!C141</f>
        <v>2</v>
      </c>
      <c r="D126" s="103">
        <f>'Modelo Ajustado'!D141</f>
        <v>9</v>
      </c>
    </row>
    <row r="127" spans="1:4" x14ac:dyDescent="0.2">
      <c r="A127" s="103">
        <f>'Modelo Ajustado'!A142</f>
        <v>936477</v>
      </c>
      <c r="B127" s="103">
        <f>'Modelo Ajustado'!B142</f>
        <v>14269</v>
      </c>
      <c r="C127" s="103">
        <f>'Modelo Ajustado'!C142</f>
        <v>7</v>
      </c>
      <c r="D127" s="103">
        <f>'Modelo Ajustado'!D142</f>
        <v>12</v>
      </c>
    </row>
    <row r="128" spans="1:4" x14ac:dyDescent="0.2">
      <c r="A128" s="103">
        <f>'Modelo Ajustado'!A143</f>
        <v>1437883</v>
      </c>
      <c r="B128" s="103">
        <f>'Modelo Ajustado'!B143</f>
        <v>15558</v>
      </c>
      <c r="C128" s="103">
        <f>'Modelo Ajustado'!C143</f>
        <v>5</v>
      </c>
      <c r="D128" s="103">
        <f>'Modelo Ajustado'!D143</f>
        <v>17</v>
      </c>
    </row>
    <row r="129" spans="1:4" x14ac:dyDescent="0.2">
      <c r="A129" s="103">
        <f>'Modelo Ajustado'!A144</f>
        <v>1850000</v>
      </c>
      <c r="B129" s="103">
        <f>'Modelo Ajustado'!B144</f>
        <v>12500</v>
      </c>
      <c r="C129" s="103">
        <f>'Modelo Ajustado'!C144</f>
        <v>0</v>
      </c>
      <c r="D129" s="103">
        <f>'Modelo Ajustado'!D144</f>
        <v>11</v>
      </c>
    </row>
    <row r="130" spans="1:4" x14ac:dyDescent="0.2">
      <c r="A130" s="103">
        <f>'Modelo Ajustado'!A145</f>
        <v>2078000</v>
      </c>
      <c r="B130" s="103">
        <f>'Modelo Ajustado'!B145</f>
        <v>13100</v>
      </c>
      <c r="C130" s="103">
        <f>'Modelo Ajustado'!C145</f>
        <v>2</v>
      </c>
      <c r="D130" s="103">
        <f>'Modelo Ajustado'!D145</f>
        <v>13</v>
      </c>
    </row>
    <row r="131" spans="1:4" x14ac:dyDescent="0.2">
      <c r="A131" s="103">
        <f>'Modelo Ajustado'!A146</f>
        <v>2040000</v>
      </c>
      <c r="B131" s="103">
        <f>'Modelo Ajustado'!B146</f>
        <v>13800</v>
      </c>
      <c r="C131" s="103">
        <f>'Modelo Ajustado'!C146</f>
        <v>2</v>
      </c>
      <c r="D131" s="103">
        <f>'Modelo Ajustado'!D146</f>
        <v>13</v>
      </c>
    </row>
    <row r="132" spans="1:4" x14ac:dyDescent="0.2">
      <c r="A132" s="103">
        <f>'Modelo Ajustado'!A147</f>
        <v>5500000</v>
      </c>
      <c r="B132" s="103">
        <f>'Modelo Ajustado'!B147</f>
        <v>10400</v>
      </c>
      <c r="C132" s="103">
        <f>'Modelo Ajustado'!C147</f>
        <v>0</v>
      </c>
      <c r="D132" s="103">
        <f>'Modelo Ajustado'!D147</f>
        <v>40</v>
      </c>
    </row>
    <row r="133" spans="1:4" x14ac:dyDescent="0.2">
      <c r="A133" s="103">
        <f>'Modelo Ajustado'!A148</f>
        <v>6000000</v>
      </c>
      <c r="B133" s="103">
        <f>'Modelo Ajustado'!B148</f>
        <v>10400</v>
      </c>
      <c r="C133" s="103">
        <f>'Modelo Ajustado'!C148</f>
        <v>57</v>
      </c>
      <c r="D133" s="103">
        <f>'Modelo Ajustado'!D148</f>
        <v>60</v>
      </c>
    </row>
    <row r="134" spans="1:4" x14ac:dyDescent="0.2">
      <c r="A134" s="103">
        <f>'Modelo Ajustado'!A149</f>
        <v>7000000</v>
      </c>
      <c r="B134" s="103">
        <f>'Modelo Ajustado'!B149</f>
        <v>11020</v>
      </c>
      <c r="C134" s="103">
        <f>'Modelo Ajustado'!C149</f>
        <v>10</v>
      </c>
      <c r="D134" s="103">
        <f>'Modelo Ajustado'!D149</f>
        <v>100</v>
      </c>
    </row>
    <row r="135" spans="1:4" x14ac:dyDescent="0.2">
      <c r="A135" s="103">
        <f>'Modelo Ajustado'!A150</f>
        <v>1269000</v>
      </c>
      <c r="B135" s="103">
        <f>'Modelo Ajustado'!B150</f>
        <v>14000</v>
      </c>
      <c r="C135" s="103">
        <f>'Modelo Ajustado'!C150</f>
        <v>0</v>
      </c>
      <c r="D135" s="103">
        <f>'Modelo Ajustado'!D150</f>
        <v>30</v>
      </c>
    </row>
    <row r="136" spans="1:4" x14ac:dyDescent="0.2">
      <c r="A136" s="103">
        <f>'Modelo Ajustado'!A151</f>
        <v>1681000</v>
      </c>
      <c r="B136" s="103">
        <f>'Modelo Ajustado'!B151</f>
        <v>14500</v>
      </c>
      <c r="C136" s="103">
        <f>'Modelo Ajustado'!C151</f>
        <v>24</v>
      </c>
      <c r="D136" s="103">
        <f>'Modelo Ajustado'!D151</f>
        <v>30</v>
      </c>
    </row>
    <row r="137" spans="1:4" x14ac:dyDescent="0.2">
      <c r="A137" s="103">
        <f>'Modelo Ajustado'!A152</f>
        <v>1814000</v>
      </c>
      <c r="B137" s="103">
        <f>'Modelo Ajustado'!B152</f>
        <v>15000</v>
      </c>
      <c r="C137" s="103">
        <f>'Modelo Ajustado'!C152</f>
        <v>0</v>
      </c>
      <c r="D137" s="103">
        <f>'Modelo Ajustado'!D152</f>
        <v>31</v>
      </c>
    </row>
    <row r="138" spans="1:4" x14ac:dyDescent="0.2">
      <c r="A138" s="103">
        <f>'Modelo Ajustado'!A153</f>
        <v>2000000</v>
      </c>
      <c r="B138" s="103">
        <f>'Modelo Ajustado'!B153</f>
        <v>18000</v>
      </c>
      <c r="C138" s="103">
        <f>'Modelo Ajustado'!C153</f>
        <v>2</v>
      </c>
      <c r="D138" s="103">
        <f>'Modelo Ajustado'!D153</f>
        <v>15</v>
      </c>
    </row>
    <row r="139" spans="1:4" x14ac:dyDescent="0.2">
      <c r="A139" s="103">
        <f>'Modelo Ajustado'!A154</f>
        <v>2500000</v>
      </c>
      <c r="B139" s="103">
        <f>'Modelo Ajustado'!B154</f>
        <v>20000</v>
      </c>
      <c r="C139" s="103">
        <f>'Modelo Ajustado'!C154</f>
        <v>3</v>
      </c>
      <c r="D139" s="103">
        <f>'Modelo Ajustado'!D154</f>
        <v>15</v>
      </c>
    </row>
    <row r="140" spans="1:4" x14ac:dyDescent="0.2">
      <c r="A140" s="103">
        <f>'Modelo Ajustado'!A155</f>
        <v>3500000</v>
      </c>
      <c r="B140" s="103">
        <f>'Modelo Ajustado'!B155</f>
        <v>22000</v>
      </c>
      <c r="C140" s="103">
        <f>'Modelo Ajustado'!C155</f>
        <v>15</v>
      </c>
      <c r="D140" s="103">
        <f>'Modelo Ajustado'!D155</f>
        <v>15</v>
      </c>
    </row>
    <row r="141" spans="1:4" x14ac:dyDescent="0.2">
      <c r="A141" s="103">
        <f>'Modelo Ajustado'!A156</f>
        <v>400000</v>
      </c>
      <c r="B141" s="103">
        <f>'Modelo Ajustado'!B156</f>
        <v>25861</v>
      </c>
      <c r="C141" s="103">
        <f>'Modelo Ajustado'!C156</f>
        <v>0</v>
      </c>
      <c r="D141" s="103">
        <f>'Modelo Ajustado'!D156</f>
        <v>6</v>
      </c>
    </row>
    <row r="142" spans="1:4" x14ac:dyDescent="0.2">
      <c r="A142" s="103">
        <f>'Modelo Ajustado'!A157</f>
        <v>500000</v>
      </c>
      <c r="B142" s="103">
        <f>'Modelo Ajustado'!B157</f>
        <v>25168</v>
      </c>
      <c r="C142" s="103">
        <f>'Modelo Ajustado'!C157</f>
        <v>5</v>
      </c>
      <c r="D142" s="103">
        <f>'Modelo Ajustado'!D157</f>
        <v>5</v>
      </c>
    </row>
    <row r="143" spans="1:4" x14ac:dyDescent="0.2">
      <c r="A143" s="103">
        <f>'Modelo Ajustado'!A158</f>
        <v>600000</v>
      </c>
      <c r="B143" s="103">
        <f>'Modelo Ajustado'!B158</f>
        <v>23625</v>
      </c>
      <c r="C143" s="103">
        <f>'Modelo Ajustado'!C158</f>
        <v>0</v>
      </c>
      <c r="D143" s="103">
        <f>'Modelo Ajustado'!D158</f>
        <v>7</v>
      </c>
    </row>
    <row r="144" spans="1:4" x14ac:dyDescent="0.2">
      <c r="A144" s="103">
        <f>'Modelo Ajustado'!A159</f>
        <v>3330457</v>
      </c>
      <c r="B144" s="103">
        <f>'Modelo Ajustado'!B159</f>
        <v>11500</v>
      </c>
      <c r="C144" s="103">
        <f>'Modelo Ajustado'!C159</f>
        <v>3</v>
      </c>
      <c r="D144" s="103">
        <f>'Modelo Ajustado'!D159</f>
        <v>60</v>
      </c>
    </row>
    <row r="145" spans="1:4" x14ac:dyDescent="0.2">
      <c r="A145" s="103">
        <f>'Modelo Ajustado'!A160</f>
        <v>3765312</v>
      </c>
      <c r="B145" s="103">
        <f>'Modelo Ajustado'!B160</f>
        <v>12500</v>
      </c>
      <c r="C145" s="103">
        <f>'Modelo Ajustado'!C160</f>
        <v>3</v>
      </c>
      <c r="D145" s="103">
        <f>'Modelo Ajustado'!D160</f>
        <v>65</v>
      </c>
    </row>
    <row r="146" spans="1:4" x14ac:dyDescent="0.2">
      <c r="A146" s="103">
        <f>'Modelo Ajustado'!A161</f>
        <v>3533090</v>
      </c>
      <c r="B146" s="103">
        <f>'Modelo Ajustado'!B161</f>
        <v>13200</v>
      </c>
      <c r="C146" s="103">
        <f>'Modelo Ajustado'!C161</f>
        <v>0</v>
      </c>
      <c r="D146" s="103">
        <f>'Modelo Ajustado'!D161</f>
        <v>56</v>
      </c>
    </row>
    <row r="147" spans="1:4" x14ac:dyDescent="0.2">
      <c r="A147" s="103">
        <f>'Modelo Ajustado'!A165</f>
        <v>3870000</v>
      </c>
      <c r="B147" s="103">
        <f>'Modelo Ajustado'!B165</f>
        <v>19968</v>
      </c>
      <c r="C147" s="103">
        <f>'Modelo Ajustado'!C165</f>
        <v>20</v>
      </c>
      <c r="D147" s="103">
        <f>'Modelo Ajustado'!D165</f>
        <v>60</v>
      </c>
    </row>
    <row r="148" spans="1:4" x14ac:dyDescent="0.2">
      <c r="A148" s="103">
        <f>'Modelo Ajustado'!A166</f>
        <v>3882000</v>
      </c>
      <c r="B148" s="103">
        <f>'Modelo Ajustado'!B166</f>
        <v>20800</v>
      </c>
      <c r="C148" s="103">
        <f>'Modelo Ajustado'!C166</f>
        <v>41</v>
      </c>
      <c r="D148" s="103">
        <f>'Modelo Ajustado'!D166</f>
        <v>70</v>
      </c>
    </row>
    <row r="149" spans="1:4" x14ac:dyDescent="0.2">
      <c r="A149" s="103">
        <f>'Modelo Ajustado'!A167</f>
        <v>5330000</v>
      </c>
      <c r="B149" s="103">
        <f>'Modelo Ajustado'!B167</f>
        <v>21840</v>
      </c>
      <c r="C149" s="103">
        <f>'Modelo Ajustado'!C167</f>
        <v>20</v>
      </c>
      <c r="D149" s="103">
        <f>'Modelo Ajustado'!D167</f>
        <v>70</v>
      </c>
    </row>
    <row r="150" spans="1:4" x14ac:dyDescent="0.2">
      <c r="A150" s="103">
        <f>'Modelo Ajustado'!A171</f>
        <v>1200000</v>
      </c>
      <c r="B150" s="103">
        <f>'Modelo Ajustado'!B171</f>
        <v>10000</v>
      </c>
      <c r="C150" s="103">
        <f>'Modelo Ajustado'!C171</f>
        <v>6</v>
      </c>
      <c r="D150" s="103">
        <f>'Modelo Ajustado'!D171</f>
        <v>40</v>
      </c>
    </row>
    <row r="151" spans="1:4" x14ac:dyDescent="0.2">
      <c r="A151" s="103">
        <f>'Modelo Ajustado'!A172</f>
        <v>1100000</v>
      </c>
      <c r="B151" s="103">
        <f>'Modelo Ajustado'!B172</f>
        <v>10300</v>
      </c>
      <c r="C151" s="103">
        <f>'Modelo Ajustado'!C172</f>
        <v>35</v>
      </c>
      <c r="D151" s="103">
        <f>'Modelo Ajustado'!D172</f>
        <v>35</v>
      </c>
    </row>
    <row r="152" spans="1:4" x14ac:dyDescent="0.2">
      <c r="A152" s="103">
        <f>'Modelo Ajustado'!A173</f>
        <v>1300000</v>
      </c>
      <c r="B152" s="103">
        <f>'Modelo Ajustado'!B173</f>
        <v>10700</v>
      </c>
      <c r="C152" s="103">
        <f>'Modelo Ajustado'!C173</f>
        <v>6</v>
      </c>
      <c r="D152" s="103">
        <f>'Modelo Ajustado'!D173</f>
        <v>50</v>
      </c>
    </row>
    <row r="153" spans="1:4" x14ac:dyDescent="0.2">
      <c r="A153" s="103">
        <f>'Modelo Ajustado'!A174</f>
        <v>11000000</v>
      </c>
      <c r="B153" s="103">
        <f>'Modelo Ajustado'!B174</f>
        <v>12000</v>
      </c>
      <c r="C153" s="103">
        <f>'Modelo Ajustado'!C174</f>
        <v>20</v>
      </c>
      <c r="D153" s="103">
        <f>'Modelo Ajustado'!D174</f>
        <v>150</v>
      </c>
    </row>
    <row r="154" spans="1:4" x14ac:dyDescent="0.2">
      <c r="A154" s="103">
        <f>'Modelo Ajustado'!A175</f>
        <v>15000000</v>
      </c>
      <c r="B154" s="103">
        <f>'Modelo Ajustado'!B175</f>
        <v>14000</v>
      </c>
      <c r="C154" s="103">
        <f>'Modelo Ajustado'!C175</f>
        <v>74</v>
      </c>
      <c r="D154" s="103">
        <f>'Modelo Ajustado'!D175</f>
        <v>175</v>
      </c>
    </row>
    <row r="155" spans="1:4" x14ac:dyDescent="0.2">
      <c r="A155" s="103">
        <f>'Modelo Ajustado'!A177</f>
        <v>6000000</v>
      </c>
      <c r="B155" s="103">
        <f>'Modelo Ajustado'!B177</f>
        <v>12480</v>
      </c>
      <c r="C155" s="103">
        <f>'Modelo Ajustado'!C177</f>
        <v>5</v>
      </c>
      <c r="D155" s="103">
        <f>'Modelo Ajustado'!D177</f>
        <v>80</v>
      </c>
    </row>
    <row r="156" spans="1:4" x14ac:dyDescent="0.2">
      <c r="A156" s="103">
        <f>'Modelo Ajustado'!A180</f>
        <v>307501</v>
      </c>
      <c r="B156" s="103">
        <f>'Modelo Ajustado'!B180</f>
        <v>8500</v>
      </c>
      <c r="C156" s="103">
        <f>'Modelo Ajustado'!C180</f>
        <v>10</v>
      </c>
      <c r="D156" s="103">
        <f>'Modelo Ajustado'!D180</f>
        <v>10</v>
      </c>
    </row>
    <row r="157" spans="1:4" x14ac:dyDescent="0.2">
      <c r="A157" s="103">
        <f>'Modelo Ajustado'!A181</f>
        <v>1961818</v>
      </c>
      <c r="B157" s="103">
        <f>'Modelo Ajustado'!B181</f>
        <v>9000</v>
      </c>
      <c r="C157" s="103">
        <f>'Modelo Ajustado'!C181</f>
        <v>25</v>
      </c>
      <c r="D157" s="103">
        <f>'Modelo Ajustado'!D181</f>
        <v>25</v>
      </c>
    </row>
    <row r="158" spans="1:4" x14ac:dyDescent="0.2">
      <c r="A158" s="103">
        <f>'Modelo Ajustado'!A182</f>
        <v>2650786</v>
      </c>
      <c r="B158" s="103">
        <f>'Modelo Ajustado'!B182</f>
        <v>9400</v>
      </c>
      <c r="C158" s="103">
        <f>'Modelo Ajustado'!C182</f>
        <v>30</v>
      </c>
      <c r="D158" s="103">
        <f>'Modelo Ajustado'!D182</f>
        <v>34</v>
      </c>
    </row>
    <row r="159" spans="1:4" x14ac:dyDescent="0.2">
      <c r="A159" s="103">
        <f>'Modelo Ajustado'!A183</f>
        <v>600000</v>
      </c>
      <c r="B159" s="103">
        <f>'Modelo Ajustado'!B183</f>
        <v>16640</v>
      </c>
      <c r="C159" s="103">
        <f>'Modelo Ajustado'!C183</f>
        <v>3</v>
      </c>
      <c r="D159" s="103">
        <f>'Modelo Ajustado'!D183</f>
        <v>6</v>
      </c>
    </row>
    <row r="160" spans="1:4" x14ac:dyDescent="0.2">
      <c r="A160" s="103">
        <f>'Modelo Ajustado'!A184</f>
        <v>820000</v>
      </c>
      <c r="B160" s="103">
        <f>'Modelo Ajustado'!B184</f>
        <v>18304</v>
      </c>
      <c r="C160" s="103">
        <f>'Modelo Ajustado'!C184</f>
        <v>5</v>
      </c>
      <c r="D160" s="103">
        <f>'Modelo Ajustado'!D184</f>
        <v>12</v>
      </c>
    </row>
    <row r="161" spans="1:4" x14ac:dyDescent="0.2">
      <c r="A161" s="103">
        <f>'Modelo Ajustado'!A185</f>
        <v>1200000</v>
      </c>
      <c r="B161" s="103">
        <f>'Modelo Ajustado'!B185</f>
        <v>19552</v>
      </c>
      <c r="C161" s="103">
        <f>'Modelo Ajustado'!C185</f>
        <v>4</v>
      </c>
      <c r="D161" s="103">
        <f>'Modelo Ajustado'!D185</f>
        <v>14</v>
      </c>
    </row>
    <row r="162" spans="1:4" x14ac:dyDescent="0.2">
      <c r="A162" s="103">
        <f>'Modelo Ajustado'!A186</f>
        <v>1608573</v>
      </c>
      <c r="B162" s="103">
        <f>'Modelo Ajustado'!B186</f>
        <v>35000</v>
      </c>
      <c r="C162" s="103">
        <f>'Modelo Ajustado'!C186</f>
        <v>10</v>
      </c>
      <c r="D162" s="103">
        <f>'Modelo Ajustado'!D186</f>
        <v>16</v>
      </c>
    </row>
    <row r="163" spans="1:4" x14ac:dyDescent="0.2">
      <c r="A163" s="103">
        <f>'Modelo Ajustado'!A189</f>
        <v>1600000</v>
      </c>
      <c r="B163" s="103">
        <f>'Modelo Ajustado'!B189</f>
        <v>12000</v>
      </c>
      <c r="C163" s="103">
        <f>'Modelo Ajustado'!C189</f>
        <v>0</v>
      </c>
      <c r="D163" s="103">
        <f>'Modelo Ajustado'!D189</f>
        <v>15</v>
      </c>
    </row>
    <row r="164" spans="1:4" x14ac:dyDescent="0.2">
      <c r="A164" s="103">
        <f>'Modelo Ajustado'!A190</f>
        <v>1800000</v>
      </c>
      <c r="B164" s="103">
        <f>'Modelo Ajustado'!B190</f>
        <v>13000</v>
      </c>
      <c r="C164" s="103">
        <f>'Modelo Ajustado'!C190</f>
        <v>9</v>
      </c>
      <c r="D164" s="103">
        <f>'Modelo Ajustado'!D190</f>
        <v>20</v>
      </c>
    </row>
    <row r="165" spans="1:4" x14ac:dyDescent="0.2">
      <c r="A165" s="103">
        <f>'Modelo Ajustado'!A191</f>
        <v>2000000</v>
      </c>
      <c r="B165" s="103">
        <f>'Modelo Ajustado'!B191</f>
        <v>16000</v>
      </c>
      <c r="C165" s="103">
        <f>'Modelo Ajustado'!C191</f>
        <v>6</v>
      </c>
      <c r="D165" s="103">
        <f>'Modelo Ajustado'!D191</f>
        <v>26</v>
      </c>
    </row>
    <row r="166" spans="1:4" x14ac:dyDescent="0.2">
      <c r="A166" s="103">
        <f>'Modelo Ajustado'!A192</f>
        <v>10500000</v>
      </c>
      <c r="B166" s="103">
        <f>'Modelo Ajustado'!B192</f>
        <v>17700</v>
      </c>
      <c r="C166" s="103">
        <f>'Modelo Ajustado'!C192</f>
        <v>67</v>
      </c>
      <c r="D166" s="103">
        <f>'Modelo Ajustado'!D192</f>
        <v>72</v>
      </c>
    </row>
    <row r="167" spans="1:4" x14ac:dyDescent="0.2">
      <c r="A167" s="103">
        <f>'Modelo Ajustado'!A193</f>
        <v>15400000</v>
      </c>
      <c r="B167" s="103">
        <f>'Modelo Ajustado'!B193</f>
        <v>19350</v>
      </c>
      <c r="C167" s="103">
        <f>'Modelo Ajustado'!C193</f>
        <v>128</v>
      </c>
      <c r="D167" s="103">
        <f>'Modelo Ajustado'!D193</f>
        <v>128</v>
      </c>
    </row>
    <row r="168" spans="1:4" x14ac:dyDescent="0.2">
      <c r="A168" s="103">
        <f>'Modelo Ajustado'!A194</f>
        <v>23000000</v>
      </c>
      <c r="B168" s="103">
        <f>'Modelo Ajustado'!B194</f>
        <v>23250</v>
      </c>
      <c r="C168" s="103">
        <f>'Modelo Ajustado'!C194</f>
        <v>108</v>
      </c>
      <c r="D168" s="103">
        <f>'Modelo Ajustado'!D194</f>
        <v>168</v>
      </c>
    </row>
    <row r="169" spans="1:4" x14ac:dyDescent="0.2">
      <c r="A169" s="103">
        <f>'Modelo Ajustado'!A195</f>
        <v>5600000</v>
      </c>
      <c r="B169" s="103">
        <f>'Modelo Ajustado'!B195</f>
        <v>23000</v>
      </c>
      <c r="C169" s="103">
        <f>'Modelo Ajustado'!C195</f>
        <v>10</v>
      </c>
      <c r="D169" s="103">
        <f>'Modelo Ajustado'!D195</f>
        <v>60</v>
      </c>
    </row>
    <row r="170" spans="1:4" x14ac:dyDescent="0.2">
      <c r="A170" s="103">
        <f>'Modelo Ajustado'!A196</f>
        <v>6200000</v>
      </c>
      <c r="B170" s="103">
        <f>'Modelo Ajustado'!B196</f>
        <v>25000</v>
      </c>
      <c r="C170" s="103">
        <f>'Modelo Ajustado'!C196</f>
        <v>50</v>
      </c>
      <c r="D170" s="103">
        <f>'Modelo Ajustado'!D196</f>
        <v>50</v>
      </c>
    </row>
    <row r="171" spans="1:4" x14ac:dyDescent="0.2">
      <c r="A171" s="103">
        <f>'Modelo Ajustado'!A197</f>
        <v>6300000</v>
      </c>
      <c r="B171" s="103">
        <f>'Modelo Ajustado'!B197</f>
        <v>27000</v>
      </c>
      <c r="C171" s="103">
        <f>'Modelo Ajustado'!C197</f>
        <v>6</v>
      </c>
      <c r="D171" s="103">
        <f>'Modelo Ajustado'!D197</f>
        <v>48</v>
      </c>
    </row>
    <row r="172" spans="1:4" x14ac:dyDescent="0.2">
      <c r="A172" s="103">
        <f>'Modelo Ajustado'!A198</f>
        <v>726833</v>
      </c>
      <c r="B172" s="103">
        <f>'Modelo Ajustado'!B198</f>
        <v>9048</v>
      </c>
      <c r="C172" s="103">
        <f>'Modelo Ajustado'!C198</f>
        <v>0</v>
      </c>
      <c r="D172" s="103">
        <f>'Modelo Ajustado'!D198</f>
        <v>15</v>
      </c>
    </row>
    <row r="173" spans="1:4" x14ac:dyDescent="0.2">
      <c r="A173" s="103">
        <f>'Modelo Ajustado'!A199</f>
        <v>4005963</v>
      </c>
      <c r="B173" s="103">
        <f>'Modelo Ajustado'!B199</f>
        <v>10088</v>
      </c>
      <c r="C173" s="103">
        <f>'Modelo Ajustado'!C199</f>
        <v>40</v>
      </c>
      <c r="D173" s="103">
        <f>'Modelo Ajustado'!D199</f>
        <v>80</v>
      </c>
    </row>
    <row r="174" spans="1:4" x14ac:dyDescent="0.2">
      <c r="A174" s="103">
        <f>'Modelo Ajustado'!A200</f>
        <v>2089704</v>
      </c>
      <c r="B174" s="103">
        <f>'Modelo Ajustado'!B200</f>
        <v>10504</v>
      </c>
      <c r="C174" s="103">
        <f>'Modelo Ajustado'!C200</f>
        <v>0</v>
      </c>
      <c r="D174" s="103">
        <f>'Modelo Ajustado'!D200</f>
        <v>30</v>
      </c>
    </row>
    <row r="175" spans="1:4" x14ac:dyDescent="0.2">
      <c r="A175" s="103">
        <f>'Modelo Ajustado'!A201</f>
        <v>7742994</v>
      </c>
      <c r="B175" s="103">
        <f>'Modelo Ajustado'!B201</f>
        <v>18305</v>
      </c>
      <c r="C175" s="103">
        <f>'Modelo Ajustado'!C201</f>
        <v>0</v>
      </c>
      <c r="D175" s="103">
        <f>'Modelo Ajustado'!D201</f>
        <v>72</v>
      </c>
    </row>
    <row r="176" spans="1:4" x14ac:dyDescent="0.2">
      <c r="A176" s="103">
        <f>'Modelo Ajustado'!A202</f>
        <v>8273868</v>
      </c>
      <c r="B176" s="103">
        <f>'Modelo Ajustado'!B202</f>
        <v>19828</v>
      </c>
      <c r="C176" s="103">
        <f>'Modelo Ajustado'!C202</f>
        <v>70</v>
      </c>
      <c r="D176" s="103">
        <f>'Modelo Ajustado'!D202</f>
        <v>70</v>
      </c>
    </row>
    <row r="177" spans="1:4" x14ac:dyDescent="0.2">
      <c r="A177" s="103">
        <f>'Modelo Ajustado'!A203</f>
        <v>8329656</v>
      </c>
      <c r="B177" s="103">
        <f>'Modelo Ajustado'!B203</f>
        <v>17893</v>
      </c>
      <c r="C177" s="103">
        <f>'Modelo Ajustado'!C203</f>
        <v>0</v>
      </c>
      <c r="D177" s="103">
        <f>'Modelo Ajustado'!D203</f>
        <v>68</v>
      </c>
    </row>
    <row r="178" spans="1:4" x14ac:dyDescent="0.2">
      <c r="A178" s="103">
        <f>'Modelo Ajustado'!A204</f>
        <v>10000000</v>
      </c>
      <c r="B178" s="103">
        <f>'Modelo Ajustado'!B204</f>
        <v>28080</v>
      </c>
      <c r="C178" s="103">
        <f>'Modelo Ajustado'!C204</f>
        <v>0</v>
      </c>
      <c r="D178" s="103">
        <f>'Modelo Ajustado'!D204</f>
        <v>120</v>
      </c>
    </row>
    <row r="179" spans="1:4" x14ac:dyDescent="0.2">
      <c r="A179" s="103">
        <f>'Modelo Ajustado'!A205</f>
        <v>12000000</v>
      </c>
      <c r="B179" s="103">
        <f>'Modelo Ajustado'!B205</f>
        <v>28080</v>
      </c>
      <c r="C179" s="103">
        <f>'Modelo Ajustado'!C205</f>
        <v>120</v>
      </c>
      <c r="D179" s="103">
        <f>'Modelo Ajustado'!D205</f>
        <v>120</v>
      </c>
    </row>
    <row r="180" spans="1:4" x14ac:dyDescent="0.2">
      <c r="A180" s="103">
        <f>'Modelo Ajustado'!A206</f>
        <v>11000000</v>
      </c>
      <c r="B180" s="103">
        <f>'Modelo Ajustado'!B206</f>
        <v>28080</v>
      </c>
      <c r="C180" s="103">
        <f>'Modelo Ajustado'!C206</f>
        <v>120</v>
      </c>
      <c r="D180" s="103">
        <f>'Modelo Ajustado'!D206</f>
        <v>120</v>
      </c>
    </row>
    <row r="181" spans="1:4" x14ac:dyDescent="0.2">
      <c r="A181" s="103">
        <f>'Modelo Ajustado'!A207</f>
        <v>1800000</v>
      </c>
      <c r="B181" s="103">
        <f>'Modelo Ajustado'!B207</f>
        <v>15100</v>
      </c>
      <c r="C181" s="103">
        <f>'Modelo Ajustado'!C207</f>
        <v>25</v>
      </c>
      <c r="D181" s="103">
        <f>'Modelo Ajustado'!D207</f>
        <v>25</v>
      </c>
    </row>
    <row r="182" spans="1:4" x14ac:dyDescent="0.2">
      <c r="A182" s="103">
        <f>'Modelo Ajustado'!A208</f>
        <v>2100000</v>
      </c>
      <c r="B182" s="103">
        <f>'Modelo Ajustado'!B208</f>
        <v>16500</v>
      </c>
      <c r="C182" s="103">
        <f>'Modelo Ajustado'!C208</f>
        <v>30</v>
      </c>
      <c r="D182" s="103">
        <f>'Modelo Ajustado'!D208</f>
        <v>30</v>
      </c>
    </row>
    <row r="183" spans="1:4" x14ac:dyDescent="0.2">
      <c r="A183" s="103">
        <f>'Modelo Ajustado'!A209</f>
        <v>2000000</v>
      </c>
      <c r="B183" s="103">
        <f>'Modelo Ajustado'!B209</f>
        <v>30000</v>
      </c>
      <c r="C183" s="103">
        <f>'Modelo Ajustado'!C209</f>
        <v>31</v>
      </c>
      <c r="D183" s="103">
        <f>'Modelo Ajustado'!D209</f>
        <v>31</v>
      </c>
    </row>
    <row r="184" spans="1:4" x14ac:dyDescent="0.2">
      <c r="A184" s="103">
        <f>'Modelo Ajustado'!A210</f>
        <v>2200000</v>
      </c>
      <c r="B184" s="103">
        <f>'Modelo Ajustado'!B210</f>
        <v>30000</v>
      </c>
      <c r="C184" s="103">
        <f>'Modelo Ajustado'!C210</f>
        <v>47</v>
      </c>
      <c r="D184" s="103">
        <f>'Modelo Ajustado'!D210</f>
        <v>47</v>
      </c>
    </row>
    <row r="185" spans="1:4" x14ac:dyDescent="0.2">
      <c r="A185" s="103">
        <f>'Modelo Ajustado'!A211</f>
        <v>1800000</v>
      </c>
      <c r="B185" s="103">
        <f>'Modelo Ajustado'!B211</f>
        <v>30000</v>
      </c>
      <c r="C185" s="103">
        <f>'Modelo Ajustado'!C211</f>
        <v>32</v>
      </c>
      <c r="D185" s="103">
        <f>'Modelo Ajustado'!D211</f>
        <v>32</v>
      </c>
    </row>
    <row r="186" spans="1:4" x14ac:dyDescent="0.2">
      <c r="A186" s="103">
        <f>'Modelo Ajustado'!A212</f>
        <v>1400000</v>
      </c>
      <c r="B186" s="103">
        <f>'Modelo Ajustado'!B212</f>
        <v>14000</v>
      </c>
      <c r="C186" s="103">
        <f>'Modelo Ajustado'!C212</f>
        <v>3</v>
      </c>
      <c r="D186" s="103">
        <f>'Modelo Ajustado'!D212</f>
        <v>25</v>
      </c>
    </row>
    <row r="187" spans="1:4" x14ac:dyDescent="0.2">
      <c r="A187" s="103">
        <f>'Modelo Ajustado'!A213</f>
        <v>1680000</v>
      </c>
      <c r="B187" s="103">
        <f>'Modelo Ajustado'!B213</f>
        <v>16000</v>
      </c>
      <c r="C187" s="103">
        <f>'Modelo Ajustado'!C213</f>
        <v>17</v>
      </c>
      <c r="D187" s="103">
        <f>'Modelo Ajustado'!D213</f>
        <v>30</v>
      </c>
    </row>
    <row r="188" spans="1:4" x14ac:dyDescent="0.2">
      <c r="A188" s="103">
        <f>'Modelo Ajustado'!A214</f>
        <v>2806000</v>
      </c>
      <c r="B188" s="103">
        <f>'Modelo Ajustado'!B214</f>
        <v>17000</v>
      </c>
      <c r="C188" s="103">
        <f>'Modelo Ajustado'!C214</f>
        <v>4</v>
      </c>
      <c r="D188" s="103">
        <f>'Modelo Ajustado'!D214</f>
        <v>39</v>
      </c>
    </row>
    <row r="189" spans="1:4" x14ac:dyDescent="0.2">
      <c r="A189" s="103">
        <f>'Modelo Ajustado'!A215</f>
        <v>580000</v>
      </c>
      <c r="B189" s="103">
        <f>'Modelo Ajustado'!B215</f>
        <v>8840</v>
      </c>
      <c r="C189" s="103">
        <f>'Modelo Ajustado'!C215</f>
        <v>0</v>
      </c>
      <c r="D189" s="103">
        <f>'Modelo Ajustado'!D215</f>
        <v>19</v>
      </c>
    </row>
    <row r="190" spans="1:4" x14ac:dyDescent="0.2">
      <c r="A190" s="103">
        <f>'Modelo Ajustado'!A216</f>
        <v>660000</v>
      </c>
      <c r="B190" s="103">
        <f>'Modelo Ajustado'!B216</f>
        <v>9360</v>
      </c>
      <c r="C190" s="103">
        <f>'Modelo Ajustado'!C216</f>
        <v>21</v>
      </c>
      <c r="D190" s="103">
        <f>'Modelo Ajustado'!D216</f>
        <v>21</v>
      </c>
    </row>
    <row r="191" spans="1:4" x14ac:dyDescent="0.2">
      <c r="A191" s="103">
        <f>'Modelo Ajustado'!A217</f>
        <v>984000</v>
      </c>
      <c r="B191" s="103">
        <f>'Modelo Ajustado'!B217</f>
        <v>10720</v>
      </c>
      <c r="C191" s="103">
        <f>'Modelo Ajustado'!C217</f>
        <v>0</v>
      </c>
      <c r="D191" s="103">
        <f>'Modelo Ajustado'!D217</f>
        <v>30</v>
      </c>
    </row>
    <row r="192" spans="1:4" x14ac:dyDescent="0.2">
      <c r="A192" s="103">
        <f>'Modelo Ajustado'!A218</f>
        <v>1300000</v>
      </c>
      <c r="B192" s="103">
        <f>'Modelo Ajustado'!B218</f>
        <v>13000</v>
      </c>
      <c r="C192" s="103">
        <f>'Modelo Ajustado'!C218</f>
        <v>0</v>
      </c>
      <c r="D192" s="103">
        <f>'Modelo Ajustado'!D218</f>
        <v>15</v>
      </c>
    </row>
    <row r="193" spans="1:4" x14ac:dyDescent="0.2">
      <c r="A193" s="103">
        <f>'Modelo Ajustado'!A219</f>
        <v>1600000</v>
      </c>
      <c r="B193" s="103">
        <f>'Modelo Ajustado'!B219</f>
        <v>14040</v>
      </c>
      <c r="C193" s="103">
        <f>'Modelo Ajustado'!C219</f>
        <v>18</v>
      </c>
      <c r="D193" s="103">
        <f>'Modelo Ajustado'!D219</f>
        <v>18</v>
      </c>
    </row>
    <row r="194" spans="1:4" x14ac:dyDescent="0.2">
      <c r="A194" s="103">
        <f>'Modelo Ajustado'!A220</f>
        <v>2300000</v>
      </c>
      <c r="B194" s="103">
        <f>'Modelo Ajustado'!B220</f>
        <v>15080</v>
      </c>
      <c r="C194" s="103">
        <f>'Modelo Ajustado'!C220</f>
        <v>0</v>
      </c>
      <c r="D194" s="103">
        <f>'Modelo Ajustado'!D220</f>
        <v>28</v>
      </c>
    </row>
    <row r="195" spans="1:4" x14ac:dyDescent="0.2">
      <c r="A195" s="103">
        <f>'Modelo Ajustado'!A221</f>
        <v>490000</v>
      </c>
      <c r="B195" s="103">
        <f>'Modelo Ajustado'!B221</f>
        <v>14560</v>
      </c>
      <c r="C195" s="103">
        <f>'Modelo Ajustado'!C221</f>
        <v>4</v>
      </c>
      <c r="D195" s="103">
        <f>'Modelo Ajustado'!D221</f>
        <v>6</v>
      </c>
    </row>
    <row r="196" spans="1:4" x14ac:dyDescent="0.2">
      <c r="A196" s="103">
        <f>'Modelo Ajustado'!A222</f>
        <v>580000</v>
      </c>
      <c r="B196" s="103">
        <f>'Modelo Ajustado'!B222</f>
        <v>15600</v>
      </c>
      <c r="C196" s="103">
        <f>'Modelo Ajustado'!C222</f>
        <v>6</v>
      </c>
      <c r="D196" s="103">
        <f>'Modelo Ajustado'!D222</f>
        <v>7</v>
      </c>
    </row>
    <row r="197" spans="1:4" x14ac:dyDescent="0.2">
      <c r="A197" s="103">
        <f>'Modelo Ajustado'!A223</f>
        <v>660000</v>
      </c>
      <c r="B197" s="103">
        <f>'Modelo Ajustado'!B223</f>
        <v>16640</v>
      </c>
      <c r="C197" s="103">
        <f>'Modelo Ajustado'!C223</f>
        <v>4</v>
      </c>
      <c r="D197" s="103">
        <f>'Modelo Ajustado'!D223</f>
        <v>8</v>
      </c>
    </row>
    <row r="198" spans="1:4" x14ac:dyDescent="0.2">
      <c r="A198" s="103">
        <f>'Modelo Ajustado'!A224</f>
        <v>4568907</v>
      </c>
      <c r="B198" s="103">
        <f>'Modelo Ajustado'!B224</f>
        <v>19042</v>
      </c>
      <c r="C198" s="103">
        <f>'Modelo Ajustado'!C224</f>
        <v>0</v>
      </c>
      <c r="D198" s="103">
        <f>'Modelo Ajustado'!D224</f>
        <v>28</v>
      </c>
    </row>
    <row r="199" spans="1:4" x14ac:dyDescent="0.2">
      <c r="A199" s="103">
        <f>'Modelo Ajustado'!A225</f>
        <v>4904008</v>
      </c>
      <c r="B199" s="103">
        <f>'Modelo Ajustado'!B225</f>
        <v>19845</v>
      </c>
      <c r="C199" s="103">
        <f>'Modelo Ajustado'!C225</f>
        <v>14</v>
      </c>
      <c r="D199" s="103">
        <f>'Modelo Ajustado'!D225</f>
        <v>28</v>
      </c>
    </row>
    <row r="200" spans="1:4" x14ac:dyDescent="0.2">
      <c r="A200" s="103">
        <f>'Modelo Ajustado'!A226</f>
        <v>5884603</v>
      </c>
      <c r="B200" s="103">
        <f>'Modelo Ajustado'!B226</f>
        <v>20426</v>
      </c>
      <c r="C200" s="103">
        <f>'Modelo Ajustado'!C226</f>
        <v>4</v>
      </c>
      <c r="D200" s="103">
        <f>'Modelo Ajustado'!D226</f>
        <v>29</v>
      </c>
    </row>
    <row r="201" spans="1:4" x14ac:dyDescent="0.2">
      <c r="A201" s="103">
        <f>'Modelo Ajustado'!A227</f>
        <v>6900000</v>
      </c>
      <c r="B201" s="103">
        <f>'Modelo Ajustado'!B227</f>
        <v>13728</v>
      </c>
      <c r="C201" s="103">
        <f>'Modelo Ajustado'!C227</f>
        <v>20</v>
      </c>
      <c r="D201" s="103">
        <f>'Modelo Ajustado'!D227</f>
        <v>80</v>
      </c>
    </row>
    <row r="202" spans="1:4" x14ac:dyDescent="0.2">
      <c r="A202" s="103">
        <f>'Modelo Ajustado'!A228</f>
        <v>8400000</v>
      </c>
      <c r="B202" s="103">
        <f>'Modelo Ajustado'!B228</f>
        <v>14664</v>
      </c>
      <c r="C202" s="103">
        <f>'Modelo Ajustado'!C228</f>
        <v>25</v>
      </c>
      <c r="D202" s="103">
        <f>'Modelo Ajustado'!D228</f>
        <v>65</v>
      </c>
    </row>
    <row r="203" spans="1:4" x14ac:dyDescent="0.2">
      <c r="A203" s="103">
        <f>'Modelo Ajustado'!A229</f>
        <v>7100000</v>
      </c>
      <c r="B203" s="103">
        <f>'Modelo Ajustado'!B229</f>
        <v>15600</v>
      </c>
      <c r="C203" s="103">
        <f>'Modelo Ajustado'!C229</f>
        <v>30</v>
      </c>
      <c r="D203" s="103">
        <f>'Modelo Ajustado'!D229</f>
        <v>75</v>
      </c>
    </row>
    <row r="204" spans="1:4" x14ac:dyDescent="0.2">
      <c r="A204" s="103">
        <f>'Modelo Ajustado'!A230</f>
        <v>3000000</v>
      </c>
      <c r="B204" s="103">
        <f>'Modelo Ajustado'!B230</f>
        <v>20000</v>
      </c>
      <c r="C204" s="103">
        <f>'Modelo Ajustado'!C230</f>
        <v>0</v>
      </c>
      <c r="D204" s="103">
        <f>'Modelo Ajustado'!D230</f>
        <v>25</v>
      </c>
    </row>
    <row r="205" spans="1:4" x14ac:dyDescent="0.2">
      <c r="A205" s="103">
        <f>'Modelo Ajustado'!A231</f>
        <v>4000000</v>
      </c>
      <c r="B205" s="103">
        <f>'Modelo Ajustado'!B231</f>
        <v>25000</v>
      </c>
      <c r="C205" s="103">
        <f>'Modelo Ajustado'!C231</f>
        <v>0</v>
      </c>
      <c r="D205" s="103">
        <f>'Modelo Ajustado'!D231</f>
        <v>30</v>
      </c>
    </row>
    <row r="206" spans="1:4" x14ac:dyDescent="0.2">
      <c r="A206" s="103">
        <f>'Modelo Ajustado'!A232</f>
        <v>6000000</v>
      </c>
      <c r="B206" s="103">
        <f>'Modelo Ajustado'!B232</f>
        <v>30000</v>
      </c>
      <c r="C206" s="103">
        <f>'Modelo Ajustado'!C232</f>
        <v>0</v>
      </c>
      <c r="D206" s="103">
        <f>'Modelo Ajustado'!D232</f>
        <v>40</v>
      </c>
    </row>
    <row r="207" spans="1:4" x14ac:dyDescent="0.2">
      <c r="A207" s="103">
        <f>'Modelo Ajustado'!A233</f>
        <v>1083644</v>
      </c>
      <c r="B207" s="103">
        <f>'Modelo Ajustado'!B233</f>
        <v>24000</v>
      </c>
      <c r="C207" s="103">
        <f>'Modelo Ajustado'!C233</f>
        <v>6</v>
      </c>
      <c r="D207" s="103">
        <f>'Modelo Ajustado'!D233</f>
        <v>17</v>
      </c>
    </row>
    <row r="208" spans="1:4" x14ac:dyDescent="0.2">
      <c r="A208" s="103">
        <f>'Modelo Ajustado'!A234</f>
        <v>851605</v>
      </c>
      <c r="B208" s="103">
        <f>'Modelo Ajustado'!B234</f>
        <v>24000</v>
      </c>
      <c r="C208" s="103">
        <f>'Modelo Ajustado'!C234</f>
        <v>13</v>
      </c>
      <c r="D208" s="103">
        <f>'Modelo Ajustado'!D234</f>
        <v>13</v>
      </c>
    </row>
    <row r="209" spans="1:4" x14ac:dyDescent="0.2">
      <c r="A209" s="103">
        <f>'Modelo Ajustado'!A235</f>
        <v>885852</v>
      </c>
      <c r="B209" s="103">
        <f>'Modelo Ajustado'!B235</f>
        <v>16000</v>
      </c>
      <c r="C209" s="103">
        <f>'Modelo Ajustado'!C235</f>
        <v>1</v>
      </c>
      <c r="D209" s="103">
        <f>'Modelo Ajustado'!D235</f>
        <v>9</v>
      </c>
    </row>
    <row r="210" spans="1:4" x14ac:dyDescent="0.2">
      <c r="A210" s="103">
        <f>'Modelo Ajustado'!A236</f>
        <v>3499895</v>
      </c>
      <c r="B210" s="103">
        <f>'Modelo Ajustado'!B236</f>
        <v>14560</v>
      </c>
      <c r="C210" s="103">
        <f>'Modelo Ajustado'!C236</f>
        <v>0</v>
      </c>
      <c r="D210" s="103">
        <f>'Modelo Ajustado'!D236</f>
        <v>20</v>
      </c>
    </row>
    <row r="211" spans="1:4" x14ac:dyDescent="0.2">
      <c r="A211" s="103">
        <f>'Modelo Ajustado'!A237</f>
        <v>4008997</v>
      </c>
      <c r="B211" s="103">
        <f>'Modelo Ajustado'!B237</f>
        <v>16848</v>
      </c>
      <c r="C211" s="103">
        <f>'Modelo Ajustado'!C237</f>
        <v>6</v>
      </c>
      <c r="D211" s="103">
        <f>'Modelo Ajustado'!D237</f>
        <v>17</v>
      </c>
    </row>
    <row r="212" spans="1:4" x14ac:dyDescent="0.2">
      <c r="A212" s="103">
        <f>'Modelo Ajustado'!A238</f>
        <v>3379103</v>
      </c>
      <c r="B212" s="103">
        <f>'Modelo Ajustado'!B238</f>
        <v>18720</v>
      </c>
      <c r="C212" s="103">
        <f>'Modelo Ajustado'!C238</f>
        <v>0</v>
      </c>
      <c r="D212" s="103">
        <f>'Modelo Ajustado'!D238</f>
        <v>13</v>
      </c>
    </row>
    <row r="213" spans="1:4" x14ac:dyDescent="0.2">
      <c r="A213" s="103">
        <f>'Modelo Ajustado'!A239</f>
        <v>6400000</v>
      </c>
      <c r="B213" s="103">
        <f>'Modelo Ajustado'!B239</f>
        <v>16141</v>
      </c>
      <c r="C213" s="103">
        <f>'Modelo Ajustado'!C239</f>
        <v>60</v>
      </c>
      <c r="D213" s="103">
        <f>'Modelo Ajustado'!D239</f>
        <v>70</v>
      </c>
    </row>
    <row r="214" spans="1:4" x14ac:dyDescent="0.2">
      <c r="A214" s="103">
        <f>'Modelo Ajustado'!A240</f>
        <v>6800000</v>
      </c>
      <c r="B214" s="103">
        <f>'Modelo Ajustado'!B240</f>
        <v>16578</v>
      </c>
      <c r="C214" s="103">
        <f>'Modelo Ajustado'!C240</f>
        <v>65</v>
      </c>
      <c r="D214" s="103">
        <f>'Modelo Ajustado'!D240</f>
        <v>65</v>
      </c>
    </row>
    <row r="215" spans="1:4" x14ac:dyDescent="0.2">
      <c r="A215" s="103">
        <f>'Modelo Ajustado'!A241</f>
        <v>2100000</v>
      </c>
      <c r="B215" s="103">
        <f>'Modelo Ajustado'!B241</f>
        <v>16952</v>
      </c>
      <c r="C215" s="103">
        <f>'Modelo Ajustado'!C241</f>
        <v>30</v>
      </c>
      <c r="D215" s="103">
        <f>'Modelo Ajustado'!D241</f>
        <v>30</v>
      </c>
    </row>
    <row r="216" spans="1:4" x14ac:dyDescent="0.2">
      <c r="A216" s="103">
        <f>'Modelo Ajustado'!A242</f>
        <v>564694</v>
      </c>
      <c r="B216" s="103">
        <f>'Modelo Ajustado'!B242</f>
        <v>22866</v>
      </c>
      <c r="C216" s="103">
        <f>'Modelo Ajustado'!C242</f>
        <v>0</v>
      </c>
      <c r="D216" s="103">
        <f>'Modelo Ajustado'!D242</f>
        <v>6</v>
      </c>
    </row>
    <row r="217" spans="1:4" x14ac:dyDescent="0.2">
      <c r="A217" s="103">
        <f>'Modelo Ajustado'!A243</f>
        <v>620439</v>
      </c>
      <c r="B217" s="103">
        <f>'Modelo Ajustado'!B243</f>
        <v>22995</v>
      </c>
      <c r="C217" s="103">
        <f>'Modelo Ajustado'!C243</f>
        <v>0</v>
      </c>
      <c r="D217" s="103">
        <f>'Modelo Ajustado'!D243</f>
        <v>6</v>
      </c>
    </row>
    <row r="218" spans="1:4" x14ac:dyDescent="0.2">
      <c r="A218" s="103">
        <f>'Modelo Ajustado'!A244</f>
        <v>783261</v>
      </c>
      <c r="B218" s="103">
        <f>'Modelo Ajustado'!B244</f>
        <v>29114</v>
      </c>
      <c r="C218" s="103">
        <f>'Modelo Ajustado'!C244</f>
        <v>6</v>
      </c>
      <c r="D218" s="103">
        <f>'Modelo Ajustado'!D244</f>
        <v>6</v>
      </c>
    </row>
    <row r="219" spans="1:4" x14ac:dyDescent="0.2">
      <c r="A219" s="103">
        <f>'Modelo Ajustado'!A245</f>
        <v>4200000</v>
      </c>
      <c r="B219" s="103">
        <f>'Modelo Ajustado'!B245</f>
        <v>31000</v>
      </c>
      <c r="C219" s="103">
        <f>'Modelo Ajustado'!C245</f>
        <v>6</v>
      </c>
      <c r="D219" s="103">
        <f>'Modelo Ajustado'!D245</f>
        <v>35</v>
      </c>
    </row>
    <row r="220" spans="1:4" x14ac:dyDescent="0.2">
      <c r="A220" s="103">
        <f>'Modelo Ajustado'!A246</f>
        <v>4800000</v>
      </c>
      <c r="B220" s="103">
        <f>'Modelo Ajustado'!B246</f>
        <v>33000</v>
      </c>
      <c r="C220" s="103">
        <f>'Modelo Ajustado'!C246</f>
        <v>8</v>
      </c>
      <c r="D220" s="103">
        <f>'Modelo Ajustado'!D246</f>
        <v>40</v>
      </c>
    </row>
    <row r="221" spans="1:4" x14ac:dyDescent="0.2">
      <c r="A221" s="103">
        <f>'Modelo Ajustado'!A247</f>
        <v>5200000</v>
      </c>
      <c r="B221" s="103">
        <f>'Modelo Ajustado'!B247</f>
        <v>34800</v>
      </c>
      <c r="C221" s="103">
        <f>'Modelo Ajustado'!C247</f>
        <v>43</v>
      </c>
      <c r="D221" s="103">
        <f>'Modelo Ajustado'!D247</f>
        <v>43</v>
      </c>
    </row>
    <row r="222" spans="1:4" x14ac:dyDescent="0.2">
      <c r="A222" s="103">
        <f>'Modelo Ajustado'!A248</f>
        <v>930000</v>
      </c>
      <c r="B222" s="103">
        <f>'Modelo Ajustado'!B248</f>
        <v>30000</v>
      </c>
      <c r="C222" s="103">
        <f>'Modelo Ajustado'!C248</f>
        <v>4</v>
      </c>
      <c r="D222" s="103">
        <f>'Modelo Ajustado'!D248</f>
        <v>15</v>
      </c>
    </row>
    <row r="223" spans="1:4" ht="14.25" customHeight="1" x14ac:dyDescent="0.2">
      <c r="A223" s="103">
        <f>'Modelo Ajustado'!A249</f>
        <v>980000</v>
      </c>
      <c r="B223" s="103">
        <f>'Modelo Ajustado'!B249</f>
        <v>33000</v>
      </c>
      <c r="C223" s="103">
        <f>'Modelo Ajustado'!C249</f>
        <v>5</v>
      </c>
      <c r="D223" s="103">
        <f>'Modelo Ajustado'!D249</f>
        <v>18</v>
      </c>
    </row>
    <row r="224" spans="1:4" x14ac:dyDescent="0.2">
      <c r="A224" s="103">
        <f>'Modelo Ajustado'!A251</f>
        <v>1200000</v>
      </c>
      <c r="B224" s="103">
        <f>'Modelo Ajustado'!B251</f>
        <v>28000</v>
      </c>
      <c r="C224" s="103">
        <f>'Modelo Ajustado'!C251</f>
        <v>12</v>
      </c>
      <c r="D224" s="103">
        <f>'Modelo Ajustado'!D251</f>
        <v>12</v>
      </c>
    </row>
    <row r="225" spans="1:4" x14ac:dyDescent="0.2">
      <c r="A225" s="103">
        <f>'Modelo Ajustado'!A252</f>
        <v>1300000</v>
      </c>
      <c r="B225" s="103">
        <f>'Modelo Ajustado'!B252</f>
        <v>30000</v>
      </c>
      <c r="C225" s="103">
        <f>'Modelo Ajustado'!C252</f>
        <v>10</v>
      </c>
      <c r="D225" s="103">
        <f>'Modelo Ajustado'!D252</f>
        <v>10</v>
      </c>
    </row>
    <row r="226" spans="1:4" x14ac:dyDescent="0.2">
      <c r="A226" s="103">
        <f>'Modelo Ajustado'!A253</f>
        <v>1100000</v>
      </c>
      <c r="B226" s="103">
        <f>'Modelo Ajustado'!B253</f>
        <v>30000</v>
      </c>
      <c r="C226" s="103">
        <f>'Modelo Ajustado'!C253</f>
        <v>8</v>
      </c>
      <c r="D226" s="103">
        <f>'Modelo Ajustado'!D253</f>
        <v>8</v>
      </c>
    </row>
    <row r="227" spans="1:4" x14ac:dyDescent="0.2">
      <c r="A227" s="103">
        <f>'Modelo Ajustado'!A254</f>
        <v>1200000</v>
      </c>
      <c r="B227" s="103">
        <f>'Modelo Ajustado'!B254</f>
        <v>18720</v>
      </c>
      <c r="C227" s="103">
        <f>'Modelo Ajustado'!C254</f>
        <v>0</v>
      </c>
      <c r="D227" s="103">
        <f>'Modelo Ajustado'!D254</f>
        <v>13</v>
      </c>
    </row>
    <row r="228" spans="1:4" x14ac:dyDescent="0.2">
      <c r="A228" s="103">
        <f>'Modelo Ajustado'!A255</f>
        <v>1350000</v>
      </c>
      <c r="B228" s="103">
        <f>'Modelo Ajustado'!B255</f>
        <v>20800</v>
      </c>
      <c r="C228" s="103">
        <f>'Modelo Ajustado'!C255</f>
        <v>0</v>
      </c>
      <c r="D228" s="103">
        <f>'Modelo Ajustado'!D255</f>
        <v>14</v>
      </c>
    </row>
    <row r="229" spans="1:4" x14ac:dyDescent="0.2">
      <c r="A229" s="103">
        <f>'Modelo Ajustado'!A256</f>
        <v>1480000</v>
      </c>
      <c r="B229" s="103">
        <f>'Modelo Ajustado'!B256</f>
        <v>29120</v>
      </c>
      <c r="C229" s="103">
        <f>'Modelo Ajustado'!C256</f>
        <v>15</v>
      </c>
      <c r="D229" s="103">
        <f>'Modelo Ajustado'!D256</f>
        <v>15</v>
      </c>
    </row>
    <row r="230" spans="1:4" x14ac:dyDescent="0.2">
      <c r="A230" s="103">
        <f>'Modelo Ajustado'!A257</f>
        <v>22700000</v>
      </c>
      <c r="B230" s="103">
        <f>'Modelo Ajustado'!B257</f>
        <v>22006</v>
      </c>
      <c r="C230" s="103">
        <f>'Modelo Ajustado'!C257</f>
        <v>100</v>
      </c>
      <c r="D230" s="103">
        <f>'Modelo Ajustado'!D257</f>
        <v>150</v>
      </c>
    </row>
    <row r="231" spans="1:4" x14ac:dyDescent="0.2">
      <c r="A231" s="103">
        <f>'Modelo Ajustado'!A260</f>
        <v>10000000</v>
      </c>
      <c r="B231" s="103">
        <f>'Modelo Ajustado'!B260</f>
        <v>33280</v>
      </c>
      <c r="C231" s="103">
        <f>'Modelo Ajustado'!C260</f>
        <v>0</v>
      </c>
      <c r="D231" s="103">
        <f>'Modelo Ajustado'!D260</f>
        <v>80</v>
      </c>
    </row>
    <row r="232" spans="1:4" x14ac:dyDescent="0.2">
      <c r="A232" s="103">
        <f>'Modelo Ajustado'!A261</f>
        <v>9000000</v>
      </c>
      <c r="B232" s="103">
        <f>'Modelo Ajustado'!B261</f>
        <v>32240</v>
      </c>
      <c r="C232" s="103">
        <f>'Modelo Ajustado'!C261</f>
        <v>0</v>
      </c>
      <c r="D232" s="103">
        <f>'Modelo Ajustado'!D261</f>
        <v>70</v>
      </c>
    </row>
    <row r="233" spans="1:4" x14ac:dyDescent="0.2">
      <c r="A233" s="103">
        <f>'Modelo Ajustado'!A262</f>
        <v>9500000</v>
      </c>
      <c r="B233" s="103">
        <f>'Modelo Ajustado'!B262</f>
        <v>30784</v>
      </c>
      <c r="C233" s="103">
        <f>'Modelo Ajustado'!C262</f>
        <v>60</v>
      </c>
      <c r="D233" s="103">
        <f>'Modelo Ajustado'!D262</f>
        <v>65</v>
      </c>
    </row>
    <row r="234" spans="1:4" x14ac:dyDescent="0.2">
      <c r="A234" s="103">
        <f>'Modelo Ajustado'!A263</f>
        <v>875000</v>
      </c>
      <c r="B234" s="103">
        <f>'Modelo Ajustado'!B263</f>
        <v>13500</v>
      </c>
      <c r="C234" s="103">
        <f>'Modelo Ajustado'!C263</f>
        <v>0</v>
      </c>
      <c r="D234" s="103">
        <f>'Modelo Ajustado'!D263</f>
        <v>6</v>
      </c>
    </row>
    <row r="235" spans="1:4" x14ac:dyDescent="0.2">
      <c r="A235" s="103">
        <f>'Modelo Ajustado'!A265</f>
        <v>2250000</v>
      </c>
      <c r="B235" s="103">
        <f>'Modelo Ajustado'!B265</f>
        <v>15050</v>
      </c>
      <c r="C235" s="103">
        <f>'Modelo Ajustado'!C265</f>
        <v>11</v>
      </c>
      <c r="D235" s="103">
        <f>'Modelo Ajustado'!D265</f>
        <v>11</v>
      </c>
    </row>
    <row r="236" spans="1:4" x14ac:dyDescent="0.2">
      <c r="A236" s="103">
        <f>'Modelo Ajustado'!A269</f>
        <v>600000</v>
      </c>
      <c r="B236" s="103">
        <f>'Modelo Ajustado'!B269</f>
        <v>24960</v>
      </c>
      <c r="C236" s="103">
        <f>'Modelo Ajustado'!C269</f>
        <v>6</v>
      </c>
      <c r="D236" s="103">
        <f>'Modelo Ajustado'!D269</f>
        <v>6</v>
      </c>
    </row>
    <row r="237" spans="1:4" x14ac:dyDescent="0.2">
      <c r="A237" s="103">
        <f>'Modelo Ajustado'!A270</f>
        <v>750000</v>
      </c>
      <c r="B237" s="103">
        <f>'Modelo Ajustado'!B270</f>
        <v>28080</v>
      </c>
      <c r="C237" s="103">
        <f>'Modelo Ajustado'!C270</f>
        <v>9</v>
      </c>
      <c r="D237" s="103">
        <f>'Modelo Ajustado'!D270</f>
        <v>9</v>
      </c>
    </row>
    <row r="238" spans="1:4" x14ac:dyDescent="0.2">
      <c r="A238" s="103">
        <f>'Modelo Ajustado'!A271</f>
        <v>1000000</v>
      </c>
      <c r="B238" s="103">
        <f>'Modelo Ajustado'!B271</f>
        <v>30160</v>
      </c>
      <c r="C238" s="103">
        <f>'Modelo Ajustado'!C271</f>
        <v>12</v>
      </c>
      <c r="D238" s="103">
        <f>'Modelo Ajustado'!D271</f>
        <v>12</v>
      </c>
    </row>
    <row r="239" spans="1:4" x14ac:dyDescent="0.2">
      <c r="A239" s="103">
        <f>'Modelo Ajustado'!A272</f>
        <v>5845000</v>
      </c>
      <c r="B239" s="103">
        <f>'Modelo Ajustado'!B272</f>
        <v>21133</v>
      </c>
      <c r="C239" s="103">
        <f>'Modelo Ajustado'!C272</f>
        <v>60</v>
      </c>
      <c r="D239" s="103">
        <f>'Modelo Ajustado'!D272</f>
        <v>60</v>
      </c>
    </row>
    <row r="240" spans="1:4" x14ac:dyDescent="0.2">
      <c r="A240" s="103">
        <f>'Modelo Ajustado'!A273</f>
        <v>6927000</v>
      </c>
      <c r="B240" s="103">
        <f>'Modelo Ajustado'!B273</f>
        <v>20904</v>
      </c>
      <c r="C240" s="103">
        <f>'Modelo Ajustado'!C273</f>
        <v>71</v>
      </c>
      <c r="D240" s="103">
        <f>'Modelo Ajustado'!D273</f>
        <v>71</v>
      </c>
    </row>
    <row r="241" spans="1:4" x14ac:dyDescent="0.2">
      <c r="A241" s="103">
        <f>'Modelo Ajustado'!A274</f>
        <v>11000000</v>
      </c>
      <c r="B241" s="103">
        <f>'Modelo Ajustado'!B274</f>
        <v>21445</v>
      </c>
      <c r="C241" s="103">
        <f>'Modelo Ajustado'!C274</f>
        <v>97</v>
      </c>
      <c r="D241" s="103">
        <f>'Modelo Ajustado'!D274</f>
        <v>97</v>
      </c>
    </row>
    <row r="242" spans="1:4" x14ac:dyDescent="0.2">
      <c r="A242" s="103">
        <f>'Modelo Ajustado'!A278</f>
        <v>8000000</v>
      </c>
      <c r="B242" s="103">
        <f>'Modelo Ajustado'!B278</f>
        <v>15000</v>
      </c>
      <c r="C242" s="103">
        <f>'Modelo Ajustado'!C278</f>
        <v>0</v>
      </c>
      <c r="D242" s="103">
        <f>'Modelo Ajustado'!D278</f>
        <v>40</v>
      </c>
    </row>
    <row r="243" spans="1:4" x14ac:dyDescent="0.2">
      <c r="A243" s="103">
        <f>'Modelo Ajustado'!A279</f>
        <v>8500000</v>
      </c>
      <c r="B243" s="103">
        <f>'Modelo Ajustado'!B279</f>
        <v>15500</v>
      </c>
      <c r="C243" s="103">
        <f>'Modelo Ajustado'!C279</f>
        <v>0</v>
      </c>
      <c r="D243" s="103">
        <f>'Modelo Ajustado'!D279</f>
        <v>40</v>
      </c>
    </row>
    <row r="244" spans="1:4" x14ac:dyDescent="0.2">
      <c r="A244" s="103">
        <f>'Modelo Ajustado'!A280</f>
        <v>10000000</v>
      </c>
      <c r="B244" s="103">
        <f>'Modelo Ajustado'!B280</f>
        <v>17000</v>
      </c>
      <c r="C244" s="103">
        <f>'Modelo Ajustado'!C280</f>
        <v>0</v>
      </c>
      <c r="D244" s="103">
        <f>'Modelo Ajustado'!D280</f>
        <v>60</v>
      </c>
    </row>
    <row r="245" spans="1:4" x14ac:dyDescent="0.2">
      <c r="A245" s="103">
        <f>'Modelo Ajustado'!A281</f>
        <v>10000000</v>
      </c>
      <c r="B245" s="103">
        <f>'Modelo Ajustado'!B281</f>
        <v>15000</v>
      </c>
      <c r="C245" s="103">
        <f>'Modelo Ajustado'!C281</f>
        <v>5</v>
      </c>
      <c r="D245" s="103">
        <f>'Modelo Ajustado'!D281</f>
        <v>100</v>
      </c>
    </row>
    <row r="246" spans="1:4" x14ac:dyDescent="0.2">
      <c r="A246" s="103">
        <f>'Modelo Ajustado'!A282</f>
        <v>12000000</v>
      </c>
      <c r="B246" s="103">
        <f>'Modelo Ajustado'!B282</f>
        <v>16000</v>
      </c>
      <c r="C246" s="103">
        <f>'Modelo Ajustado'!C282</f>
        <v>21</v>
      </c>
      <c r="D246" s="103">
        <f>'Modelo Ajustado'!D282</f>
        <v>125</v>
      </c>
    </row>
    <row r="247" spans="1:4" x14ac:dyDescent="0.2">
      <c r="A247" s="103">
        <f>'Modelo Ajustado'!A284</f>
        <v>1000000</v>
      </c>
      <c r="B247" s="103">
        <f>'Modelo Ajustado'!B284</f>
        <v>17000</v>
      </c>
      <c r="C247" s="103">
        <f>'Modelo Ajustado'!C284</f>
        <v>0</v>
      </c>
      <c r="D247" s="103">
        <f>'Modelo Ajustado'!D284</f>
        <v>9</v>
      </c>
    </row>
    <row r="248" spans="1:4" x14ac:dyDescent="0.2">
      <c r="A248" s="103">
        <f>'Modelo Ajustado'!A285</f>
        <v>6870314</v>
      </c>
      <c r="B248" s="103">
        <f>'Modelo Ajustado'!B285</f>
        <v>12750</v>
      </c>
      <c r="C248" s="103">
        <f>'Modelo Ajustado'!C285</f>
        <v>60</v>
      </c>
      <c r="D248" s="103">
        <f>'Modelo Ajustado'!D285</f>
        <v>60</v>
      </c>
    </row>
    <row r="249" spans="1:4" x14ac:dyDescent="0.2">
      <c r="A249" s="103">
        <f>'Modelo Ajustado'!A286</f>
        <v>7079852</v>
      </c>
      <c r="B249" s="103">
        <f>'Modelo Ajustado'!B286</f>
        <v>11875</v>
      </c>
      <c r="C249" s="103">
        <f>'Modelo Ajustado'!C286</f>
        <v>65</v>
      </c>
      <c r="D249" s="103">
        <f>'Modelo Ajustado'!D286</f>
        <v>65</v>
      </c>
    </row>
    <row r="250" spans="1:4" x14ac:dyDescent="0.2">
      <c r="A250" s="103">
        <f>'Modelo Ajustado'!A287</f>
        <v>8040128</v>
      </c>
      <c r="B250" s="103">
        <f>'Modelo Ajustado'!B287</f>
        <v>12625</v>
      </c>
      <c r="C250" s="103">
        <f>'Modelo Ajustado'!C287</f>
        <v>75</v>
      </c>
      <c r="D250" s="103">
        <f>'Modelo Ajustado'!D287</f>
        <v>75</v>
      </c>
    </row>
    <row r="251" spans="1:4" x14ac:dyDescent="0.2">
      <c r="A251" s="103">
        <f>'Modelo Ajustado'!A288</f>
        <v>6000000</v>
      </c>
      <c r="B251" s="103">
        <f>'Modelo Ajustado'!B288</f>
        <v>15250</v>
      </c>
      <c r="C251" s="103">
        <f>'Modelo Ajustado'!C288</f>
        <v>5</v>
      </c>
      <c r="D251" s="103">
        <f>'Modelo Ajustado'!D288</f>
        <v>32</v>
      </c>
    </row>
    <row r="252" spans="1:4" x14ac:dyDescent="0.2">
      <c r="A252" s="103">
        <f>'Modelo Ajustado'!A289</f>
        <v>6100000</v>
      </c>
      <c r="B252" s="103">
        <f>'Modelo Ajustado'!B289</f>
        <v>16290</v>
      </c>
      <c r="C252" s="103">
        <f>'Modelo Ajustado'!C289</f>
        <v>10</v>
      </c>
      <c r="D252" s="103">
        <f>'Modelo Ajustado'!D289</f>
        <v>36</v>
      </c>
    </row>
    <row r="253" spans="1:4" x14ac:dyDescent="0.2">
      <c r="A253" s="103">
        <f>'Modelo Ajustado'!A290</f>
        <v>6300000</v>
      </c>
      <c r="B253" s="103">
        <f>'Modelo Ajustado'!B290</f>
        <v>17370</v>
      </c>
      <c r="C253" s="103">
        <f>'Modelo Ajustado'!C290</f>
        <v>40</v>
      </c>
      <c r="D253" s="103">
        <f>'Modelo Ajustado'!D290</f>
        <v>40</v>
      </c>
    </row>
    <row r="254" spans="1:4" x14ac:dyDescent="0.2">
      <c r="A254" s="103">
        <f>'Modelo Ajustado'!A291</f>
        <v>2700000</v>
      </c>
      <c r="B254" s="103">
        <f>'Modelo Ajustado'!B291</f>
        <v>10920</v>
      </c>
      <c r="C254" s="103">
        <f>'Modelo Ajustado'!C291</f>
        <v>5</v>
      </c>
      <c r="D254" s="103">
        <f>'Modelo Ajustado'!D291</f>
        <v>20</v>
      </c>
    </row>
    <row r="255" spans="1:4" x14ac:dyDescent="0.2">
      <c r="A255" s="103">
        <f>'Modelo Ajustado'!A292</f>
        <v>3100000</v>
      </c>
      <c r="B255" s="103">
        <f>'Modelo Ajustado'!B292</f>
        <v>11856</v>
      </c>
      <c r="C255" s="103">
        <f>'Modelo Ajustado'!C292</f>
        <v>12</v>
      </c>
      <c r="D255" s="103">
        <f>'Modelo Ajustado'!D292</f>
        <v>22</v>
      </c>
    </row>
    <row r="256" spans="1:4" x14ac:dyDescent="0.2">
      <c r="A256" s="103">
        <f>'Modelo Ajustado'!A293</f>
        <v>4700000</v>
      </c>
      <c r="B256" s="103">
        <f>'Modelo Ajustado'!B293</f>
        <v>13520</v>
      </c>
      <c r="C256" s="103">
        <f>'Modelo Ajustado'!C293</f>
        <v>37</v>
      </c>
      <c r="D256" s="103">
        <f>'Modelo Ajustado'!D293</f>
        <v>37</v>
      </c>
    </row>
    <row r="257" spans="1:4" x14ac:dyDescent="0.2">
      <c r="A257" s="103">
        <f>'Modelo Ajustado'!A294</f>
        <v>1585000</v>
      </c>
      <c r="B257" s="103">
        <f>'Modelo Ajustado'!B294</f>
        <v>14560</v>
      </c>
      <c r="C257" s="103">
        <f>'Modelo Ajustado'!C294</f>
        <v>1</v>
      </c>
      <c r="D257" s="103">
        <f>'Modelo Ajustado'!D294</f>
        <v>14</v>
      </c>
    </row>
    <row r="258" spans="1:4" x14ac:dyDescent="0.2">
      <c r="A258" s="103">
        <f>'Modelo Ajustado'!A295</f>
        <v>1560000</v>
      </c>
      <c r="B258" s="103">
        <f>'Modelo Ajustado'!B295</f>
        <v>19240</v>
      </c>
      <c r="C258" s="103">
        <f>'Modelo Ajustado'!C295</f>
        <v>0</v>
      </c>
      <c r="D258" s="103">
        <f>'Modelo Ajustado'!D295</f>
        <v>11</v>
      </c>
    </row>
    <row r="259" spans="1:4" x14ac:dyDescent="0.2">
      <c r="A259" s="103">
        <f>'Modelo Ajustado'!A296</f>
        <v>1747000</v>
      </c>
      <c r="B259" s="103">
        <f>'Modelo Ajustado'!B296</f>
        <v>20280</v>
      </c>
      <c r="C259" s="103">
        <f>'Modelo Ajustado'!C296</f>
        <v>12</v>
      </c>
      <c r="D259" s="103">
        <f>'Modelo Ajustado'!D296</f>
        <v>12</v>
      </c>
    </row>
    <row r="260" spans="1:4" x14ac:dyDescent="0.2">
      <c r="A260" s="103">
        <f>'Modelo Ajustado'!A297</f>
        <v>2400000</v>
      </c>
      <c r="B260" s="103">
        <f>'Modelo Ajustado'!B297</f>
        <v>16307</v>
      </c>
      <c r="C260" s="103">
        <f>'Modelo Ajustado'!C297</f>
        <v>10</v>
      </c>
      <c r="D260" s="103">
        <f>'Modelo Ajustado'!D297</f>
        <v>40</v>
      </c>
    </row>
    <row r="261" spans="1:4" x14ac:dyDescent="0.2">
      <c r="A261" s="103">
        <f>'Modelo Ajustado'!A298</f>
        <v>2300000</v>
      </c>
      <c r="B261" s="103">
        <f>'Modelo Ajustado'!B298</f>
        <v>16827</v>
      </c>
      <c r="C261" s="103">
        <f>'Modelo Ajustado'!C298</f>
        <v>15</v>
      </c>
      <c r="D261" s="103">
        <f>'Modelo Ajustado'!D298</f>
        <v>36</v>
      </c>
    </row>
    <row r="262" spans="1:4" x14ac:dyDescent="0.2">
      <c r="A262" s="103">
        <f>'Modelo Ajustado'!A299</f>
        <v>2700000</v>
      </c>
      <c r="B262" s="103">
        <f>'Modelo Ajustado'!B299</f>
        <v>17347</v>
      </c>
      <c r="C262" s="103">
        <f>'Modelo Ajustado'!C299</f>
        <v>33</v>
      </c>
      <c r="D262" s="103">
        <f>'Modelo Ajustado'!D299</f>
        <v>33</v>
      </c>
    </row>
    <row r="263" spans="1:4" x14ac:dyDescent="0.2">
      <c r="A263" s="103">
        <f>'Modelo Ajustado'!A300</f>
        <v>373164</v>
      </c>
      <c r="B263" s="103">
        <f>'Modelo Ajustado'!B300</f>
        <v>17680</v>
      </c>
      <c r="C263" s="103">
        <f>'Modelo Ajustado'!C300</f>
        <v>2</v>
      </c>
      <c r="D263" s="103">
        <f>'Modelo Ajustado'!D300</f>
        <v>6</v>
      </c>
    </row>
    <row r="264" spans="1:4" x14ac:dyDescent="0.2">
      <c r="A264" s="103">
        <f>'Modelo Ajustado'!A301</f>
        <v>422611</v>
      </c>
      <c r="B264" s="103">
        <f>'Modelo Ajustado'!B301</f>
        <v>17680</v>
      </c>
      <c r="C264" s="103">
        <f>'Modelo Ajustado'!C301</f>
        <v>4</v>
      </c>
      <c r="D264" s="103">
        <f>'Modelo Ajustado'!D301</f>
        <v>8</v>
      </c>
    </row>
    <row r="265" spans="1:4" x14ac:dyDescent="0.2">
      <c r="A265" s="103">
        <f>'Modelo Ajustado'!A302</f>
        <v>390210</v>
      </c>
      <c r="B265" s="103">
        <f>'Modelo Ajustado'!B302</f>
        <v>17846</v>
      </c>
      <c r="C265" s="103">
        <f>'Modelo Ajustado'!C302</f>
        <v>4</v>
      </c>
      <c r="D265" s="103">
        <f>'Modelo Ajustado'!D302</f>
        <v>9</v>
      </c>
    </row>
    <row r="266" spans="1:4" x14ac:dyDescent="0.2">
      <c r="A266" s="103">
        <f>'Modelo Ajustado'!A303</f>
        <v>5000000</v>
      </c>
      <c r="B266" s="103">
        <f>'Modelo Ajustado'!B303</f>
        <v>29000</v>
      </c>
      <c r="C266" s="103">
        <f>'Modelo Ajustado'!C303</f>
        <v>13</v>
      </c>
      <c r="D266" s="103">
        <f>'Modelo Ajustado'!D303</f>
        <v>62</v>
      </c>
    </row>
    <row r="267" spans="1:4" x14ac:dyDescent="0.2">
      <c r="A267" s="103">
        <f>'Modelo Ajustado'!A306</f>
        <v>8450000</v>
      </c>
      <c r="B267" s="103">
        <f>'Modelo Ajustado'!B306</f>
        <v>13416</v>
      </c>
      <c r="C267" s="103">
        <f>'Modelo Ajustado'!C306</f>
        <v>40</v>
      </c>
      <c r="D267" s="103">
        <f>'Modelo Ajustado'!D306</f>
        <v>75</v>
      </c>
    </row>
    <row r="268" spans="1:4" x14ac:dyDescent="0.2">
      <c r="A268" s="103">
        <f>'Modelo Ajustado'!A307</f>
        <v>10300000</v>
      </c>
      <c r="B268" s="103">
        <f>'Modelo Ajustado'!B307</f>
        <v>15184</v>
      </c>
      <c r="C268" s="103">
        <f>'Modelo Ajustado'!C307</f>
        <v>72</v>
      </c>
      <c r="D268" s="103">
        <f>'Modelo Ajustado'!D307</f>
        <v>72</v>
      </c>
    </row>
    <row r="269" spans="1:4" x14ac:dyDescent="0.2">
      <c r="A269" s="103">
        <f>'Modelo Ajustado'!A308</f>
        <v>10200000</v>
      </c>
      <c r="B269" s="103">
        <f>'Modelo Ajustado'!B308</f>
        <v>17451</v>
      </c>
      <c r="C269" s="103">
        <f>'Modelo Ajustado'!C308</f>
        <v>75</v>
      </c>
      <c r="D269" s="103">
        <f>'Modelo Ajustado'!D308</f>
        <v>75</v>
      </c>
    </row>
    <row r="270" spans="1:4" x14ac:dyDescent="0.2">
      <c r="A270" s="103">
        <f>'Modelo Ajustado'!A309</f>
        <v>1980000</v>
      </c>
      <c r="B270" s="103">
        <f>'Modelo Ajustado'!B309</f>
        <v>15600</v>
      </c>
      <c r="C270" s="103">
        <f>'Modelo Ajustado'!C309</f>
        <v>0</v>
      </c>
      <c r="D270" s="103">
        <f>'Modelo Ajustado'!D309</f>
        <v>19</v>
      </c>
    </row>
    <row r="271" spans="1:4" x14ac:dyDescent="0.2">
      <c r="A271" s="103">
        <f>'Modelo Ajustado'!A310</f>
        <v>1600000</v>
      </c>
      <c r="B271" s="103">
        <f>'Modelo Ajustado'!B310</f>
        <v>17160</v>
      </c>
      <c r="C271" s="103">
        <f>'Modelo Ajustado'!C310</f>
        <v>0</v>
      </c>
      <c r="D271" s="103">
        <f>'Modelo Ajustado'!D310</f>
        <v>15</v>
      </c>
    </row>
    <row r="272" spans="1:4" x14ac:dyDescent="0.2">
      <c r="A272" s="103">
        <f>'Modelo Ajustado'!A311</f>
        <v>1430000</v>
      </c>
      <c r="B272" s="103">
        <f>'Modelo Ajustado'!B311</f>
        <v>18720</v>
      </c>
      <c r="C272" s="103">
        <f>'Modelo Ajustado'!C311</f>
        <v>12</v>
      </c>
      <c r="D272" s="103">
        <f>'Modelo Ajustado'!D311</f>
        <v>12</v>
      </c>
    </row>
    <row r="273" spans="1:4" x14ac:dyDescent="0.2">
      <c r="A273" s="103">
        <f>'Modelo Ajustado'!A315</f>
        <v>1700000</v>
      </c>
      <c r="B273" s="103">
        <f>'Modelo Ajustado'!B315</f>
        <v>16640</v>
      </c>
      <c r="C273" s="103">
        <f>'Modelo Ajustado'!C315</f>
        <v>4</v>
      </c>
      <c r="D273" s="103">
        <f>'Modelo Ajustado'!D315</f>
        <v>19</v>
      </c>
    </row>
    <row r="274" spans="1:4" x14ac:dyDescent="0.2">
      <c r="A274" s="103">
        <f>'Modelo Ajustado'!A316</f>
        <v>2000000</v>
      </c>
      <c r="B274" s="103">
        <f>'Modelo Ajustado'!B316</f>
        <v>17160</v>
      </c>
      <c r="C274" s="103">
        <f>'Modelo Ajustado'!C316</f>
        <v>19</v>
      </c>
      <c r="D274" s="103">
        <f>'Modelo Ajustado'!D316</f>
        <v>19</v>
      </c>
    </row>
    <row r="275" spans="1:4" x14ac:dyDescent="0.2">
      <c r="A275" s="103">
        <f>'Modelo Ajustado'!A317</f>
        <v>2200000</v>
      </c>
      <c r="B275" s="103">
        <f>'Modelo Ajustado'!B317</f>
        <v>17680</v>
      </c>
      <c r="C275" s="103">
        <f>'Modelo Ajustado'!C317</f>
        <v>11</v>
      </c>
      <c r="D275" s="103">
        <f>'Modelo Ajustado'!D317</f>
        <v>21</v>
      </c>
    </row>
    <row r="276" spans="1:4" x14ac:dyDescent="0.2">
      <c r="A276" s="103">
        <f>'Modelo Ajustado'!A318</f>
        <v>11400000</v>
      </c>
      <c r="B276" s="103">
        <f>'Modelo Ajustado'!B318</f>
        <v>14394</v>
      </c>
      <c r="C276" s="103">
        <f>'Modelo Ajustado'!C318</f>
        <v>0</v>
      </c>
      <c r="D276" s="103">
        <f>'Modelo Ajustado'!D318</f>
        <v>89</v>
      </c>
    </row>
    <row r="277" spans="1:4" x14ac:dyDescent="0.2">
      <c r="A277" s="103">
        <f>'Modelo Ajustado'!A319</f>
        <v>4748000</v>
      </c>
      <c r="B277" s="103">
        <f>'Modelo Ajustado'!B319</f>
        <v>15454</v>
      </c>
      <c r="C277" s="103">
        <f>'Modelo Ajustado'!C319</f>
        <v>0</v>
      </c>
      <c r="D277" s="103">
        <f>'Modelo Ajustado'!D319</f>
        <v>59</v>
      </c>
    </row>
    <row r="278" spans="1:4" x14ac:dyDescent="0.2">
      <c r="A278" s="103">
        <f>'Modelo Ajustado'!A320</f>
        <v>7175000</v>
      </c>
      <c r="B278" s="103">
        <f>'Modelo Ajustado'!B320</f>
        <v>15558</v>
      </c>
      <c r="C278" s="103">
        <f>'Modelo Ajustado'!C320</f>
        <v>105</v>
      </c>
      <c r="D278" s="103">
        <f>'Modelo Ajustado'!D320</f>
        <v>105</v>
      </c>
    </row>
    <row r="279" spans="1:4" x14ac:dyDescent="0.2">
      <c r="A279" s="103">
        <f>'Modelo Ajustado'!A321</f>
        <v>3317000</v>
      </c>
      <c r="B279" s="103">
        <f>'Modelo Ajustado'!B321</f>
        <v>16640</v>
      </c>
      <c r="C279" s="103">
        <f>'Modelo Ajustado'!C321</f>
        <v>40</v>
      </c>
      <c r="D279" s="103">
        <f>'Modelo Ajustado'!D321</f>
        <v>40</v>
      </c>
    </row>
    <row r="280" spans="1:4" x14ac:dyDescent="0.2">
      <c r="A280" s="103">
        <f>'Modelo Ajustado'!A322</f>
        <v>3692000</v>
      </c>
      <c r="B280" s="103">
        <f>'Modelo Ajustado'!B322</f>
        <v>16640</v>
      </c>
      <c r="C280" s="103">
        <f>'Modelo Ajustado'!C322</f>
        <v>55</v>
      </c>
      <c r="D280" s="103">
        <f>'Modelo Ajustado'!D322</f>
        <v>55</v>
      </c>
    </row>
    <row r="281" spans="1:4" x14ac:dyDescent="0.2">
      <c r="A281" s="103">
        <f>'Modelo Ajustado'!A323</f>
        <v>3252000</v>
      </c>
      <c r="B281" s="103">
        <f>'Modelo Ajustado'!B323</f>
        <v>16640</v>
      </c>
      <c r="C281" s="103">
        <f>'Modelo Ajustado'!C323</f>
        <v>15</v>
      </c>
      <c r="D281" s="103">
        <f>'Modelo Ajustado'!D323</f>
        <v>65</v>
      </c>
    </row>
    <row r="282" spans="1:4" x14ac:dyDescent="0.2">
      <c r="A282" s="103">
        <f>'Modelo Ajustado'!A327</f>
        <v>15100000</v>
      </c>
      <c r="B282" s="103">
        <f>'Modelo Ajustado'!B327</f>
        <v>21000</v>
      </c>
      <c r="C282" s="103">
        <f>'Modelo Ajustado'!C327</f>
        <v>35</v>
      </c>
      <c r="D282" s="103">
        <f>'Modelo Ajustado'!D327</f>
        <v>110</v>
      </c>
    </row>
    <row r="283" spans="1:4" x14ac:dyDescent="0.2">
      <c r="A283" s="103">
        <f>'Modelo Ajustado'!A328</f>
        <v>16000000</v>
      </c>
      <c r="B283" s="103">
        <f>'Modelo Ajustado'!B328</f>
        <v>21000</v>
      </c>
      <c r="C283" s="103">
        <f>'Modelo Ajustado'!C328</f>
        <v>40</v>
      </c>
      <c r="D283" s="103">
        <f>'Modelo Ajustado'!D328</f>
        <v>125</v>
      </c>
    </row>
    <row r="284" spans="1:4" x14ac:dyDescent="0.2">
      <c r="A284" s="103">
        <f>'Modelo Ajustado'!A330</f>
        <v>1494764</v>
      </c>
      <c r="B284" s="103">
        <f>'Modelo Ajustado'!B330</f>
        <v>30000</v>
      </c>
      <c r="C284" s="103">
        <f>'Modelo Ajustado'!C330</f>
        <v>4</v>
      </c>
      <c r="D284" s="103">
        <f>'Modelo Ajustado'!D330</f>
        <v>4</v>
      </c>
    </row>
    <row r="285" spans="1:4" x14ac:dyDescent="0.2">
      <c r="A285" s="103">
        <f>'Modelo Ajustado'!A331</f>
        <v>2566104</v>
      </c>
      <c r="B285" s="103">
        <f>'Modelo Ajustado'!B331</f>
        <v>31000</v>
      </c>
      <c r="C285" s="103">
        <f>'Modelo Ajustado'!C331</f>
        <v>5</v>
      </c>
      <c r="D285" s="103">
        <f>'Modelo Ajustado'!D331</f>
        <v>5</v>
      </c>
    </row>
    <row r="286" spans="1:4" x14ac:dyDescent="0.2">
      <c r="A286" s="103">
        <f>'Modelo Ajustado'!A332</f>
        <v>2191680</v>
      </c>
      <c r="B286" s="103">
        <f>'Modelo Ajustado'!B332</f>
        <v>35000</v>
      </c>
      <c r="C286" s="103">
        <f>'Modelo Ajustado'!C332</f>
        <v>10</v>
      </c>
      <c r="D286" s="103">
        <f>'Modelo Ajustado'!D332</f>
        <v>10</v>
      </c>
    </row>
    <row r="287" spans="1:4" x14ac:dyDescent="0.2">
      <c r="A287" s="103">
        <f>'Modelo Ajustado'!A333</f>
        <v>1503906</v>
      </c>
      <c r="B287" s="103">
        <f>'Modelo Ajustado'!B333</f>
        <v>15500</v>
      </c>
      <c r="C287" s="103">
        <f>'Modelo Ajustado'!C333</f>
        <v>0</v>
      </c>
      <c r="D287" s="103">
        <f>'Modelo Ajustado'!D333</f>
        <v>30</v>
      </c>
    </row>
    <row r="288" spans="1:4" x14ac:dyDescent="0.2">
      <c r="A288" s="103">
        <f>'Modelo Ajustado'!A334</f>
        <v>1360372</v>
      </c>
      <c r="B288" s="103">
        <f>'Modelo Ajustado'!B334</f>
        <v>16500</v>
      </c>
      <c r="C288" s="103">
        <f>'Modelo Ajustado'!C334</f>
        <v>13</v>
      </c>
      <c r="D288" s="103">
        <f>'Modelo Ajustado'!D334</f>
        <v>30</v>
      </c>
    </row>
    <row r="289" spans="1:4" x14ac:dyDescent="0.2">
      <c r="A289" s="103">
        <f>'Modelo Ajustado'!A335</f>
        <v>1000000</v>
      </c>
      <c r="B289" s="103">
        <f>'Modelo Ajustado'!B335</f>
        <v>10000</v>
      </c>
      <c r="C289" s="103">
        <f>'Modelo Ajustado'!C335</f>
        <v>0</v>
      </c>
      <c r="D289" s="103">
        <f>'Modelo Ajustado'!D335</f>
        <v>15</v>
      </c>
    </row>
    <row r="290" spans="1:4" x14ac:dyDescent="0.2">
      <c r="A290" s="103">
        <f>'Modelo Ajustado'!A336</f>
        <v>1000000</v>
      </c>
      <c r="B290" s="103">
        <f>'Modelo Ajustado'!B336</f>
        <v>10000</v>
      </c>
      <c r="C290" s="103">
        <f>'Modelo Ajustado'!C336</f>
        <v>18</v>
      </c>
      <c r="D290" s="103">
        <f>'Modelo Ajustado'!D336</f>
        <v>18</v>
      </c>
    </row>
    <row r="291" spans="1:4" x14ac:dyDescent="0.2">
      <c r="A291" s="103">
        <f>'Modelo Ajustado'!A337</f>
        <v>11000000</v>
      </c>
      <c r="B291" s="103">
        <f>'Modelo Ajustado'!B337</f>
        <v>13957</v>
      </c>
      <c r="C291" s="103">
        <f>'Modelo Ajustado'!C337</f>
        <v>0</v>
      </c>
      <c r="D291" s="103">
        <f>'Modelo Ajustado'!D337</f>
        <v>133</v>
      </c>
    </row>
    <row r="292" spans="1:4" x14ac:dyDescent="0.2">
      <c r="A292" s="103">
        <f>'Modelo Ajustado'!A338</f>
        <v>11500000</v>
      </c>
      <c r="B292" s="103">
        <f>'Modelo Ajustado'!B338</f>
        <v>14810</v>
      </c>
      <c r="C292" s="103">
        <f>'Modelo Ajustado'!C338</f>
        <v>0</v>
      </c>
      <c r="D292" s="103">
        <f>'Modelo Ajustado'!D338</f>
        <v>108</v>
      </c>
    </row>
    <row r="293" spans="1:4" x14ac:dyDescent="0.2">
      <c r="A293" s="103">
        <f>'Modelo Ajustado'!A339</f>
        <v>12000000</v>
      </c>
      <c r="B293" s="103">
        <f>'Modelo Ajustado'!B339</f>
        <v>14227</v>
      </c>
      <c r="C293" s="103">
        <f>'Modelo Ajustado'!C339</f>
        <v>20</v>
      </c>
      <c r="D293" s="103">
        <f>'Modelo Ajustado'!D339</f>
        <v>129</v>
      </c>
    </row>
    <row r="294" spans="1:4" x14ac:dyDescent="0.2">
      <c r="A294" s="103">
        <f>'Modelo Ajustado'!A340</f>
        <v>7000000</v>
      </c>
      <c r="B294" s="103">
        <f>'Modelo Ajustado'!B340</f>
        <v>16000</v>
      </c>
      <c r="C294" s="103">
        <f>'Modelo Ajustado'!C340</f>
        <v>0</v>
      </c>
      <c r="D294" s="103">
        <f>'Modelo Ajustado'!D340</f>
        <v>80</v>
      </c>
    </row>
    <row r="295" spans="1:4" x14ac:dyDescent="0.2">
      <c r="A295" s="103">
        <f>'Modelo Ajustado'!A341</f>
        <v>8500000</v>
      </c>
      <c r="B295" s="103">
        <f>'Modelo Ajustado'!B341</f>
        <v>17000</v>
      </c>
      <c r="C295" s="103">
        <f>'Modelo Ajustado'!C341</f>
        <v>0</v>
      </c>
      <c r="D295" s="103">
        <f>'Modelo Ajustado'!D341</f>
        <v>90</v>
      </c>
    </row>
    <row r="296" spans="1:4" x14ac:dyDescent="0.2">
      <c r="A296" s="141">
        <f>'Modelo Ajustado'!A342</f>
        <v>9900000</v>
      </c>
      <c r="B296" s="141">
        <f>'Modelo Ajustado'!B342</f>
        <v>18000</v>
      </c>
      <c r="C296" s="141">
        <f>'Modelo Ajustado'!C342</f>
        <v>90</v>
      </c>
      <c r="D296" s="141">
        <f>'Modelo Ajustado'!D342</f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Data Hamburguesa</vt:lpstr>
      <vt:lpstr>Modelo Nivel</vt:lpstr>
      <vt:lpstr>Sin Observ Infly nivel</vt:lpstr>
      <vt:lpstr>Modelo Log</vt:lpstr>
      <vt:lpstr>Sin Observ influy log</vt:lpstr>
      <vt:lpstr>Data Azucar</vt:lpstr>
      <vt:lpstr>Procedimiento</vt:lpstr>
      <vt:lpstr>Data Entrenamiento</vt:lpstr>
      <vt:lpstr>Modelo Econometrico</vt:lpstr>
      <vt:lpstr>Modelo Ajustado</vt:lpstr>
      <vt:lpstr>Obs. Influyentes</vt:lpstr>
      <vt:lpstr>Modelo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2021-06-30T04:18:42Z</dcterms:modified>
</cp:coreProperties>
</file>