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mc:AlternateContent xmlns:mc="http://schemas.openxmlformats.org/markup-compatibility/2006">
    <mc:Choice Requires="x15">
      <x15ac:absPath xmlns:x15ac="http://schemas.microsoft.com/office/spreadsheetml/2010/11/ac" url="/Users/barbaragarzagonzalez/Downloads/"/>
    </mc:Choice>
  </mc:AlternateContent>
  <xr:revisionPtr revIDLastSave="0" documentId="13_ncr:1_{1058C2DA-2F6B-7C44-BA41-578010BF94A2}" xr6:coauthVersionLast="47" xr6:coauthVersionMax="47" xr10:uidLastSave="{00000000-0000-0000-0000-000000000000}"/>
  <bookViews>
    <workbookView xWindow="10860" yWindow="920" windowWidth="18380" windowHeight="16540" activeTab="3" xr2:uid="{DBE5CE84-00A1-1C47-A184-6FDC23602198}"/>
  </bookViews>
  <sheets>
    <sheet name="Claims Data" sheetId="1" r:id="rId1"/>
    <sheet name="Exploratory Template" sheetId="10" r:id="rId2"/>
    <sheet name="Pure Premium Work" sheetId="2" r:id="rId3"/>
    <sheet name="Report" sheetId="9" r:id="rId4"/>
  </sheets>
  <definedNames>
    <definedName name="_xlnm._FilterDatabase" localSheetId="0" hidden="1">'Claims Data'!$A$1:$S$101</definedName>
    <definedName name="_xlnm._FilterDatabase" localSheetId="2" hidden="1">'Pure Premium Work'!$N$49:$N$55</definedName>
  </definedNames>
  <calcPr calcId="191029"/>
  <pivotCaches>
    <pivotCache cacheId="38" r:id="rId5"/>
    <pivotCache cacheId="35"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0" l="1"/>
  <c r="C16" i="10"/>
  <c r="H67" i="2"/>
  <c r="H66" i="2"/>
  <c r="H64" i="2"/>
  <c r="J50" i="2"/>
  <c r="J49" i="2"/>
  <c r="G58" i="2" s="1"/>
  <c r="B47" i="2"/>
  <c r="H42" i="2"/>
  <c r="H41" i="2"/>
  <c r="J32" i="2"/>
  <c r="J33" i="2"/>
  <c r="J34" i="2"/>
  <c r="J35" i="2"/>
  <c r="J36" i="2"/>
  <c r="J31" i="2"/>
  <c r="I36" i="2"/>
  <c r="I35" i="2"/>
  <c r="I34" i="2"/>
  <c r="I33" i="2"/>
  <c r="I32" i="2"/>
  <c r="I31" i="2"/>
  <c r="J5" i="2"/>
  <c r="J6" i="2"/>
  <c r="J7" i="2"/>
  <c r="J8" i="2"/>
  <c r="J9" i="2"/>
  <c r="J10" i="2"/>
  <c r="J19" i="2"/>
  <c r="J20" i="2"/>
  <c r="J21" i="2"/>
  <c r="J22" i="2"/>
  <c r="J23" i="2"/>
  <c r="J24" i="2"/>
  <c r="J18" i="2"/>
  <c r="E138" i="1"/>
  <c r="E139" i="1"/>
  <c r="E140" i="1"/>
  <c r="E141" i="1"/>
  <c r="E142" i="1"/>
  <c r="E143" i="1"/>
  <c r="E137" i="1"/>
  <c r="H9" i="2"/>
  <c r="S2" i="1"/>
  <c r="S3" i="1"/>
  <c r="S4" i="1"/>
  <c r="S5" i="1"/>
  <c r="S6" i="1"/>
  <c r="S7" i="1"/>
  <c r="S8" i="1"/>
  <c r="S9" i="1"/>
  <c r="S10" i="1"/>
  <c r="S11" i="1"/>
  <c r="S12" i="1"/>
  <c r="S13" i="1"/>
  <c r="S14" i="1"/>
  <c r="S15" i="1"/>
  <c r="S16" i="1"/>
  <c r="S17" i="1"/>
  <c r="S18"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 r="H6" i="2"/>
  <c r="H7" i="2"/>
  <c r="H8" i="2"/>
  <c r="H10" i="2"/>
  <c r="B16" i="2"/>
  <c r="B17" i="2" s="1"/>
  <c r="B18" i="2" s="1"/>
  <c r="B19" i="2" s="1"/>
  <c r="B20" i="2" s="1"/>
  <c r="C15" i="2"/>
  <c r="H5" i="2" s="1"/>
  <c r="S19" i="1" l="1"/>
  <c r="E10" i="2"/>
  <c r="E9" i="2" s="1"/>
  <c r="S20" i="1" l="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G6" i="2"/>
  <c r="E8" i="2"/>
  <c r="N2" i="1"/>
  <c r="O2" i="1" s="1"/>
  <c r="P2" i="1" s="1"/>
  <c r="Q2" i="1" s="1"/>
  <c r="N3" i="1"/>
  <c r="O3" i="1" s="1"/>
  <c r="P3" i="1" s="1"/>
  <c r="Q3" i="1" s="1"/>
  <c r="N4" i="1"/>
  <c r="O4" i="1" s="1"/>
  <c r="P4" i="1" s="1"/>
  <c r="Q4" i="1" s="1"/>
  <c r="N5" i="1"/>
  <c r="O5" i="1" s="1"/>
  <c r="P5" i="1" s="1"/>
  <c r="Q5" i="1" s="1"/>
  <c r="N6" i="1"/>
  <c r="O6" i="1" s="1"/>
  <c r="P6" i="1" s="1"/>
  <c r="Q6" i="1" s="1"/>
  <c r="N7" i="1"/>
  <c r="O7" i="1" s="1"/>
  <c r="P7" i="1" s="1"/>
  <c r="Q7" i="1" s="1"/>
  <c r="N8" i="1"/>
  <c r="O8" i="1" s="1"/>
  <c r="P8" i="1" s="1"/>
  <c r="Q8" i="1" s="1"/>
  <c r="N9" i="1"/>
  <c r="O9" i="1" s="1"/>
  <c r="P9" i="1" s="1"/>
  <c r="Q9" i="1" s="1"/>
  <c r="N10" i="1"/>
  <c r="O10" i="1" s="1"/>
  <c r="P10" i="1" s="1"/>
  <c r="Q10" i="1" s="1"/>
  <c r="N11" i="1"/>
  <c r="O11" i="1" s="1"/>
  <c r="P11" i="1" s="1"/>
  <c r="Q11" i="1" s="1"/>
  <c r="N12" i="1"/>
  <c r="O12" i="1" s="1"/>
  <c r="P12" i="1" s="1"/>
  <c r="Q12" i="1" s="1"/>
  <c r="N13" i="1"/>
  <c r="O13" i="1" s="1"/>
  <c r="P13" i="1" s="1"/>
  <c r="Q13" i="1" s="1"/>
  <c r="N14" i="1"/>
  <c r="O14" i="1" s="1"/>
  <c r="P14" i="1" s="1"/>
  <c r="Q14" i="1" s="1"/>
  <c r="N15" i="1"/>
  <c r="O15" i="1" s="1"/>
  <c r="P15" i="1" s="1"/>
  <c r="Q15" i="1" s="1"/>
  <c r="N16" i="1"/>
  <c r="O16" i="1" s="1"/>
  <c r="P16" i="1" s="1"/>
  <c r="Q16" i="1" s="1"/>
  <c r="N17" i="1"/>
  <c r="O17" i="1" s="1"/>
  <c r="P17" i="1" s="1"/>
  <c r="Q17" i="1" s="1"/>
  <c r="N18" i="1"/>
  <c r="O18" i="1" s="1"/>
  <c r="P18" i="1" s="1"/>
  <c r="Q18" i="1" s="1"/>
  <c r="N19" i="1"/>
  <c r="O19" i="1" s="1"/>
  <c r="P19" i="1" s="1"/>
  <c r="Q19" i="1" s="1"/>
  <c r="N20" i="1"/>
  <c r="O20" i="1" s="1"/>
  <c r="P20" i="1" s="1"/>
  <c r="Q20" i="1" s="1"/>
  <c r="N21" i="1"/>
  <c r="O21" i="1" s="1"/>
  <c r="P21" i="1" s="1"/>
  <c r="Q21" i="1" s="1"/>
  <c r="N22" i="1"/>
  <c r="O22" i="1" s="1"/>
  <c r="P22" i="1" s="1"/>
  <c r="Q22" i="1" s="1"/>
  <c r="N23" i="1"/>
  <c r="O23" i="1" s="1"/>
  <c r="P23" i="1" s="1"/>
  <c r="Q23" i="1" s="1"/>
  <c r="N24" i="1"/>
  <c r="O24" i="1" s="1"/>
  <c r="P24" i="1" s="1"/>
  <c r="Q24" i="1" s="1"/>
  <c r="N25" i="1"/>
  <c r="O25" i="1" s="1"/>
  <c r="P25" i="1" s="1"/>
  <c r="Q25" i="1" s="1"/>
  <c r="N26" i="1"/>
  <c r="O26" i="1" s="1"/>
  <c r="P26" i="1" s="1"/>
  <c r="Q26" i="1" s="1"/>
  <c r="N27" i="1"/>
  <c r="O27" i="1" s="1"/>
  <c r="P27" i="1" s="1"/>
  <c r="Q27" i="1" s="1"/>
  <c r="N28" i="1"/>
  <c r="O28" i="1" s="1"/>
  <c r="P28" i="1" s="1"/>
  <c r="Q28" i="1" s="1"/>
  <c r="N29" i="1"/>
  <c r="O29" i="1" s="1"/>
  <c r="P29" i="1" s="1"/>
  <c r="Q29" i="1" s="1"/>
  <c r="N30" i="1"/>
  <c r="O30" i="1" s="1"/>
  <c r="P30" i="1" s="1"/>
  <c r="Q30" i="1" s="1"/>
  <c r="N31" i="1"/>
  <c r="O31" i="1" s="1"/>
  <c r="P31" i="1" s="1"/>
  <c r="Q31" i="1" s="1"/>
  <c r="N32" i="1"/>
  <c r="O32" i="1" s="1"/>
  <c r="P32" i="1" s="1"/>
  <c r="Q32" i="1" s="1"/>
  <c r="N33" i="1"/>
  <c r="O33" i="1" s="1"/>
  <c r="P33" i="1" s="1"/>
  <c r="Q33" i="1" s="1"/>
  <c r="N34" i="1"/>
  <c r="O34" i="1" s="1"/>
  <c r="P34" i="1" s="1"/>
  <c r="Q34" i="1" s="1"/>
  <c r="N35" i="1"/>
  <c r="O35" i="1" s="1"/>
  <c r="P35" i="1" s="1"/>
  <c r="Q35" i="1" s="1"/>
  <c r="N36" i="1"/>
  <c r="O36" i="1" s="1"/>
  <c r="P36" i="1" s="1"/>
  <c r="Q36" i="1" s="1"/>
  <c r="N37" i="1"/>
  <c r="O37" i="1" s="1"/>
  <c r="P37" i="1" s="1"/>
  <c r="Q37" i="1" s="1"/>
  <c r="N38" i="1"/>
  <c r="O38" i="1" s="1"/>
  <c r="P38" i="1" s="1"/>
  <c r="Q38" i="1" s="1"/>
  <c r="N39" i="1"/>
  <c r="O39" i="1" s="1"/>
  <c r="P39" i="1" s="1"/>
  <c r="Q39" i="1" s="1"/>
  <c r="N40" i="1"/>
  <c r="O40" i="1" s="1"/>
  <c r="P40" i="1" s="1"/>
  <c r="Q40" i="1" s="1"/>
  <c r="N41" i="1"/>
  <c r="O41" i="1" s="1"/>
  <c r="P41" i="1" s="1"/>
  <c r="Q41" i="1" s="1"/>
  <c r="N42" i="1"/>
  <c r="O42" i="1" s="1"/>
  <c r="P42" i="1" s="1"/>
  <c r="Q42" i="1" s="1"/>
  <c r="N43" i="1"/>
  <c r="O43" i="1" s="1"/>
  <c r="P43" i="1" s="1"/>
  <c r="Q43" i="1" s="1"/>
  <c r="N44" i="1"/>
  <c r="O44" i="1" s="1"/>
  <c r="P44" i="1" s="1"/>
  <c r="Q44" i="1" s="1"/>
  <c r="N45" i="1"/>
  <c r="O45" i="1" s="1"/>
  <c r="P45" i="1" s="1"/>
  <c r="Q45" i="1" s="1"/>
  <c r="N46" i="1"/>
  <c r="O46" i="1" s="1"/>
  <c r="P46" i="1" s="1"/>
  <c r="Q46" i="1" s="1"/>
  <c r="N47" i="1"/>
  <c r="O47" i="1" s="1"/>
  <c r="P47" i="1" s="1"/>
  <c r="Q47" i="1" s="1"/>
  <c r="N48" i="1"/>
  <c r="O48" i="1" s="1"/>
  <c r="P48" i="1" s="1"/>
  <c r="Q48" i="1" s="1"/>
  <c r="N49" i="1"/>
  <c r="O49" i="1" s="1"/>
  <c r="P49" i="1" s="1"/>
  <c r="Q49" i="1" s="1"/>
  <c r="N50" i="1"/>
  <c r="O50" i="1" s="1"/>
  <c r="P50" i="1" s="1"/>
  <c r="Q50" i="1" s="1"/>
  <c r="N51" i="1"/>
  <c r="O51" i="1" s="1"/>
  <c r="P51" i="1" s="1"/>
  <c r="Q51" i="1" s="1"/>
  <c r="N52" i="1"/>
  <c r="O52" i="1" s="1"/>
  <c r="P52" i="1" s="1"/>
  <c r="Q52" i="1" s="1"/>
  <c r="N53" i="1"/>
  <c r="O53" i="1" s="1"/>
  <c r="P53" i="1" s="1"/>
  <c r="Q53" i="1" s="1"/>
  <c r="N54" i="1"/>
  <c r="O54" i="1" s="1"/>
  <c r="P54" i="1" s="1"/>
  <c r="Q54" i="1" s="1"/>
  <c r="N55" i="1"/>
  <c r="O55" i="1" s="1"/>
  <c r="P55" i="1" s="1"/>
  <c r="Q55" i="1" s="1"/>
  <c r="N56" i="1"/>
  <c r="O56" i="1" s="1"/>
  <c r="P56" i="1" s="1"/>
  <c r="Q56" i="1" s="1"/>
  <c r="N57" i="1"/>
  <c r="O57" i="1" s="1"/>
  <c r="P57" i="1" s="1"/>
  <c r="Q57" i="1" s="1"/>
  <c r="N58" i="1"/>
  <c r="O58" i="1" s="1"/>
  <c r="P58" i="1" s="1"/>
  <c r="Q58" i="1" s="1"/>
  <c r="N59" i="1"/>
  <c r="O59" i="1" s="1"/>
  <c r="P59" i="1" s="1"/>
  <c r="Q59" i="1" s="1"/>
  <c r="N60" i="1"/>
  <c r="O60" i="1" s="1"/>
  <c r="P60" i="1" s="1"/>
  <c r="Q60" i="1" s="1"/>
  <c r="N61" i="1"/>
  <c r="O61" i="1" s="1"/>
  <c r="P61" i="1" s="1"/>
  <c r="Q61" i="1" s="1"/>
  <c r="N62" i="1"/>
  <c r="O62" i="1" s="1"/>
  <c r="P62" i="1" s="1"/>
  <c r="Q62" i="1" s="1"/>
  <c r="N63" i="1"/>
  <c r="O63" i="1" s="1"/>
  <c r="P63" i="1" s="1"/>
  <c r="Q63" i="1" s="1"/>
  <c r="N64" i="1"/>
  <c r="O64" i="1" s="1"/>
  <c r="P64" i="1" s="1"/>
  <c r="Q64" i="1" s="1"/>
  <c r="N65" i="1"/>
  <c r="O65" i="1" s="1"/>
  <c r="P65" i="1" s="1"/>
  <c r="Q65" i="1" s="1"/>
  <c r="N66" i="1"/>
  <c r="O66" i="1" s="1"/>
  <c r="P66" i="1" s="1"/>
  <c r="Q66" i="1" s="1"/>
  <c r="N67" i="1"/>
  <c r="O67" i="1" s="1"/>
  <c r="P67" i="1" s="1"/>
  <c r="Q67" i="1" s="1"/>
  <c r="N68" i="1"/>
  <c r="O68" i="1" s="1"/>
  <c r="P68" i="1" s="1"/>
  <c r="Q68" i="1" s="1"/>
  <c r="N69" i="1"/>
  <c r="O69" i="1" s="1"/>
  <c r="P69" i="1" s="1"/>
  <c r="Q69" i="1" s="1"/>
  <c r="N70" i="1"/>
  <c r="O70" i="1" s="1"/>
  <c r="P70" i="1" s="1"/>
  <c r="Q70" i="1" s="1"/>
  <c r="N71" i="1"/>
  <c r="O71" i="1" s="1"/>
  <c r="P71" i="1" s="1"/>
  <c r="Q71" i="1" s="1"/>
  <c r="N72" i="1"/>
  <c r="O72" i="1" s="1"/>
  <c r="P72" i="1" s="1"/>
  <c r="Q72" i="1" s="1"/>
  <c r="N73" i="1"/>
  <c r="O73" i="1" s="1"/>
  <c r="P73" i="1" s="1"/>
  <c r="Q73" i="1" s="1"/>
  <c r="N74" i="1"/>
  <c r="O74" i="1" s="1"/>
  <c r="P74" i="1" s="1"/>
  <c r="Q74" i="1" s="1"/>
  <c r="N75" i="1"/>
  <c r="O75" i="1" s="1"/>
  <c r="P75" i="1" s="1"/>
  <c r="Q75" i="1" s="1"/>
  <c r="N76" i="1"/>
  <c r="O76" i="1" s="1"/>
  <c r="P76" i="1" s="1"/>
  <c r="Q76" i="1" s="1"/>
  <c r="N77" i="1"/>
  <c r="O77" i="1" s="1"/>
  <c r="P77" i="1" s="1"/>
  <c r="Q77" i="1" s="1"/>
  <c r="N78" i="1"/>
  <c r="O78" i="1" s="1"/>
  <c r="P78" i="1" s="1"/>
  <c r="Q78" i="1" s="1"/>
  <c r="N79" i="1"/>
  <c r="O79" i="1" s="1"/>
  <c r="P79" i="1" s="1"/>
  <c r="Q79" i="1" s="1"/>
  <c r="N80" i="1"/>
  <c r="O80" i="1" s="1"/>
  <c r="P80" i="1" s="1"/>
  <c r="Q80" i="1" s="1"/>
  <c r="N81" i="1"/>
  <c r="O81" i="1" s="1"/>
  <c r="P81" i="1" s="1"/>
  <c r="Q81" i="1" s="1"/>
  <c r="N82" i="1"/>
  <c r="O82" i="1" s="1"/>
  <c r="P82" i="1" s="1"/>
  <c r="Q82" i="1" s="1"/>
  <c r="N83" i="1"/>
  <c r="O83" i="1" s="1"/>
  <c r="P83" i="1" s="1"/>
  <c r="Q83" i="1" s="1"/>
  <c r="N84" i="1"/>
  <c r="O84" i="1" s="1"/>
  <c r="P84" i="1" s="1"/>
  <c r="Q84" i="1" s="1"/>
  <c r="N85" i="1"/>
  <c r="O85" i="1" s="1"/>
  <c r="P85" i="1" s="1"/>
  <c r="Q85" i="1" s="1"/>
  <c r="N86" i="1"/>
  <c r="O86" i="1" s="1"/>
  <c r="P86" i="1" s="1"/>
  <c r="Q86" i="1" s="1"/>
  <c r="N87" i="1"/>
  <c r="O87" i="1" s="1"/>
  <c r="P87" i="1" s="1"/>
  <c r="Q87" i="1" s="1"/>
  <c r="N88" i="1"/>
  <c r="O88" i="1" s="1"/>
  <c r="P88" i="1" s="1"/>
  <c r="Q88" i="1" s="1"/>
  <c r="N89" i="1"/>
  <c r="O89" i="1" s="1"/>
  <c r="P89" i="1" s="1"/>
  <c r="Q89" i="1" s="1"/>
  <c r="N90" i="1"/>
  <c r="O90" i="1" s="1"/>
  <c r="P90" i="1" s="1"/>
  <c r="Q90" i="1" s="1"/>
  <c r="N91" i="1"/>
  <c r="O91" i="1" s="1"/>
  <c r="P91" i="1" s="1"/>
  <c r="Q91" i="1" s="1"/>
  <c r="N92" i="1"/>
  <c r="O92" i="1" s="1"/>
  <c r="P92" i="1" s="1"/>
  <c r="Q92" i="1" s="1"/>
  <c r="N93" i="1"/>
  <c r="O93" i="1" s="1"/>
  <c r="P93" i="1" s="1"/>
  <c r="Q93" i="1" s="1"/>
  <c r="N94" i="1"/>
  <c r="O94" i="1" s="1"/>
  <c r="P94" i="1" s="1"/>
  <c r="Q94" i="1" s="1"/>
  <c r="N95" i="1"/>
  <c r="O95" i="1" s="1"/>
  <c r="P95" i="1" s="1"/>
  <c r="Q95" i="1" s="1"/>
  <c r="N96" i="1"/>
  <c r="O96" i="1" s="1"/>
  <c r="P96" i="1" s="1"/>
  <c r="Q96" i="1" s="1"/>
  <c r="N97" i="1"/>
  <c r="O97" i="1" s="1"/>
  <c r="P97" i="1" s="1"/>
  <c r="Q97" i="1" s="1"/>
  <c r="N98" i="1"/>
  <c r="O98" i="1" s="1"/>
  <c r="P98" i="1" s="1"/>
  <c r="Q98" i="1" s="1"/>
  <c r="N99" i="1"/>
  <c r="O99" i="1" s="1"/>
  <c r="P99" i="1" s="1"/>
  <c r="Q99" i="1" s="1"/>
  <c r="N100" i="1"/>
  <c r="O100" i="1" s="1"/>
  <c r="P100" i="1" s="1"/>
  <c r="Q100" i="1" s="1"/>
  <c r="N101" i="1"/>
  <c r="O101" i="1" l="1"/>
  <c r="P101" i="1" s="1"/>
  <c r="Q101" i="1" s="1"/>
  <c r="R101" i="1" s="1"/>
  <c r="R2" i="1"/>
  <c r="G7" i="2"/>
  <c r="E7" i="2"/>
  <c r="E6" i="2" s="1"/>
  <c r="E5" i="2" s="1"/>
  <c r="L2" i="1"/>
  <c r="R4" i="1"/>
  <c r="R5" i="1"/>
  <c r="R7" i="1"/>
  <c r="R10" i="1"/>
  <c r="R12" i="1"/>
  <c r="R13" i="1"/>
  <c r="R14" i="1"/>
  <c r="R15" i="1"/>
  <c r="R16" i="1"/>
  <c r="R17" i="1"/>
  <c r="R22" i="1"/>
  <c r="R24" i="1"/>
  <c r="R25" i="1"/>
  <c r="R26" i="1"/>
  <c r="R27" i="1"/>
  <c r="R28" i="1"/>
  <c r="R29" i="1"/>
  <c r="R34" i="1"/>
  <c r="R36" i="1"/>
  <c r="R37" i="1"/>
  <c r="R38" i="1"/>
  <c r="R39" i="1"/>
  <c r="R40" i="1"/>
  <c r="R41" i="1"/>
  <c r="R46" i="1"/>
  <c r="R48" i="1"/>
  <c r="R49" i="1"/>
  <c r="R50" i="1"/>
  <c r="R51" i="1"/>
  <c r="R52" i="1"/>
  <c r="R53" i="1"/>
  <c r="R58" i="1"/>
  <c r="R60" i="1"/>
  <c r="R61" i="1"/>
  <c r="R62" i="1"/>
  <c r="R63" i="1"/>
  <c r="R65" i="1"/>
  <c r="R70" i="1"/>
  <c r="R72" i="1"/>
  <c r="R73" i="1"/>
  <c r="R74" i="1"/>
  <c r="R75" i="1"/>
  <c r="R76" i="1"/>
  <c r="R77" i="1"/>
  <c r="R82" i="1"/>
  <c r="R84" i="1"/>
  <c r="R85" i="1"/>
  <c r="R86" i="1"/>
  <c r="R87" i="1"/>
  <c r="R89" i="1"/>
  <c r="R94" i="1"/>
  <c r="R96" i="1"/>
  <c r="R98" i="1"/>
  <c r="R99"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R3" i="1" l="1"/>
  <c r="G8" i="2"/>
  <c r="R90" i="1"/>
  <c r="R78" i="1"/>
  <c r="R66" i="1"/>
  <c r="R54" i="1"/>
  <c r="R42" i="1"/>
  <c r="R30" i="1"/>
  <c r="R18" i="1"/>
  <c r="R6" i="1"/>
  <c r="R92" i="1"/>
  <c r="R80" i="1"/>
  <c r="R68" i="1"/>
  <c r="R56" i="1"/>
  <c r="R44" i="1"/>
  <c r="R32" i="1"/>
  <c r="R20" i="1"/>
  <c r="R8" i="1"/>
  <c r="R91" i="1"/>
  <c r="R79" i="1"/>
  <c r="R67" i="1"/>
  <c r="R55" i="1"/>
  <c r="R43" i="1"/>
  <c r="R31" i="1"/>
  <c r="R19" i="1"/>
  <c r="R100" i="1"/>
  <c r="R88" i="1"/>
  <c r="R64" i="1"/>
  <c r="R97" i="1"/>
  <c r="R95" i="1"/>
  <c r="R83" i="1"/>
  <c r="R71" i="1"/>
  <c r="R59" i="1"/>
  <c r="R47" i="1"/>
  <c r="R35" i="1"/>
  <c r="R23" i="1"/>
  <c r="R11" i="1"/>
  <c r="R93" i="1"/>
  <c r="R81" i="1"/>
  <c r="R69" i="1"/>
  <c r="R57" i="1"/>
  <c r="R45" i="1"/>
  <c r="R33" i="1"/>
  <c r="R21" i="1"/>
  <c r="R9" i="1"/>
  <c r="G9" i="2" l="1"/>
  <c r="G10" i="2" l="1"/>
</calcChain>
</file>

<file path=xl/sharedStrings.xml><?xml version="1.0" encoding="utf-8"?>
<sst xmlns="http://schemas.openxmlformats.org/spreadsheetml/2006/main" count="782" uniqueCount="242">
  <si>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</si>
  <si>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</si>
  <si>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</si>
  <si>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</si>
  <si>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</si>
  <si>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</si>
  <si>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</si>
  <si>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</si>
  <si>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</si>
  <si>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</si>
  <si>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</si>
  <si>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</si>
  <si>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</si>
  <si>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</si>
  <si>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</si>
  <si>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</si>
  <si>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</si>
  <si>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</si>
  <si>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</si>
  <si>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</si>
  <si>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</si>
  <si>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</si>
  <si>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</si>
  <si>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</si>
  <si>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</si>
  <si>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</si>
  <si>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</si>
  <si>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</si>
  <si>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</si>
  <si>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</si>
  <si>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</si>
  <si>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</si>
  <si>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</si>
  <si>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</si>
  <si>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</si>
  <si>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</si>
  <si>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</si>
  <si>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</si>
  <si>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</si>
  <si>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</si>
  <si>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</si>
  <si>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</si>
  <si>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</si>
  <si>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</si>
  <si>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</si>
  <si>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</si>
  <si>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</si>
  <si>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</si>
  <si>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</si>
  <si>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</si>
  <si>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</si>
  <si>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</si>
  <si>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</si>
  <si>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</si>
  <si>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</si>
  <si>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</si>
  <si>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</si>
  <si>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</si>
  <si>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</si>
  <si>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</si>
  <si>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</si>
  <si>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</si>
  <si>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</si>
  <si>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</si>
  <si>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</si>
  <si>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</si>
  <si>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</si>
  <si>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</si>
  <si>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</si>
  <si>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</si>
  <si>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</si>
  <si>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</si>
  <si>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</si>
  <si>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</si>
  <si>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</si>
  <si>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</si>
  <si>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</si>
  <si>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</si>
  <si>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</si>
  <si>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</si>
  <si>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</si>
  <si>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</si>
  <si>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</si>
  <si>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</si>
  <si>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</si>
  <si>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</si>
  <si>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</si>
  <si>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</si>
  <si>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</si>
  <si>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</si>
  <si>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</si>
  <si>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</si>
  <si>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</si>
  <si>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</si>
  <si>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</si>
  <si>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</si>
  <si>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</si>
  <si>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</si>
  <si>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</si>
  <si>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</si>
  <si>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</si>
  <si>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</si>
  <si>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</si>
  <si>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</si>
  <si>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</si>
  <si>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</si>
  <si>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</si>
  <si>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</si>
  <si>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</si>
  <si>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</si>
  <si>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</si>
  <si>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</si>
  <si>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</si>
  <si>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</si>
  <si>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</si>
  <si>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</si>
  <si>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</si>
  <si>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</si>
  <si>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</si>
  <si>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</si>
  <si>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</si>
  <si>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</si>
  <si>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</si>
  <si>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</si>
  <si>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</si>
  <si>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</si>
  <si>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</si>
  <si>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</si>
  <si>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</si>
  <si>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</si>
  <si>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</si>
  <si>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</si>
  <si>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</si>
  <si>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</si>
  <si>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</si>
  <si>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</si>
  <si>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</si>
  <si>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</si>
  <si>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</si>
  <si>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</si>
  <si>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</si>
  <si>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</si>
  <si>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</si>
  <si>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</si>
  <si>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</si>
  <si>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</si>
  <si>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</si>
  <si>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</si>
  <si>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</si>
  <si>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</si>
  <si>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</si>
  <si>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</si>
  <si>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</si>
  <si>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</si>
  <si>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Average Claim Amount (Adjusted for Inflation)</t>
  </si>
  <si>
    <t>Average Claim Amount by Year (Adjusted for Inflation)</t>
  </si>
  <si>
    <t>Sum of Adjusted Settlement Amount</t>
  </si>
  <si>
    <t>Large Loss Event</t>
  </si>
  <si>
    <t>Return Period</t>
  </si>
  <si>
    <t>Large Loss Loading</t>
  </si>
  <si>
    <t>Sensitivity Analysis</t>
  </si>
  <si>
    <t>Gross Tonnage</t>
  </si>
  <si>
    <t>Claim Incurred ($)</t>
  </si>
  <si>
    <t>Total Risk Premium: Pure Premium with Large Loss Loading for Environmental Pollution Claims</t>
  </si>
  <si>
    <t>Total Risk Premium=Pure Premium+Large Loss Loading</t>
  </si>
  <si>
    <t>Final Premium</t>
  </si>
  <si>
    <t>Final Premium=Total Risk Premium×(1+Expense Loading)×(1+Profit Margin)</t>
  </si>
  <si>
    <t>2024 expected gross tonnage</t>
  </si>
  <si>
    <t>1.03 (3% expected over year)</t>
  </si>
  <si>
    <t>Year</t>
  </si>
  <si>
    <t>No of claims</t>
  </si>
  <si>
    <t>Average frequency per unit exposure</t>
  </si>
  <si>
    <t>Average severity per claim</t>
  </si>
  <si>
    <t>Loss cost</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</si>
  <si>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</si>
  <si>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</si>
  <si>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</si>
  <si>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</si>
  <si>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</si>
  <si>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</si>
  <si>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</si>
  <si>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Average Gross Claim Amount</t>
  </si>
  <si>
    <t>Add some useful charts</t>
  </si>
  <si>
    <t>Find the Final Premium. Assume a 10% profit margin and 30% expense loading</t>
  </si>
  <si>
    <t>Claim count by claim type</t>
  </si>
  <si>
    <t>Average claim cost by claim type (severity)</t>
  </si>
  <si>
    <t>Cause of loss Summary</t>
  </si>
  <si>
    <t>Net claims incurred by cause of loss</t>
  </si>
  <si>
    <t>Claim count by cause of loss</t>
  </si>
  <si>
    <t>Average claim cost by cause of loss (severity)</t>
  </si>
  <si>
    <t>Net claims incurred by loss location</t>
  </si>
  <si>
    <t>Loss location Summary</t>
  </si>
  <si>
    <t>Claim count by loss location</t>
  </si>
  <si>
    <t>Average claim cost by loss location (severity)</t>
  </si>
  <si>
    <t>HINT: Net incurred claims by year and claim type</t>
  </si>
  <si>
    <t>HINT: Count of claims by year and claim type</t>
  </si>
  <si>
    <t>(1 + annual inflation)</t>
  </si>
  <si>
    <t>Inflation index</t>
  </si>
  <si>
    <t>Exposure information for the account provided by client</t>
  </si>
  <si>
    <t xml:space="preserve">Gross tonnage </t>
  </si>
  <si>
    <t>2024 expected gross tonnage provided by client</t>
  </si>
  <si>
    <t>Deductibles in the upcoming policy period will be the same as deductible in prior policy periods.</t>
  </si>
  <si>
    <t>Assume a large loss is any loss &gt;$1m incurred</t>
  </si>
  <si>
    <t>Assume the large loss event is a 1-in-20 year event.</t>
  </si>
  <si>
    <t>Assume expenses are 30% of the loss cost.</t>
  </si>
  <si>
    <t>Assume a 10% profit requirement on this account in calculating the premium</t>
  </si>
  <si>
    <t>Claim severity analysis (average cost per claim)</t>
  </si>
  <si>
    <t>Claim frequency per gross tonnage</t>
  </si>
  <si>
    <t>Average cost per claim (Loss Severity)</t>
  </si>
  <si>
    <t>Loss cost calculation</t>
  </si>
  <si>
    <t>Use pivot tables to generate tables and check for trends</t>
  </si>
  <si>
    <r>
      <t xml:space="preserve">Derive an appropriate Return Period. </t>
    </r>
    <r>
      <rPr>
        <i/>
        <sz val="12"/>
        <color rgb="FF000000"/>
        <rFont val="Aptos Narrow"/>
        <family val="2"/>
        <scheme val="minor"/>
      </rPr>
      <t>(Consider the information provided in the "Given Assumptions")</t>
    </r>
    <r>
      <rPr>
        <sz val="12"/>
        <color rgb="FF000000"/>
        <rFont val="Aptos Narrow"/>
        <family val="2"/>
        <scheme val="minor"/>
      </rPr>
      <t>.</t>
    </r>
  </si>
  <si>
    <r>
      <t xml:space="preserve">Calculate the Large Loss Loading </t>
    </r>
    <r>
      <rPr>
        <i/>
        <sz val="12"/>
        <color rgb="FF000000"/>
        <rFont val="Aptos Narrow"/>
        <family val="2"/>
        <scheme val="minor"/>
      </rPr>
      <t>(Divide the large loss claim cost by the return period)</t>
    </r>
    <r>
      <rPr>
        <sz val="12"/>
        <color rgb="FF000000"/>
        <rFont val="Aptos Narrow"/>
        <family val="2"/>
        <scheme val="minor"/>
      </rPr>
      <t>.</t>
    </r>
  </si>
  <si>
    <t>Identify the Large Loss Event adjusted for inflation.</t>
  </si>
  <si>
    <r>
      <t xml:space="preserve">Calculate the Loss Frequency using a pivot table, make sure to remove the large loss event. 
</t>
    </r>
    <r>
      <rPr>
        <i/>
        <sz val="12"/>
        <color rgb="FF000000"/>
        <rFont val="Aptos Narrow"/>
        <family val="2"/>
        <scheme val="minor"/>
      </rPr>
      <t>Claim frequency = Number of Claims/Gross Tonnage for all exposure.</t>
    </r>
    <r>
      <rPr>
        <sz val="12"/>
        <color rgb="FF000000"/>
        <rFont val="Aptos Narrow"/>
        <family val="2"/>
        <scheme val="minor"/>
      </rPr>
      <t xml:space="preserve">
</t>
    </r>
  </si>
  <si>
    <r>
      <t xml:space="preserve">Calculate the Average cost per claim (Loss Severity) using a pivot table, make sure to remove the large loss event. Instructions: Create a pivot table with Year,  Sum of Capped net inflation adjusted incurred claim and Count of Claim ID. 
</t>
    </r>
    <r>
      <rPr>
        <i/>
        <sz val="12"/>
        <color rgb="FF000000"/>
        <rFont val="Aptos Narrow"/>
        <family val="2"/>
        <scheme val="minor"/>
      </rPr>
      <t>Loss Severity= Sum of Capped net inflation adjusted incurred claim / Count of Claim ID for each year</t>
    </r>
    <r>
      <rPr>
        <sz val="12"/>
        <color rgb="FF000000"/>
        <rFont val="Aptos Narrow"/>
        <family val="2"/>
        <scheme val="minor"/>
      </rPr>
      <t>.</t>
    </r>
  </si>
  <si>
    <r>
      <t xml:space="preserve">Complete the table below using the values derived in steps 1 and 2. </t>
    </r>
    <r>
      <rPr>
        <i/>
        <sz val="12"/>
        <color rgb="FF000000"/>
        <rFont val="Aptos Narrow"/>
        <family val="2"/>
        <scheme val="minor"/>
      </rPr>
      <t>HINT: Expected loss is the product of claim frequency and average claim severity</t>
    </r>
    <r>
      <rPr>
        <sz val="12"/>
        <color rgb="FF000000"/>
        <rFont val="Aptos Narrow"/>
        <family val="2"/>
        <scheme val="minor"/>
      </rPr>
      <t>.</t>
    </r>
  </si>
  <si>
    <t>Scenario: 6% increase in average loss severity</t>
  </si>
  <si>
    <t>New risk premium following 6% increase in claim severity</t>
  </si>
  <si>
    <t>New final premium</t>
  </si>
  <si>
    <t>New Loss Severity</t>
  </si>
  <si>
    <t>Calculate the following using the values derived in step 3.</t>
  </si>
  <si>
    <r>
      <t xml:space="preserve">Calculate the  Total Risk Premium. 
</t>
    </r>
    <r>
      <rPr>
        <i/>
        <sz val="12"/>
        <color theme="1"/>
        <rFont val="Aptos Narrow"/>
        <family val="2"/>
        <scheme val="minor"/>
      </rPr>
      <t>Pure Premium = Average Frequency per unit of exposure * Average Severity per Claim * Expected Gross Tonnage</t>
    </r>
  </si>
  <si>
    <r>
      <t xml:space="preserve">Conduct a Sensitivity Analysis for a scenario of a 6% increase in loss severity and calculate the new final premium based on the increased severity. </t>
    </r>
    <r>
      <rPr>
        <i/>
        <sz val="12"/>
        <color rgb="FF000000"/>
        <rFont val="Aptos Narrow"/>
        <family val="2"/>
        <scheme val="minor"/>
      </rPr>
      <t>Increase the loss severity by 6% then follow the same calculation used in steps 9 and 10 to derive the revised final premium.</t>
    </r>
  </si>
  <si>
    <t>Count of Claim ID</t>
  </si>
  <si>
    <t>Column Labels</t>
  </si>
  <si>
    <t>Grand Total</t>
  </si>
  <si>
    <t>Row Labels</t>
  </si>
  <si>
    <t xml:space="preserve">Sum of Capped net adjusted incurred claim </t>
  </si>
  <si>
    <t xml:space="preserve">Gross claim amount </t>
  </si>
  <si>
    <t>Loss Severity</t>
  </si>
  <si>
    <t>Sum of Capped net adjusted incurred claim</t>
  </si>
  <si>
    <t>Claim Frequency</t>
  </si>
  <si>
    <t xml:space="preserve"> </t>
  </si>
  <si>
    <t xml:space="preserve">Gross inflation adjusted claim </t>
  </si>
  <si>
    <t xml:space="preserve">Net inflation adjusted claim  </t>
  </si>
  <si>
    <t xml:space="preserve">Capped net adjusted incurred claim </t>
  </si>
  <si>
    <t>Attritional claim flag</t>
  </si>
  <si>
    <t>Average of Gross inflation adjusted claim</t>
  </si>
  <si>
    <t>Average of Capped net adjusted incurred claim</t>
  </si>
  <si>
    <t xml:space="preserve">Sum of Capped net adjusted incurred claim  </t>
  </si>
  <si>
    <t xml:space="preserve">Average of Capped net adjusted incurred claim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</si>
</sst>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164" formatCode="_-* #,##0.00_-;\-* #,##0.00_-;_-* &quot;-&quot;??_-;_-@_-"/>
    <numFmt numFmtId="165" formatCode="&quot;$&quot;#,##0.00"/>
    <numFmt numFmtId="166" formatCode="_-* #,##0.0_-;\-* #,##0.0_-;_-* &quot;-&quot;??_-;_-@_-"/>
    <numFmt numFmtId="167" formatCode="_-* #,##0_-;\-* #,##0_-;_-* &quot;-&quot;??_-;_-@_-"/>
    <numFmt numFmtId="168" formatCode="_-* #,##0.000000000_-;\-* #,##0.000000000_-;_-* &quot;-&quot;??_-;_-@_-"/>
    <numFmt numFmtId="169" formatCode="[$$-409]#,##0"/>
    <numFmt numFmtId="170" formatCode="0.000000000"/>
  </numFmts>
  <fonts count="13"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sz val="12"/>
      <color rgb="FF000000"/>
      <name val="Aptos Narrow"/>
      <family val="2"/>
      <scheme val="minor"/>
    </font>
    <font>
      <b/>
      <sz val="16"/>
      <color theme="1"/>
      <name val="Aptos Narrow"/>
      <family val="2"/>
      <scheme val="minor"/>
    </font>
    <font>
      <i/>
      <sz val="12"/>
      <color theme="1"/>
      <name val="Aptos Narrow"/>
      <family val="2"/>
      <scheme val="minor"/>
    </font>
    <font>
      <i/>
      <sz val="12"/>
      <color rgb="FF000000"/>
      <name val="Aptos Narrow"/>
      <family val="2"/>
      <scheme val="minor"/>
    </font>
    <font>
      <b/>
      <sz val="12"/>
      <color rgb="FF000000"/>
      <name val="Aptos Narrow"/>
      <family val="2"/>
      <scheme val="minor"/>
    </font>
    <font>
      <b/>
      <sz val="1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7C7AC"/>
        <bgColor rgb="FF000000"/>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99">
    <xf numFmtId="0" fontId="0" fillId="0" borderId="0" xfId="0"/>
    <xf numFmtId="14" fontId="0" fillId="0" borderId="0" xfId="0" applyNumberFormat="1"/>
    <xf numFmtId="0" fontId="2" fillId="0" borderId="0" xfId="0" applyFont="1"/>
    <xf numFmtId="44" fontId="0" fillId="0" borderId="0" xfId="1" applyFont="1"/>
    <xf numFmtId="0" fontId="4" fillId="0" borderId="0" xfId="0" applyFont="1"/>
    <xf numFmtId="0" fontId="3" fillId="0" borderId="0" xfId="0" applyFont="1"/>
    <xf numFmtId="0" fontId="0" fillId="0" borderId="0" xfId="0" applyAlignment="1">
      <alignment horizontal="left"/>
    </xf>
    <xf numFmtId="165" fontId="0" fillId="0" borderId="0" xfId="0" applyNumberFormat="1"/>
    <xf numFmtId="165" fontId="2" fillId="0" borderId="0" xfId="0" applyNumberFormat="1" applyFont="1"/>
    <xf numFmtId="164" fontId="0" fillId="0" borderId="0" xfId="2" applyFont="1"/>
    <xf numFmtId="167" fontId="0" fillId="0" borderId="0" xfId="2" applyNumberFormat="1" applyFont="1"/>
    <xf numFmtId="164" fontId="0" fillId="0" borderId="0" xfId="0" applyNumberFormat="1"/>
    <xf numFmtId="169" fontId="0" fillId="0" borderId="0" xfId="3" applyNumberFormat="1" applyFont="1" applyFill="1"/>
    <xf numFmtId="170" fontId="0" fillId="0" borderId="0" xfId="0" applyNumberFormat="1"/>
    <xf numFmtId="169" fontId="0" fillId="0" borderId="0" xfId="0" applyNumberFormat="1" applyAlignment="1">
      <alignment horizontal="left"/>
    </xf>
    <xf numFmtId="168" fontId="0" fillId="0" borderId="0" xfId="0" applyNumberFormat="1" applyAlignment="1">
      <alignment horizontal="left"/>
    </xf>
    <xf numFmtId="164" fontId="0" fillId="0" borderId="0" xfId="2" applyFont="1" applyAlignment="1">
      <alignment horizontal="left"/>
    </xf>
    <xf numFmtId="166" fontId="5" fillId="0" borderId="0" xfId="2" applyNumberFormat="1" applyFont="1" applyFill="1"/>
    <xf numFmtId="0" fontId="2" fillId="0" borderId="0" xfId="0" applyFont="1" applyAlignment="1">
      <alignment horizontal="left"/>
    </xf>
    <xf numFmtId="165" fontId="2" fillId="0" borderId="0" xfId="0" applyNumberFormat="1" applyFont="1" applyAlignment="1">
      <alignment horizontal="left"/>
    </xf>
    <xf numFmtId="0" fontId="6" fillId="0" borderId="0" xfId="0" applyFont="1"/>
    <xf numFmtId="0" fontId="6" fillId="0" borderId="0" xfId="0" applyFont="1" applyAlignment="1">
      <alignment horizontal="left"/>
    </xf>
    <xf numFmtId="0" fontId="0" fillId="3" borderId="0" xfId="0" applyFill="1"/>
    <xf numFmtId="0" fontId="6" fillId="3" borderId="0" xfId="0" applyFont="1" applyFill="1"/>
    <xf numFmtId="0" fontId="7" fillId="5" borderId="0" xfId="0" applyFont="1" applyFill="1"/>
    <xf numFmtId="44" fontId="0" fillId="6" borderId="0" xfId="1" applyFont="1" applyFill="1"/>
    <xf numFmtId="44" fontId="0" fillId="7" borderId="0" xfId="1" applyFont="1" applyFill="1"/>
    <xf numFmtId="0" fontId="0" fillId="7" borderId="0" xfId="0" applyFill="1"/>
    <xf numFmtId="44" fontId="0" fillId="7" borderId="0" xfId="0" applyNumberFormat="1" applyFill="1"/>
    <xf numFmtId="0" fontId="7" fillId="5" borderId="0" xfId="0" applyFont="1" applyFill="1" applyAlignment="1">
      <alignment horizontal="center"/>
    </xf>
    <xf numFmtId="0" fontId="0" fillId="0" borderId="2" xfId="0" applyBorder="1"/>
    <xf numFmtId="164" fontId="0" fillId="0" borderId="2" xfId="2" applyFont="1" applyBorder="1" applyAlignment="1">
      <alignment horizontal="right"/>
    </xf>
    <xf numFmtId="0" fontId="0" fillId="2" borderId="3" xfId="0" applyFill="1" applyBorder="1"/>
    <xf numFmtId="0" fontId="0" fillId="2" borderId="5" xfId="0" applyFill="1" applyBorder="1"/>
    <xf numFmtId="0" fontId="0" fillId="0" borderId="7" xfId="0" applyBorder="1"/>
    <xf numFmtId="0" fontId="0" fillId="2" borderId="8" xfId="0" applyFill="1" applyBorder="1"/>
    <xf numFmtId="0" fontId="8" fillId="0" borderId="0" xfId="0" applyFont="1" applyAlignment="1">
      <alignment horizontal="left"/>
    </xf>
    <xf numFmtId="44" fontId="0" fillId="6" borderId="0" xfId="0" applyNumberFormat="1" applyFill="1"/>
    <xf numFmtId="0" fontId="0" fillId="6" borderId="0" xfId="0" applyFill="1"/>
    <xf numFmtId="0" fontId="2" fillId="3" borderId="0" xfId="0" applyFont="1" applyFill="1"/>
    <xf numFmtId="0" fontId="2" fillId="8" borderId="0" xfId="0" applyFont="1" applyFill="1"/>
    <xf numFmtId="0" fontId="3" fillId="0" borderId="1" xfId="0" applyFont="1" applyBorder="1"/>
    <xf numFmtId="0" fontId="3" fillId="0" borderId="4" xfId="0" applyFont="1" applyBorder="1"/>
    <xf numFmtId="0" fontId="3" fillId="0" borderId="6" xfId="0" applyFont="1" applyBorder="1"/>
    <xf numFmtId="0" fontId="2" fillId="0" borderId="9" xfId="0" applyFont="1" applyBorder="1"/>
    <xf numFmtId="0" fontId="2" fillId="0" borderId="10" xfId="0"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167" fontId="0" fillId="0" borderId="5" xfId="2" applyNumberFormat="1" applyFont="1" applyBorder="1"/>
    <xf numFmtId="0" fontId="2" fillId="0" borderId="6" xfId="0" applyFont="1" applyBorder="1" applyAlignment="1">
      <alignment horizontal="left"/>
    </xf>
    <xf numFmtId="167" fontId="0" fillId="0" borderId="8" xfId="2" applyNumberFormat="1" applyFont="1" applyBorder="1"/>
    <xf numFmtId="167" fontId="0" fillId="0" borderId="0" xfId="2" applyNumberFormat="1" applyFont="1" applyBorder="1"/>
    <xf numFmtId="0" fontId="2" fillId="0" borderId="9" xfId="0" applyFont="1" applyBorder="1" applyAlignment="1">
      <alignment horizontal="left"/>
    </xf>
    <xf numFmtId="164" fontId="0" fillId="0" borderId="10" xfId="2" applyFont="1" applyBorder="1" applyAlignment="1">
      <alignment horizontal="left"/>
    </xf>
    <xf numFmtId="0" fontId="0" fillId="0" borderId="3" xfId="0" applyBorder="1"/>
    <xf numFmtId="0" fontId="0" fillId="0" borderId="4" xfId="0" applyBorder="1" applyAlignment="1">
      <alignment horizontal="left"/>
    </xf>
    <xf numFmtId="0" fontId="0" fillId="0" borderId="6" xfId="0" applyBorder="1" applyAlignment="1">
      <alignment horizontal="left"/>
    </xf>
    <xf numFmtId="167" fontId="0" fillId="0" borderId="7" xfId="2" applyNumberFormat="1" applyFont="1" applyBorder="1"/>
    <xf numFmtId="0" fontId="2" fillId="0" borderId="2" xfId="0" applyFont="1" applyBorder="1"/>
    <xf numFmtId="0" fontId="6" fillId="0" borderId="3" xfId="0" applyFont="1" applyBorder="1" applyAlignment="1">
      <alignment horizontal="left"/>
    </xf>
    <xf numFmtId="169" fontId="0" fillId="6" borderId="0" xfId="0" applyNumberFormat="1" applyFill="1" applyAlignment="1">
      <alignment horizontal="left"/>
    </xf>
    <xf numFmtId="165" fontId="0" fillId="6" borderId="5" xfId="0" applyNumberFormat="1" applyFill="1" applyBorder="1"/>
    <xf numFmtId="168" fontId="0" fillId="6" borderId="0" xfId="0" applyNumberFormat="1" applyFill="1" applyAlignment="1">
      <alignment horizontal="right"/>
    </xf>
    <xf numFmtId="169" fontId="0" fillId="6" borderId="0" xfId="0" applyNumberFormat="1" applyFill="1" applyAlignment="1">
      <alignment horizontal="right"/>
    </xf>
    <xf numFmtId="0" fontId="7" fillId="0" borderId="0" xfId="0" applyFont="1"/>
    <xf numFmtId="0" fontId="7" fillId="0" borderId="0" xfId="0" applyFont="1" applyAlignment="1">
      <alignment horizontal="left"/>
    </xf>
    <xf numFmtId="165" fontId="2" fillId="6" borderId="0" xfId="0" applyNumberFormat="1" applyFont="1" applyFill="1" applyAlignment="1">
      <alignment horizontal="left"/>
    </xf>
    <xf numFmtId="165" fontId="6" fillId="6" borderId="0" xfId="0" applyNumberFormat="1" applyFont="1" applyFill="1" applyAlignment="1">
      <alignment horizontal="left"/>
    </xf>
    <xf numFmtId="0" fontId="11" fillId="5" borderId="0" xfId="0" applyFont="1" applyFill="1" applyAlignment="1">
      <alignment horizontal="center"/>
    </xf>
    <xf numFmtId="165" fontId="2" fillId="6" borderId="0" xfId="0" applyNumberFormat="1" applyFont="1" applyFill="1"/>
    <xf numFmtId="165" fontId="0" fillId="6" borderId="0" xfId="0" applyNumberFormat="1" applyFill="1"/>
    <xf numFmtId="0" fontId="2" fillId="0" borderId="0" xfId="0" applyFont="1" applyAlignment="1">
      <alignment wrapText="1"/>
    </xf>
    <xf numFmtId="44" fontId="2" fillId="0" borderId="0" xfId="1" applyFont="1" applyAlignment="1">
      <alignment wrapText="1"/>
    </xf>
    <xf numFmtId="44" fontId="2" fillId="6" borderId="0" xfId="1" applyFont="1" applyFill="1" applyAlignment="1">
      <alignment wrapText="1"/>
    </xf>
    <xf numFmtId="44" fontId="2" fillId="7" borderId="0" xfId="1" applyFont="1" applyFill="1" applyAlignment="1">
      <alignment wrapText="1"/>
    </xf>
    <xf numFmtId="0" fontId="2" fillId="7" borderId="0" xfId="0" applyFont="1" applyFill="1" applyAlignment="1">
      <alignment wrapText="1"/>
    </xf>
    <xf numFmtId="44" fontId="2" fillId="0" borderId="0" xfId="1" applyFont="1" applyFill="1" applyAlignment="1">
      <alignment wrapText="1"/>
    </xf>
    <xf numFmtId="6" fontId="3" fillId="0" borderId="0" xfId="0" applyNumberFormat="1" applyFont="1"/>
    <xf numFmtId="44" fontId="0" fillId="0" borderId="0" xfId="1" applyFont="1" applyFill="1"/>
    <xf numFmtId="0" fontId="0" fillId="3" borderId="0" xfId="0" applyFill="1" applyAlignment="1">
      <alignment horizontal="center"/>
    </xf>
    <xf numFmtId="0" fontId="7" fillId="5" borderId="0" xfId="0" applyFont="1" applyFill="1" applyAlignment="1">
      <alignment horizontal="center" vertical="center"/>
    </xf>
    <xf numFmtId="0" fontId="7" fillId="5" borderId="0" xfId="0" applyFont="1" applyFill="1" applyAlignment="1">
      <alignment horizontal="left" vertical="top" wrapText="1"/>
    </xf>
    <xf numFmtId="0" fontId="7" fillId="5" borderId="7" xfId="0" applyFont="1" applyFill="1" applyBorder="1" applyAlignment="1">
      <alignment horizontal="center" vertical="center"/>
    </xf>
    <xf numFmtId="0" fontId="7" fillId="5" borderId="0" xfId="0" applyFont="1" applyFill="1" applyAlignment="1">
      <alignment horizontal="center" wrapText="1"/>
    </xf>
    <xf numFmtId="0" fontId="7" fillId="5" borderId="0" xfId="0" applyFont="1" applyFill="1" applyAlignment="1">
      <alignment horizontal="left" vertical="center" wrapText="1"/>
    </xf>
    <xf numFmtId="0" fontId="2" fillId="4" borderId="0" xfId="0" applyFont="1" applyFill="1" applyAlignment="1">
      <alignment horizontal="center" vertical="center"/>
    </xf>
    <xf numFmtId="0" fontId="0" fillId="4" borderId="0" xfId="0" applyFill="1" applyAlignment="1">
      <alignment horizontal="left" vertical="top" wrapText="1"/>
    </xf>
    <xf numFmtId="0" fontId="11" fillId="5" borderId="0" xfId="0" applyFont="1" applyFill="1" applyAlignment="1">
      <alignment horizontal="center" vertical="center"/>
    </xf>
    <xf numFmtId="0" fontId="7" fillId="5" borderId="0" xfId="0" applyFont="1" applyFill="1" applyAlignment="1">
      <alignment horizontal="left"/>
    </xf>
    <xf numFmtId="0" fontId="0" fillId="0" borderId="0" xfId="0"/>
    <xf numFmtId="0" fontId="0" fillId="0" borderId="0" xfId="0" applyNumberFormat="1"/>
    <xf numFmtId="0" fontId="0" fillId="0" borderId="0" xfId="0" pivotButton="1"/>
    <xf numFmtId="44" fontId="0" fillId="0" borderId="0" xfId="0" applyNumberFormat="1"/>
    <xf numFmtId="170" fontId="0" fillId="0" borderId="5" xfId="2" applyNumberFormat="1" applyFont="1" applyBorder="1"/>
    <xf numFmtId="44" fontId="3" fillId="6" borderId="0" xfId="0" applyNumberFormat="1" applyFont="1" applyFill="1"/>
    <xf numFmtId="0" fontId="12" fillId="6" borderId="0" xfId="0" applyFont="1" applyFill="1"/>
    <xf numFmtId="0" fontId="0" fillId="6" borderId="0" xfId="0" applyNumberFormat="1" applyFill="1"/>
    <xf numFmtId="0" fontId="12" fillId="0" borderId="0" xfId="0" applyFont="1"/>
  </cellXfs>
  <cellStyles count="4">
    <cellStyle name="Comma" xfId="2" builtinId="3"/>
    <cellStyle name="Currency" xfId="1"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101600</xdr:colOff>
      <xdr:row>1</xdr:row>
      <xdr:rowOff>50800</xdr:rowOff>
    </xdr:from>
    <xdr:ext cx="7696200" cy="2166620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696200" cy="2166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1. Executive Summary</a:t>
          </a:r>
        </a:p>
        <a:p>
          <a:r>
            <a:rPr lang="en-US"/>
            <a:t>This report assesses the pricing for Marine Liability Insurance using claims data from 2018–2023. The analysis focuses on key pricing elements including claim frequency, severity, inflation adjustments, and large loss loading. The policy period runs from 1/1 to 12/31 each year.</a:t>
          </a:r>
        </a:p>
        <a:p>
          <a:endParaRPr lang="en-US"/>
        </a:p>
        <a:p>
          <a:r>
            <a:rPr lang="en-US" b="1"/>
            <a:t>2. Data Overview</a:t>
          </a:r>
        </a:p>
        <a:p>
          <a:r>
            <a:rPr lang="en-US"/>
            <a:t>The dataset contains 100 marine liability claims from 2018–2023. Key variables include type of claim, claim status, incurred amount, policy limits, deductibles, cause of loss, and geographic location. The claims represent various exposures and severities, with a mix of closed and open claims.</a:t>
          </a:r>
        </a:p>
        <a:p>
          <a:endParaRPr lang="en-US" b="1"/>
        </a:p>
        <a:p>
          <a:r>
            <a:rPr lang="en-US" b="1"/>
            <a:t>3. Exploratory Data Analysis (EDA)</a:t>
          </a:r>
        </a:p>
        <a:p>
          <a:r>
            <a:rPr lang="en-US"/>
            <a:t>Claims data shows that Collision Liability claims are the most frequent, accounting for approximately X% of all claims. Environmental Pollution claims have the highest average severity. The largest claim observed was $5,272,671.21. 2022 showed an unusual spike in claim costs.</a:t>
          </a:r>
        </a:p>
        <a:p>
          <a:endParaRPr lang="en-US" b="1"/>
        </a:p>
        <a:p>
          <a:r>
            <a:rPr lang="en-US" b="1"/>
            <a:t>4. Risk Assessment</a:t>
          </a:r>
        </a:p>
        <a:p>
          <a:r>
            <a:rPr lang="en-US"/>
            <a:t>Based on historical data, Environmental Pollution claims have the highest severity due to regulatory cleanup requirements. Collision Liability has the highest frequency. Natural Disasters and Technical Failures are linked to large losses in recent years.</a:t>
          </a:r>
        </a:p>
        <a:p>
          <a:endParaRPr lang="en-US" b="1"/>
        </a:p>
        <a:p>
          <a:r>
            <a:rPr lang="en-US" b="1"/>
            <a:t>5. Premium Calculation by Year</a:t>
          </a:r>
          <a:endParaRPr lang="en-US"/>
        </a:p>
        <a:p>
          <a:r>
            <a:rPr lang="en-US" b="1"/>
            <a:t>Average Frequency</a:t>
          </a:r>
          <a:r>
            <a:rPr lang="en-US"/>
            <a:t>: 0.000000380</a:t>
          </a:r>
        </a:p>
        <a:p>
          <a:r>
            <a:rPr lang="en-US" b="1"/>
            <a:t>Average Severity</a:t>
          </a:r>
          <a:r>
            <a:rPr lang="en-US"/>
            <a:t>: $633,631</a:t>
          </a:r>
        </a:p>
        <a:p>
          <a:r>
            <a:rPr lang="en-US" b="1"/>
            <a:t>2024 Expected Gross Tonnage</a:t>
          </a:r>
          <a:r>
            <a:rPr lang="en-US"/>
            <a:t>: 40,000,000</a:t>
          </a:r>
        </a:p>
        <a:p>
          <a:r>
            <a:rPr lang="en-US" b="1"/>
            <a:t>Total Risk Premium excl. Large Loss</a:t>
          </a:r>
          <a:r>
            <a:rPr lang="en-US"/>
            <a:t>: $9,627,376.80</a:t>
          </a:r>
        </a:p>
        <a:p>
          <a:r>
            <a:rPr lang="en-US" b="1"/>
            <a:t>Large Loss Loading</a:t>
          </a:r>
          <a:r>
            <a:rPr lang="en-US"/>
            <a:t>: $263,633.56</a:t>
          </a:r>
        </a:p>
        <a:p>
          <a:r>
            <a:rPr lang="en-US" b="1"/>
            <a:t>Total Risk Premium incl. Large Loss</a:t>
          </a:r>
          <a:r>
            <a:rPr lang="en-US"/>
            <a:t>: $9,891,010.36</a:t>
          </a:r>
        </a:p>
        <a:p>
          <a:pPr marL="360000"/>
          <a:endParaRPr lang="en-GB">
            <a:effectLst/>
          </a:endParaRPr>
        </a:p>
        <a:p>
          <a:endParaRPr lang="en-US"/>
        </a:p>
        <a:p>
          <a:r>
            <a:rPr lang="en-US" b="1"/>
            <a:t>Final Premium Calculation</a:t>
          </a:r>
          <a:r>
            <a:rPr lang="en-US"/>
            <a:t>:</a:t>
          </a:r>
        </a:p>
        <a:p>
          <a:r>
            <a:rPr lang="en-US" b="1"/>
            <a:t>Expense Loading</a:t>
          </a:r>
          <a:r>
            <a:rPr lang="en-US"/>
            <a:t>: 30%</a:t>
          </a:r>
        </a:p>
        <a:p>
          <a:r>
            <a:rPr lang="en-US" b="1"/>
            <a:t>Profit Margin</a:t>
          </a:r>
          <a:r>
            <a:rPr lang="en-US"/>
            <a:t>: 10%</a:t>
          </a:r>
        </a:p>
        <a:p>
          <a:r>
            <a:rPr lang="en-US" b="1"/>
            <a:t>Commission</a:t>
          </a:r>
          <a:r>
            <a:rPr lang="en-US"/>
            <a:t>: 0%</a:t>
          </a:r>
        </a:p>
        <a:p>
          <a:r>
            <a:rPr lang="en-US" b="1"/>
            <a:t>Final Premium</a:t>
          </a:r>
          <a:r>
            <a:rPr lang="en-US"/>
            <a:t>: $14,122,643.71</a:t>
          </a:r>
        </a:p>
        <a:p>
          <a:endParaRPr lang="en-US" sz="1100" b="1">
            <a:solidFill>
              <a:schemeClr val="tx1"/>
            </a:solidFill>
            <a:effectLst/>
            <a:latin typeface="+mn-lt"/>
            <a:ea typeface="+mn-ea"/>
            <a:cs typeface="+mn-cs"/>
          </a:endParaRPr>
        </a:p>
        <a:p>
          <a:r>
            <a:rPr lang="en-US" sz="1100" b="1">
              <a:solidFill>
                <a:schemeClr val="tx1"/>
              </a:solidFill>
              <a:effectLst/>
              <a:latin typeface="+mn-lt"/>
              <a:ea typeface="+mn-ea"/>
              <a:cs typeface="+mn-cs"/>
            </a:rPr>
            <a:t>Large Loss Loading (description of the</a:t>
          </a:r>
          <a:r>
            <a:rPr lang="en-US" sz="1100" b="1" baseline="0">
              <a:solidFill>
                <a:schemeClr val="tx1"/>
              </a:solidFill>
              <a:effectLst/>
              <a:latin typeface="+mn-lt"/>
              <a:ea typeface="+mn-ea"/>
              <a:cs typeface="+mn-cs"/>
            </a:rPr>
            <a:t> loading applied, how it was derived and why it was applied)</a:t>
          </a:r>
          <a:r>
            <a:rPr lang="en-US" sz="1100">
              <a:solidFill>
                <a:schemeClr val="tx1"/>
              </a:solidFill>
              <a:effectLst/>
              <a:latin typeface="+mn-lt"/>
              <a:ea typeface="+mn-ea"/>
              <a:cs typeface="+mn-cs"/>
            </a:rPr>
            <a:t>: </a:t>
          </a:r>
        </a:p>
        <a:p>
          <a:r>
            <a:rPr lang="en-US"/>
            <a:t>A large loss loading was included in the premium calculation to account for the financial impact of rare but severe claim events. The loading was based on the most severe claim observed in the dataset: </a:t>
          </a:r>
          <a:r>
            <a:rPr lang="en-US" b="1"/>
            <a:t>$5,272,671.21</a:t>
          </a:r>
          <a:r>
            <a:rPr lang="en-US"/>
            <a:t> (adjusted for inflation). According to the provided assumptions, a large loss is defined as any claim exceeding $1 million, and the applicable return period is </a:t>
          </a:r>
          <a:r>
            <a:rPr lang="en-US" b="1"/>
            <a:t>1-in-20 years</a:t>
          </a:r>
          <a:r>
            <a:rPr lang="en-US"/>
            <a:t>. Therefore, the large loss loading was calculated as:</a:t>
          </a:r>
        </a:p>
        <a:p>
          <a:r>
            <a:rPr lang="en-US" b="1"/>
            <a:t>Large Loss Loading = $5,272,671.21 ÷ 20 = $263,633.56</a:t>
          </a:r>
          <a:endParaRPr lang="en-US"/>
        </a:p>
        <a:p>
          <a:r>
            <a:rPr lang="en-US"/>
            <a:t>This value was added to the pure premium to ensure the insurer maintains financial stability in the event of infrequent but high-cost claims.</a:t>
          </a:r>
        </a:p>
        <a:p>
          <a:pPr marL="360000"/>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b="1">
              <a:effectLst/>
            </a:rPr>
            <a:t>Final Premium (including</a:t>
          </a:r>
          <a:r>
            <a:rPr lang="en-GB" b="1" baseline="0">
              <a:effectLst/>
            </a:rPr>
            <a:t>  workings involved from getting final premium from risk premium)</a:t>
          </a:r>
          <a:r>
            <a:rPr lang="en-GB" b="1">
              <a:effectLst/>
            </a:rPr>
            <a:t>: </a:t>
          </a:r>
        </a:p>
        <a:p>
          <a:r>
            <a:rPr lang="en-US"/>
            <a:t>The final premium was calculated by applying expense and profit loadings to the total risk premium, which includes the large loss loading. The process is as follows:</a:t>
          </a:r>
        </a:p>
        <a:p>
          <a:r>
            <a:rPr lang="en-US" b="1"/>
            <a:t>Pure Premium</a:t>
          </a:r>
          <a:br>
            <a:rPr lang="en-US"/>
          </a:br>
          <a:r>
            <a:rPr lang="en-US"/>
            <a:t>= Average Frequency × Average Severity × 2024 Expected Gross Tonnage</a:t>
          </a:r>
          <a:br>
            <a:rPr lang="en-US"/>
          </a:br>
          <a:r>
            <a:rPr lang="en-US"/>
            <a:t>= 0.000000380 × $633,631 × 40,000,000</a:t>
          </a:r>
          <a:br>
            <a:rPr lang="en-US"/>
          </a:br>
          <a:r>
            <a:rPr lang="en-US"/>
            <a:t>= </a:t>
          </a:r>
          <a:r>
            <a:rPr lang="en-US" b="1"/>
            <a:t>$9,627,376.80</a:t>
          </a:r>
          <a:endParaRPr lang="en-US"/>
        </a:p>
        <a:p>
          <a:r>
            <a:rPr lang="en-US" b="1"/>
            <a:t>Large Loss Loading</a:t>
          </a:r>
          <a:br>
            <a:rPr lang="en-US"/>
          </a:br>
          <a:r>
            <a:rPr lang="en-US"/>
            <a:t>= </a:t>
          </a:r>
          <a:r>
            <a:rPr lang="en-US" b="1"/>
            <a:t>$263,633.56</a:t>
          </a:r>
          <a:endParaRPr lang="en-US"/>
        </a:p>
        <a:p>
          <a:r>
            <a:rPr lang="en-US" b="1"/>
            <a:t>Total Risk Premium</a:t>
          </a:r>
          <a:br>
            <a:rPr lang="en-US"/>
          </a:br>
          <a:r>
            <a:rPr lang="en-US"/>
            <a:t>= $9,627,376.80 + $263,633.56 = </a:t>
          </a:r>
          <a:r>
            <a:rPr lang="en-US" b="1"/>
            <a:t>$9,891,010.36</a:t>
          </a:r>
          <a:endParaRPr lang="en-US"/>
        </a:p>
        <a:p>
          <a:r>
            <a:rPr lang="en-US" b="1"/>
            <a:t>Final Premium</a:t>
          </a:r>
          <a:br>
            <a:rPr lang="en-US"/>
          </a:br>
          <a:r>
            <a:rPr lang="en-US"/>
            <a:t>= Total Risk Premium × (1 + Expense Loading) × (1 + Profit Margin)</a:t>
          </a:r>
          <a:br>
            <a:rPr lang="en-US"/>
          </a:br>
          <a:r>
            <a:rPr lang="en-US"/>
            <a:t>= $9,891,010.36 × 1.30 × 1.10 = </a:t>
          </a:r>
          <a:r>
            <a:rPr lang="en-US" b="1"/>
            <a:t>$14,122,643.71</a:t>
          </a:r>
          <a:endParaRPr lang="en-US"/>
        </a:p>
        <a:p>
          <a:r>
            <a:rPr lang="en-US"/>
            <a:t>This premium reflects not only the expected claim costs but also allows for operational expenses and a 10% target profit margin.</a:t>
          </a:r>
          <a:endParaRPr lang="en-GB" b="1">
            <a:effectLst/>
          </a:endParaRPr>
        </a:p>
        <a:p>
          <a:endParaRPr lang="en-US" b="1"/>
        </a:p>
        <a:p>
          <a:r>
            <a:rPr lang="en-US" b="1"/>
            <a:t>6. Sensitivity Analysis</a:t>
          </a:r>
        </a:p>
        <a:p>
          <a:r>
            <a:rPr lang="en-US"/>
            <a:t>A 6% increase in claim severity led to a new severity of $671,649.13. The revised final premium increased to $14,565,294.48, highlighting sensitivity to shifts in inflation-adjusted severity.</a:t>
          </a:r>
        </a:p>
        <a:p>
          <a:endParaRPr lang="en-US" sz="1100">
            <a:solidFill>
              <a:schemeClr val="tx1"/>
            </a:solidFill>
            <a:effectLst/>
            <a:latin typeface="+mn-lt"/>
            <a:ea typeface="+mn-ea"/>
            <a:cs typeface="+mn-cs"/>
          </a:endParaRPr>
        </a:p>
        <a:p>
          <a:r>
            <a:rPr lang="en-US" b="1"/>
            <a:t>7. Key Assumptions</a:t>
          </a:r>
          <a:endParaRPr lang="en-US"/>
        </a:p>
        <a:p>
          <a:r>
            <a:rPr lang="en-US"/>
            <a:t>Commission = 0%</a:t>
          </a:r>
        </a:p>
        <a:p>
          <a:r>
            <a:rPr lang="en-US"/>
            <a:t>Deductibles remain unchanged</a:t>
          </a:r>
        </a:p>
        <a:p>
          <a:r>
            <a:rPr lang="en-US"/>
            <a:t>Individual policies are annual</a:t>
          </a:r>
        </a:p>
        <a:p>
          <a:r>
            <a:rPr lang="en-US"/>
            <a:t>Large loss defined as &gt; $1M</a:t>
          </a:r>
        </a:p>
        <a:p>
          <a:r>
            <a:rPr lang="en-US"/>
            <a:t>Large loss return period = 20 years</a:t>
          </a:r>
        </a:p>
        <a:p>
          <a:r>
            <a:rPr lang="en-US"/>
            <a:t>Expense load = 30%, profit margin = 10%</a:t>
          </a:r>
        </a:p>
        <a:p>
          <a:r>
            <a:rPr lang="en-US"/>
            <a:t>No development adjustment needed</a:t>
          </a:r>
        </a:p>
        <a:p>
          <a:endParaRPr lang="en-US"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rbara Garza Gonzalez" refreshedDate="45791.368863425923" createdVersion="8" refreshedVersion="8" minRefreshableVersion="3" recordCount="100" xr:uid="{82749E2E-6722-6E4A-A0CA-76E7052252F5}">
  <cacheSource type="worksheet">
    <worksheetSource ref="A1:S101" sheet="Claims Data"/>
  </cacheSource>
  <cacheFields count="20">
    <cacheField name="Claim ID" numFmtId="0">
      <sharedItems count="100">
        <s v="CLM-00001"/>
        <s v="CLM-00002"/>
        <s v="CLM-00003"/>
        <s v="CLM-00004"/>
        <s v="CLM-00005"/>
        <s v="CLM-00006"/>
        <s v="CLM-00007"/>
        <s v="CLM-00008"/>
        <s v="CLM-00009"/>
        <s v="CLM-00010"/>
        <s v="CLM-00011"/>
        <s v="CLM-00012"/>
        <s v="CLM-00013"/>
        <s v="CLM-00014"/>
        <s v="CLM-00015"/>
        <s v="CLM-00016"/>
        <s v="CLM-00017"/>
        <s v="CLM-00018"/>
        <s v="CLM-00019"/>
        <s v="CLM-00020"/>
        <s v="CLM-00021"/>
        <s v="CLM-00022"/>
        <s v="CLM-00023"/>
        <s v="CLM-00024"/>
        <s v="CLM-00025"/>
        <s v="CLM-00026"/>
        <s v="CLM-00027"/>
        <s v="CLM-00028"/>
        <s v="CLM-00029"/>
        <s v="CLM-00030"/>
        <s v="CLM-00031"/>
        <s v="CLM-00032"/>
        <s v="CLM-00033"/>
        <s v="CLM-00034"/>
        <s v="CLM-00035"/>
        <s v="CLM-00036"/>
        <s v="CLM-00037"/>
        <s v="CLM-00038"/>
        <s v="CLM-00039"/>
        <s v="CLM-00040"/>
        <s v="CLM-00041"/>
        <s v="CLM-00042"/>
        <s v="CLM-00043"/>
        <s v="CLM-00044"/>
        <s v="CLM-00045"/>
        <s v="CLM-00046"/>
        <s v="CLM-00047"/>
        <s v="CLM-00048"/>
        <s v="CLM-00049"/>
        <s v="CLM-00050"/>
        <s v="CLM-00051"/>
        <s v="CLM-00052"/>
        <s v="CLM-00053"/>
        <s v="CLM-00054"/>
        <s v="CLM-00055"/>
        <s v="CLM-00056"/>
        <s v="CLM-00057"/>
        <s v="CLM-00058"/>
        <s v="CLM-00059"/>
        <s v="CLM-00060"/>
        <s v="CLM-00061"/>
        <s v="CLM-00062"/>
        <s v="CLM-00063"/>
        <s v="CLM-00064"/>
        <s v="CLM-00065"/>
        <s v="CLM-00066"/>
        <s v="CLM-00067"/>
        <s v="CLM-00068"/>
        <s v="CLM-00069"/>
        <s v="CLM-00070"/>
        <s v="CLM-00071"/>
        <s v="CLM-00072"/>
        <s v="CLM-00073"/>
        <s v="CLM-00074"/>
        <s v="CLM-00075"/>
        <s v="CLM-00076"/>
        <s v="CLM-00077"/>
        <s v="CLM-00078"/>
        <s v="CLM-00079"/>
        <s v="CLM-00080"/>
        <s v="CLM-00081"/>
        <s v="CLM-00082"/>
        <s v="CLM-00083"/>
        <s v="CLM-00084"/>
        <s v="CLM-00085"/>
        <s v="CLM-00086"/>
        <s v="CLM-00087"/>
        <s v="CLM-00088"/>
        <s v="CLM-00089"/>
        <s v="CLM-00090"/>
        <s v="CLM-00091"/>
        <s v="CLM-00092"/>
        <s v="CLM-00093"/>
        <s v="CLM-00094"/>
        <s v="CLM-00095"/>
        <s v="CLM-00096"/>
        <s v="CLM-00097"/>
        <s v="CLM-00098"/>
        <s v="CLM-00099"/>
        <s v="CLM-0010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44">
      <sharedItems containsSemiMixedTypes="0" containsString="0" containsNumber="1" minValue="87924.45" maxValue="5000000"/>
    </cacheField>
    <cacheField name="Claim Status" numFmtId="0">
      <sharedItems/>
    </cacheField>
    <cacheField name="Gross claim amount (HINT: Gross claim amount = Claim incurred + deductible)"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acheField>
    <cacheField name="Deductible ($)" numFmtId="44">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9583" maxValue="119676"/>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HINT: Gross inflation adjusted claim = gross claim * inflation index)" numFmtId="44">
      <sharedItems containsSemiMixedTypes="0" containsString="0" containsNumber="1" minValue="114868.3398" maxValue="5272671.2137740003"/>
    </cacheField>
    <cacheField name="Net inflation adjusted claim  (HINT: Net inflation adjusted claim = Gross inflation adjusted claim - deductible)" numFmtId="44">
      <sharedItems containsSemiMixedTypes="0" containsString="0" containsNumber="1" minValue="91270.129799999995" maxValue="5253947.4237740003"/>
    </cacheField>
    <cacheField name="Capped net adjusted incurred claim (HINT: Capped net adjusted incurred claim = net inflation adjusted claim capped at policy limit)" numFmtId="44">
      <sharedItems containsSemiMixedTypes="0" containsString="0" containsNumber="1" minValue="91270.129799999995" maxValue="5253947.4237740003"/>
    </cacheField>
    <cacheField name="Attritional claim flag - (set equal to 1 if claim is less than 1m, otherwise 0)"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 name="New Calculation" numFmtId="0" formula=" 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rbara Garza Gonzalez" refreshedDate="45793.598619212964" createdVersion="8" refreshedVersion="8" minRefreshableVersion="3" recordCount="100" xr:uid="{DE66DB97-A78A-C845-8F65-BA57693A7976}">
  <cacheSource type="worksheet">
    <worksheetSource ref="B1:S101" sheet="Claims Data"/>
  </cacheSource>
  <cacheFields count="18">
    <cacheField name="Date of Claim" numFmtId="14">
      <sharedItems containsSemiMixedTypes="0" containsNonDate="0" containsDate="1" containsString="0" minDate="2018-03-19T00:00:00" maxDate="2023-08-02T00:00:00"/>
    </cacheField>
    <cacheField name="Type of Claim" numFmtId="0">
      <sharedItems/>
    </cacheField>
    <cacheField name="Claim Incurred ($)" numFmtId="44">
      <sharedItems containsSemiMixedTypes="0" containsString="0" containsNumber="1" minValue="87924.45" maxValue="5000000"/>
    </cacheField>
    <cacheField name="Claim Status" numFmtId="0">
      <sharedItems/>
    </cacheField>
    <cacheField name="Gross claim amount "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acheField>
    <cacheField name="Deductible ($)" numFmtId="44">
      <sharedItems containsSemiMixedTypes="0" containsString="0" containsNumber="1" minValue="1143.25" maxValue="48127.72"/>
    </cacheField>
    <cacheField name="Cause of Loss" numFmtId="0">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5570" maxValue="114665"/>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 numFmtId="44">
      <sharedItems containsSemiMixedTypes="0" containsString="0" containsNumber="1" minValue="114868.3398" maxValue="5272671.2137740003"/>
    </cacheField>
    <cacheField name="Net inflation adjusted claim  " numFmtId="44">
      <sharedItems containsSemiMixedTypes="0" containsString="0" containsNumber="1" minValue="91270.129799999995" maxValue="5253947.4237740003"/>
    </cacheField>
    <cacheField name="Capped net adjusted incurred claim " numFmtId="44">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d v="2019-07-18T00:00:00"/>
    <x v="0"/>
    <n v="737423.28"/>
    <s v="Closed"/>
    <n v="749769.20000000007"/>
    <n v="5000000"/>
    <n v="12345.92"/>
    <x v="0"/>
    <x v="0"/>
    <s v="Company 9"/>
    <n v="25641"/>
    <n v="4"/>
    <n v="1.1479107743999999"/>
    <n v="860668.14299326844"/>
    <n v="848322.2229932684"/>
    <n v="848322.2229932684"/>
    <n v="1"/>
    <x v="0"/>
  </r>
  <r>
    <x v="1"/>
    <d v="2020-05-27T00:00:00"/>
    <x v="1"/>
    <n v="315189.74"/>
    <s v="Closed"/>
    <n v="348906.5"/>
    <n v="5000000"/>
    <n v="33716.76"/>
    <x v="1"/>
    <x v="1"/>
    <s v="Company 4"/>
    <n v="11832"/>
    <n v="6"/>
    <n v="1.1037603600000001"/>
    <n v="385109.16404634004"/>
    <n v="351392.40404634003"/>
    <n v="351392.40404634003"/>
    <n v="1"/>
    <x v="1"/>
  </r>
  <r>
    <x v="2"/>
    <d v="2018-11-23T00:00:00"/>
    <x v="2"/>
    <n v="678364.99"/>
    <s v="Closed"/>
    <n v="712761.9"/>
    <n v="5000000"/>
    <n v="34396.910000000003"/>
    <x v="2"/>
    <x v="2"/>
    <s v="Company 2"/>
    <n v="87156"/>
    <n v="3"/>
    <n v="1.2053063131199999"/>
    <n v="859096.41782140615"/>
    <n v="824699.50782140612"/>
    <n v="824699.50782140612"/>
    <n v="1"/>
    <x v="2"/>
  </r>
  <r>
    <x v="3"/>
    <d v="2021-01-05T00:00:00"/>
    <x v="3"/>
    <n v="203840.58"/>
    <s v="Open"/>
    <n v="215544.46"/>
    <n v="5000000"/>
    <n v="11703.88"/>
    <x v="3"/>
    <x v="3"/>
    <s v="Company 17"/>
    <n v="78759"/>
    <n v="7"/>
    <n v="1.071612"/>
    <n v="230980.02986951999"/>
    <n v="219276.14986951998"/>
    <n v="219276.14986951998"/>
    <n v="1"/>
    <x v="3"/>
  </r>
  <r>
    <x v="4"/>
    <d v="2023-06-14T00:00:00"/>
    <x v="4"/>
    <n v="98692.46"/>
    <s v="In Litigation"/>
    <n v="146820.18"/>
    <n v="1000000"/>
    <n v="48127.72"/>
    <x v="0"/>
    <x v="0"/>
    <s v="Company 12"/>
    <n v="24086"/>
    <n v="8"/>
    <n v="1.03"/>
    <n v="151224.78539999999"/>
    <n v="103097.06539999999"/>
    <n v="103097.06539999999"/>
    <n v="1"/>
    <x v="4"/>
  </r>
  <r>
    <x v="5"/>
    <d v="2019-04-29T00:00:00"/>
    <x v="0"/>
    <n v="243918.65"/>
    <s v="Closed"/>
    <n v="254504.19"/>
    <n v="5000000"/>
    <n v="10585.54"/>
    <x v="1"/>
    <x v="1"/>
    <s v="Company 3"/>
    <n v="42770"/>
    <n v="2"/>
    <n v="1.1479107743999999"/>
    <n v="292148.10183094471"/>
    <n v="281562.56183094473"/>
    <n v="281562.56183094473"/>
    <n v="1"/>
    <x v="0"/>
  </r>
  <r>
    <x v="6"/>
    <d v="2021-07-21T00:00:00"/>
    <x v="3"/>
    <n v="765873.46"/>
    <s v="Closed"/>
    <n v="783218.83"/>
    <n v="5000000"/>
    <n v="17345.37"/>
    <x v="3"/>
    <x v="4"/>
    <s v="Company 11"/>
    <n v="113259"/>
    <n v="1"/>
    <n v="1.071612"/>
    <n v="839306.69685395993"/>
    <n v="821961.32685395994"/>
    <n v="821961.32685395994"/>
    <n v="1"/>
    <x v="3"/>
  </r>
  <r>
    <x v="7"/>
    <d v="2022-03-18T00:00:00"/>
    <x v="2"/>
    <n v="913843.77"/>
    <s v="Closed"/>
    <n v="939444.11"/>
    <n v="5000000"/>
    <n v="25600.34"/>
    <x v="2"/>
    <x v="1"/>
    <s v="Company 5"/>
    <n v="57180"/>
    <n v="0"/>
    <n v="1.0506"/>
    <n v="986979.98196599993"/>
    <n v="961379.64196599997"/>
    <n v="961379.64196599997"/>
    <n v="1"/>
    <x v="5"/>
  </r>
  <r>
    <x v="8"/>
    <d v="2020-11-15T00:00:00"/>
    <x v="1"/>
    <n v="754890.21"/>
    <s v="Closed"/>
    <n v="793074.64999999991"/>
    <n v="5000000"/>
    <n v="38184.44"/>
    <x v="1"/>
    <x v="2"/>
    <s v="Company 8"/>
    <n v="16756"/>
    <n v="6"/>
    <n v="1.1037603600000001"/>
    <n v="875364.36119087401"/>
    <n v="837179.92119087395"/>
    <n v="837179.92119087395"/>
    <n v="1"/>
    <x v="1"/>
  </r>
  <r>
    <x v="9"/>
    <d v="2018-06-07T00:00:00"/>
    <x v="0"/>
    <n v="600293.27"/>
    <s v="Open"/>
    <n v="601436.52"/>
    <n v="5000000"/>
    <n v="1143.25"/>
    <x v="0"/>
    <x v="1"/>
    <s v="Company 10"/>
    <n v="91338"/>
    <n v="5"/>
    <n v="1.2053063131199999"/>
    <n v="724915.23449692316"/>
    <n v="723771.98449692316"/>
    <n v="723771.98449692316"/>
    <n v="1"/>
    <x v="2"/>
  </r>
  <r>
    <x v="10"/>
    <d v="2021-02-24T00:00:00"/>
    <x v="3"/>
    <n v="320726.12"/>
    <s v="Closed"/>
    <n v="363045.08999999997"/>
    <n v="5000000"/>
    <n v="42318.97"/>
    <x v="1"/>
    <x v="4"/>
    <s v="Company 7"/>
    <n v="113409"/>
    <n v="7"/>
    <n v="1.071612"/>
    <n v="389043.47498507996"/>
    <n v="346724.50498507998"/>
    <n v="346724.50498507998"/>
    <n v="1"/>
    <x v="3"/>
  </r>
  <r>
    <x v="11"/>
    <d v="2020-12-15T00:00:00"/>
    <x v="1"/>
    <n v="195238.55"/>
    <s v="Closed"/>
    <n v="220873.24"/>
    <n v="1000000"/>
    <n v="25634.69"/>
    <x v="2"/>
    <x v="2"/>
    <s v="Company 6"/>
    <n v="66879"/>
    <n v="8"/>
    <n v="1.1037603600000001"/>
    <n v="243791.12689676642"/>
    <n v="218156.43689676642"/>
    <n v="218156.43689676642"/>
    <n v="1"/>
    <x v="1"/>
  </r>
  <r>
    <x v="12"/>
    <d v="2022-08-21T00:00:00"/>
    <x v="0"/>
    <n v="158738.94"/>
    <s v="In Litigation"/>
    <n v="188195.05"/>
    <n v="1000000"/>
    <n v="29456.11"/>
    <x v="0"/>
    <x v="0"/>
    <s v="Company 13"/>
    <n v="42556"/>
    <n v="3"/>
    <n v="1.0506"/>
    <n v="197717.71952999997"/>
    <n v="168261.60952999996"/>
    <n v="168261.60952999996"/>
    <n v="1"/>
    <x v="5"/>
  </r>
  <r>
    <x v="13"/>
    <d v="2023-01-11T00:00:00"/>
    <x v="2"/>
    <n v="125309.18"/>
    <s v="Closed"/>
    <n v="140287.41"/>
    <n v="1000000"/>
    <n v="14978.23"/>
    <x v="2"/>
    <x v="3"/>
    <s v="Company 19"/>
    <n v="77006"/>
    <n v="2"/>
    <n v="1.03"/>
    <n v="144496.03230000002"/>
    <n v="129517.80230000002"/>
    <n v="129517.80230000002"/>
    <n v="1"/>
    <x v="4"/>
  </r>
  <r>
    <x v="14"/>
    <d v="2019-09-30T00:00:00"/>
    <x v="3"/>
    <n v="701924.64"/>
    <s v="Open"/>
    <n v="726627.31"/>
    <n v="5000000"/>
    <n v="24702.67"/>
    <x v="1"/>
    <x v="1"/>
    <s v="Company 14"/>
    <n v="72347"/>
    <n v="6"/>
    <n v="1.1479107743999999"/>
    <n v="834103.31812228879"/>
    <n v="809400.64812228875"/>
    <n v="809400.64812228875"/>
    <n v="1"/>
    <x v="0"/>
  </r>
  <r>
    <x v="15"/>
    <d v="2018-07-13T00:00:00"/>
    <x v="4"/>
    <n v="590732.85"/>
    <s v="Closed"/>
    <n v="600165.35"/>
    <n v="5000000"/>
    <n v="9432.5"/>
    <x v="3"/>
    <x v="2"/>
    <s v="Company 1"/>
    <n v="34721"/>
    <n v="4"/>
    <n v="1.2053063131199999"/>
    <n v="723383.08527087432"/>
    <n v="713950.58527087432"/>
    <n v="713950.58527087432"/>
    <n v="1"/>
    <x v="2"/>
  </r>
  <r>
    <x v="16"/>
    <d v="2021-04-02T00:00:00"/>
    <x v="0"/>
    <n v="358145.93"/>
    <s v="Closed"/>
    <n v="375066.3"/>
    <n v="2000000"/>
    <n v="16920.37"/>
    <x v="0"/>
    <x v="3"/>
    <s v="Company 15"/>
    <n v="99020"/>
    <n v="7"/>
    <n v="1.071612"/>
    <n v="401925.54787559999"/>
    <n v="385005.1778756"/>
    <n v="385005.1778756"/>
    <n v="1"/>
    <x v="3"/>
  </r>
  <r>
    <x v="17"/>
    <d v="2019-06-25T00:00:00"/>
    <x v="2"/>
    <n v="453896.75"/>
    <s v="Closed"/>
    <n v="492825.48"/>
    <n v="500000"/>
    <n v="38928.730000000003"/>
    <x v="2"/>
    <x v="4"/>
    <s v="Company 8"/>
    <n v="84545"/>
    <n v="5"/>
    <n v="1.1479107743999999"/>
    <n v="565719.67839085159"/>
    <n v="526790.94839085161"/>
    <n v="500000"/>
    <n v="1"/>
    <x v="0"/>
  </r>
  <r>
    <x v="18"/>
    <d v="2022-07-12T00:00:00"/>
    <x v="1"/>
    <n v="195984.65"/>
    <s v="In Litigation"/>
    <n v="215631.84"/>
    <n v="500000"/>
    <n v="19647.189999999999"/>
    <x v="1"/>
    <x v="0"/>
    <s v="Company 10"/>
    <n v="26003"/>
    <n v="3"/>
    <n v="1.0506"/>
    <n v="226542.81110399999"/>
    <n v="206895.62110399999"/>
    <n v="206895.62110399999"/>
    <n v="1"/>
    <x v="5"/>
  </r>
  <r>
    <x v="19"/>
    <d v="2020-03-20T00:00:00"/>
    <x v="3"/>
    <n v="472804.33"/>
    <s v="Open"/>
    <n v="518485.62"/>
    <n v="5000000"/>
    <n v="45681.29"/>
    <x v="3"/>
    <x v="1"/>
    <s v="Company 11"/>
    <n v="63400"/>
    <n v="8"/>
    <n v="1.1037603600000001"/>
    <n v="572283.87458602327"/>
    <n v="526602.58458602324"/>
    <n v="526602.58458602324"/>
    <n v="1"/>
    <x v="1"/>
  </r>
  <r>
    <x v="20"/>
    <d v="2023-05-30T00:00:00"/>
    <x v="4"/>
    <n v="87924.45"/>
    <s v="Closed"/>
    <n v="111522.66"/>
    <n v="500000"/>
    <n v="23598.21"/>
    <x v="1"/>
    <x v="4"/>
    <s v="Company 13"/>
    <n v="40197"/>
    <n v="4"/>
    <n v="1.03"/>
    <n v="114868.3398"/>
    <n v="91270.129799999995"/>
    <n v="91270.129799999995"/>
    <n v="1"/>
    <x v="4"/>
  </r>
  <r>
    <x v="21"/>
    <d v="2021-12-03T00:00:00"/>
    <x v="0"/>
    <n v="654327.44999999995"/>
    <s v="Closed"/>
    <n v="673030.17999999993"/>
    <n v="5000000"/>
    <n v="18702.73"/>
    <x v="0"/>
    <x v="1"/>
    <s v="Company 16"/>
    <n v="37745"/>
    <n v="7"/>
    <n v="1.071612"/>
    <n v="721227.21725015994"/>
    <n v="702524.48725015996"/>
    <n v="702524.48725015996"/>
    <n v="1"/>
    <x v="3"/>
  </r>
  <r>
    <x v="22"/>
    <d v="2020-06-11T00:00:00"/>
    <x v="2"/>
    <n v="231548.73"/>
    <s v="Open"/>
    <n v="268477.11"/>
    <n v="500000"/>
    <n v="36928.379999999997"/>
    <x v="2"/>
    <x v="3"/>
    <s v="Company 2"/>
    <n v="83894"/>
    <n v="5"/>
    <n v="1.1037603600000001"/>
    <n v="296334.39158535964"/>
    <n v="259406.01158535964"/>
    <n v="259406.01158535964"/>
    <n v="1"/>
    <x v="1"/>
  </r>
  <r>
    <x v="23"/>
    <d v="2019-08-18T00:00:00"/>
    <x v="3"/>
    <n v="194738.52"/>
    <s v="In Litigation"/>
    <n v="210177.78999999998"/>
    <n v="500000"/>
    <n v="15439.27"/>
    <x v="3"/>
    <x v="0"/>
    <s v="Company 17"/>
    <n v="119676"/>
    <n v="8"/>
    <n v="1.1479107743999999"/>
    <n v="241265.34968058052"/>
    <n v="225826.07968058053"/>
    <n v="225826.07968058053"/>
    <n v="1"/>
    <x v="0"/>
  </r>
  <r>
    <x v="24"/>
    <d v="2022-09-14T00:00:00"/>
    <x v="1"/>
    <n v="872394.65"/>
    <s v="Closed"/>
    <n v="896897.03"/>
    <n v="10000000"/>
    <n v="24502.38"/>
    <x v="0"/>
    <x v="2"/>
    <s v="Company 4"/>
    <n v="53308"/>
    <n v="2"/>
    <n v="1.0506"/>
    <n v="942280.01971799997"/>
    <n v="917777.63971799996"/>
    <n v="917777.63971799996"/>
    <n v="1"/>
    <x v="5"/>
  </r>
  <r>
    <x v="25"/>
    <d v="2018-05-03T00:00:00"/>
    <x v="0"/>
    <n v="508739.15"/>
    <s v="Closed"/>
    <n v="520721.69"/>
    <n v="5000000"/>
    <n v="11982.54"/>
    <x v="1"/>
    <x v="4"/>
    <s v="Company 9"/>
    <n v="26733"/>
    <n v="3"/>
    <n v="1.2053063131199999"/>
    <n v="627629.14033551549"/>
    <n v="615646.60033551545"/>
    <n v="615646.60033551545"/>
    <n v="1"/>
    <x v="2"/>
  </r>
  <r>
    <x v="26"/>
    <d v="2021-10-28T00:00:00"/>
    <x v="2"/>
    <n v="376234.78"/>
    <s v="Closed"/>
    <n v="405983.4"/>
    <n v="2000000"/>
    <n v="29748.62"/>
    <x v="2"/>
    <x v="0"/>
    <s v="Company 6"/>
    <n v="61823"/>
    <n v="7"/>
    <n v="1.071612"/>
    <n v="435056.68324080005"/>
    <n v="405308.06324080005"/>
    <n v="405308.06324080005"/>
    <n v="1"/>
    <x v="3"/>
  </r>
  <r>
    <x v="27"/>
    <d v="2020-04-16T00:00:00"/>
    <x v="3"/>
    <n v="129803.75"/>
    <s v="In Litigation"/>
    <n v="162723.88"/>
    <n v="1000000"/>
    <n v="32920.129999999997"/>
    <x v="3"/>
    <x v="3"/>
    <s v="Company 18"/>
    <n v="101972"/>
    <n v="4"/>
    <n v="1.1037603600000001"/>
    <n v="179608.16836939682"/>
    <n v="146688.03836939682"/>
    <n v="146688.03836939682"/>
    <n v="1"/>
    <x v="1"/>
  </r>
  <r>
    <x v="28"/>
    <d v="2023-07-07T00:00:00"/>
    <x v="1"/>
    <n v="731235.83999999997"/>
    <s v="Closed"/>
    <n v="750172.09"/>
    <n v="5000000"/>
    <n v="18936.25"/>
    <x v="1"/>
    <x v="1"/>
    <s v="Company 14"/>
    <n v="48996"/>
    <n v="2"/>
    <n v="1.03"/>
    <n v="772677.25269999995"/>
    <n v="753741.00269999995"/>
    <n v="753741.00269999995"/>
    <n v="1"/>
    <x v="4"/>
  </r>
  <r>
    <x v="29"/>
    <d v="2019-01-22T00:00:00"/>
    <x v="0"/>
    <n v="158924.78"/>
    <s v="Closed"/>
    <n v="174653.73"/>
    <n v="1000000"/>
    <n v="15728.95"/>
    <x v="0"/>
    <x v="4"/>
    <s v="Company 1"/>
    <n v="53095"/>
    <n v="6"/>
    <n v="1.1479107743999999"/>
    <n v="200486.89845614851"/>
    <n v="184757.9484561485"/>
    <n v="184757.9484561485"/>
    <n v="1"/>
    <x v="0"/>
  </r>
  <r>
    <x v="30"/>
    <d v="2022-11-09T00:00:00"/>
    <x v="2"/>
    <n v="439832.24"/>
    <s v="Closed"/>
    <n v="471636.18"/>
    <n v="2000000"/>
    <n v="31803.94"/>
    <x v="2"/>
    <x v="1"/>
    <s v="Company 20"/>
    <n v="48138"/>
    <n v="8"/>
    <n v="1.0506"/>
    <n v="495500.97070800001"/>
    <n v="463697.03070800001"/>
    <n v="463697.03070800001"/>
    <n v="1"/>
    <x v="5"/>
  </r>
  <r>
    <x v="31"/>
    <d v="2020-08-13T00:00:00"/>
    <x v="3"/>
    <n v="690239.58"/>
    <s v="In Litigation"/>
    <n v="717632.12"/>
    <n v="5000000"/>
    <n v="27392.54"/>
    <x v="3"/>
    <x v="2"/>
    <s v="Company 3"/>
    <n v="89614"/>
    <n v="7"/>
    <n v="1.1037603600000001"/>
    <n v="792093.88711876329"/>
    <n v="764701.34711876325"/>
    <n v="764701.34711876325"/>
    <n v="1"/>
    <x v="1"/>
  </r>
  <r>
    <x v="32"/>
    <d v="2021-06-03T00:00:00"/>
    <x v="4"/>
    <n v="215983.48"/>
    <s v="Closed"/>
    <n v="236967.86000000002"/>
    <n v="2000000"/>
    <n v="20984.38"/>
    <x v="1"/>
    <x v="0"/>
    <s v="Company 19"/>
    <n v="9583"/>
    <n v="4"/>
    <n v="1.071612"/>
    <n v="253937.60239032001"/>
    <n v="232953.22239032001"/>
    <n v="232953.22239032001"/>
    <n v="1"/>
    <x v="3"/>
  </r>
  <r>
    <x v="33"/>
    <d v="2019-11-16T00:00:00"/>
    <x v="0"/>
    <n v="507983.42"/>
    <s v="Open"/>
    <n v="543166.67999999993"/>
    <n v="5000000"/>
    <n v="35183.26"/>
    <x v="0"/>
    <x v="3"/>
    <s v="Company 8"/>
    <n v="33728"/>
    <n v="2"/>
    <n v="1.1479107743999999"/>
    <n v="623506.88426707685"/>
    <n v="588323.62426707684"/>
    <n v="588323.62426707684"/>
    <n v="1"/>
    <x v="0"/>
  </r>
  <r>
    <x v="34"/>
    <d v="2018-12-29T00:00:00"/>
    <x v="2"/>
    <n v="451973.22"/>
    <s v="Closed"/>
    <n v="480319.12999999995"/>
    <n v="500000"/>
    <n v="28345.91"/>
    <x v="2"/>
    <x v="2"/>
    <s v="Company 5"/>
    <n v="82217"/>
    <n v="4"/>
    <n v="1.2053063131199999"/>
    <n v="578931.67970130593"/>
    <n v="550585.76970130589"/>
    <n v="500000"/>
    <n v="1"/>
    <x v="2"/>
  </r>
  <r>
    <x v="35"/>
    <d v="2021-08-15T00:00:00"/>
    <x v="1"/>
    <n v="289524.33"/>
    <s v="Closed"/>
    <n v="314363.61"/>
    <n v="2000000"/>
    <n v="24839.279999999999"/>
    <x v="1"/>
    <x v="1"/>
    <s v="Company 7"/>
    <n v="38467"/>
    <n v="3"/>
    <n v="1.071612"/>
    <n v="336875.81683932"/>
    <n v="312036.53683931998"/>
    <n v="312036.53683931998"/>
    <n v="1"/>
    <x v="3"/>
  </r>
  <r>
    <x v="36"/>
    <d v="2020-02-06T00:00:00"/>
    <x v="3"/>
    <n v="674832.75"/>
    <s v="Open"/>
    <n v="716116.29"/>
    <n v="5000000"/>
    <n v="41283.54"/>
    <x v="3"/>
    <x v="3"/>
    <s v="Company 12"/>
    <n v="64111"/>
    <n v="5"/>
    <n v="1.1037603600000001"/>
    <n v="790420.77405226452"/>
    <n v="749137.23405226448"/>
    <n v="749137.23405226448"/>
    <n v="1"/>
    <x v="1"/>
  </r>
  <r>
    <x v="37"/>
    <d v="2023-04-11T00:00:00"/>
    <x v="4"/>
    <n v="289523.34000000003"/>
    <s v="In Litigation"/>
    <n v="316918.08"/>
    <n v="2000000"/>
    <n v="27394.74"/>
    <x v="0"/>
    <x v="4"/>
    <s v="Company 16"/>
    <n v="56985"/>
    <n v="8"/>
    <n v="1.03"/>
    <n v="326425.62240000005"/>
    <n v="299030.88240000006"/>
    <n v="299030.88240000006"/>
    <n v="1"/>
    <x v="4"/>
  </r>
  <r>
    <x v="38"/>
    <d v="2022-01-10T00:00:00"/>
    <x v="0"/>
    <n v="492783.45"/>
    <s v="Closed"/>
    <n v="512067.73"/>
    <n v="2000000"/>
    <n v="19284.28"/>
    <x v="1"/>
    <x v="0"/>
    <s v="Company 11"/>
    <n v="29509"/>
    <n v="6"/>
    <n v="1.0506"/>
    <n v="537978.35713799996"/>
    <n v="518694.07713799994"/>
    <n v="518694.07713799994"/>
    <n v="1"/>
    <x v="5"/>
  </r>
  <r>
    <x v="39"/>
    <d v="2019-09-03T00:00:00"/>
    <x v="2"/>
    <n v="812739.57"/>
    <s v="Closed"/>
    <n v="851033.0199999999"/>
    <n v="5000000"/>
    <n v="38293.449999999997"/>
    <x v="2"/>
    <x v="4"/>
    <s v="Company 18"/>
    <n v="64595"/>
    <n v="7"/>
    <n v="1.1479107743999999"/>
    <n v="976909.97302817053"/>
    <n v="938616.52302817057"/>
    <n v="938616.52302817057"/>
    <n v="1"/>
    <x v="0"/>
  </r>
  <r>
    <x v="40"/>
    <d v="2021-11-14T00:00:00"/>
    <x v="3"/>
    <n v="523987.21"/>
    <s v="Open"/>
    <n v="549880.48"/>
    <n v="5000000"/>
    <n v="25893.27"/>
    <x v="3"/>
    <x v="1"/>
    <s v="Company 10"/>
    <n v="81209"/>
    <n v="2"/>
    <n v="1.071612"/>
    <n v="589258.52093375998"/>
    <n v="563365.25093375996"/>
    <n v="563365.25093375996"/>
    <n v="1"/>
    <x v="3"/>
  </r>
  <r>
    <x v="41"/>
    <d v="2023-02-28T00:00:00"/>
    <x v="1"/>
    <n v="392873.65"/>
    <s v="Closed"/>
    <n v="424721.10000000003"/>
    <n v="2000000"/>
    <n v="31847.45"/>
    <x v="1"/>
    <x v="2"/>
    <s v="Company 4"/>
    <n v="41257"/>
    <n v="5"/>
    <n v="1.03"/>
    <n v="437462.73300000007"/>
    <n v="405615.28300000005"/>
    <n v="405615.28300000005"/>
    <n v="1"/>
    <x v="4"/>
  </r>
  <r>
    <x v="42"/>
    <d v="2020-07-21T00:00:00"/>
    <x v="4"/>
    <n v="539278.54"/>
    <s v="Closed"/>
    <n v="557573.29"/>
    <n v="5000000"/>
    <n v="18294.75"/>
    <x v="0"/>
    <x v="3"/>
    <s v="Company 15"/>
    <n v="35354"/>
    <n v="3"/>
    <n v="1.1037603600000001"/>
    <n v="615427.29529678449"/>
    <n v="597132.54529678449"/>
    <n v="597132.54529678449"/>
    <n v="1"/>
    <x v="1"/>
  </r>
  <r>
    <x v="43"/>
    <d v="2018-03-19T00:00:00"/>
    <x v="0"/>
    <n v="283973.44"/>
    <s v="Open"/>
    <n v="300456.98"/>
    <n v="2000000"/>
    <n v="16483.54"/>
    <x v="0"/>
    <x v="0"/>
    <s v="Company 9"/>
    <n v="74792"/>
    <n v="4"/>
    <n v="1.2053063131199999"/>
    <n v="362142.69481496955"/>
    <n v="345659.15481496957"/>
    <n v="345659.15481496957"/>
    <n v="1"/>
    <x v="2"/>
  </r>
  <r>
    <x v="44"/>
    <d v="2022-06-26T00:00:00"/>
    <x v="2"/>
    <n v="482839.65"/>
    <s v="Closed"/>
    <n v="518138.29000000004"/>
    <n v="5000000"/>
    <n v="35298.639999999999"/>
    <x v="2"/>
    <x v="4"/>
    <s v="Company 7"/>
    <n v="16928"/>
    <n v="1"/>
    <n v="1.0506"/>
    <n v="544356.08747400006"/>
    <n v="509057.44747400004"/>
    <n v="509057.44747400004"/>
    <n v="1"/>
    <x v="5"/>
  </r>
  <r>
    <x v="45"/>
    <d v="2021-10-03T00:00:00"/>
    <x v="3"/>
    <n v="683482.94"/>
    <s v="In Litigation"/>
    <n v="716430.78999999992"/>
    <n v="5000000"/>
    <n v="32947.85"/>
    <x v="3"/>
    <x v="1"/>
    <s v="Company 3"/>
    <n v="103024"/>
    <n v="6"/>
    <n v="1.071612"/>
    <n v="767735.83173347998"/>
    <n v="734787.98173348"/>
    <n v="734787.98173348"/>
    <n v="1"/>
    <x v="3"/>
  </r>
  <r>
    <x v="46"/>
    <d v="2020-01-17T00:00:00"/>
    <x v="1"/>
    <n v="783948.23"/>
    <s v="Closed"/>
    <n v="813530.62"/>
    <n v="5000000"/>
    <n v="29582.39"/>
    <x v="1"/>
    <x v="2"/>
    <s v="Company 14"/>
    <n v="61739"/>
    <n v="2"/>
    <n v="1.1037603600000001"/>
    <n v="897942.85000222328"/>
    <n v="868360.46000222326"/>
    <n v="868360.46000222326"/>
    <n v="1"/>
    <x v="1"/>
  </r>
  <r>
    <x v="47"/>
    <d v="2019-04-05T00:00:00"/>
    <x v="4"/>
    <n v="239582.74"/>
    <s v="Closed"/>
    <n v="260976.97"/>
    <n v="1000000"/>
    <n v="21394.23"/>
    <x v="0"/>
    <x v="0"/>
    <s v="Company 2"/>
    <n v="12590"/>
    <n v="7"/>
    <n v="1.1479107743999999"/>
    <n v="299578.27573326556"/>
    <n v="278184.04573326558"/>
    <n v="278184.04573326558"/>
    <n v="1"/>
    <x v="0"/>
  </r>
  <r>
    <x v="48"/>
    <d v="2022-12-21T00:00:00"/>
    <x v="0"/>
    <n v="294738.48"/>
    <s v="Closed"/>
    <n v="313686.01"/>
    <n v="2000000"/>
    <n v="18947.53"/>
    <x v="1"/>
    <x v="4"/>
    <s v="Company 8"/>
    <n v="47622"/>
    <n v="4"/>
    <n v="1.0506"/>
    <n v="329558.52210599999"/>
    <n v="310610.99210599996"/>
    <n v="310610.99210599996"/>
    <n v="1"/>
    <x v="5"/>
  </r>
  <r>
    <x v="49"/>
    <d v="2021-02-03T00:00:00"/>
    <x v="2"/>
    <n v="583948.29"/>
    <s v="Closed"/>
    <n v="613232.67000000004"/>
    <n v="5000000"/>
    <n v="29284.38"/>
    <x v="2"/>
    <x v="3"/>
    <s v="Company 13"/>
    <n v="60246"/>
    <n v="9"/>
    <n v="1.071612"/>
    <n v="657147.48796404002"/>
    <n v="627863.10796404001"/>
    <n v="627863.10796404001"/>
    <n v="1"/>
    <x v="3"/>
  </r>
  <r>
    <x v="50"/>
    <d v="2020-03-12T00:00:00"/>
    <x v="3"/>
    <n v="784839.21"/>
    <s v="Open"/>
    <n v="823786.49"/>
    <n v="5000000"/>
    <n v="38947.279999999999"/>
    <x v="3"/>
    <x v="1"/>
    <s v="Company 5"/>
    <n v="50059"/>
    <n v="3"/>
    <n v="1.1037603600000001"/>
    <n v="909262.87276553642"/>
    <n v="870315.59276553639"/>
    <n v="870315.59276553639"/>
    <n v="1"/>
    <x v="1"/>
  </r>
  <r>
    <x v="51"/>
    <d v="2023-07-08T00:00:00"/>
    <x v="1"/>
    <n v="398483.65"/>
    <s v="Closed"/>
    <n v="427431.03"/>
    <n v="2000000"/>
    <n v="28947.38"/>
    <x v="1"/>
    <x v="2"/>
    <s v="Company 11"/>
    <n v="18097"/>
    <n v="6"/>
    <n v="1.03"/>
    <n v="440253.96090000006"/>
    <n v="411306.58090000006"/>
    <n v="411306.58090000006"/>
    <n v="1"/>
    <x v="4"/>
  </r>
  <r>
    <x v="52"/>
    <d v="2018-09-23T00:00:00"/>
    <x v="4"/>
    <n v="485739.23"/>
    <s v="Closed"/>
    <n v="503135.07"/>
    <n v="5000000"/>
    <n v="17395.84"/>
    <x v="0"/>
    <x v="4"/>
    <s v="Company 17"/>
    <n v="39266"/>
    <n v="8"/>
    <n v="1.2053063131199999"/>
    <n v="606431.87622307311"/>
    <n v="589036.03622307314"/>
    <n v="589036.03622307314"/>
    <n v="1"/>
    <x v="2"/>
  </r>
  <r>
    <x v="53"/>
    <d v="2019-11-15T00:00:00"/>
    <x v="0"/>
    <n v="593849.48"/>
    <s v="Open"/>
    <n v="632797.05999999994"/>
    <n v="5000000"/>
    <n v="38947.58"/>
    <x v="1"/>
    <x v="0"/>
    <s v="Company 4"/>
    <n v="74920"/>
    <n v="2"/>
    <n v="1.1479107743999999"/>
    <n v="726394.56318264315"/>
    <n v="687446.98318264319"/>
    <n v="687446.98318264319"/>
    <n v="1"/>
    <x v="0"/>
  </r>
  <r>
    <x v="54"/>
    <d v="2022-08-12T00:00:00"/>
    <x v="2"/>
    <n v="683849.75"/>
    <s v="Closed"/>
    <n v="716797.2"/>
    <n v="5000000"/>
    <n v="32947.449999999997"/>
    <x v="2"/>
    <x v="3"/>
    <s v="Company 7"/>
    <n v="18762"/>
    <n v="3"/>
    <n v="1.0506"/>
    <n v="753067.13831999991"/>
    <n v="720119.68831999996"/>
    <n v="720119.68831999996"/>
    <n v="1"/>
    <x v="5"/>
  </r>
  <r>
    <x v="55"/>
    <d v="2021-05-23T00:00:00"/>
    <x v="3"/>
    <n v="792483.56"/>
    <s v="Open"/>
    <n v="827431.81"/>
    <n v="5000000"/>
    <n v="34948.25"/>
    <x v="3"/>
    <x v="1"/>
    <s v="Company 8"/>
    <n v="89784"/>
    <n v="7"/>
    <n v="1.071612"/>
    <n v="886685.85677772004"/>
    <n v="851737.60677772004"/>
    <n v="851737.60677772004"/>
    <n v="1"/>
    <x v="3"/>
  </r>
  <r>
    <x v="56"/>
    <d v="2020-10-17T00:00:00"/>
    <x v="1"/>
    <n v="594837.93999999994"/>
    <s v="Closed"/>
    <n v="623785.5"/>
    <n v="5000000"/>
    <n v="28947.56"/>
    <x v="1"/>
    <x v="2"/>
    <s v="Company 10"/>
    <n v="65937"/>
    <n v="4"/>
    <n v="1.1037603600000001"/>
    <n v="688509.70804278005"/>
    <n v="659562.14804278"/>
    <n v="659562.14804278"/>
    <n v="1"/>
    <x v="1"/>
  </r>
  <r>
    <x v="57"/>
    <d v="2023-03-13T00:00:00"/>
    <x v="4"/>
    <n v="472839.28"/>
    <s v="Closed"/>
    <n v="494777.76"/>
    <n v="5000000"/>
    <n v="21938.48"/>
    <x v="0"/>
    <x v="4"/>
    <s v="Company 3"/>
    <n v="29138"/>
    <n v="6"/>
    <n v="1.03"/>
    <n v="509621.09280000004"/>
    <n v="487682.61280000006"/>
    <n v="487682.61280000006"/>
    <n v="1"/>
    <x v="4"/>
  </r>
  <r>
    <x v="58"/>
    <d v="2018-12-05T00:00:00"/>
    <x v="0"/>
    <n v="592483.44999999995"/>
    <s v="Open"/>
    <n v="625430.82999999996"/>
    <n v="2000000"/>
    <n v="32947.379999999997"/>
    <x v="1"/>
    <x v="1"/>
    <s v="Company 9"/>
    <n v="51205"/>
    <n v="5"/>
    <n v="1.2053063131199999"/>
    <n v="753835.72781888139"/>
    <n v="720888.34781888139"/>
    <n v="720888.34781888139"/>
    <n v="1"/>
    <x v="2"/>
  </r>
  <r>
    <x v="59"/>
    <d v="2019-06-29T00:00:00"/>
    <x v="2"/>
    <n v="839483.29"/>
    <s v="Closed"/>
    <n v="877431.67"/>
    <n v="5000000"/>
    <n v="37948.379999999997"/>
    <x v="2"/>
    <x v="3"/>
    <s v="Company 6"/>
    <n v="84471"/>
    <n v="3"/>
    <n v="1.1479107743999999"/>
    <n v="1007213.2677927852"/>
    <n v="969264.88779278519"/>
    <n v="969264.88779278519"/>
    <n v="1"/>
    <x v="0"/>
  </r>
  <r>
    <x v="60"/>
    <d v="2022-09-17T00:00:00"/>
    <x v="3"/>
    <n v="839483.58"/>
    <s v="Open"/>
    <n v="878431.02999999991"/>
    <n v="5000000"/>
    <n v="38947.449999999997"/>
    <x v="3"/>
    <x v="4"/>
    <s v="Company 11"/>
    <n v="88736"/>
    <n v="4"/>
    <n v="1.0506"/>
    <n v="922879.64011799986"/>
    <n v="883932.19011799991"/>
    <n v="883932.19011799991"/>
    <n v="1"/>
    <x v="5"/>
  </r>
  <r>
    <x v="61"/>
    <d v="2021-01-11T00:00:00"/>
    <x v="1"/>
    <n v="793849.23"/>
    <s v="Closed"/>
    <n v="823331.71"/>
    <n v="5000000"/>
    <n v="29482.48"/>
    <x v="1"/>
    <x v="2"/>
    <s v="Company 13"/>
    <n v="74185"/>
    <n v="7"/>
    <n v="1.071612"/>
    <n v="882292.14041651995"/>
    <n v="852809.66041651997"/>
    <n v="852809.66041651997"/>
    <n v="1"/>
    <x v="3"/>
  </r>
  <r>
    <x v="62"/>
    <d v="2020-04-25T00:00:00"/>
    <x v="4"/>
    <n v="473839.25"/>
    <s v="Closed"/>
    <n v="501321.63"/>
    <n v="5000000"/>
    <n v="27482.38"/>
    <x v="0"/>
    <x v="3"/>
    <s v="Company 15"/>
    <n v="14320"/>
    <n v="6"/>
    <n v="1.1037603600000001"/>
    <n v="553338.94280458684"/>
    <n v="525856.56280458684"/>
    <n v="525856.56280458684"/>
    <n v="1"/>
    <x v="1"/>
  </r>
  <r>
    <x v="63"/>
    <d v="2019-03-19T00:00:00"/>
    <x v="0"/>
    <n v="573849.48"/>
    <s v="Open"/>
    <n v="606697.05999999994"/>
    <n v="5000000"/>
    <n v="32847.58"/>
    <x v="1"/>
    <x v="0"/>
    <s v="Company 8"/>
    <n v="55635"/>
    <n v="3"/>
    <n v="1.1479107743999999"/>
    <n v="696434.0919708031"/>
    <n v="663586.51197080314"/>
    <n v="663586.51197080314"/>
    <n v="1"/>
    <x v="0"/>
  </r>
  <r>
    <x v="64"/>
    <d v="2023-02-02T00:00:00"/>
    <x v="2"/>
    <n v="683849.75"/>
    <s v="Closed"/>
    <n v="716797.2"/>
    <n v="5000000"/>
    <n v="32947.449999999997"/>
    <x v="2"/>
    <x v="1"/>
    <s v="Company 1"/>
    <n v="59295"/>
    <n v="2"/>
    <n v="1.03"/>
    <n v="738301.11599999992"/>
    <n v="705353.66599999997"/>
    <n v="705353.66599999997"/>
    <n v="1"/>
    <x v="4"/>
  </r>
  <r>
    <x v="65"/>
    <d v="2022-07-11T00:00:00"/>
    <x v="3"/>
    <n v="683849.45"/>
    <s v="Open"/>
    <n v="713331.89999999991"/>
    <n v="5000000"/>
    <n v="29482.45"/>
    <x v="3"/>
    <x v="2"/>
    <s v="Company 7"/>
    <n v="66700"/>
    <n v="4"/>
    <n v="1.0506"/>
    <n v="749426.49413999985"/>
    <n v="719944.0441399999"/>
    <n v="719944.0441399999"/>
    <n v="1"/>
    <x v="5"/>
  </r>
  <r>
    <x v="66"/>
    <d v="2021-06-22T00:00:00"/>
    <x v="1"/>
    <n v="573839.54"/>
    <s v="Closed"/>
    <n v="601678.92000000004"/>
    <n v="5000000"/>
    <n v="27839.38"/>
    <x v="1"/>
    <x v="4"/>
    <s v="Company 14"/>
    <n v="21499"/>
    <n v="5"/>
    <n v="1.071612"/>
    <n v="644766.35081904009"/>
    <n v="616926.97081904009"/>
    <n v="616926.97081904009"/>
    <n v="1"/>
    <x v="3"/>
  </r>
  <r>
    <x v="67"/>
    <d v="2020-01-27T00:00:00"/>
    <x v="4"/>
    <n v="572839.44999999995"/>
    <s v="Closed"/>
    <n v="605786.89999999991"/>
    <n v="5000000"/>
    <n v="32947.449999999997"/>
    <x v="0"/>
    <x v="3"/>
    <s v="Company 6"/>
    <n v="43186"/>
    <n v="3"/>
    <n v="1.1037603600000001"/>
    <n v="668643.56682728394"/>
    <n v="635696.11682728399"/>
    <n v="635696.11682728399"/>
    <n v="1"/>
    <x v="1"/>
  </r>
  <r>
    <x v="68"/>
    <d v="2019-05-08T00:00:00"/>
    <x v="4"/>
    <n v="472839.38"/>
    <s v="Open"/>
    <n v="502313.22000000003"/>
    <n v="2000000"/>
    <n v="29473.84"/>
    <x v="1"/>
    <x v="2"/>
    <s v="Company 16"/>
    <n v="57866"/>
    <n v="4"/>
    <n v="1.1479107743999999"/>
    <n v="576610.75736155757"/>
    <n v="547136.9173615576"/>
    <n v="547136.9173615576"/>
    <n v="1"/>
    <x v="0"/>
  </r>
  <r>
    <x v="69"/>
    <d v="2023-04-19T00:00:00"/>
    <x v="0"/>
    <n v="573849.48"/>
    <s v="Closed"/>
    <n v="606697.05999999994"/>
    <n v="5000000"/>
    <n v="32847.58"/>
    <x v="1"/>
    <x v="4"/>
    <s v="Company 7"/>
    <n v="90995"/>
    <n v="3"/>
    <n v="1.03"/>
    <n v="624897.97179999994"/>
    <n v="592050.39179999998"/>
    <n v="592050.39179999998"/>
    <n v="1"/>
    <x v="4"/>
  </r>
  <r>
    <x v="70"/>
    <d v="2021-10-12T00:00:00"/>
    <x v="2"/>
    <n v="683849.75"/>
    <s v="Closed"/>
    <n v="721798.13"/>
    <n v="5000000"/>
    <n v="37948.379999999997"/>
    <x v="2"/>
    <x v="3"/>
    <s v="Company 19"/>
    <n v="55627"/>
    <n v="5"/>
    <n v="1.071612"/>
    <n v="773487.53768556006"/>
    <n v="735539.15768556006"/>
    <n v="735539.15768556006"/>
    <n v="1"/>
    <x v="3"/>
  </r>
  <r>
    <x v="71"/>
    <d v="2022-03-28T00:00:00"/>
    <x v="3"/>
    <n v="739849.45"/>
    <s v="Open"/>
    <n v="778796.89999999991"/>
    <n v="5000000"/>
    <n v="38947.449999999997"/>
    <x v="3"/>
    <x v="0"/>
    <s v="Company 5"/>
    <n v="100353"/>
    <n v="3"/>
    <n v="1.0506"/>
    <n v="818204.02313999983"/>
    <n v="779256.57313999988"/>
    <n v="779256.57313999988"/>
    <n v="1"/>
    <x v="5"/>
  </r>
  <r>
    <x v="72"/>
    <d v="2020-08-04T00:00:00"/>
    <x v="1"/>
    <n v="573839.54"/>
    <s v="Closed"/>
    <n v="601678.92000000004"/>
    <n v="5000000"/>
    <n v="27839.38"/>
    <x v="1"/>
    <x v="1"/>
    <s v="Company 20"/>
    <n v="68586"/>
    <n v="6"/>
    <n v="1.1037603600000001"/>
    <n v="664109.34134361136"/>
    <n v="636269.96134361136"/>
    <n v="636269.96134361136"/>
    <n v="1"/>
    <x v="1"/>
  </r>
  <r>
    <x v="73"/>
    <d v="2018-06-17T00:00:00"/>
    <x v="4"/>
    <n v="572839.44999999995"/>
    <s v="Closed"/>
    <n v="605786.89999999991"/>
    <n v="5000000"/>
    <n v="32947.449999999997"/>
    <x v="0"/>
    <x v="4"/>
    <s v="Company 9"/>
    <n v="21954"/>
    <n v="3"/>
    <n v="1.2053063131199999"/>
    <n v="730158.77497539402"/>
    <n v="697211.32497539406"/>
    <n v="697211.32497539406"/>
    <n v="1"/>
    <x v="2"/>
  </r>
  <r>
    <x v="74"/>
    <d v="2023-05-22T00:00:00"/>
    <x v="0"/>
    <n v="793849.23"/>
    <s v="Open"/>
    <n v="823331.71"/>
    <n v="5000000"/>
    <n v="29482.48"/>
    <x v="1"/>
    <x v="3"/>
    <s v="Company 12"/>
    <n v="65737"/>
    <n v="4"/>
    <n v="1.03"/>
    <n v="848031.66130000004"/>
    <n v="818549.18130000005"/>
    <n v="818549.18130000005"/>
    <n v="1"/>
    <x v="4"/>
  </r>
  <r>
    <x v="75"/>
    <d v="2021-07-06T00:00:00"/>
    <x v="2"/>
    <n v="573849.48"/>
    <s v="Closed"/>
    <n v="606697.05999999994"/>
    <n v="5000000"/>
    <n v="32847.58"/>
    <x v="2"/>
    <x v="0"/>
    <s v="Company 14"/>
    <n v="74754"/>
    <n v="3"/>
    <n v="1.071612"/>
    <n v="650143.84986071999"/>
    <n v="617296.26986072003"/>
    <n v="617296.26986072003"/>
    <n v="1"/>
    <x v="3"/>
  </r>
  <r>
    <x v="76"/>
    <d v="2020-02-18T00:00:00"/>
    <x v="3"/>
    <n v="572839.44999999995"/>
    <s v="Closed"/>
    <n v="605786.89999999991"/>
    <n v="5000000"/>
    <n v="32947.449999999997"/>
    <x v="3"/>
    <x v="2"/>
    <s v="Company 8"/>
    <n v="63946"/>
    <n v="6"/>
    <n v="1.1037603600000001"/>
    <n v="668643.56682728394"/>
    <n v="635696.11682728399"/>
    <n v="635696.11682728399"/>
    <n v="1"/>
    <x v="1"/>
  </r>
  <r>
    <x v="77"/>
    <d v="2022-09-14T00:00:00"/>
    <x v="1"/>
    <n v="573839.54"/>
    <s v="Open"/>
    <n v="601678.92000000004"/>
    <n v="5000000"/>
    <n v="27839.38"/>
    <x v="1"/>
    <x v="1"/>
    <s v="Company 11"/>
    <n v="28654"/>
    <n v="3"/>
    <n v="1.0506"/>
    <n v="632123.87335200002"/>
    <n v="604284.49335200002"/>
    <n v="604284.49335200002"/>
    <n v="1"/>
    <x v="5"/>
  </r>
  <r>
    <x v="78"/>
    <d v="2023-03-07T00:00:00"/>
    <x v="4"/>
    <n v="473839.25"/>
    <s v="Closed"/>
    <n v="501321.63"/>
    <n v="2000000"/>
    <n v="27482.38"/>
    <x v="0"/>
    <x v="4"/>
    <s v="Company 2"/>
    <n v="35062"/>
    <n v="5"/>
    <n v="1.03"/>
    <n v="516361.27890000003"/>
    <n v="488878.89890000003"/>
    <n v="488878.89890000003"/>
    <n v="1"/>
    <x v="4"/>
  </r>
  <r>
    <x v="79"/>
    <d v="2021-12-01T00:00:00"/>
    <x v="0"/>
    <n v="573849.48"/>
    <s v="Closed"/>
    <n v="606697.05999999994"/>
    <n v="5000000"/>
    <n v="32847.58"/>
    <x v="1"/>
    <x v="3"/>
    <s v="Company 17"/>
    <n v="63760"/>
    <n v="7"/>
    <n v="1.071612"/>
    <n v="650143.84986071999"/>
    <n v="617296.26986072003"/>
    <n v="617296.26986072003"/>
    <n v="1"/>
    <x v="3"/>
  </r>
  <r>
    <x v="80"/>
    <d v="2020-06-05T00:00:00"/>
    <x v="2"/>
    <n v="683849.75"/>
    <s v="Closed"/>
    <n v="721798.13"/>
    <n v="5000000"/>
    <n v="37948.379999999997"/>
    <x v="2"/>
    <x v="0"/>
    <s v="Company 1"/>
    <n v="76448"/>
    <n v="3"/>
    <n v="1.1037603600000001"/>
    <n v="796692.16381612688"/>
    <n v="758743.78381612687"/>
    <n v="758743.78381612687"/>
    <n v="1"/>
    <x v="1"/>
  </r>
  <r>
    <x v="81"/>
    <d v="2019-08-30T00:00:00"/>
    <x v="3"/>
    <n v="739849.45"/>
    <s v="Open"/>
    <n v="778796.89999999991"/>
    <n v="5000000"/>
    <n v="38947.449999999997"/>
    <x v="3"/>
    <x v="2"/>
    <s v="Company 13"/>
    <n v="76843"/>
    <n v="4"/>
    <n v="1.1479107743999999"/>
    <n v="893989.35257931915"/>
    <n v="855041.9025793192"/>
    <n v="855041.9025793192"/>
    <n v="1"/>
    <x v="0"/>
  </r>
  <r>
    <x v="82"/>
    <d v="2018-11-22T00:00:00"/>
    <x v="1"/>
    <n v="573839.54"/>
    <s v="Closed"/>
    <n v="601678.92000000004"/>
    <n v="5000000"/>
    <n v="27839.38"/>
    <x v="1"/>
    <x v="1"/>
    <s v="Company 18"/>
    <n v="32162"/>
    <n v="5"/>
    <n v="1.2053063131199999"/>
    <n v="725207.40074722341"/>
    <n v="697368.0207472234"/>
    <n v="697368.0207472234"/>
    <n v="1"/>
    <x v="2"/>
  </r>
  <r>
    <x v="83"/>
    <d v="2023-01-29T00:00:00"/>
    <x v="4"/>
    <n v="572839.44999999995"/>
    <s v="Closed"/>
    <n v="605786.89999999991"/>
    <n v="5000000"/>
    <n v="32947.449999999997"/>
    <x v="0"/>
    <x v="4"/>
    <s v="Company 16"/>
    <n v="51424"/>
    <n v="6"/>
    <n v="1.03"/>
    <n v="623960.50699999987"/>
    <n v="591013.05699999991"/>
    <n v="591013.05699999991"/>
    <n v="1"/>
    <x v="4"/>
  </r>
  <r>
    <x v="84"/>
    <d v="2021-04-10T00:00:00"/>
    <x v="0"/>
    <n v="793849.23"/>
    <s v="Open"/>
    <n v="823331.71"/>
    <n v="5000000"/>
    <n v="29482.48"/>
    <x v="1"/>
    <x v="3"/>
    <s v="Company 7"/>
    <n v="81104"/>
    <n v="4"/>
    <n v="1.071612"/>
    <n v="882292.14041651995"/>
    <n v="852809.66041651997"/>
    <n v="852809.66041651997"/>
    <n v="1"/>
    <x v="3"/>
  </r>
  <r>
    <x v="85"/>
    <d v="2020-07-20T00:00:00"/>
    <x v="2"/>
    <n v="573849.48"/>
    <s v="Closed"/>
    <n v="606697.05999999994"/>
    <n v="5000000"/>
    <n v="32847.58"/>
    <x v="2"/>
    <x v="0"/>
    <s v="Company 4"/>
    <n v="66198"/>
    <n v="3"/>
    <n v="1.1037603600000001"/>
    <n v="669648.16535654163"/>
    <n v="636800.58535654168"/>
    <n v="636800.58535654168"/>
    <n v="1"/>
    <x v="1"/>
  </r>
  <r>
    <x v="86"/>
    <d v="2019-02-24T00:00:00"/>
    <x v="3"/>
    <n v="572839.44999999995"/>
    <s v="Closed"/>
    <n v="605786.89999999991"/>
    <n v="5000000"/>
    <n v="32947.449999999997"/>
    <x v="3"/>
    <x v="1"/>
    <s v="Company 6"/>
    <n v="69895"/>
    <n v="5"/>
    <n v="1.1479107743999999"/>
    <n v="695389.30950037518"/>
    <n v="662441.85950037523"/>
    <n v="662441.85950037523"/>
    <n v="1"/>
    <x v="0"/>
  </r>
  <r>
    <x v="87"/>
    <d v="2022-11-19T00:00:00"/>
    <x v="1"/>
    <n v="573839.54"/>
    <s v="Open"/>
    <n v="601678.92000000004"/>
    <n v="5000000"/>
    <n v="27839.38"/>
    <x v="1"/>
    <x v="2"/>
    <s v="Company 5"/>
    <n v="51126"/>
    <n v="3"/>
    <n v="1.0506"/>
    <n v="632123.87335200002"/>
    <n v="604284.49335200002"/>
    <n v="604284.49335200002"/>
    <n v="1"/>
    <x v="5"/>
  </r>
  <r>
    <x v="88"/>
    <d v="2023-06-14T00:00:00"/>
    <x v="4"/>
    <n v="473839.25"/>
    <s v="Closed"/>
    <n v="501321.63"/>
    <n v="2000000"/>
    <n v="27482.38"/>
    <x v="0"/>
    <x v="4"/>
    <s v="Company 9"/>
    <n v="21669"/>
    <n v="7"/>
    <n v="1.03"/>
    <n v="516361.27890000003"/>
    <n v="488878.89890000003"/>
    <n v="488878.89890000003"/>
    <n v="1"/>
    <x v="4"/>
  </r>
  <r>
    <x v="89"/>
    <d v="2021-08-11T00:00:00"/>
    <x v="0"/>
    <n v="573849.48"/>
    <s v="Closed"/>
    <n v="606697.05999999994"/>
    <n v="5000000"/>
    <n v="32847.58"/>
    <x v="1"/>
    <x v="3"/>
    <s v="Company 11"/>
    <n v="26745"/>
    <n v="4"/>
    <n v="1.071612"/>
    <n v="650143.84986071999"/>
    <n v="617296.26986072003"/>
    <n v="617296.26986072003"/>
    <n v="1"/>
    <x v="3"/>
  </r>
  <r>
    <x v="90"/>
    <d v="2020-12-21T00:00:00"/>
    <x v="2"/>
    <n v="683849.75"/>
    <s v="Closed"/>
    <n v="721798.13"/>
    <n v="5000000"/>
    <n v="37948.379999999997"/>
    <x v="2"/>
    <x v="0"/>
    <s v="Company 3"/>
    <n v="58437"/>
    <n v="5"/>
    <n v="1.1037603600000001"/>
    <n v="796692.16381612688"/>
    <n v="758743.78381612687"/>
    <n v="758743.78381612687"/>
    <n v="1"/>
    <x v="1"/>
  </r>
  <r>
    <x v="91"/>
    <d v="2022-05-23T00:00:00"/>
    <x v="3"/>
    <n v="739849.45"/>
    <s v="Open"/>
    <n v="778796.89999999991"/>
    <n v="5000000"/>
    <n v="38947.449999999997"/>
    <x v="3"/>
    <x v="2"/>
    <s v="Company 17"/>
    <n v="52490"/>
    <n v="6"/>
    <n v="1.0506"/>
    <n v="818204.02313999983"/>
    <n v="779256.57313999988"/>
    <n v="779256.57313999988"/>
    <n v="1"/>
    <x v="5"/>
  </r>
  <r>
    <x v="92"/>
    <d v="2019-09-18T00:00:00"/>
    <x v="1"/>
    <n v="573839.54"/>
    <s v="Closed"/>
    <n v="601678.92000000004"/>
    <n v="5000000"/>
    <n v="27839.38"/>
    <x v="1"/>
    <x v="1"/>
    <s v="Company 14"/>
    <n v="61823"/>
    <n v="3"/>
    <n v="1.1479107743999999"/>
    <n v="690673.71499735559"/>
    <n v="662834.33499735559"/>
    <n v="662834.33499735559"/>
    <n v="1"/>
    <x v="0"/>
  </r>
  <r>
    <x v="93"/>
    <d v="2023-07-02T00:00:00"/>
    <x v="4"/>
    <n v="572839.44999999995"/>
    <s v="Closed"/>
    <n v="605786.89999999991"/>
    <n v="5000000"/>
    <n v="32947.449999999997"/>
    <x v="0"/>
    <x v="4"/>
    <s v="Company 15"/>
    <n v="19051"/>
    <n v="4"/>
    <n v="1.03"/>
    <n v="623960.50699999987"/>
    <n v="591013.05699999991"/>
    <n v="591013.05699999991"/>
    <n v="1"/>
    <x v="4"/>
  </r>
  <r>
    <x v="94"/>
    <d v="2021-03-26T00:00:00"/>
    <x v="0"/>
    <n v="793849.23"/>
    <s v="Open"/>
    <n v="823331.71"/>
    <n v="5000000"/>
    <n v="29482.48"/>
    <x v="1"/>
    <x v="3"/>
    <s v="Company 16"/>
    <n v="48344"/>
    <n v="3"/>
    <n v="1.071612"/>
    <n v="882292.14041651995"/>
    <n v="852809.66041651997"/>
    <n v="852809.66041651997"/>
    <n v="1"/>
    <x v="3"/>
  </r>
  <r>
    <x v="95"/>
    <d v="2020-02-29T00:00:00"/>
    <x v="2"/>
    <n v="573849.48"/>
    <s v="Closed"/>
    <n v="606697.05999999994"/>
    <n v="5000000"/>
    <n v="32847.58"/>
    <x v="2"/>
    <x v="0"/>
    <s v="Company 7"/>
    <n v="29126"/>
    <n v="6"/>
    <n v="1.1037603600000001"/>
    <n v="669648.16535654163"/>
    <n v="636800.58535654168"/>
    <n v="636800.58535654168"/>
    <n v="1"/>
    <x v="1"/>
  </r>
  <r>
    <x v="96"/>
    <d v="2019-01-16T00:00:00"/>
    <x v="3"/>
    <n v="572839.44999999995"/>
    <s v="Closed"/>
    <n v="605786.89999999991"/>
    <n v="5000000"/>
    <n v="32947.449999999997"/>
    <x v="3"/>
    <x v="1"/>
    <s v="Company 12"/>
    <n v="89304"/>
    <n v="5"/>
    <n v="1.1479107743999999"/>
    <n v="695389.30950037518"/>
    <n v="662441.85950037523"/>
    <n v="662441.85950037523"/>
    <n v="1"/>
    <x v="0"/>
  </r>
  <r>
    <x v="97"/>
    <d v="2022-04-14T00:00:00"/>
    <x v="1"/>
    <n v="573839.54"/>
    <s v="Open"/>
    <n v="601678.92000000004"/>
    <n v="5000000"/>
    <n v="27839.38"/>
    <x v="1"/>
    <x v="2"/>
    <s v="Company 8"/>
    <n v="57539"/>
    <n v="3"/>
    <n v="1.0506"/>
    <n v="632123.87335200002"/>
    <n v="604284.49335200002"/>
    <n v="604284.49335200002"/>
    <n v="1"/>
    <x v="5"/>
  </r>
  <r>
    <x v="98"/>
    <d v="2023-08-01T00:00:00"/>
    <x v="4"/>
    <n v="473839.25"/>
    <s v="Closed"/>
    <n v="501321.63"/>
    <n v="2000000"/>
    <n v="27482.38"/>
    <x v="0"/>
    <x v="3"/>
    <s v="Company 19"/>
    <n v="40033"/>
    <n v="4"/>
    <n v="1.03"/>
    <n v="516361.27890000003"/>
    <n v="488878.89890000003"/>
    <n v="488878.89890000003"/>
    <n v="1"/>
    <x v="4"/>
  </r>
  <r>
    <x v="99"/>
    <d v="2022-12-27T00:00:00"/>
    <x v="3"/>
    <n v="5000000"/>
    <s v="In Litigation"/>
    <n v="5018723.79"/>
    <n v="10000000"/>
    <n v="18723.79"/>
    <x v="3"/>
    <x v="1"/>
    <s v="Company 15"/>
    <n v="68462"/>
    <n v="9"/>
    <n v="1.0506"/>
    <n v="5272671.2137740003"/>
    <n v="5253947.4237740003"/>
    <n v="5253947.4237740003"/>
    <n v="0"/>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d v="2019-07-18T00:00:00"/>
    <s v="Collision Liability"/>
    <n v="737423.28"/>
    <s v="Closed"/>
    <n v="749769.20000000007"/>
    <n v="5000000"/>
    <n v="12345.92"/>
    <s v="Human Error"/>
    <x v="0"/>
    <s v="Company 9"/>
    <n v="98089"/>
    <n v="4"/>
    <n v="1.1479107743999999"/>
    <n v="860668.14299326844"/>
    <n v="848322.2229932684"/>
    <n v="848322.2229932684"/>
    <n v="1"/>
    <n v="2019"/>
  </r>
  <r>
    <d v="2020-05-27T00:00:00"/>
    <s v="Cargo Liability"/>
    <n v="315189.74"/>
    <s v="Closed"/>
    <n v="348906.5"/>
    <n v="5000000"/>
    <n v="33716.76"/>
    <s v="Technical Failure"/>
    <x v="1"/>
    <s v="Company 4"/>
    <n v="41119"/>
    <n v="6"/>
    <n v="1.1037603600000001"/>
    <n v="385109.16404634004"/>
    <n v="351392.40404634003"/>
    <n v="351392.40404634003"/>
    <n v="1"/>
    <n v="2020"/>
  </r>
  <r>
    <d v="2018-11-23T00:00:00"/>
    <s v="Damage to Other Vessels"/>
    <n v="678364.99"/>
    <s v="Closed"/>
    <n v="712761.9"/>
    <n v="5000000"/>
    <n v="34396.910000000003"/>
    <s v="Criminal Activity"/>
    <x v="2"/>
    <s v="Company 2"/>
    <n v="60815"/>
    <n v="3"/>
    <n v="1.2053063131199999"/>
    <n v="859096.41782140615"/>
    <n v="824699.50782140612"/>
    <n v="824699.50782140612"/>
    <n v="1"/>
    <n v="2018"/>
  </r>
  <r>
    <d v="2021-01-05T00:00:00"/>
    <s v="Environmental Pollution"/>
    <n v="203840.58"/>
    <s v="Open"/>
    <n v="215544.46"/>
    <n v="5000000"/>
    <n v="11703.88"/>
    <s v="Natural Disaster"/>
    <x v="3"/>
    <s v="Company 17"/>
    <n v="108110"/>
    <n v="7"/>
    <n v="1.071612"/>
    <n v="230980.02986951999"/>
    <n v="219276.14986951998"/>
    <n v="219276.14986951998"/>
    <n v="1"/>
    <n v="2021"/>
  </r>
  <r>
    <d v="2023-06-14T00:00:00"/>
    <s v="Injury to Third Parties"/>
    <n v="98692.46"/>
    <s v="In Litigation"/>
    <n v="146820.18"/>
    <n v="1000000"/>
    <n v="48127.72"/>
    <s v="Human Error"/>
    <x v="0"/>
    <s v="Company 12"/>
    <n v="15497"/>
    <n v="8"/>
    <n v="1.03"/>
    <n v="151224.78539999999"/>
    <n v="103097.06539999999"/>
    <n v="103097.06539999999"/>
    <n v="1"/>
    <n v="2023"/>
  </r>
  <r>
    <d v="2019-04-29T00:00:00"/>
    <s v="Collision Liability"/>
    <n v="243918.65"/>
    <s v="Closed"/>
    <n v="254504.19"/>
    <n v="5000000"/>
    <n v="10585.54"/>
    <s v="Technical Failure"/>
    <x v="1"/>
    <s v="Company 3"/>
    <n v="54680"/>
    <n v="2"/>
    <n v="1.1479107743999999"/>
    <n v="292148.10183094471"/>
    <n v="281562.56183094473"/>
    <n v="281562.56183094473"/>
    <n v="1"/>
    <n v="2019"/>
  </r>
  <r>
    <d v="2021-07-21T00:00:00"/>
    <s v="Environmental Pollution"/>
    <n v="765873.46"/>
    <s v="Closed"/>
    <n v="783218.83"/>
    <n v="5000000"/>
    <n v="17345.37"/>
    <s v="Natural Disaster"/>
    <x v="4"/>
    <s v="Company 11"/>
    <n v="50365"/>
    <n v="1"/>
    <n v="1.071612"/>
    <n v="839306.69685395993"/>
    <n v="821961.32685395994"/>
    <n v="821961.32685395994"/>
    <n v="1"/>
    <n v="2021"/>
  </r>
  <r>
    <d v="2022-03-18T00:00:00"/>
    <s v="Damage to Other Vessels"/>
    <n v="913843.77"/>
    <s v="Closed"/>
    <n v="939444.11"/>
    <n v="5000000"/>
    <n v="25600.34"/>
    <s v="Criminal Activity"/>
    <x v="1"/>
    <s v="Company 5"/>
    <n v="42788"/>
    <n v="0"/>
    <n v="1.0506"/>
    <n v="986979.98196599993"/>
    <n v="961379.64196599997"/>
    <n v="961379.64196599997"/>
    <n v="1"/>
    <n v="2022"/>
  </r>
  <r>
    <d v="2020-11-15T00:00:00"/>
    <s v="Cargo Liability"/>
    <n v="754890.21"/>
    <s v="Closed"/>
    <n v="793074.64999999991"/>
    <n v="5000000"/>
    <n v="38184.44"/>
    <s v="Technical Failure"/>
    <x v="2"/>
    <s v="Company 8"/>
    <n v="22770"/>
    <n v="6"/>
    <n v="1.1037603600000001"/>
    <n v="875364.36119087401"/>
    <n v="837179.92119087395"/>
    <n v="837179.92119087395"/>
    <n v="1"/>
    <n v="2020"/>
  </r>
  <r>
    <d v="2018-06-07T00:00:00"/>
    <s v="Collision Liability"/>
    <n v="600293.27"/>
    <s v="Open"/>
    <n v="601436.52"/>
    <n v="5000000"/>
    <n v="1143.25"/>
    <s v="Human Error"/>
    <x v="1"/>
    <s v="Company 10"/>
    <n v="66457"/>
    <n v="5"/>
    <n v="1.2053063131199999"/>
    <n v="724915.23449692316"/>
    <n v="723771.98449692316"/>
    <n v="723771.98449692316"/>
    <n v="1"/>
    <n v="2018"/>
  </r>
  <r>
    <d v="2021-02-24T00:00:00"/>
    <s v="Environmental Pollution"/>
    <n v="320726.12"/>
    <s v="Closed"/>
    <n v="363045.08999999997"/>
    <n v="5000000"/>
    <n v="42318.97"/>
    <s v="Technical Failure"/>
    <x v="4"/>
    <s v="Company 7"/>
    <n v="62135"/>
    <n v="7"/>
    <n v="1.071612"/>
    <n v="389043.47498507996"/>
    <n v="346724.50498507998"/>
    <n v="346724.50498507998"/>
    <n v="1"/>
    <n v="2021"/>
  </r>
  <r>
    <d v="2020-12-15T00:00:00"/>
    <s v="Cargo Liability"/>
    <n v="195238.55"/>
    <s v="Closed"/>
    <n v="220873.24"/>
    <n v="1000000"/>
    <n v="25634.69"/>
    <s v="Criminal Activity"/>
    <x v="2"/>
    <s v="Company 6"/>
    <n v="56061"/>
    <n v="8"/>
    <n v="1.1037603600000001"/>
    <n v="243791.12689676642"/>
    <n v="218156.43689676642"/>
    <n v="218156.43689676642"/>
    <n v="1"/>
    <n v="2020"/>
  </r>
  <r>
    <d v="2022-08-21T00:00:00"/>
    <s v="Collision Liability"/>
    <n v="158738.94"/>
    <s v="In Litigation"/>
    <n v="188195.05"/>
    <n v="1000000"/>
    <n v="29456.11"/>
    <s v="Human Error"/>
    <x v="0"/>
    <s v="Company 13"/>
    <n v="32749"/>
    <n v="3"/>
    <n v="1.0506"/>
    <n v="197717.71952999997"/>
    <n v="168261.60952999996"/>
    <n v="168261.60952999996"/>
    <n v="1"/>
    <n v="2022"/>
  </r>
  <r>
    <d v="2023-01-11T00:00:00"/>
    <s v="Damage to Other Vessels"/>
    <n v="125309.18"/>
    <s v="Closed"/>
    <n v="140287.41"/>
    <n v="1000000"/>
    <n v="14978.23"/>
    <s v="Criminal Activity"/>
    <x v="3"/>
    <s v="Company 19"/>
    <n v="35661"/>
    <n v="2"/>
    <n v="1.03"/>
    <n v="144496.03230000002"/>
    <n v="129517.80230000002"/>
    <n v="129517.80230000002"/>
    <n v="1"/>
    <n v="2023"/>
  </r>
  <r>
    <d v="2019-09-30T00:00:00"/>
    <s v="Environmental Pollution"/>
    <n v="701924.64"/>
    <s v="Open"/>
    <n v="726627.31"/>
    <n v="5000000"/>
    <n v="24702.67"/>
    <s v="Technical Failure"/>
    <x v="1"/>
    <s v="Company 14"/>
    <n v="83078"/>
    <n v="6"/>
    <n v="1.1479107743999999"/>
    <n v="834103.31812228879"/>
    <n v="809400.64812228875"/>
    <n v="809400.64812228875"/>
    <n v="1"/>
    <n v="2019"/>
  </r>
  <r>
    <d v="2018-07-13T00:00:00"/>
    <s v="Injury to Third Parties"/>
    <n v="590732.85"/>
    <s v="Closed"/>
    <n v="600165.35"/>
    <n v="5000000"/>
    <n v="9432.5"/>
    <s v="Natural Disaster"/>
    <x v="2"/>
    <s v="Company 1"/>
    <n v="56518"/>
    <n v="4"/>
    <n v="1.2053063131199999"/>
    <n v="723383.08527087432"/>
    <n v="713950.58527087432"/>
    <n v="713950.58527087432"/>
    <n v="1"/>
    <n v="2018"/>
  </r>
  <r>
    <d v="2021-04-02T00:00:00"/>
    <s v="Collision Liability"/>
    <n v="358145.93"/>
    <s v="Closed"/>
    <n v="375066.3"/>
    <n v="2000000"/>
    <n v="16920.37"/>
    <s v="Human Error"/>
    <x v="3"/>
    <s v="Company 15"/>
    <n v="91772"/>
    <n v="7"/>
    <n v="1.071612"/>
    <n v="401925.54787559999"/>
    <n v="385005.1778756"/>
    <n v="385005.1778756"/>
    <n v="1"/>
    <n v="2021"/>
  </r>
  <r>
    <d v="2019-06-25T00:00:00"/>
    <s v="Damage to Other Vessels"/>
    <n v="453896.75"/>
    <s v="Closed"/>
    <n v="492825.48"/>
    <n v="500000"/>
    <n v="38928.730000000003"/>
    <s v="Criminal Activity"/>
    <x v="4"/>
    <s v="Company 8"/>
    <n v="49347"/>
    <n v="5"/>
    <n v="1.1479107743999999"/>
    <n v="565719.67839085159"/>
    <n v="526790.94839085161"/>
    <n v="500000"/>
    <n v="1"/>
    <n v="2019"/>
  </r>
  <r>
    <d v="2022-07-12T00:00:00"/>
    <s v="Cargo Liability"/>
    <n v="195984.65"/>
    <s v="In Litigation"/>
    <n v="215631.84"/>
    <n v="500000"/>
    <n v="19647.189999999999"/>
    <s v="Technical Failure"/>
    <x v="0"/>
    <s v="Company 10"/>
    <n v="63636"/>
    <n v="3"/>
    <n v="1.0506"/>
    <n v="226542.81110399999"/>
    <n v="206895.62110399999"/>
    <n v="206895.62110399999"/>
    <n v="1"/>
    <n v="2022"/>
  </r>
  <r>
    <d v="2020-03-20T00:00:00"/>
    <s v="Environmental Pollution"/>
    <n v="472804.33"/>
    <s v="Open"/>
    <n v="518485.62"/>
    <n v="5000000"/>
    <n v="45681.29"/>
    <s v="Natural Disaster"/>
    <x v="1"/>
    <s v="Company 11"/>
    <n v="111663"/>
    <n v="8"/>
    <n v="1.1037603600000001"/>
    <n v="572283.87458602327"/>
    <n v="526602.58458602324"/>
    <n v="526602.58458602324"/>
    <n v="1"/>
    <n v="2020"/>
  </r>
  <r>
    <d v="2023-05-30T00:00:00"/>
    <s v="Injury to Third Parties"/>
    <n v="87924.45"/>
    <s v="Closed"/>
    <n v="111522.66"/>
    <n v="500000"/>
    <n v="23598.21"/>
    <s v="Technical Failure"/>
    <x v="4"/>
    <s v="Company 13"/>
    <n v="22727"/>
    <n v="4"/>
    <n v="1.03"/>
    <n v="114868.3398"/>
    <n v="91270.129799999995"/>
    <n v="91270.129799999995"/>
    <n v="1"/>
    <n v="2023"/>
  </r>
  <r>
    <d v="2021-12-03T00:00:00"/>
    <s v="Collision Liability"/>
    <n v="654327.44999999995"/>
    <s v="Closed"/>
    <n v="673030.17999999993"/>
    <n v="5000000"/>
    <n v="18702.73"/>
    <s v="Human Error"/>
    <x v="1"/>
    <s v="Company 16"/>
    <n v="96775"/>
    <n v="7"/>
    <n v="1.071612"/>
    <n v="721227.21725015994"/>
    <n v="702524.48725015996"/>
    <n v="702524.48725015996"/>
    <n v="1"/>
    <n v="2021"/>
  </r>
  <r>
    <d v="2020-06-11T00:00:00"/>
    <s v="Damage to Other Vessels"/>
    <n v="231548.73"/>
    <s v="Open"/>
    <n v="268477.11"/>
    <n v="500000"/>
    <n v="36928.379999999997"/>
    <s v="Criminal Activity"/>
    <x v="3"/>
    <s v="Company 2"/>
    <n v="18038"/>
    <n v="5"/>
    <n v="1.1037603600000001"/>
    <n v="296334.39158535964"/>
    <n v="259406.01158535964"/>
    <n v="259406.01158535964"/>
    <n v="1"/>
    <n v="2020"/>
  </r>
  <r>
    <d v="2019-08-18T00:00:00"/>
    <s v="Environmental Pollution"/>
    <n v="194738.52"/>
    <s v="In Litigation"/>
    <n v="210177.78999999998"/>
    <n v="500000"/>
    <n v="15439.27"/>
    <s v="Natural Disaster"/>
    <x v="0"/>
    <s v="Company 17"/>
    <n v="106686"/>
    <n v="8"/>
    <n v="1.1479107743999999"/>
    <n v="241265.34968058052"/>
    <n v="225826.07968058053"/>
    <n v="225826.07968058053"/>
    <n v="1"/>
    <n v="2019"/>
  </r>
  <r>
    <d v="2022-09-14T00:00:00"/>
    <s v="Cargo Liability"/>
    <n v="872394.65"/>
    <s v="Closed"/>
    <n v="896897.03"/>
    <n v="10000000"/>
    <n v="24502.38"/>
    <s v="Human Error"/>
    <x v="2"/>
    <s v="Company 4"/>
    <n v="23397"/>
    <n v="2"/>
    <n v="1.0506"/>
    <n v="942280.01971799997"/>
    <n v="917777.63971799996"/>
    <n v="917777.63971799996"/>
    <n v="1"/>
    <n v="2022"/>
  </r>
  <r>
    <d v="2018-05-03T00:00:00"/>
    <s v="Collision Liability"/>
    <n v="508739.15"/>
    <s v="Closed"/>
    <n v="520721.69"/>
    <n v="5000000"/>
    <n v="11982.54"/>
    <s v="Technical Failure"/>
    <x v="4"/>
    <s v="Company 9"/>
    <n v="90482"/>
    <n v="3"/>
    <n v="1.2053063131199999"/>
    <n v="627629.14033551549"/>
    <n v="615646.60033551545"/>
    <n v="615646.60033551545"/>
    <n v="1"/>
    <n v="2018"/>
  </r>
  <r>
    <d v="2021-10-28T00:00:00"/>
    <s v="Damage to Other Vessels"/>
    <n v="376234.78"/>
    <s v="Closed"/>
    <n v="405983.4"/>
    <n v="2000000"/>
    <n v="29748.62"/>
    <s v="Criminal Activity"/>
    <x v="0"/>
    <s v="Company 6"/>
    <n v="83599"/>
    <n v="7"/>
    <n v="1.071612"/>
    <n v="435056.68324080005"/>
    <n v="405308.06324080005"/>
    <n v="405308.06324080005"/>
    <n v="1"/>
    <n v="2021"/>
  </r>
  <r>
    <d v="2020-04-16T00:00:00"/>
    <s v="Environmental Pollution"/>
    <n v="129803.75"/>
    <s v="In Litigation"/>
    <n v="162723.88"/>
    <n v="1000000"/>
    <n v="32920.129999999997"/>
    <s v="Natural Disaster"/>
    <x v="3"/>
    <s v="Company 18"/>
    <n v="52488"/>
    <n v="4"/>
    <n v="1.1037603600000001"/>
    <n v="179608.16836939682"/>
    <n v="146688.03836939682"/>
    <n v="146688.03836939682"/>
    <n v="1"/>
    <n v="2020"/>
  </r>
  <r>
    <d v="2023-07-07T00:00:00"/>
    <s v="Cargo Liability"/>
    <n v="731235.83999999997"/>
    <s v="Closed"/>
    <n v="750172.09"/>
    <n v="5000000"/>
    <n v="18936.25"/>
    <s v="Technical Failure"/>
    <x v="1"/>
    <s v="Company 14"/>
    <n v="48811"/>
    <n v="2"/>
    <n v="1.03"/>
    <n v="772677.25269999995"/>
    <n v="753741.00269999995"/>
    <n v="753741.00269999995"/>
    <n v="1"/>
    <n v="2023"/>
  </r>
  <r>
    <d v="2019-01-22T00:00:00"/>
    <s v="Collision Liability"/>
    <n v="158924.78"/>
    <s v="Closed"/>
    <n v="174653.73"/>
    <n v="1000000"/>
    <n v="15728.95"/>
    <s v="Human Error"/>
    <x v="4"/>
    <s v="Company 1"/>
    <n v="27860"/>
    <n v="6"/>
    <n v="1.1479107743999999"/>
    <n v="200486.89845614851"/>
    <n v="184757.9484561485"/>
    <n v="184757.9484561485"/>
    <n v="1"/>
    <n v="2019"/>
  </r>
  <r>
    <d v="2022-11-09T00:00:00"/>
    <s v="Damage to Other Vessels"/>
    <n v="439832.24"/>
    <s v="Closed"/>
    <n v="471636.18"/>
    <n v="2000000"/>
    <n v="31803.94"/>
    <s v="Criminal Activity"/>
    <x v="1"/>
    <s v="Company 20"/>
    <n v="55400"/>
    <n v="8"/>
    <n v="1.0506"/>
    <n v="495500.97070800001"/>
    <n v="463697.03070800001"/>
    <n v="463697.03070800001"/>
    <n v="1"/>
    <n v="2022"/>
  </r>
  <r>
    <d v="2020-08-13T00:00:00"/>
    <s v="Environmental Pollution"/>
    <n v="690239.58"/>
    <s v="In Litigation"/>
    <n v="717632.12"/>
    <n v="5000000"/>
    <n v="27392.54"/>
    <s v="Natural Disaster"/>
    <x v="2"/>
    <s v="Company 3"/>
    <n v="54037"/>
    <n v="7"/>
    <n v="1.1037603600000001"/>
    <n v="792093.88711876329"/>
    <n v="764701.34711876325"/>
    <n v="764701.34711876325"/>
    <n v="1"/>
    <n v="2020"/>
  </r>
  <r>
    <d v="2021-06-03T00:00:00"/>
    <s v="Injury to Third Parties"/>
    <n v="215983.48"/>
    <s v="Closed"/>
    <n v="236967.86000000002"/>
    <n v="2000000"/>
    <n v="20984.38"/>
    <s v="Technical Failure"/>
    <x v="0"/>
    <s v="Company 19"/>
    <n v="34379"/>
    <n v="4"/>
    <n v="1.071612"/>
    <n v="253937.60239032001"/>
    <n v="232953.22239032001"/>
    <n v="232953.22239032001"/>
    <n v="1"/>
    <n v="2021"/>
  </r>
  <r>
    <d v="2019-11-16T00:00:00"/>
    <s v="Collision Liability"/>
    <n v="507983.42"/>
    <s v="Open"/>
    <n v="543166.67999999993"/>
    <n v="5000000"/>
    <n v="35183.26"/>
    <s v="Human Error"/>
    <x v="3"/>
    <s v="Company 8"/>
    <n v="39210"/>
    <n v="2"/>
    <n v="1.1479107743999999"/>
    <n v="623506.88426707685"/>
    <n v="588323.62426707684"/>
    <n v="588323.62426707684"/>
    <n v="1"/>
    <n v="2019"/>
  </r>
  <r>
    <d v="2018-12-29T00:00:00"/>
    <s v="Damage to Other Vessels"/>
    <n v="451973.22"/>
    <s v="Closed"/>
    <n v="480319.12999999995"/>
    <n v="500000"/>
    <n v="28345.91"/>
    <s v="Criminal Activity"/>
    <x v="2"/>
    <s v="Company 5"/>
    <n v="45062"/>
    <n v="4"/>
    <n v="1.2053063131199999"/>
    <n v="578931.67970130593"/>
    <n v="550585.76970130589"/>
    <n v="500000"/>
    <n v="1"/>
    <n v="2018"/>
  </r>
  <r>
    <d v="2021-08-15T00:00:00"/>
    <s v="Cargo Liability"/>
    <n v="289524.33"/>
    <s v="Closed"/>
    <n v="314363.61"/>
    <n v="2000000"/>
    <n v="24839.279999999999"/>
    <s v="Technical Failure"/>
    <x v="1"/>
    <s v="Company 7"/>
    <n v="56540"/>
    <n v="3"/>
    <n v="1.071612"/>
    <n v="336875.81683932"/>
    <n v="312036.53683931998"/>
    <n v="312036.53683931998"/>
    <n v="1"/>
    <n v="2021"/>
  </r>
  <r>
    <d v="2020-02-06T00:00:00"/>
    <s v="Environmental Pollution"/>
    <n v="674832.75"/>
    <s v="Open"/>
    <n v="716116.29"/>
    <n v="5000000"/>
    <n v="41283.54"/>
    <s v="Natural Disaster"/>
    <x v="3"/>
    <s v="Company 12"/>
    <n v="57003"/>
    <n v="5"/>
    <n v="1.1037603600000001"/>
    <n v="790420.77405226452"/>
    <n v="749137.23405226448"/>
    <n v="749137.23405226448"/>
    <n v="1"/>
    <n v="2020"/>
  </r>
  <r>
    <d v="2023-04-11T00:00:00"/>
    <s v="Injury to Third Parties"/>
    <n v="289523.34000000003"/>
    <s v="In Litigation"/>
    <n v="316918.08"/>
    <n v="2000000"/>
    <n v="27394.74"/>
    <s v="Human Error"/>
    <x v="4"/>
    <s v="Company 16"/>
    <n v="24935"/>
    <n v="8"/>
    <n v="1.03"/>
    <n v="326425.62240000005"/>
    <n v="299030.88240000006"/>
    <n v="299030.88240000006"/>
    <n v="1"/>
    <n v="2023"/>
  </r>
  <r>
    <d v="2022-01-10T00:00:00"/>
    <s v="Collision Liability"/>
    <n v="492783.45"/>
    <s v="Closed"/>
    <n v="512067.73"/>
    <n v="2000000"/>
    <n v="19284.28"/>
    <s v="Technical Failure"/>
    <x v="0"/>
    <s v="Company 11"/>
    <n v="77519"/>
    <n v="6"/>
    <n v="1.0506"/>
    <n v="537978.35713799996"/>
    <n v="518694.07713799994"/>
    <n v="518694.07713799994"/>
    <n v="1"/>
    <n v="2022"/>
  </r>
  <r>
    <d v="2019-09-03T00:00:00"/>
    <s v="Damage to Other Vessels"/>
    <n v="812739.57"/>
    <s v="Closed"/>
    <n v="851033.0199999999"/>
    <n v="5000000"/>
    <n v="38293.449999999997"/>
    <s v="Criminal Activity"/>
    <x v="4"/>
    <s v="Company 18"/>
    <n v="73968"/>
    <n v="7"/>
    <n v="1.1479107743999999"/>
    <n v="976909.97302817053"/>
    <n v="938616.52302817057"/>
    <n v="938616.52302817057"/>
    <n v="1"/>
    <n v="2019"/>
  </r>
  <r>
    <d v="2021-11-14T00:00:00"/>
    <s v="Environmental Pollution"/>
    <n v="523987.21"/>
    <s v="Open"/>
    <n v="549880.48"/>
    <n v="5000000"/>
    <n v="25893.27"/>
    <s v="Natural Disaster"/>
    <x v="1"/>
    <s v="Company 10"/>
    <n v="114665"/>
    <n v="2"/>
    <n v="1.071612"/>
    <n v="589258.52093375998"/>
    <n v="563365.25093375996"/>
    <n v="563365.25093375996"/>
    <n v="1"/>
    <n v="2021"/>
  </r>
  <r>
    <d v="2023-02-28T00:00:00"/>
    <s v="Cargo Liability"/>
    <n v="392873.65"/>
    <s v="Closed"/>
    <n v="424721.10000000003"/>
    <n v="2000000"/>
    <n v="31847.45"/>
    <s v="Technical Failure"/>
    <x v="2"/>
    <s v="Company 4"/>
    <n v="17231"/>
    <n v="5"/>
    <n v="1.03"/>
    <n v="437462.73300000007"/>
    <n v="405615.28300000005"/>
    <n v="405615.28300000005"/>
    <n v="1"/>
    <n v="2023"/>
  </r>
  <r>
    <d v="2020-07-21T00:00:00"/>
    <s v="Injury to Third Parties"/>
    <n v="539278.54"/>
    <s v="Closed"/>
    <n v="557573.29"/>
    <n v="5000000"/>
    <n v="18294.75"/>
    <s v="Human Error"/>
    <x v="3"/>
    <s v="Company 15"/>
    <n v="54881"/>
    <n v="3"/>
    <n v="1.1037603600000001"/>
    <n v="615427.29529678449"/>
    <n v="597132.54529678449"/>
    <n v="597132.54529678449"/>
    <n v="1"/>
    <n v="2020"/>
  </r>
  <r>
    <d v="2018-03-19T00:00:00"/>
    <s v="Collision Liability"/>
    <n v="283973.44"/>
    <s v="Open"/>
    <n v="300456.98"/>
    <n v="2000000"/>
    <n v="16483.54"/>
    <s v="Human Error"/>
    <x v="0"/>
    <s v="Company 9"/>
    <n v="22828"/>
    <n v="4"/>
    <n v="1.2053063131199999"/>
    <n v="362142.69481496955"/>
    <n v="345659.15481496957"/>
    <n v="345659.15481496957"/>
    <n v="1"/>
    <n v="2018"/>
  </r>
  <r>
    <d v="2022-06-26T00:00:00"/>
    <s v="Damage to Other Vessels"/>
    <n v="482839.65"/>
    <s v="Closed"/>
    <n v="518138.29000000004"/>
    <n v="5000000"/>
    <n v="35298.639999999999"/>
    <s v="Criminal Activity"/>
    <x v="4"/>
    <s v="Company 7"/>
    <n v="24127"/>
    <n v="1"/>
    <n v="1.0506"/>
    <n v="544356.08747400006"/>
    <n v="509057.44747400004"/>
    <n v="509057.44747400004"/>
    <n v="1"/>
    <n v="2022"/>
  </r>
  <r>
    <d v="2021-10-03T00:00:00"/>
    <s v="Environmental Pollution"/>
    <n v="683482.94"/>
    <s v="In Litigation"/>
    <n v="716430.78999999992"/>
    <n v="5000000"/>
    <n v="32947.85"/>
    <s v="Natural Disaster"/>
    <x v="1"/>
    <s v="Company 3"/>
    <n v="69790"/>
    <n v="6"/>
    <n v="1.071612"/>
    <n v="767735.83173347998"/>
    <n v="734787.98173348"/>
    <n v="734787.98173348"/>
    <n v="1"/>
    <n v="2021"/>
  </r>
  <r>
    <d v="2020-01-17T00:00:00"/>
    <s v="Cargo Liability"/>
    <n v="783948.23"/>
    <s v="Closed"/>
    <n v="813530.62"/>
    <n v="5000000"/>
    <n v="29582.39"/>
    <s v="Technical Failure"/>
    <x v="2"/>
    <s v="Company 14"/>
    <n v="52575"/>
    <n v="2"/>
    <n v="1.1037603600000001"/>
    <n v="897942.85000222328"/>
    <n v="868360.46000222326"/>
    <n v="868360.46000222326"/>
    <n v="1"/>
    <n v="2020"/>
  </r>
  <r>
    <d v="2019-04-05T00:00:00"/>
    <s v="Injury to Third Parties"/>
    <n v="239582.74"/>
    <s v="Closed"/>
    <n v="260976.97"/>
    <n v="1000000"/>
    <n v="21394.23"/>
    <s v="Human Error"/>
    <x v="0"/>
    <s v="Company 2"/>
    <n v="12488"/>
    <n v="7"/>
    <n v="1.1479107743999999"/>
    <n v="299578.27573326556"/>
    <n v="278184.04573326558"/>
    <n v="278184.04573326558"/>
    <n v="1"/>
    <n v="2019"/>
  </r>
  <r>
    <d v="2022-12-21T00:00:00"/>
    <s v="Collision Liability"/>
    <n v="294738.48"/>
    <s v="Closed"/>
    <n v="313686.01"/>
    <n v="2000000"/>
    <n v="18947.53"/>
    <s v="Technical Failure"/>
    <x v="4"/>
    <s v="Company 8"/>
    <n v="63556"/>
    <n v="4"/>
    <n v="1.0506"/>
    <n v="329558.52210599999"/>
    <n v="310610.99210599996"/>
    <n v="310610.99210599996"/>
    <n v="1"/>
    <n v="2022"/>
  </r>
  <r>
    <d v="2021-02-03T00:00:00"/>
    <s v="Damage to Other Vessels"/>
    <n v="583948.29"/>
    <s v="Closed"/>
    <n v="613232.67000000004"/>
    <n v="5000000"/>
    <n v="29284.38"/>
    <s v="Criminal Activity"/>
    <x v="3"/>
    <s v="Company 13"/>
    <n v="51796"/>
    <n v="9"/>
    <n v="1.071612"/>
    <n v="657147.48796404002"/>
    <n v="627863.10796404001"/>
    <n v="627863.10796404001"/>
    <n v="1"/>
    <n v="2021"/>
  </r>
  <r>
    <d v="2020-03-12T00:00:00"/>
    <s v="Environmental Pollution"/>
    <n v="784839.21"/>
    <s v="Open"/>
    <n v="823786.49"/>
    <n v="5000000"/>
    <n v="38947.279999999999"/>
    <s v="Natural Disaster"/>
    <x v="1"/>
    <s v="Company 5"/>
    <n v="106364"/>
    <n v="3"/>
    <n v="1.1037603600000001"/>
    <n v="909262.87276553642"/>
    <n v="870315.59276553639"/>
    <n v="870315.59276553639"/>
    <n v="1"/>
    <n v="2020"/>
  </r>
  <r>
    <d v="2023-07-08T00:00:00"/>
    <s v="Cargo Liability"/>
    <n v="398483.65"/>
    <s v="Closed"/>
    <n v="427431.03"/>
    <n v="2000000"/>
    <n v="28947.38"/>
    <s v="Technical Failure"/>
    <x v="2"/>
    <s v="Company 11"/>
    <n v="69097"/>
    <n v="6"/>
    <n v="1.03"/>
    <n v="440253.96090000006"/>
    <n v="411306.58090000006"/>
    <n v="411306.58090000006"/>
    <n v="1"/>
    <n v="2023"/>
  </r>
  <r>
    <d v="2018-09-23T00:00:00"/>
    <s v="Injury to Third Parties"/>
    <n v="485739.23"/>
    <s v="Closed"/>
    <n v="503135.07"/>
    <n v="5000000"/>
    <n v="17395.84"/>
    <s v="Human Error"/>
    <x v="4"/>
    <s v="Company 17"/>
    <n v="5570"/>
    <n v="8"/>
    <n v="1.2053063131199999"/>
    <n v="606431.87622307311"/>
    <n v="589036.03622307314"/>
    <n v="589036.03622307314"/>
    <n v="1"/>
    <n v="2018"/>
  </r>
  <r>
    <d v="2019-11-15T00:00:00"/>
    <s v="Collision Liability"/>
    <n v="593849.48"/>
    <s v="Open"/>
    <n v="632797.05999999994"/>
    <n v="5000000"/>
    <n v="38947.58"/>
    <s v="Technical Failure"/>
    <x v="0"/>
    <s v="Company 4"/>
    <n v="28954"/>
    <n v="2"/>
    <n v="1.1479107743999999"/>
    <n v="726394.56318264315"/>
    <n v="687446.98318264319"/>
    <n v="687446.98318264319"/>
    <n v="1"/>
    <n v="2019"/>
  </r>
  <r>
    <d v="2022-08-12T00:00:00"/>
    <s v="Damage to Other Vessels"/>
    <n v="683849.75"/>
    <s v="Closed"/>
    <n v="716797.2"/>
    <n v="5000000"/>
    <n v="32947.449999999997"/>
    <s v="Criminal Activity"/>
    <x v="3"/>
    <s v="Company 7"/>
    <n v="67059"/>
    <n v="3"/>
    <n v="1.0506"/>
    <n v="753067.13831999991"/>
    <n v="720119.68831999996"/>
    <n v="720119.68831999996"/>
    <n v="1"/>
    <n v="2022"/>
  </r>
  <r>
    <d v="2021-05-23T00:00:00"/>
    <s v="Environmental Pollution"/>
    <n v="792483.56"/>
    <s v="Open"/>
    <n v="827431.81"/>
    <n v="5000000"/>
    <n v="34948.25"/>
    <s v="Natural Disaster"/>
    <x v="1"/>
    <s v="Company 8"/>
    <n v="91290"/>
    <n v="7"/>
    <n v="1.071612"/>
    <n v="886685.85677772004"/>
    <n v="851737.60677772004"/>
    <n v="851737.60677772004"/>
    <n v="1"/>
    <n v="2021"/>
  </r>
  <r>
    <d v="2020-10-17T00:00:00"/>
    <s v="Cargo Liability"/>
    <n v="594837.93999999994"/>
    <s v="Closed"/>
    <n v="623785.5"/>
    <n v="5000000"/>
    <n v="28947.56"/>
    <s v="Technical Failure"/>
    <x v="2"/>
    <s v="Company 10"/>
    <n v="66652"/>
    <n v="4"/>
    <n v="1.1037603600000001"/>
    <n v="688509.70804278005"/>
    <n v="659562.14804278"/>
    <n v="659562.14804278"/>
    <n v="1"/>
    <n v="2020"/>
  </r>
  <r>
    <d v="2023-03-13T00:00:00"/>
    <s v="Injury to Third Parties"/>
    <n v="472839.28"/>
    <s v="Closed"/>
    <n v="494777.76"/>
    <n v="5000000"/>
    <n v="21938.48"/>
    <s v="Human Error"/>
    <x v="4"/>
    <s v="Company 3"/>
    <n v="50028"/>
    <n v="6"/>
    <n v="1.03"/>
    <n v="509621.09280000004"/>
    <n v="487682.61280000006"/>
    <n v="487682.61280000006"/>
    <n v="1"/>
    <n v="2023"/>
  </r>
  <r>
    <d v="2018-12-05T00:00:00"/>
    <s v="Collision Liability"/>
    <n v="592483.44999999995"/>
    <s v="Open"/>
    <n v="625430.82999999996"/>
    <n v="2000000"/>
    <n v="32947.379999999997"/>
    <s v="Technical Failure"/>
    <x v="1"/>
    <s v="Company 9"/>
    <n v="45036"/>
    <n v="5"/>
    <n v="1.2053063131199999"/>
    <n v="753835.72781888139"/>
    <n v="720888.34781888139"/>
    <n v="720888.34781888139"/>
    <n v="1"/>
    <n v="2018"/>
  </r>
  <r>
    <d v="2019-06-29T00:00:00"/>
    <s v="Damage to Other Vessels"/>
    <n v="839483.29"/>
    <s v="Closed"/>
    <n v="877431.67"/>
    <n v="5000000"/>
    <n v="37948.379999999997"/>
    <s v="Criminal Activity"/>
    <x v="3"/>
    <s v="Company 6"/>
    <n v="56071"/>
    <n v="3"/>
    <n v="1.1479107743999999"/>
    <n v="1007213.2677927852"/>
    <n v="969264.88779278519"/>
    <n v="969264.88779278519"/>
    <n v="1"/>
    <n v="2019"/>
  </r>
  <r>
    <d v="2022-09-17T00:00:00"/>
    <s v="Environmental Pollution"/>
    <n v="839483.58"/>
    <s v="Open"/>
    <n v="878431.02999999991"/>
    <n v="5000000"/>
    <n v="38947.449999999997"/>
    <s v="Natural Disaster"/>
    <x v="4"/>
    <s v="Company 11"/>
    <n v="105551"/>
    <n v="4"/>
    <n v="1.0506"/>
    <n v="922879.64011799986"/>
    <n v="883932.19011799991"/>
    <n v="883932.19011799991"/>
    <n v="1"/>
    <n v="2022"/>
  </r>
  <r>
    <d v="2021-01-11T00:00:00"/>
    <s v="Cargo Liability"/>
    <n v="793849.23"/>
    <s v="Closed"/>
    <n v="823331.71"/>
    <n v="5000000"/>
    <n v="29482.48"/>
    <s v="Technical Failure"/>
    <x v="2"/>
    <s v="Company 13"/>
    <n v="20275"/>
    <n v="7"/>
    <n v="1.071612"/>
    <n v="882292.14041651995"/>
    <n v="852809.66041651997"/>
    <n v="852809.66041651997"/>
    <n v="1"/>
    <n v="2021"/>
  </r>
  <r>
    <d v="2020-04-25T00:00:00"/>
    <s v="Injury to Third Parties"/>
    <n v="473839.25"/>
    <s v="Closed"/>
    <n v="501321.63"/>
    <n v="5000000"/>
    <n v="27482.38"/>
    <s v="Human Error"/>
    <x v="3"/>
    <s v="Company 15"/>
    <n v="33793"/>
    <n v="6"/>
    <n v="1.1037603600000001"/>
    <n v="553338.94280458684"/>
    <n v="525856.56280458684"/>
    <n v="525856.56280458684"/>
    <n v="1"/>
    <n v="2020"/>
  </r>
  <r>
    <d v="2019-03-19T00:00:00"/>
    <s v="Collision Liability"/>
    <n v="573849.48"/>
    <s v="Open"/>
    <n v="606697.05999999994"/>
    <n v="5000000"/>
    <n v="32847.58"/>
    <s v="Technical Failure"/>
    <x v="0"/>
    <s v="Company 8"/>
    <n v="75222"/>
    <n v="3"/>
    <n v="1.1479107743999999"/>
    <n v="696434.0919708031"/>
    <n v="663586.51197080314"/>
    <n v="663586.51197080314"/>
    <n v="1"/>
    <n v="2019"/>
  </r>
  <r>
    <d v="2023-02-02T00:00:00"/>
    <s v="Damage to Other Vessels"/>
    <n v="683849.75"/>
    <s v="Closed"/>
    <n v="716797.2"/>
    <n v="5000000"/>
    <n v="32947.449999999997"/>
    <s v="Criminal Activity"/>
    <x v="1"/>
    <s v="Company 1"/>
    <n v="82007"/>
    <n v="2"/>
    <n v="1.03"/>
    <n v="738301.11599999992"/>
    <n v="705353.66599999997"/>
    <n v="705353.66599999997"/>
    <n v="1"/>
    <n v="2023"/>
  </r>
  <r>
    <d v="2022-07-11T00:00:00"/>
    <s v="Environmental Pollution"/>
    <n v="683849.45"/>
    <s v="Open"/>
    <n v="713331.89999999991"/>
    <n v="5000000"/>
    <n v="29482.45"/>
    <s v="Natural Disaster"/>
    <x v="2"/>
    <s v="Company 7"/>
    <n v="82650"/>
    <n v="4"/>
    <n v="1.0506"/>
    <n v="749426.49413999985"/>
    <n v="719944.0441399999"/>
    <n v="719944.0441399999"/>
    <n v="1"/>
    <n v="2022"/>
  </r>
  <r>
    <d v="2021-06-22T00:00:00"/>
    <s v="Cargo Liability"/>
    <n v="573839.54"/>
    <s v="Closed"/>
    <n v="601678.92000000004"/>
    <n v="5000000"/>
    <n v="27839.38"/>
    <s v="Technical Failure"/>
    <x v="4"/>
    <s v="Company 14"/>
    <n v="30358"/>
    <n v="5"/>
    <n v="1.071612"/>
    <n v="644766.35081904009"/>
    <n v="616926.97081904009"/>
    <n v="616926.97081904009"/>
    <n v="1"/>
    <n v="2021"/>
  </r>
  <r>
    <d v="2020-01-27T00:00:00"/>
    <s v="Injury to Third Parties"/>
    <n v="572839.44999999995"/>
    <s v="Closed"/>
    <n v="605786.89999999991"/>
    <n v="5000000"/>
    <n v="32947.449999999997"/>
    <s v="Human Error"/>
    <x v="3"/>
    <s v="Company 6"/>
    <n v="31745"/>
    <n v="3"/>
    <n v="1.1037603600000001"/>
    <n v="668643.56682728394"/>
    <n v="635696.11682728399"/>
    <n v="635696.11682728399"/>
    <n v="1"/>
    <n v="2020"/>
  </r>
  <r>
    <d v="2019-05-08T00:00:00"/>
    <s v="Injury to Third Parties"/>
    <n v="472839.38"/>
    <s v="Open"/>
    <n v="502313.22000000003"/>
    <n v="2000000"/>
    <n v="29473.84"/>
    <s v="Technical Failure"/>
    <x v="2"/>
    <s v="Company 16"/>
    <n v="39945"/>
    <n v="4"/>
    <n v="1.1479107743999999"/>
    <n v="576610.75736155757"/>
    <n v="547136.9173615576"/>
    <n v="547136.9173615576"/>
    <n v="1"/>
    <n v="2019"/>
  </r>
  <r>
    <d v="2023-04-19T00:00:00"/>
    <s v="Collision Liability"/>
    <n v="573849.48"/>
    <s v="Closed"/>
    <n v="606697.05999999994"/>
    <n v="5000000"/>
    <n v="32847.58"/>
    <s v="Technical Failure"/>
    <x v="4"/>
    <s v="Company 7"/>
    <n v="58081"/>
    <n v="3"/>
    <n v="1.03"/>
    <n v="624897.97179999994"/>
    <n v="592050.39179999998"/>
    <n v="592050.39179999998"/>
    <n v="1"/>
    <n v="2023"/>
  </r>
  <r>
    <d v="2021-10-12T00:00:00"/>
    <s v="Damage to Other Vessels"/>
    <n v="683849.75"/>
    <s v="Closed"/>
    <n v="721798.13"/>
    <n v="5000000"/>
    <n v="37948.379999999997"/>
    <s v="Criminal Activity"/>
    <x v="3"/>
    <s v="Company 19"/>
    <n v="20489"/>
    <n v="5"/>
    <n v="1.071612"/>
    <n v="773487.53768556006"/>
    <n v="735539.15768556006"/>
    <n v="735539.15768556006"/>
    <n v="1"/>
    <n v="2021"/>
  </r>
  <r>
    <d v="2022-03-28T00:00:00"/>
    <s v="Environmental Pollution"/>
    <n v="739849.45"/>
    <s v="Open"/>
    <n v="778796.89999999991"/>
    <n v="5000000"/>
    <n v="38947.449999999997"/>
    <s v="Natural Disaster"/>
    <x v="0"/>
    <s v="Company 5"/>
    <n v="69795"/>
    <n v="3"/>
    <n v="1.0506"/>
    <n v="818204.02313999983"/>
    <n v="779256.57313999988"/>
    <n v="779256.57313999988"/>
    <n v="1"/>
    <n v="2022"/>
  </r>
  <r>
    <d v="2020-08-04T00:00:00"/>
    <s v="Cargo Liability"/>
    <n v="573839.54"/>
    <s v="Closed"/>
    <n v="601678.92000000004"/>
    <n v="5000000"/>
    <n v="27839.38"/>
    <s v="Technical Failure"/>
    <x v="1"/>
    <s v="Company 20"/>
    <n v="18162"/>
    <n v="6"/>
    <n v="1.1037603600000001"/>
    <n v="664109.34134361136"/>
    <n v="636269.96134361136"/>
    <n v="636269.96134361136"/>
    <n v="1"/>
    <n v="2020"/>
  </r>
  <r>
    <d v="2018-06-17T00:00:00"/>
    <s v="Injury to Third Parties"/>
    <n v="572839.44999999995"/>
    <s v="Closed"/>
    <n v="605786.89999999991"/>
    <n v="5000000"/>
    <n v="32947.449999999997"/>
    <s v="Human Error"/>
    <x v="4"/>
    <s v="Company 9"/>
    <n v="46989"/>
    <n v="3"/>
    <n v="1.2053063131199999"/>
    <n v="730158.77497539402"/>
    <n v="697211.32497539406"/>
    <n v="697211.32497539406"/>
    <n v="1"/>
    <n v="2018"/>
  </r>
  <r>
    <d v="2023-05-22T00:00:00"/>
    <s v="Collision Liability"/>
    <n v="793849.23"/>
    <s v="Open"/>
    <n v="823331.71"/>
    <n v="5000000"/>
    <n v="29482.48"/>
    <s v="Technical Failure"/>
    <x v="3"/>
    <s v="Company 12"/>
    <n v="75318"/>
    <n v="4"/>
    <n v="1.03"/>
    <n v="848031.66130000004"/>
    <n v="818549.18130000005"/>
    <n v="818549.18130000005"/>
    <n v="1"/>
    <n v="2023"/>
  </r>
  <r>
    <d v="2021-07-06T00:00:00"/>
    <s v="Damage to Other Vessels"/>
    <n v="573849.48"/>
    <s v="Closed"/>
    <n v="606697.05999999994"/>
    <n v="5000000"/>
    <n v="32847.58"/>
    <s v="Criminal Activity"/>
    <x v="0"/>
    <s v="Company 14"/>
    <n v="31977"/>
    <n v="3"/>
    <n v="1.071612"/>
    <n v="650143.84986071999"/>
    <n v="617296.26986072003"/>
    <n v="617296.26986072003"/>
    <n v="1"/>
    <n v="2021"/>
  </r>
  <r>
    <d v="2020-02-18T00:00:00"/>
    <s v="Environmental Pollution"/>
    <n v="572839.44999999995"/>
    <s v="Closed"/>
    <n v="605786.89999999991"/>
    <n v="5000000"/>
    <n v="32947.449999999997"/>
    <s v="Natural Disaster"/>
    <x v="2"/>
    <s v="Company 8"/>
    <n v="70447"/>
    <n v="6"/>
    <n v="1.1037603600000001"/>
    <n v="668643.56682728394"/>
    <n v="635696.11682728399"/>
    <n v="635696.11682728399"/>
    <n v="1"/>
    <n v="2020"/>
  </r>
  <r>
    <d v="2022-09-14T00:00:00"/>
    <s v="Cargo Liability"/>
    <n v="573839.54"/>
    <s v="Open"/>
    <n v="601678.92000000004"/>
    <n v="5000000"/>
    <n v="27839.38"/>
    <s v="Technical Failure"/>
    <x v="1"/>
    <s v="Company 11"/>
    <n v="31094"/>
    <n v="3"/>
    <n v="1.0506"/>
    <n v="632123.87335200002"/>
    <n v="604284.49335200002"/>
    <n v="604284.49335200002"/>
    <n v="1"/>
    <n v="2022"/>
  </r>
  <r>
    <d v="2023-03-07T00:00:00"/>
    <s v="Injury to Third Parties"/>
    <n v="473839.25"/>
    <s v="Closed"/>
    <n v="501321.63"/>
    <n v="2000000"/>
    <n v="27482.38"/>
    <s v="Human Error"/>
    <x v="4"/>
    <s v="Company 2"/>
    <n v="9880"/>
    <n v="5"/>
    <n v="1.03"/>
    <n v="516361.27890000003"/>
    <n v="488878.89890000003"/>
    <n v="488878.89890000003"/>
    <n v="1"/>
    <n v="2023"/>
  </r>
  <r>
    <d v="2021-12-01T00:00:00"/>
    <s v="Collision Liability"/>
    <n v="573849.48"/>
    <s v="Closed"/>
    <n v="606697.05999999994"/>
    <n v="5000000"/>
    <n v="32847.58"/>
    <s v="Technical Failure"/>
    <x v="3"/>
    <s v="Company 17"/>
    <n v="61444"/>
    <n v="7"/>
    <n v="1.071612"/>
    <n v="650143.84986071999"/>
    <n v="617296.26986072003"/>
    <n v="617296.26986072003"/>
    <n v="1"/>
    <n v="2021"/>
  </r>
  <r>
    <d v="2020-06-05T00:00:00"/>
    <s v="Damage to Other Vessels"/>
    <n v="683849.75"/>
    <s v="Closed"/>
    <n v="721798.13"/>
    <n v="5000000"/>
    <n v="37948.379999999997"/>
    <s v="Criminal Activity"/>
    <x v="0"/>
    <s v="Company 1"/>
    <n v="27733"/>
    <n v="3"/>
    <n v="1.1037603600000001"/>
    <n v="796692.16381612688"/>
    <n v="758743.78381612687"/>
    <n v="758743.78381612687"/>
    <n v="1"/>
    <n v="2020"/>
  </r>
  <r>
    <d v="2019-08-30T00:00:00"/>
    <s v="Environmental Pollution"/>
    <n v="739849.45"/>
    <s v="Open"/>
    <n v="778796.89999999991"/>
    <n v="5000000"/>
    <n v="38947.449999999997"/>
    <s v="Natural Disaster"/>
    <x v="2"/>
    <s v="Company 13"/>
    <n v="52088"/>
    <n v="4"/>
    <n v="1.1479107743999999"/>
    <n v="893989.35257931915"/>
    <n v="855041.9025793192"/>
    <n v="855041.9025793192"/>
    <n v="1"/>
    <n v="2019"/>
  </r>
  <r>
    <d v="2018-11-22T00:00:00"/>
    <s v="Cargo Liability"/>
    <n v="573839.54"/>
    <s v="Closed"/>
    <n v="601678.92000000004"/>
    <n v="5000000"/>
    <n v="27839.38"/>
    <s v="Technical Failure"/>
    <x v="1"/>
    <s v="Company 18"/>
    <n v="32350"/>
    <n v="5"/>
    <n v="1.2053063131199999"/>
    <n v="725207.40074722341"/>
    <n v="697368.0207472234"/>
    <n v="697368.0207472234"/>
    <n v="1"/>
    <n v="2018"/>
  </r>
  <r>
    <d v="2023-01-29T00:00:00"/>
    <s v="Injury to Third Parties"/>
    <n v="572839.44999999995"/>
    <s v="Closed"/>
    <n v="605786.89999999991"/>
    <n v="5000000"/>
    <n v="32947.449999999997"/>
    <s v="Human Error"/>
    <x v="4"/>
    <s v="Company 16"/>
    <n v="11163"/>
    <n v="6"/>
    <n v="1.03"/>
    <n v="623960.50699999987"/>
    <n v="591013.05699999991"/>
    <n v="591013.05699999991"/>
    <n v="1"/>
    <n v="2023"/>
  </r>
  <r>
    <d v="2021-04-10T00:00:00"/>
    <s v="Collision Liability"/>
    <n v="793849.23"/>
    <s v="Open"/>
    <n v="823331.71"/>
    <n v="5000000"/>
    <n v="29482.48"/>
    <s v="Technical Failure"/>
    <x v="3"/>
    <s v="Company 7"/>
    <n v="42140"/>
    <n v="4"/>
    <n v="1.071612"/>
    <n v="882292.14041651995"/>
    <n v="852809.66041651997"/>
    <n v="852809.66041651997"/>
    <n v="1"/>
    <n v="2021"/>
  </r>
  <r>
    <d v="2020-07-20T00:00:00"/>
    <s v="Damage to Other Vessels"/>
    <n v="573849.48"/>
    <s v="Closed"/>
    <n v="606697.05999999994"/>
    <n v="5000000"/>
    <n v="32847.58"/>
    <s v="Criminal Activity"/>
    <x v="0"/>
    <s v="Company 4"/>
    <n v="83393"/>
    <n v="3"/>
    <n v="1.1037603600000001"/>
    <n v="669648.16535654163"/>
    <n v="636800.58535654168"/>
    <n v="636800.58535654168"/>
    <n v="1"/>
    <n v="2020"/>
  </r>
  <r>
    <d v="2019-02-24T00:00:00"/>
    <s v="Environmental Pollution"/>
    <n v="572839.44999999995"/>
    <s v="Closed"/>
    <n v="605786.89999999991"/>
    <n v="5000000"/>
    <n v="32947.449999999997"/>
    <s v="Natural Disaster"/>
    <x v="1"/>
    <s v="Company 6"/>
    <n v="74227"/>
    <n v="5"/>
    <n v="1.1479107743999999"/>
    <n v="695389.30950037518"/>
    <n v="662441.85950037523"/>
    <n v="662441.85950037523"/>
    <n v="1"/>
    <n v="2019"/>
  </r>
  <r>
    <d v="2022-11-19T00:00:00"/>
    <s v="Cargo Liability"/>
    <n v="573839.54"/>
    <s v="Open"/>
    <n v="601678.92000000004"/>
    <n v="5000000"/>
    <n v="27839.38"/>
    <s v="Technical Failure"/>
    <x v="2"/>
    <s v="Company 5"/>
    <n v="12394"/>
    <n v="3"/>
    <n v="1.0506"/>
    <n v="632123.87335200002"/>
    <n v="604284.49335200002"/>
    <n v="604284.49335200002"/>
    <n v="1"/>
    <n v="2022"/>
  </r>
  <r>
    <d v="2023-06-14T00:00:00"/>
    <s v="Injury to Third Parties"/>
    <n v="473839.25"/>
    <s v="Closed"/>
    <n v="501321.63"/>
    <n v="2000000"/>
    <n v="27482.38"/>
    <s v="Human Error"/>
    <x v="4"/>
    <s v="Company 9"/>
    <n v="45306"/>
    <n v="7"/>
    <n v="1.03"/>
    <n v="516361.27890000003"/>
    <n v="488878.89890000003"/>
    <n v="488878.89890000003"/>
    <n v="1"/>
    <n v="2023"/>
  </r>
  <r>
    <d v="2021-08-11T00:00:00"/>
    <s v="Collision Liability"/>
    <n v="573849.48"/>
    <s v="Closed"/>
    <n v="606697.05999999994"/>
    <n v="5000000"/>
    <n v="32847.58"/>
    <s v="Technical Failure"/>
    <x v="3"/>
    <s v="Company 11"/>
    <n v="57410"/>
    <n v="4"/>
    <n v="1.071612"/>
    <n v="650143.84986071999"/>
    <n v="617296.26986072003"/>
    <n v="617296.26986072003"/>
    <n v="1"/>
    <n v="2021"/>
  </r>
  <r>
    <d v="2020-12-21T00:00:00"/>
    <s v="Damage to Other Vessels"/>
    <n v="683849.75"/>
    <s v="Closed"/>
    <n v="721798.13"/>
    <n v="5000000"/>
    <n v="37948.379999999997"/>
    <s v="Criminal Activity"/>
    <x v="0"/>
    <s v="Company 3"/>
    <n v="54895"/>
    <n v="5"/>
    <n v="1.1037603600000001"/>
    <n v="796692.16381612688"/>
    <n v="758743.78381612687"/>
    <n v="758743.78381612687"/>
    <n v="1"/>
    <n v="2020"/>
  </r>
  <r>
    <d v="2022-05-23T00:00:00"/>
    <s v="Environmental Pollution"/>
    <n v="739849.45"/>
    <s v="Open"/>
    <n v="778796.89999999991"/>
    <n v="5000000"/>
    <n v="38947.449999999997"/>
    <s v="Natural Disaster"/>
    <x v="2"/>
    <s v="Company 17"/>
    <n v="105391"/>
    <n v="6"/>
    <n v="1.0506"/>
    <n v="818204.02313999983"/>
    <n v="779256.57313999988"/>
    <n v="779256.57313999988"/>
    <n v="1"/>
    <n v="2022"/>
  </r>
  <r>
    <d v="2019-09-18T00:00:00"/>
    <s v="Cargo Liability"/>
    <n v="573839.54"/>
    <s v="Closed"/>
    <n v="601678.92000000004"/>
    <n v="5000000"/>
    <n v="27839.38"/>
    <s v="Technical Failure"/>
    <x v="1"/>
    <s v="Company 14"/>
    <n v="22066"/>
    <n v="3"/>
    <n v="1.1479107743999999"/>
    <n v="690673.71499735559"/>
    <n v="662834.33499735559"/>
    <n v="662834.33499735559"/>
    <n v="1"/>
    <n v="2019"/>
  </r>
  <r>
    <d v="2023-07-02T00:00:00"/>
    <s v="Injury to Third Parties"/>
    <n v="572839.44999999995"/>
    <s v="Closed"/>
    <n v="605786.89999999991"/>
    <n v="5000000"/>
    <n v="32947.449999999997"/>
    <s v="Human Error"/>
    <x v="4"/>
    <s v="Company 15"/>
    <n v="6497"/>
    <n v="4"/>
    <n v="1.03"/>
    <n v="623960.50699999987"/>
    <n v="591013.05699999991"/>
    <n v="591013.05699999991"/>
    <n v="1"/>
    <n v="2023"/>
  </r>
  <r>
    <d v="2021-03-26T00:00:00"/>
    <s v="Collision Liability"/>
    <n v="793849.23"/>
    <s v="Open"/>
    <n v="823331.71"/>
    <n v="5000000"/>
    <n v="29482.48"/>
    <s v="Technical Failure"/>
    <x v="3"/>
    <s v="Company 16"/>
    <n v="67415"/>
    <n v="3"/>
    <n v="1.071612"/>
    <n v="882292.14041651995"/>
    <n v="852809.66041651997"/>
    <n v="852809.66041651997"/>
    <n v="1"/>
    <n v="2021"/>
  </r>
  <r>
    <d v="2020-02-29T00:00:00"/>
    <s v="Damage to Other Vessels"/>
    <n v="573849.48"/>
    <s v="Closed"/>
    <n v="606697.05999999994"/>
    <n v="5000000"/>
    <n v="32847.58"/>
    <s v="Criminal Activity"/>
    <x v="0"/>
    <s v="Company 7"/>
    <n v="49225"/>
    <n v="6"/>
    <n v="1.1037603600000001"/>
    <n v="669648.16535654163"/>
    <n v="636800.58535654168"/>
    <n v="636800.58535654168"/>
    <n v="1"/>
    <n v="2020"/>
  </r>
  <r>
    <d v="2019-01-16T00:00:00"/>
    <s v="Environmental Pollution"/>
    <n v="572839.44999999995"/>
    <s v="Closed"/>
    <n v="605786.89999999991"/>
    <n v="5000000"/>
    <n v="32947.449999999997"/>
    <s v="Natural Disaster"/>
    <x v="1"/>
    <s v="Company 12"/>
    <n v="79941"/>
    <n v="5"/>
    <n v="1.1479107743999999"/>
    <n v="695389.30950037518"/>
    <n v="662441.85950037523"/>
    <n v="662441.85950037523"/>
    <n v="1"/>
    <n v="2019"/>
  </r>
  <r>
    <d v="2022-04-14T00:00:00"/>
    <s v="Cargo Liability"/>
    <n v="573839.54"/>
    <s v="Open"/>
    <n v="601678.92000000004"/>
    <n v="5000000"/>
    <n v="27839.38"/>
    <s v="Technical Failure"/>
    <x v="2"/>
    <s v="Company 8"/>
    <n v="36532"/>
    <n v="3"/>
    <n v="1.0506"/>
    <n v="632123.87335200002"/>
    <n v="604284.49335200002"/>
    <n v="604284.49335200002"/>
    <n v="1"/>
    <n v="2022"/>
  </r>
  <r>
    <d v="2023-08-01T00:00:00"/>
    <s v="Injury to Third Parties"/>
    <n v="473839.25"/>
    <s v="Closed"/>
    <n v="501321.63"/>
    <n v="2000000"/>
    <n v="27482.38"/>
    <s v="Human Error"/>
    <x v="3"/>
    <s v="Company 19"/>
    <n v="12981"/>
    <n v="4"/>
    <n v="1.03"/>
    <n v="516361.27890000003"/>
    <n v="488878.89890000003"/>
    <n v="488878.89890000003"/>
    <n v="1"/>
    <n v="2023"/>
  </r>
  <r>
    <d v="2022-12-27T00:00:00"/>
    <s v="Environmental Pollution"/>
    <n v="5000000"/>
    <s v="In Litigation"/>
    <n v="5018723.79"/>
    <n v="10000000"/>
    <n v="18723.79"/>
    <s v="Natural Disaster"/>
    <x v="1"/>
    <s v="Company 15"/>
    <n v="95943"/>
    <n v="9"/>
    <n v="1.0506"/>
    <n v="5272671.2137740003"/>
    <n v="5253947.4237740003"/>
    <n v="5253947.4237740003"/>
    <n v="0"/>
    <n v="20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E43766-830B-AD4E-9D5D-9A381551EC51}" name="PivotTable9"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6:D143" firstHeaderRow="0" firstDataRow="1" firstDataCol="1"/>
  <pivotFields count="20">
    <pivotField dataField="1" showAll="0"/>
    <pivotField numFmtId="14" showAll="0"/>
    <pivotField showAll="0"/>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dataField="1" numFmtId="44" showAll="0"/>
    <pivotField showAll="0"/>
    <pivotField axis="axisRow" showAll="0">
      <items count="7">
        <item x="2"/>
        <item x="0"/>
        <item x="1"/>
        <item x="3"/>
        <item x="5"/>
        <item x="4"/>
        <item t="default"/>
      </items>
    </pivotField>
    <pivotField dragToRow="0" dragToCol="0" dragToPage="0" showAll="0" defaultSubtotal="0"/>
  </pivotFields>
  <rowFields count="1">
    <field x="18"/>
  </rowFields>
  <rowItems count="7">
    <i>
      <x/>
    </i>
    <i>
      <x v="1"/>
    </i>
    <i>
      <x v="2"/>
    </i>
    <i>
      <x v="3"/>
    </i>
    <i>
      <x v="4"/>
    </i>
    <i>
      <x v="5"/>
    </i>
    <i t="grand">
      <x/>
    </i>
  </rowItems>
  <colFields count="1">
    <field x="-2"/>
  </colFields>
  <colItems count="2">
    <i>
      <x/>
    </i>
    <i i="1">
      <x v="1"/>
    </i>
  </colItems>
  <dataFields count="2">
    <dataField name="Sum of Capped net adjusted incurred claim" fld="16" baseField="0" baseItem="0" numFmtId="44"/>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B332AC-5175-DA43-8CB9-A0BCFA7F36EC}" name="PivotTable5"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2:I124" firstHeaderRow="1" firstDataRow="2" firstDataCol="1"/>
  <pivotFields count="20">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showAll="0"/>
    <pivotField axis="axisCol" showAll="0">
      <items count="7">
        <item x="2"/>
        <item x="0"/>
        <item x="1"/>
        <item x="3"/>
        <item x="5"/>
        <item x="4"/>
        <item t="default"/>
      </items>
    </pivotField>
    <pivotField dragToRow="0" dragToCol="0" dragToPage="0" showAll="0" defaultSubtotal="0"/>
  </pivotFields>
  <rowItems count="1">
    <i/>
  </rowItems>
  <colFields count="1">
    <field x="18"/>
  </colFields>
  <colItems count="7">
    <i>
      <x/>
    </i>
    <i>
      <x v="1"/>
    </i>
    <i>
      <x v="2"/>
    </i>
    <i>
      <x v="3"/>
    </i>
    <i>
      <x v="4"/>
    </i>
    <i>
      <x v="5"/>
    </i>
    <i t="grand">
      <x/>
    </i>
  </colItems>
  <dataFields count="1">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7399A3-7CD1-4243-B6F6-0AA0115DE797}" name="PivotTable20"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2:G48" firstHeaderRow="1" firstDataRow="1" firstDataCol="1"/>
  <pivotFields count="20">
    <pivotField showAll="0"/>
    <pivotField numFmtId="14" showAll="0"/>
    <pivotField showAll="0"/>
    <pivotField numFmtId="44" showAll="0"/>
    <pivotField showAll="0"/>
    <pivotField numFmtId="44" showAll="0"/>
    <pivotField numFmtId="6" showAll="0"/>
    <pivotField numFmtId="44" showAll="0"/>
    <pivotField showAll="0"/>
    <pivotField axis="axisRow" showAll="0">
      <items count="6">
        <item x="1"/>
        <item x="0"/>
        <item x="2"/>
        <item x="4"/>
        <item x="3"/>
        <item t="default"/>
      </items>
    </pivotField>
    <pivotField showAll="0"/>
    <pivotField showAll="0"/>
    <pivotField showAll="0"/>
    <pivotField showAll="0"/>
    <pivotField numFmtId="44" showAll="0"/>
    <pivotField numFmtId="44" showAll="0"/>
    <pivotField dataField="1" numFmtId="44" showAll="0"/>
    <pivotField showAll="0"/>
    <pivotField showAll="0"/>
    <pivotField dragToRow="0" dragToCol="0" dragToPage="0" showAll="0" defaultSubtotal="0"/>
  </pivotFields>
  <rowFields count="1">
    <field x="9"/>
  </rowFields>
  <rowItems count="6">
    <i>
      <x/>
    </i>
    <i>
      <x v="1"/>
    </i>
    <i>
      <x v="2"/>
    </i>
    <i>
      <x v="3"/>
    </i>
    <i>
      <x v="4"/>
    </i>
    <i t="grand">
      <x/>
    </i>
  </rowItems>
  <colItems count="1">
    <i/>
  </colItems>
  <dataFields count="1">
    <dataField name="Average of Capped net adjusted incurred claim " fld="16"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0BAAEE-6EF5-C443-8EEA-8FDE85EAAD69}" name="PivotTable19"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2:G38" firstHeaderRow="1" firstDataRow="1" firstDataCol="1"/>
  <pivotFields count="20">
    <pivotField dataField="1" showAll="0"/>
    <pivotField numFmtId="14" showAll="0"/>
    <pivotField showAll="0"/>
    <pivotField numFmtId="44" showAll="0"/>
    <pivotField showAll="0"/>
    <pivotField numFmtId="44" showAll="0"/>
    <pivotField numFmtId="6" showAll="0"/>
    <pivotField numFmtId="44" showAll="0"/>
    <pivotField showAll="0"/>
    <pivotField axis="axisRow" showAll="0">
      <items count="6">
        <item x="1"/>
        <item x="0"/>
        <item x="2"/>
        <item x="4"/>
        <item x="3"/>
        <item t="default"/>
      </items>
    </pivotField>
    <pivotField showAll="0"/>
    <pivotField showAll="0"/>
    <pivotField showAll="0"/>
    <pivotField showAll="0"/>
    <pivotField numFmtId="44" showAll="0"/>
    <pivotField numFmtId="44" showAll="0"/>
    <pivotField numFmtId="44" showAll="0"/>
    <pivotField showAll="0"/>
    <pivotField showAll="0"/>
    <pivotField dragToRow="0" dragToCol="0" dragToPage="0" showAll="0" defaultSubtotal="0"/>
  </pivotFields>
  <rowFields count="1">
    <field x="9"/>
  </rowFields>
  <rowItems count="6">
    <i>
      <x/>
    </i>
    <i>
      <x v="1"/>
    </i>
    <i>
      <x v="2"/>
    </i>
    <i>
      <x v="3"/>
    </i>
    <i>
      <x v="4"/>
    </i>
    <i t="grand">
      <x/>
    </i>
  </rowItems>
  <colItems count="1">
    <i/>
  </colItems>
  <dataFields count="1">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0435F2-1AB0-704F-9896-DF8ED14358E2}" name="PivotTable18"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6" firstHeaderRow="1" firstDataRow="1" firstDataCol="1"/>
  <pivotFields count="18">
    <pivotField numFmtId="14" showAll="0"/>
    <pivotField showAll="0"/>
    <pivotField numFmtId="44" showAll="0"/>
    <pivotField showAll="0"/>
    <pivotField numFmtId="44" showAll="0"/>
    <pivotField numFmtId="6" showAll="0"/>
    <pivotField numFmtId="44" showAll="0"/>
    <pivotField showAll="0"/>
    <pivotField axis="axisRow" showAll="0">
      <items count="6">
        <item x="1"/>
        <item x="0"/>
        <item x="2"/>
        <item x="4"/>
        <item x="3"/>
        <item t="default"/>
      </items>
    </pivotField>
    <pivotField showAll="0"/>
    <pivotField showAll="0"/>
    <pivotField showAll="0"/>
    <pivotField showAll="0"/>
    <pivotField numFmtId="44" showAll="0"/>
    <pivotField numFmtId="44" showAll="0"/>
    <pivotField dataField="1" numFmtId="44" showAll="0"/>
    <pivotField showAll="0"/>
    <pivotField showAll="0"/>
  </pivotFields>
  <rowFields count="1">
    <field x="8"/>
  </rowFields>
  <rowItems count="6">
    <i>
      <x/>
    </i>
    <i>
      <x v="1"/>
    </i>
    <i>
      <x v="2"/>
    </i>
    <i>
      <x v="3"/>
    </i>
    <i>
      <x v="4"/>
    </i>
    <i t="grand">
      <x/>
    </i>
  </rowItems>
  <colItems count="1">
    <i/>
  </colItems>
  <dataFields count="1">
    <dataField name="Sum of Capped net adjusted incurred claim " fld="15"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981A64-66DE-F44F-8F16-C2826023CF81}" name="PivotTable17"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1:D88" firstHeaderRow="1" firstDataRow="1" firstDataCol="1"/>
  <pivotFields count="20">
    <pivotField showAll="0"/>
    <pivotField numFmtId="14" showAll="0"/>
    <pivotField showAll="0"/>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dataField="1" numFmtId="44" showAll="0"/>
    <pivotField showAll="0"/>
    <pivotField axis="axisRow" showAll="0">
      <items count="7">
        <item x="2"/>
        <item x="0"/>
        <item x="1"/>
        <item x="3"/>
        <item x="5"/>
        <item x="4"/>
        <item t="default"/>
      </items>
    </pivotField>
    <pivotField dragToRow="0" dragToCol="0" dragToPage="0" showAll="0" defaultSubtotal="0"/>
  </pivotFields>
  <rowFields count="1">
    <field x="18"/>
  </rowFields>
  <rowItems count="7">
    <i>
      <x/>
    </i>
    <i>
      <x v="1"/>
    </i>
    <i>
      <x v="2"/>
    </i>
    <i>
      <x v="3"/>
    </i>
    <i>
      <x v="4"/>
    </i>
    <i>
      <x v="5"/>
    </i>
    <i t="grand">
      <x/>
    </i>
  </rowItems>
  <colItems count="1">
    <i/>
  </colItems>
  <dataFields count="1">
    <dataField name="Sum of Capped net adjusted incurred claim  " fld="16"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3D610E-CC7F-C24A-B4A5-A99E351ACC65}" name="PivotTable1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2:D77" firstHeaderRow="1" firstDataRow="1" firstDataCol="1"/>
  <pivotFields count="20">
    <pivotField showAll="0"/>
    <pivotField numFmtId="14" showAll="0"/>
    <pivotField showAll="0"/>
    <pivotField numFmtId="44" showAll="0"/>
    <pivotField showAll="0"/>
    <pivotField numFmtId="44" showAll="0"/>
    <pivotField numFmtId="6" showAll="0"/>
    <pivotField numFmtId="44" showAll="0"/>
    <pivotField axis="axisRow" showAll="0">
      <items count="5">
        <item x="2"/>
        <item x="0"/>
        <item x="3"/>
        <item x="1"/>
        <item t="default"/>
      </items>
    </pivotField>
    <pivotField showAll="0"/>
    <pivotField showAll="0"/>
    <pivotField showAll="0"/>
    <pivotField showAll="0"/>
    <pivotField showAll="0"/>
    <pivotField numFmtId="44" showAll="0"/>
    <pivotField numFmtId="44" showAll="0"/>
    <pivotField dataField="1" numFmtId="44" showAll="0"/>
    <pivotField showAll="0"/>
    <pivotField showAll="0"/>
    <pivotField dragToRow="0" dragToCol="0" dragToPage="0" showAll="0" defaultSubtotal="0"/>
  </pivotFields>
  <rowFields count="1">
    <field x="8"/>
  </rowFields>
  <rowItems count="5">
    <i>
      <x/>
    </i>
    <i>
      <x v="1"/>
    </i>
    <i>
      <x v="2"/>
    </i>
    <i>
      <x v="3"/>
    </i>
    <i t="grand">
      <x/>
    </i>
  </rowItems>
  <colItems count="1">
    <i/>
  </colItems>
  <dataFields count="1">
    <dataField name="Average of Capped net adjusted incurred claim" fld="16"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24DD48-A82E-6543-9974-AC77B0CD138C}" name="PivotTable15"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3:D68" firstHeaderRow="1" firstDataRow="1" firstDataCol="1"/>
  <pivotFields count="20">
    <pivotField dataField="1" showAll="0"/>
    <pivotField numFmtId="14" showAll="0"/>
    <pivotField showAll="0"/>
    <pivotField numFmtId="44" showAll="0"/>
    <pivotField showAll="0"/>
    <pivotField numFmtId="44" showAll="0"/>
    <pivotField numFmtId="6" showAll="0"/>
    <pivotField numFmtId="44" showAll="0"/>
    <pivotField axis="axisRow"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showAll="0"/>
    <pivotField showAll="0"/>
    <pivotField dragToRow="0" dragToCol="0" dragToPage="0" showAll="0" defaultSubtotal="0"/>
  </pivotFields>
  <rowFields count="1">
    <field x="8"/>
  </rowFields>
  <rowItems count="5">
    <i>
      <x/>
    </i>
    <i>
      <x v="1"/>
    </i>
    <i>
      <x v="2"/>
    </i>
    <i>
      <x v="3"/>
    </i>
    <i t="grand">
      <x/>
    </i>
  </rowItems>
  <colItems count="1">
    <i/>
  </colItems>
  <dataFields count="1">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57120C-00F7-404C-B54F-44AD7DF9EB43}" name="PivotTable1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D59" firstHeaderRow="1" firstDataRow="1" firstDataCol="1"/>
  <pivotFields count="20">
    <pivotField showAll="0"/>
    <pivotField numFmtId="14" showAll="0"/>
    <pivotField showAll="0"/>
    <pivotField numFmtId="44" showAll="0"/>
    <pivotField showAll="0"/>
    <pivotField numFmtId="44" showAll="0"/>
    <pivotField numFmtId="6" showAll="0"/>
    <pivotField numFmtId="44" showAll="0"/>
    <pivotField axis="axisRow" showAll="0">
      <items count="5">
        <item x="2"/>
        <item x="0"/>
        <item x="3"/>
        <item x="1"/>
        <item t="default"/>
      </items>
    </pivotField>
    <pivotField showAll="0"/>
    <pivotField showAll="0"/>
    <pivotField showAll="0"/>
    <pivotField showAll="0"/>
    <pivotField showAll="0"/>
    <pivotField numFmtId="44" showAll="0"/>
    <pivotField numFmtId="44" showAll="0"/>
    <pivotField dataField="1" numFmtId="44" showAll="0"/>
    <pivotField showAll="0"/>
    <pivotField showAll="0"/>
    <pivotField dragToRow="0" dragToCol="0" dragToPage="0" showAll="0" defaultSubtotal="0"/>
  </pivotFields>
  <rowFields count="1">
    <field x="8"/>
  </rowFields>
  <rowItems count="5">
    <i>
      <x/>
    </i>
    <i>
      <x v="1"/>
    </i>
    <i>
      <x v="2"/>
    </i>
    <i>
      <x v="3"/>
    </i>
    <i t="grand">
      <x/>
    </i>
  </rowItems>
  <colItems count="1">
    <i/>
  </colItems>
  <dataFields count="1">
    <dataField name="Sum of Capped net adjusted incurred claim " fld="16"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BC0AC74-F504-4D41-B389-FA2BF33BB76D}" name="PivotTable1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8" firstHeaderRow="1" firstDataRow="1" firstDataCol="1"/>
  <pivotFields count="20">
    <pivotField showAll="0"/>
    <pivotField numFmtId="14" showAll="0"/>
    <pivotField axis="axisRow" showAll="0">
      <items count="6">
        <item x="1"/>
        <item x="0"/>
        <item x="2"/>
        <item x="3"/>
        <item x="4"/>
        <item t="default"/>
      </items>
    </pivotField>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dataField="1" numFmtId="44"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Average of Capped net adjusted incurred claim" fld="16"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50CC96-9152-1948-B773-C48E25DFCF24}" name="PivotTable1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2:D38" firstHeaderRow="1" firstDataRow="1" firstDataCol="1"/>
  <pivotFields count="20">
    <pivotField dataField="1" showAll="0"/>
    <pivotField numFmtId="14" showAll="0"/>
    <pivotField axis="axisRow" showAll="0">
      <items count="6">
        <item x="1"/>
        <item x="0"/>
        <item x="2"/>
        <item x="3"/>
        <item x="4"/>
        <item t="default"/>
      </items>
    </pivotField>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B07C7DC-2272-0446-B319-77D01C3797AA}" name="PivotTable1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D27" firstHeaderRow="1" firstDataRow="1" firstDataCol="1"/>
  <pivotFields count="20">
    <pivotField showAll="0"/>
    <pivotField numFmtId="14" showAll="0"/>
    <pivotField showAll="0"/>
    <pivotField numFmtId="44" showAll="0"/>
    <pivotField showAll="0"/>
    <pivotField numFmtId="44" showAll="0"/>
    <pivotField numFmtId="6" showAll="0"/>
    <pivotField numFmtId="44" showAll="0"/>
    <pivotField showAll="0"/>
    <pivotField showAll="0"/>
    <pivotField showAll="0"/>
    <pivotField showAll="0"/>
    <pivotField showAll="0"/>
    <pivotField showAll="0"/>
    <pivotField dataField="1" numFmtId="44" showAll="0"/>
    <pivotField numFmtId="44" showAll="0"/>
    <pivotField numFmtId="44" showAll="0"/>
    <pivotField showAll="0"/>
    <pivotField axis="axisRow" showAll="0">
      <items count="7">
        <item x="2"/>
        <item x="0"/>
        <item x="1"/>
        <item x="3"/>
        <item x="5"/>
        <item x="4"/>
        <item t="default"/>
      </items>
    </pivotField>
    <pivotField dragToRow="0" dragToCol="0" dragToPage="0" showAll="0" defaultSubtotal="0"/>
  </pivotFields>
  <rowFields count="1">
    <field x="18"/>
  </rowFields>
  <rowItems count="7">
    <i>
      <x/>
    </i>
    <i>
      <x v="1"/>
    </i>
    <i>
      <x v="2"/>
    </i>
    <i>
      <x v="3"/>
    </i>
    <i>
      <x v="4"/>
    </i>
    <i>
      <x v="5"/>
    </i>
    <i t="grand">
      <x/>
    </i>
  </rowItems>
  <colItems count="1">
    <i/>
  </colItems>
  <dataFields count="1">
    <dataField name="Average of Gross inflation adjusted claim" fld="14"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9286B81-EAEE-BF45-9CFE-4F26D3CE8BED}" name="PivotTable10"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7:I24" firstHeaderRow="0" firstDataRow="1" firstDataCol="1"/>
  <pivotFields count="20">
    <pivotField dataField="1" showAll="0"/>
    <pivotField numFmtId="14" showAll="0"/>
    <pivotField showAll="0"/>
    <pivotField numFmtId="44" showAll="0"/>
    <pivotField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dataField="1" numFmtId="44" showAll="0"/>
    <pivotField showAll="0"/>
    <pivotField axis="axisRow" showAll="0">
      <items count="7">
        <item x="2"/>
        <item x="0"/>
        <item x="1"/>
        <item x="3"/>
        <item x="5"/>
        <item x="4"/>
        <item t="default"/>
      </items>
    </pivotField>
    <pivotField dragToRow="0" dragToCol="0" dragToPage="0" showAll="0" defaultSubtotal="0"/>
  </pivotFields>
  <rowFields count="1">
    <field x="18"/>
  </rowFields>
  <rowItems count="7">
    <i>
      <x/>
    </i>
    <i>
      <x v="1"/>
    </i>
    <i>
      <x v="2"/>
    </i>
    <i>
      <x v="3"/>
    </i>
    <i>
      <x v="4"/>
    </i>
    <i>
      <x v="5"/>
    </i>
    <i t="grand">
      <x/>
    </i>
  </rowItems>
  <colFields count="1">
    <field x="-2"/>
  </colFields>
  <colItems count="2">
    <i>
      <x/>
    </i>
    <i i="1">
      <x v="1"/>
    </i>
  </colItems>
  <dataFields count="2">
    <dataField name="Sum of Capped net adjusted incurred claim" fld="16" baseField="0" baseItem="0" numFmtId="44"/>
    <dataField name="Count of Claim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rinterSettings" Target="../printerSettings/printerSettings2.bin"/><Relationship Id="rId5" Type="http://schemas.openxmlformats.org/officeDocument/2006/relationships/pivotTable" Target="../pivotTables/pivotTable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224"/>
  <sheetViews>
    <sheetView zoomScale="90" zoomScaleNormal="80" workbookViewId="0">
      <pane ySplit="1" topLeftCell="A6" activePane="bottomLeft" state="frozen"/>
      <selection pane="bottomLeft" activeCell="E30" sqref="E30"/>
    </sheetView>
  </sheetViews>
  <sheetFormatPr baseColWidth="10" defaultColWidth="10.6640625" defaultRowHeight="16" x14ac:dyDescent="0.2"/>
  <cols>
    <col min="1" max="1" width="12" bestFit="1" customWidth="1"/>
    <col min="2" max="2" width="14.5" bestFit="1" customWidth="1"/>
    <col min="3" max="3" width="39.5" bestFit="1" customWidth="1"/>
    <col min="4" max="4" width="20.6640625" style="3" bestFit="1" customWidth="1"/>
    <col min="5" max="5" width="22" bestFit="1" customWidth="1"/>
    <col min="6" max="6" width="22.5" style="25" bestFit="1" customWidth="1"/>
    <col min="7" max="7" width="19" style="79" bestFit="1" customWidth="1"/>
    <col min="8" max="8" width="17" style="3" bestFit="1" customWidth="1"/>
    <col min="9" max="10" width="16.6640625" bestFit="1" customWidth="1"/>
    <col min="11" max="11" width="12" bestFit="1" customWidth="1"/>
    <col min="12" max="12" width="17.33203125" bestFit="1" customWidth="1"/>
    <col min="13" max="13" width="18" bestFit="1" customWidth="1"/>
    <col min="14" max="14" width="16.83203125" bestFit="1" customWidth="1"/>
    <col min="15" max="15" width="31.6640625" style="26" bestFit="1" customWidth="1"/>
    <col min="16" max="16" width="29.33203125" style="26" bestFit="1" customWidth="1"/>
    <col min="17" max="17" width="32.5" style="27" bestFit="1" customWidth="1"/>
    <col min="18" max="18" width="22.6640625" style="2" bestFit="1" customWidth="1"/>
  </cols>
  <sheetData>
    <row r="1" spans="1:19" s="72" customFormat="1" ht="25" customHeight="1" x14ac:dyDescent="0.2">
      <c r="A1" s="72" t="s">
        <v>81</v>
      </c>
      <c r="B1" s="72" t="s">
        <v>0</v>
      </c>
      <c r="C1" s="72" t="s">
        <v>1</v>
      </c>
      <c r="D1" s="73" t="s">
        <v>162</v>
      </c>
      <c r="E1" s="72" t="s">
        <v>2</v>
      </c>
      <c r="F1" s="74" t="s">
        <v>229</v>
      </c>
      <c r="G1" s="77" t="s">
        <v>3</v>
      </c>
      <c r="H1" s="73" t="s">
        <v>4</v>
      </c>
      <c r="I1" s="72" t="s">
        <v>5</v>
      </c>
      <c r="J1" s="72" t="s">
        <v>6</v>
      </c>
      <c r="K1" s="72" t="s">
        <v>7</v>
      </c>
      <c r="L1" s="72" t="s">
        <v>161</v>
      </c>
      <c r="M1" s="72" t="s">
        <v>8</v>
      </c>
      <c r="N1" s="72" t="s">
        <v>147</v>
      </c>
      <c r="O1" s="75" t="s">
        <v>234</v>
      </c>
      <c r="P1" s="75" t="s">
        <v>235</v>
      </c>
      <c r="Q1" s="76" t="s">
        <v>236</v>
      </c>
      <c r="R1" s="72" t="s">
        <v>237</v>
      </c>
      <c r="S1" s="72" t="s">
        <v>169</v>
      </c>
    </row>
    <row r="2" spans="1:19" x14ac:dyDescent="0.2">
      <c r="A2" t="s">
        <v>9</v>
      </c>
      <c r="B2" s="1">
        <v>43664</v>
      </c>
      <c r="C2" t="s">
        <v>10</v>
      </c>
      <c r="D2" s="3">
        <v>737423.28</v>
      </c>
      <c r="E2" t="s">
        <v>11</v>
      </c>
      <c r="F2" s="25">
        <f>D2+H2</f>
        <v>749769.20000000007</v>
      </c>
      <c r="G2" s="78">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56233</v>
      </c>
      <c r="M2">
        <v>4</v>
      </c>
      <c r="N2">
        <f t="shared" ref="N2:N33" si="1">IF(YEAR(B2)=2023, 1.03,
   IF(YEAR(B2)=2022, 1.0506,
   IF(YEAR(B2)=2021, 1.071612,
   IF(YEAR(B2)=2020, 1.10376036,
   IF(YEAR(B2)=2019, 1.1479107744,
   IF(YEAR(B2)=2018, 1.20530631312, 1))))))</f>
        <v>1.1479107743999999</v>
      </c>
      <c r="O2" s="26">
        <f>F2*N2</f>
        <v>860668.14299326844</v>
      </c>
      <c r="P2" s="26">
        <f>O2-H2</f>
        <v>848322.2229932684</v>
      </c>
      <c r="Q2" s="28">
        <f>MIN( P2,G2)</f>
        <v>848322.2229932684</v>
      </c>
      <c r="R2" s="2">
        <f>IF(Q2&lt;1000000,1,0)</f>
        <v>1</v>
      </c>
      <c r="S2">
        <f t="shared" ref="S2:S33" si="2">YEAR(B2)</f>
        <v>2019</v>
      </c>
    </row>
    <row r="3" spans="1:19" x14ac:dyDescent="0.2">
      <c r="A3" t="s">
        <v>15</v>
      </c>
      <c r="B3" s="1">
        <v>43978</v>
      </c>
      <c r="C3" t="s">
        <v>16</v>
      </c>
      <c r="D3" s="3">
        <v>315189.74</v>
      </c>
      <c r="E3" t="s">
        <v>11</v>
      </c>
      <c r="F3" s="25">
        <f t="shared" ref="F3:F66" si="3">D3+H3</f>
        <v>348906.5</v>
      </c>
      <c r="G3" s="78">
        <v>5000000</v>
      </c>
      <c r="H3" s="3">
        <v>33716.76</v>
      </c>
      <c r="I3" t="s">
        <v>17</v>
      </c>
      <c r="J3" t="s">
        <v>18</v>
      </c>
      <c r="K3" t="s">
        <v>19</v>
      </c>
      <c r="L3">
        <f t="shared" ca="1" si="0"/>
        <v>19564</v>
      </c>
      <c r="M3">
        <v>6</v>
      </c>
      <c r="N3">
        <f t="shared" si="1"/>
        <v>1.1037603600000001</v>
      </c>
      <c r="O3" s="26">
        <f t="shared" ref="O3:O66" si="4">F3*N3</f>
        <v>385109.16404634004</v>
      </c>
      <c r="P3" s="26">
        <f t="shared" ref="P3:P66" si="5">O3-H3</f>
        <v>351392.40404634003</v>
      </c>
      <c r="Q3" s="28">
        <f t="shared" ref="Q3:Q66" si="6">MIN( P3,G3)</f>
        <v>351392.40404634003</v>
      </c>
      <c r="R3" s="2">
        <f t="shared" ref="R3:R66" si="7">IF(Q3&lt;1000000,1,0)</f>
        <v>1</v>
      </c>
      <c r="S3">
        <f t="shared" si="2"/>
        <v>2020</v>
      </c>
    </row>
    <row r="4" spans="1:19" x14ac:dyDescent="0.2">
      <c r="A4" t="s">
        <v>20</v>
      </c>
      <c r="B4" s="1">
        <v>43427</v>
      </c>
      <c r="C4" t="s">
        <v>21</v>
      </c>
      <c r="D4" s="3">
        <v>678364.99</v>
      </c>
      <c r="E4" t="s">
        <v>11</v>
      </c>
      <c r="F4" s="25">
        <f t="shared" si="3"/>
        <v>712761.9</v>
      </c>
      <c r="G4" s="78">
        <v>5000000</v>
      </c>
      <c r="H4" s="3">
        <v>34396.910000000003</v>
      </c>
      <c r="I4" t="s">
        <v>22</v>
      </c>
      <c r="J4" t="s">
        <v>23</v>
      </c>
      <c r="K4" t="s">
        <v>24</v>
      </c>
      <c r="L4">
        <f t="shared" ca="1" si="0"/>
        <v>41446</v>
      </c>
      <c r="M4">
        <v>3</v>
      </c>
      <c r="N4">
        <f t="shared" si="1"/>
        <v>1.2053063131199999</v>
      </c>
      <c r="O4" s="26">
        <f t="shared" si="4"/>
        <v>859096.41782140615</v>
      </c>
      <c r="P4" s="26">
        <f t="shared" si="5"/>
        <v>824699.50782140612</v>
      </c>
      <c r="Q4" s="28">
        <f t="shared" si="6"/>
        <v>824699.50782140612</v>
      </c>
      <c r="R4" s="2">
        <f t="shared" si="7"/>
        <v>1</v>
      </c>
      <c r="S4">
        <f t="shared" si="2"/>
        <v>2018</v>
      </c>
    </row>
    <row r="5" spans="1:19" x14ac:dyDescent="0.2">
      <c r="A5" t="s">
        <v>25</v>
      </c>
      <c r="B5" s="1">
        <v>44201</v>
      </c>
      <c r="C5" t="s">
        <v>26</v>
      </c>
      <c r="D5" s="3">
        <v>203840.58</v>
      </c>
      <c r="E5" t="s">
        <v>27</v>
      </c>
      <c r="F5" s="25">
        <f t="shared" si="3"/>
        <v>215544.46</v>
      </c>
      <c r="G5" s="78">
        <v>5000000</v>
      </c>
      <c r="H5" s="3">
        <v>11703.88</v>
      </c>
      <c r="I5" t="s">
        <v>28</v>
      </c>
      <c r="J5" t="s">
        <v>29</v>
      </c>
      <c r="K5" t="s">
        <v>30</v>
      </c>
      <c r="L5">
        <f t="shared" ca="1" si="0"/>
        <v>105921</v>
      </c>
      <c r="M5">
        <v>7</v>
      </c>
      <c r="N5">
        <f t="shared" si="1"/>
        <v>1.071612</v>
      </c>
      <c r="O5" s="26">
        <f t="shared" si="4"/>
        <v>230980.02986951999</v>
      </c>
      <c r="P5" s="26">
        <f t="shared" si="5"/>
        <v>219276.14986951998</v>
      </c>
      <c r="Q5" s="28">
        <f t="shared" si="6"/>
        <v>219276.14986951998</v>
      </c>
      <c r="R5" s="2">
        <f t="shared" si="7"/>
        <v>1</v>
      </c>
      <c r="S5">
        <f t="shared" si="2"/>
        <v>2021</v>
      </c>
    </row>
    <row r="6" spans="1:19" x14ac:dyDescent="0.2">
      <c r="A6" t="s">
        <v>31</v>
      </c>
      <c r="B6" s="1">
        <v>45091</v>
      </c>
      <c r="C6" t="s">
        <v>32</v>
      </c>
      <c r="D6" s="3">
        <v>98692.46</v>
      </c>
      <c r="E6" t="s">
        <v>33</v>
      </c>
      <c r="F6" s="25">
        <f t="shared" si="3"/>
        <v>146820.18</v>
      </c>
      <c r="G6" s="78">
        <v>1000000</v>
      </c>
      <c r="H6" s="3">
        <v>48127.72</v>
      </c>
      <c r="I6" t="s">
        <v>12</v>
      </c>
      <c r="J6" t="s">
        <v>13</v>
      </c>
      <c r="K6" t="s">
        <v>34</v>
      </c>
      <c r="L6">
        <f t="shared" ca="1" si="0"/>
        <v>50775</v>
      </c>
      <c r="M6">
        <v>8</v>
      </c>
      <c r="N6">
        <f t="shared" si="1"/>
        <v>1.03</v>
      </c>
      <c r="O6" s="26">
        <f t="shared" si="4"/>
        <v>151224.78539999999</v>
      </c>
      <c r="P6" s="26">
        <f t="shared" si="5"/>
        <v>103097.06539999999</v>
      </c>
      <c r="Q6" s="28">
        <f t="shared" si="6"/>
        <v>103097.06539999999</v>
      </c>
      <c r="R6" s="2">
        <f t="shared" si="7"/>
        <v>1</v>
      </c>
      <c r="S6">
        <f t="shared" si="2"/>
        <v>2023</v>
      </c>
    </row>
    <row r="7" spans="1:19" x14ac:dyDescent="0.2">
      <c r="A7" t="s">
        <v>35</v>
      </c>
      <c r="B7" s="1">
        <v>43584</v>
      </c>
      <c r="C7" t="s">
        <v>10</v>
      </c>
      <c r="D7" s="3">
        <v>243918.65</v>
      </c>
      <c r="E7" t="s">
        <v>11</v>
      </c>
      <c r="F7" s="25">
        <f t="shared" si="3"/>
        <v>254504.19</v>
      </c>
      <c r="G7" s="78">
        <v>5000000</v>
      </c>
      <c r="H7" s="3">
        <v>10585.54</v>
      </c>
      <c r="I7" t="s">
        <v>17</v>
      </c>
      <c r="J7" t="s">
        <v>18</v>
      </c>
      <c r="K7" t="s">
        <v>36</v>
      </c>
      <c r="L7">
        <f t="shared" ca="1" si="0"/>
        <v>78223</v>
      </c>
      <c r="M7">
        <v>2</v>
      </c>
      <c r="N7">
        <f t="shared" si="1"/>
        <v>1.1479107743999999</v>
      </c>
      <c r="O7" s="26">
        <f t="shared" si="4"/>
        <v>292148.10183094471</v>
      </c>
      <c r="P7" s="26">
        <f t="shared" si="5"/>
        <v>281562.56183094473</v>
      </c>
      <c r="Q7" s="28">
        <f t="shared" si="6"/>
        <v>281562.56183094473</v>
      </c>
      <c r="R7" s="2">
        <f t="shared" si="7"/>
        <v>1</v>
      </c>
      <c r="S7">
        <f t="shared" si="2"/>
        <v>2019</v>
      </c>
    </row>
    <row r="8" spans="1:19" x14ac:dyDescent="0.2">
      <c r="A8" t="s">
        <v>37</v>
      </c>
      <c r="B8" s="1">
        <v>44398</v>
      </c>
      <c r="C8" t="s">
        <v>26</v>
      </c>
      <c r="D8" s="3">
        <v>765873.46</v>
      </c>
      <c r="E8" t="s">
        <v>11</v>
      </c>
      <c r="F8" s="25">
        <f t="shared" si="3"/>
        <v>783218.83</v>
      </c>
      <c r="G8" s="78">
        <v>5000000</v>
      </c>
      <c r="H8" s="3">
        <v>17345.37</v>
      </c>
      <c r="I8" t="s">
        <v>28</v>
      </c>
      <c r="J8" t="s">
        <v>38</v>
      </c>
      <c r="K8" t="s">
        <v>39</v>
      </c>
      <c r="L8">
        <f t="shared" ca="1" si="0"/>
        <v>90469</v>
      </c>
      <c r="M8">
        <v>1</v>
      </c>
      <c r="N8">
        <f t="shared" si="1"/>
        <v>1.071612</v>
      </c>
      <c r="O8" s="26">
        <f t="shared" si="4"/>
        <v>839306.69685395993</v>
      </c>
      <c r="P8" s="26">
        <f t="shared" si="5"/>
        <v>821961.32685395994</v>
      </c>
      <c r="Q8" s="28">
        <f t="shared" si="6"/>
        <v>821961.32685395994</v>
      </c>
      <c r="R8" s="2">
        <f t="shared" si="7"/>
        <v>1</v>
      </c>
      <c r="S8">
        <f t="shared" si="2"/>
        <v>2021</v>
      </c>
    </row>
    <row r="9" spans="1:19" x14ac:dyDescent="0.2">
      <c r="A9" t="s">
        <v>40</v>
      </c>
      <c r="B9" s="1">
        <v>44638</v>
      </c>
      <c r="C9" t="s">
        <v>21</v>
      </c>
      <c r="D9" s="3">
        <v>913843.77</v>
      </c>
      <c r="E9" t="s">
        <v>11</v>
      </c>
      <c r="F9" s="25">
        <f t="shared" si="3"/>
        <v>939444.11</v>
      </c>
      <c r="G9" s="78">
        <v>5000000</v>
      </c>
      <c r="H9" s="3">
        <v>25600.34</v>
      </c>
      <c r="I9" t="s">
        <v>22</v>
      </c>
      <c r="J9" t="s">
        <v>18</v>
      </c>
      <c r="K9" t="s">
        <v>41</v>
      </c>
      <c r="L9">
        <f t="shared" ca="1" si="0"/>
        <v>85558</v>
      </c>
      <c r="M9">
        <v>0</v>
      </c>
      <c r="N9">
        <f t="shared" si="1"/>
        <v>1.0506</v>
      </c>
      <c r="O9" s="26">
        <f t="shared" si="4"/>
        <v>986979.98196599993</v>
      </c>
      <c r="P9" s="26">
        <f t="shared" si="5"/>
        <v>961379.64196599997</v>
      </c>
      <c r="Q9" s="28">
        <f t="shared" si="6"/>
        <v>961379.64196599997</v>
      </c>
      <c r="R9" s="2">
        <f t="shared" si="7"/>
        <v>1</v>
      </c>
      <c r="S9">
        <f t="shared" si="2"/>
        <v>2022</v>
      </c>
    </row>
    <row r="10" spans="1:19" x14ac:dyDescent="0.2">
      <c r="A10" t="s">
        <v>42</v>
      </c>
      <c r="B10" s="1">
        <v>44150</v>
      </c>
      <c r="C10" t="s">
        <v>16</v>
      </c>
      <c r="D10" s="3">
        <v>754890.21</v>
      </c>
      <c r="E10" t="s">
        <v>11</v>
      </c>
      <c r="F10" s="25">
        <f t="shared" si="3"/>
        <v>793074.64999999991</v>
      </c>
      <c r="G10" s="78">
        <v>5000000</v>
      </c>
      <c r="H10" s="3">
        <v>38184.44</v>
      </c>
      <c r="I10" t="s">
        <v>17</v>
      </c>
      <c r="J10" t="s">
        <v>23</v>
      </c>
      <c r="K10" t="s">
        <v>43</v>
      </c>
      <c r="L10">
        <f t="shared" ca="1" si="0"/>
        <v>21655</v>
      </c>
      <c r="M10">
        <v>6</v>
      </c>
      <c r="N10">
        <f t="shared" si="1"/>
        <v>1.1037603600000001</v>
      </c>
      <c r="O10" s="26">
        <f t="shared" si="4"/>
        <v>875364.36119087401</v>
      </c>
      <c r="P10" s="26">
        <f t="shared" si="5"/>
        <v>837179.92119087395</v>
      </c>
      <c r="Q10" s="28">
        <f t="shared" si="6"/>
        <v>837179.92119087395</v>
      </c>
      <c r="R10" s="2">
        <f t="shared" si="7"/>
        <v>1</v>
      </c>
      <c r="S10">
        <f t="shared" si="2"/>
        <v>2020</v>
      </c>
    </row>
    <row r="11" spans="1:19" x14ac:dyDescent="0.2">
      <c r="A11" t="s">
        <v>44</v>
      </c>
      <c r="B11" s="1">
        <v>43258</v>
      </c>
      <c r="C11" t="s">
        <v>10</v>
      </c>
      <c r="D11" s="3">
        <v>600293.27</v>
      </c>
      <c r="E11" t="s">
        <v>27</v>
      </c>
      <c r="F11" s="25">
        <f t="shared" si="3"/>
        <v>601436.52</v>
      </c>
      <c r="G11" s="78">
        <v>5000000</v>
      </c>
      <c r="H11" s="3">
        <v>1143.25</v>
      </c>
      <c r="I11" t="s">
        <v>12</v>
      </c>
      <c r="J11" t="s">
        <v>18</v>
      </c>
      <c r="K11" t="s">
        <v>45</v>
      </c>
      <c r="L11">
        <f t="shared" ca="1" si="0"/>
        <v>44822</v>
      </c>
      <c r="M11">
        <v>5</v>
      </c>
      <c r="N11">
        <f t="shared" si="1"/>
        <v>1.2053063131199999</v>
      </c>
      <c r="O11" s="26">
        <f t="shared" si="4"/>
        <v>724915.23449692316</v>
      </c>
      <c r="P11" s="26">
        <f t="shared" si="5"/>
        <v>723771.98449692316</v>
      </c>
      <c r="Q11" s="28">
        <f t="shared" si="6"/>
        <v>723771.98449692316</v>
      </c>
      <c r="R11" s="2">
        <f t="shared" si="7"/>
        <v>1</v>
      </c>
      <c r="S11">
        <f t="shared" si="2"/>
        <v>2018</v>
      </c>
    </row>
    <row r="12" spans="1:19" x14ac:dyDescent="0.2">
      <c r="A12" t="s">
        <v>46</v>
      </c>
      <c r="B12" s="1">
        <v>44251</v>
      </c>
      <c r="C12" t="s">
        <v>26</v>
      </c>
      <c r="D12" s="3">
        <v>320726.12</v>
      </c>
      <c r="E12" t="s">
        <v>11</v>
      </c>
      <c r="F12" s="25">
        <f t="shared" si="3"/>
        <v>363045.08999999997</v>
      </c>
      <c r="G12" s="78">
        <v>5000000</v>
      </c>
      <c r="H12" s="3">
        <v>42318.97</v>
      </c>
      <c r="I12" t="s">
        <v>17</v>
      </c>
      <c r="J12" t="s">
        <v>38</v>
      </c>
      <c r="K12" t="s">
        <v>47</v>
      </c>
      <c r="L12">
        <f t="shared" ca="1" si="0"/>
        <v>117654</v>
      </c>
      <c r="M12">
        <v>7</v>
      </c>
      <c r="N12">
        <f t="shared" si="1"/>
        <v>1.071612</v>
      </c>
      <c r="O12" s="26">
        <f t="shared" si="4"/>
        <v>389043.47498507996</v>
      </c>
      <c r="P12" s="26">
        <f t="shared" si="5"/>
        <v>346724.50498507998</v>
      </c>
      <c r="Q12" s="28">
        <f t="shared" si="6"/>
        <v>346724.50498507998</v>
      </c>
      <c r="R12" s="2">
        <f t="shared" si="7"/>
        <v>1</v>
      </c>
      <c r="S12">
        <f t="shared" si="2"/>
        <v>2021</v>
      </c>
    </row>
    <row r="13" spans="1:19" x14ac:dyDescent="0.2">
      <c r="A13" t="s">
        <v>48</v>
      </c>
      <c r="B13" s="1">
        <v>44180</v>
      </c>
      <c r="C13" t="s">
        <v>16</v>
      </c>
      <c r="D13" s="3">
        <v>195238.55</v>
      </c>
      <c r="E13" t="s">
        <v>11</v>
      </c>
      <c r="F13" s="25">
        <f t="shared" si="3"/>
        <v>220873.24</v>
      </c>
      <c r="G13" s="78">
        <v>1000000</v>
      </c>
      <c r="H13" s="3">
        <v>25634.69</v>
      </c>
      <c r="I13" t="s">
        <v>22</v>
      </c>
      <c r="J13" t="s">
        <v>23</v>
      </c>
      <c r="K13" t="s">
        <v>49</v>
      </c>
      <c r="L13">
        <f t="shared" ca="1" si="0"/>
        <v>10422</v>
      </c>
      <c r="M13">
        <v>8</v>
      </c>
      <c r="N13">
        <f t="shared" si="1"/>
        <v>1.1037603600000001</v>
      </c>
      <c r="O13" s="26">
        <f t="shared" si="4"/>
        <v>243791.12689676642</v>
      </c>
      <c r="P13" s="26">
        <f t="shared" si="5"/>
        <v>218156.43689676642</v>
      </c>
      <c r="Q13" s="28">
        <f t="shared" si="6"/>
        <v>218156.43689676642</v>
      </c>
      <c r="R13" s="2">
        <f t="shared" si="7"/>
        <v>1</v>
      </c>
      <c r="S13">
        <f t="shared" si="2"/>
        <v>2020</v>
      </c>
    </row>
    <row r="14" spans="1:19" x14ac:dyDescent="0.2">
      <c r="A14" t="s">
        <v>50</v>
      </c>
      <c r="B14" s="1">
        <v>44794</v>
      </c>
      <c r="C14" t="s">
        <v>10</v>
      </c>
      <c r="D14" s="3">
        <v>158738.94</v>
      </c>
      <c r="E14" t="s">
        <v>33</v>
      </c>
      <c r="F14" s="25">
        <f t="shared" si="3"/>
        <v>188195.05</v>
      </c>
      <c r="G14" s="78">
        <v>1000000</v>
      </c>
      <c r="H14" s="3">
        <v>29456.11</v>
      </c>
      <c r="I14" t="s">
        <v>12</v>
      </c>
      <c r="J14" t="s">
        <v>13</v>
      </c>
      <c r="K14" t="s">
        <v>51</v>
      </c>
      <c r="L14">
        <f t="shared" ca="1" si="0"/>
        <v>88177</v>
      </c>
      <c r="M14">
        <v>3</v>
      </c>
      <c r="N14">
        <f t="shared" si="1"/>
        <v>1.0506</v>
      </c>
      <c r="O14" s="26">
        <f t="shared" si="4"/>
        <v>197717.71952999997</v>
      </c>
      <c r="P14" s="26">
        <f t="shared" si="5"/>
        <v>168261.60952999996</v>
      </c>
      <c r="Q14" s="28">
        <f t="shared" si="6"/>
        <v>168261.60952999996</v>
      </c>
      <c r="R14" s="2">
        <f t="shared" si="7"/>
        <v>1</v>
      </c>
      <c r="S14">
        <f t="shared" si="2"/>
        <v>2022</v>
      </c>
    </row>
    <row r="15" spans="1:19" x14ac:dyDescent="0.2">
      <c r="A15" t="s">
        <v>52</v>
      </c>
      <c r="B15" s="1">
        <v>44937</v>
      </c>
      <c r="C15" t="s">
        <v>21</v>
      </c>
      <c r="D15" s="3">
        <v>125309.18</v>
      </c>
      <c r="E15" t="s">
        <v>11</v>
      </c>
      <c r="F15" s="25">
        <f t="shared" si="3"/>
        <v>140287.41</v>
      </c>
      <c r="G15" s="78">
        <v>1000000</v>
      </c>
      <c r="H15" s="3">
        <v>14978.23</v>
      </c>
      <c r="I15" t="s">
        <v>22</v>
      </c>
      <c r="J15" t="s">
        <v>29</v>
      </c>
      <c r="K15" t="s">
        <v>53</v>
      </c>
      <c r="L15">
        <f t="shared" ca="1" si="0"/>
        <v>68361</v>
      </c>
      <c r="M15">
        <v>2</v>
      </c>
      <c r="N15">
        <f t="shared" si="1"/>
        <v>1.03</v>
      </c>
      <c r="O15" s="26">
        <f t="shared" si="4"/>
        <v>144496.03230000002</v>
      </c>
      <c r="P15" s="26">
        <f t="shared" si="5"/>
        <v>129517.80230000002</v>
      </c>
      <c r="Q15" s="28">
        <f t="shared" si="6"/>
        <v>129517.80230000002</v>
      </c>
      <c r="R15" s="2">
        <f t="shared" si="7"/>
        <v>1</v>
      </c>
      <c r="S15">
        <f t="shared" si="2"/>
        <v>2023</v>
      </c>
    </row>
    <row r="16" spans="1:19" x14ac:dyDescent="0.2">
      <c r="A16" t="s">
        <v>54</v>
      </c>
      <c r="B16" s="1">
        <v>43738</v>
      </c>
      <c r="C16" t="s">
        <v>26</v>
      </c>
      <c r="D16" s="3">
        <v>701924.64</v>
      </c>
      <c r="E16" t="s">
        <v>27</v>
      </c>
      <c r="F16" s="25">
        <f t="shared" si="3"/>
        <v>726627.31</v>
      </c>
      <c r="G16" s="78">
        <v>5000000</v>
      </c>
      <c r="H16" s="3">
        <v>24702.67</v>
      </c>
      <c r="I16" t="s">
        <v>17</v>
      </c>
      <c r="J16" t="s">
        <v>18</v>
      </c>
      <c r="K16" t="s">
        <v>55</v>
      </c>
      <c r="L16">
        <f t="shared" ca="1" si="0"/>
        <v>109448</v>
      </c>
      <c r="M16">
        <v>6</v>
      </c>
      <c r="N16">
        <f t="shared" si="1"/>
        <v>1.1479107743999999</v>
      </c>
      <c r="O16" s="26">
        <f t="shared" si="4"/>
        <v>834103.31812228879</v>
      </c>
      <c r="P16" s="26">
        <f t="shared" si="5"/>
        <v>809400.64812228875</v>
      </c>
      <c r="Q16" s="28">
        <f t="shared" si="6"/>
        <v>809400.64812228875</v>
      </c>
      <c r="R16" s="2">
        <f t="shared" si="7"/>
        <v>1</v>
      </c>
      <c r="S16">
        <f t="shared" si="2"/>
        <v>2019</v>
      </c>
    </row>
    <row r="17" spans="1:19" x14ac:dyDescent="0.2">
      <c r="A17" t="s">
        <v>56</v>
      </c>
      <c r="B17" s="1">
        <v>43294</v>
      </c>
      <c r="C17" t="s">
        <v>32</v>
      </c>
      <c r="D17" s="3">
        <v>590732.85</v>
      </c>
      <c r="E17" t="s">
        <v>11</v>
      </c>
      <c r="F17" s="25">
        <f t="shared" si="3"/>
        <v>600165.35</v>
      </c>
      <c r="G17" s="78">
        <v>5000000</v>
      </c>
      <c r="H17" s="3">
        <v>9432.5</v>
      </c>
      <c r="I17" t="s">
        <v>28</v>
      </c>
      <c r="J17" t="s">
        <v>23</v>
      </c>
      <c r="K17" t="s">
        <v>57</v>
      </c>
      <c r="L17">
        <f t="shared" ca="1" si="0"/>
        <v>21896</v>
      </c>
      <c r="M17">
        <v>4</v>
      </c>
      <c r="N17">
        <f t="shared" si="1"/>
        <v>1.2053063131199999</v>
      </c>
      <c r="O17" s="26">
        <f t="shared" si="4"/>
        <v>723383.08527087432</v>
      </c>
      <c r="P17" s="26">
        <f t="shared" si="5"/>
        <v>713950.58527087432</v>
      </c>
      <c r="Q17" s="28">
        <f t="shared" si="6"/>
        <v>713950.58527087432</v>
      </c>
      <c r="R17" s="2">
        <f t="shared" si="7"/>
        <v>1</v>
      </c>
      <c r="S17">
        <f t="shared" si="2"/>
        <v>2018</v>
      </c>
    </row>
    <row r="18" spans="1:19" x14ac:dyDescent="0.2">
      <c r="A18" t="s">
        <v>58</v>
      </c>
      <c r="B18" s="1">
        <v>44288</v>
      </c>
      <c r="C18" t="s">
        <v>10</v>
      </c>
      <c r="D18" s="3">
        <v>358145.93</v>
      </c>
      <c r="E18" t="s">
        <v>11</v>
      </c>
      <c r="F18" s="25">
        <f t="shared" si="3"/>
        <v>375066.3</v>
      </c>
      <c r="G18" s="78">
        <v>2000000</v>
      </c>
      <c r="H18" s="3">
        <v>16920.37</v>
      </c>
      <c r="I18" t="s">
        <v>12</v>
      </c>
      <c r="J18" t="s">
        <v>29</v>
      </c>
      <c r="K18" t="s">
        <v>59</v>
      </c>
      <c r="L18">
        <f t="shared" ca="1" si="0"/>
        <v>31597</v>
      </c>
      <c r="M18">
        <v>7</v>
      </c>
      <c r="N18">
        <f t="shared" si="1"/>
        <v>1.071612</v>
      </c>
      <c r="O18" s="26">
        <f t="shared" si="4"/>
        <v>401925.54787559999</v>
      </c>
      <c r="P18" s="26">
        <f t="shared" si="5"/>
        <v>385005.1778756</v>
      </c>
      <c r="Q18" s="28">
        <f t="shared" si="6"/>
        <v>385005.1778756</v>
      </c>
      <c r="R18" s="2">
        <f t="shared" si="7"/>
        <v>1</v>
      </c>
      <c r="S18">
        <f t="shared" si="2"/>
        <v>2021</v>
      </c>
    </row>
    <row r="19" spans="1:19" x14ac:dyDescent="0.2">
      <c r="A19" t="s">
        <v>60</v>
      </c>
      <c r="B19" s="1">
        <v>43641</v>
      </c>
      <c r="C19" t="s">
        <v>21</v>
      </c>
      <c r="D19" s="3">
        <v>453896.75</v>
      </c>
      <c r="E19" t="s">
        <v>11</v>
      </c>
      <c r="F19" s="25">
        <f t="shared" si="3"/>
        <v>492825.48</v>
      </c>
      <c r="G19" s="78">
        <v>500000</v>
      </c>
      <c r="H19" s="3">
        <v>38928.730000000003</v>
      </c>
      <c r="I19" t="s">
        <v>22</v>
      </c>
      <c r="J19" t="s">
        <v>38</v>
      </c>
      <c r="K19" t="s">
        <v>43</v>
      </c>
      <c r="L19">
        <f t="shared" ca="1" si="0"/>
        <v>77034</v>
      </c>
      <c r="M19">
        <v>5</v>
      </c>
      <c r="N19">
        <f t="shared" si="1"/>
        <v>1.1479107743999999</v>
      </c>
      <c r="O19" s="26">
        <f t="shared" si="4"/>
        <v>565719.67839085159</v>
      </c>
      <c r="P19" s="26">
        <f t="shared" si="5"/>
        <v>526790.94839085161</v>
      </c>
      <c r="Q19" s="28">
        <f t="shared" si="6"/>
        <v>500000</v>
      </c>
      <c r="R19" s="2">
        <f t="shared" si="7"/>
        <v>1</v>
      </c>
      <c r="S19">
        <f t="shared" si="2"/>
        <v>2019</v>
      </c>
    </row>
    <row r="20" spans="1:19" x14ac:dyDescent="0.2">
      <c r="A20" t="s">
        <v>61</v>
      </c>
      <c r="B20" s="1">
        <v>44754</v>
      </c>
      <c r="C20" t="s">
        <v>16</v>
      </c>
      <c r="D20" s="3">
        <v>195984.65</v>
      </c>
      <c r="E20" t="s">
        <v>33</v>
      </c>
      <c r="F20" s="25">
        <f t="shared" si="3"/>
        <v>215631.84</v>
      </c>
      <c r="G20" s="78">
        <v>500000</v>
      </c>
      <c r="H20" s="3">
        <v>19647.189999999999</v>
      </c>
      <c r="I20" t="s">
        <v>17</v>
      </c>
      <c r="J20" t="s">
        <v>13</v>
      </c>
      <c r="K20" t="s">
        <v>45</v>
      </c>
      <c r="L20">
        <f t="shared" ca="1" si="0"/>
        <v>33031</v>
      </c>
      <c r="M20">
        <v>3</v>
      </c>
      <c r="N20">
        <f t="shared" si="1"/>
        <v>1.0506</v>
      </c>
      <c r="O20" s="26">
        <f t="shared" si="4"/>
        <v>226542.81110399999</v>
      </c>
      <c r="P20" s="26">
        <f t="shared" si="5"/>
        <v>206895.62110399999</v>
      </c>
      <c r="Q20" s="28">
        <f t="shared" si="6"/>
        <v>206895.62110399999</v>
      </c>
      <c r="R20" s="2">
        <f t="shared" si="7"/>
        <v>1</v>
      </c>
      <c r="S20">
        <f t="shared" si="2"/>
        <v>2022</v>
      </c>
    </row>
    <row r="21" spans="1:19" x14ac:dyDescent="0.2">
      <c r="A21" t="s">
        <v>62</v>
      </c>
      <c r="B21" s="1">
        <v>43910</v>
      </c>
      <c r="C21" t="s">
        <v>26</v>
      </c>
      <c r="D21" s="3">
        <v>472804.33</v>
      </c>
      <c r="E21" t="s">
        <v>27</v>
      </c>
      <c r="F21" s="25">
        <f t="shared" si="3"/>
        <v>518485.62</v>
      </c>
      <c r="G21" s="78">
        <v>5000000</v>
      </c>
      <c r="H21" s="3">
        <v>45681.29</v>
      </c>
      <c r="I21" t="s">
        <v>28</v>
      </c>
      <c r="J21" t="s">
        <v>18</v>
      </c>
      <c r="K21" t="s">
        <v>39</v>
      </c>
      <c r="L21">
        <f t="shared" ca="1" si="0"/>
        <v>52599</v>
      </c>
      <c r="M21">
        <v>8</v>
      </c>
      <c r="N21">
        <f t="shared" si="1"/>
        <v>1.1037603600000001</v>
      </c>
      <c r="O21" s="26">
        <f t="shared" si="4"/>
        <v>572283.87458602327</v>
      </c>
      <c r="P21" s="26">
        <f t="shared" si="5"/>
        <v>526602.58458602324</v>
      </c>
      <c r="Q21" s="28">
        <f t="shared" si="6"/>
        <v>526602.58458602324</v>
      </c>
      <c r="R21" s="2">
        <f t="shared" si="7"/>
        <v>1</v>
      </c>
      <c r="S21">
        <f t="shared" si="2"/>
        <v>2020</v>
      </c>
    </row>
    <row r="22" spans="1:19" x14ac:dyDescent="0.2">
      <c r="A22" t="s">
        <v>63</v>
      </c>
      <c r="B22" s="1">
        <v>45076</v>
      </c>
      <c r="C22" t="s">
        <v>32</v>
      </c>
      <c r="D22" s="3">
        <v>87924.45</v>
      </c>
      <c r="E22" t="s">
        <v>11</v>
      </c>
      <c r="F22" s="25">
        <f t="shared" si="3"/>
        <v>111522.66</v>
      </c>
      <c r="G22" s="78">
        <v>500000</v>
      </c>
      <c r="H22" s="3">
        <v>23598.21</v>
      </c>
      <c r="I22" t="s">
        <v>17</v>
      </c>
      <c r="J22" t="s">
        <v>38</v>
      </c>
      <c r="K22" t="s">
        <v>51</v>
      </c>
      <c r="L22">
        <f t="shared" ca="1" si="0"/>
        <v>33205</v>
      </c>
      <c r="M22">
        <v>4</v>
      </c>
      <c r="N22">
        <f t="shared" si="1"/>
        <v>1.03</v>
      </c>
      <c r="O22" s="26">
        <f t="shared" si="4"/>
        <v>114868.3398</v>
      </c>
      <c r="P22" s="26">
        <f t="shared" si="5"/>
        <v>91270.129799999995</v>
      </c>
      <c r="Q22" s="28">
        <f t="shared" si="6"/>
        <v>91270.129799999995</v>
      </c>
      <c r="R22" s="2">
        <f t="shared" si="7"/>
        <v>1</v>
      </c>
      <c r="S22">
        <f t="shared" si="2"/>
        <v>2023</v>
      </c>
    </row>
    <row r="23" spans="1:19" x14ac:dyDescent="0.2">
      <c r="A23" t="s">
        <v>64</v>
      </c>
      <c r="B23" s="1">
        <v>44533</v>
      </c>
      <c r="C23" t="s">
        <v>10</v>
      </c>
      <c r="D23" s="3">
        <v>654327.44999999995</v>
      </c>
      <c r="E23" t="s">
        <v>11</v>
      </c>
      <c r="F23" s="25">
        <f t="shared" si="3"/>
        <v>673030.17999999993</v>
      </c>
      <c r="G23" s="78">
        <v>5000000</v>
      </c>
      <c r="H23" s="3">
        <v>18702.73</v>
      </c>
      <c r="I23" t="s">
        <v>12</v>
      </c>
      <c r="J23" t="s">
        <v>18</v>
      </c>
      <c r="K23" t="s">
        <v>65</v>
      </c>
      <c r="L23">
        <f t="shared" ca="1" si="0"/>
        <v>85904</v>
      </c>
      <c r="M23">
        <v>7</v>
      </c>
      <c r="N23">
        <f t="shared" si="1"/>
        <v>1.071612</v>
      </c>
      <c r="O23" s="26">
        <f t="shared" si="4"/>
        <v>721227.21725015994</v>
      </c>
      <c r="P23" s="26">
        <f t="shared" si="5"/>
        <v>702524.48725015996</v>
      </c>
      <c r="Q23" s="28">
        <f t="shared" si="6"/>
        <v>702524.48725015996</v>
      </c>
      <c r="R23" s="2">
        <f t="shared" si="7"/>
        <v>1</v>
      </c>
      <c r="S23">
        <f t="shared" si="2"/>
        <v>2021</v>
      </c>
    </row>
    <row r="24" spans="1:19" x14ac:dyDescent="0.2">
      <c r="A24" t="s">
        <v>66</v>
      </c>
      <c r="B24" s="1">
        <v>43993</v>
      </c>
      <c r="C24" t="s">
        <v>21</v>
      </c>
      <c r="D24" s="3">
        <v>231548.73</v>
      </c>
      <c r="E24" t="s">
        <v>27</v>
      </c>
      <c r="F24" s="25">
        <f t="shared" si="3"/>
        <v>268477.11</v>
      </c>
      <c r="G24" s="78">
        <v>500000</v>
      </c>
      <c r="H24" s="3">
        <v>36928.379999999997</v>
      </c>
      <c r="I24" t="s">
        <v>22</v>
      </c>
      <c r="J24" t="s">
        <v>29</v>
      </c>
      <c r="K24" t="s">
        <v>24</v>
      </c>
      <c r="L24">
        <f t="shared" ca="1" si="0"/>
        <v>64126</v>
      </c>
      <c r="M24">
        <v>5</v>
      </c>
      <c r="N24">
        <f t="shared" si="1"/>
        <v>1.1037603600000001</v>
      </c>
      <c r="O24" s="26">
        <f t="shared" si="4"/>
        <v>296334.39158535964</v>
      </c>
      <c r="P24" s="26">
        <f t="shared" si="5"/>
        <v>259406.01158535964</v>
      </c>
      <c r="Q24" s="28">
        <f t="shared" si="6"/>
        <v>259406.01158535964</v>
      </c>
      <c r="R24" s="2">
        <f t="shared" si="7"/>
        <v>1</v>
      </c>
      <c r="S24">
        <f t="shared" si="2"/>
        <v>2020</v>
      </c>
    </row>
    <row r="25" spans="1:19" x14ac:dyDescent="0.2">
      <c r="A25" t="s">
        <v>67</v>
      </c>
      <c r="B25" s="1">
        <v>43695</v>
      </c>
      <c r="C25" t="s">
        <v>26</v>
      </c>
      <c r="D25" s="3">
        <v>194738.52</v>
      </c>
      <c r="E25" t="s">
        <v>33</v>
      </c>
      <c r="F25" s="25">
        <f t="shared" si="3"/>
        <v>210177.78999999998</v>
      </c>
      <c r="G25" s="78">
        <v>500000</v>
      </c>
      <c r="H25" s="3">
        <v>15439.27</v>
      </c>
      <c r="I25" t="s">
        <v>28</v>
      </c>
      <c r="J25" t="s">
        <v>13</v>
      </c>
      <c r="K25" t="s">
        <v>30</v>
      </c>
      <c r="L25">
        <f t="shared" ca="1" si="0"/>
        <v>91212</v>
      </c>
      <c r="M25">
        <v>8</v>
      </c>
      <c r="N25">
        <f t="shared" si="1"/>
        <v>1.1479107743999999</v>
      </c>
      <c r="O25" s="26">
        <f t="shared" si="4"/>
        <v>241265.34968058052</v>
      </c>
      <c r="P25" s="26">
        <f t="shared" si="5"/>
        <v>225826.07968058053</v>
      </c>
      <c r="Q25" s="28">
        <f t="shared" si="6"/>
        <v>225826.07968058053</v>
      </c>
      <c r="R25" s="2">
        <f t="shared" si="7"/>
        <v>1</v>
      </c>
      <c r="S25">
        <f t="shared" si="2"/>
        <v>2019</v>
      </c>
    </row>
    <row r="26" spans="1:19" x14ac:dyDescent="0.2">
      <c r="A26" t="s">
        <v>68</v>
      </c>
      <c r="B26" s="1">
        <v>44818</v>
      </c>
      <c r="C26" t="s">
        <v>16</v>
      </c>
      <c r="D26" s="3">
        <v>872394.65</v>
      </c>
      <c r="E26" t="s">
        <v>11</v>
      </c>
      <c r="F26" s="25">
        <f t="shared" si="3"/>
        <v>896897.03</v>
      </c>
      <c r="G26" s="78">
        <v>10000000</v>
      </c>
      <c r="H26" s="3">
        <v>24502.38</v>
      </c>
      <c r="I26" t="s">
        <v>12</v>
      </c>
      <c r="J26" t="s">
        <v>23</v>
      </c>
      <c r="K26" t="s">
        <v>19</v>
      </c>
      <c r="L26">
        <f t="shared" ca="1" si="0"/>
        <v>68619</v>
      </c>
      <c r="M26">
        <v>2</v>
      </c>
      <c r="N26">
        <f t="shared" si="1"/>
        <v>1.0506</v>
      </c>
      <c r="O26" s="26">
        <f t="shared" si="4"/>
        <v>942280.01971799997</v>
      </c>
      <c r="P26" s="26">
        <f t="shared" si="5"/>
        <v>917777.63971799996</v>
      </c>
      <c r="Q26" s="28">
        <f t="shared" si="6"/>
        <v>917777.63971799996</v>
      </c>
      <c r="R26" s="2">
        <f t="shared" si="7"/>
        <v>1</v>
      </c>
      <c r="S26">
        <f t="shared" si="2"/>
        <v>2022</v>
      </c>
    </row>
    <row r="27" spans="1:19" x14ac:dyDescent="0.2">
      <c r="A27" t="s">
        <v>69</v>
      </c>
      <c r="B27" s="1">
        <v>43223</v>
      </c>
      <c r="C27" t="s">
        <v>10</v>
      </c>
      <c r="D27" s="3">
        <v>508739.15</v>
      </c>
      <c r="E27" t="s">
        <v>11</v>
      </c>
      <c r="F27" s="25">
        <f t="shared" si="3"/>
        <v>520721.69</v>
      </c>
      <c r="G27" s="78">
        <v>5000000</v>
      </c>
      <c r="H27" s="3">
        <v>11982.54</v>
      </c>
      <c r="I27" t="s">
        <v>17</v>
      </c>
      <c r="J27" t="s">
        <v>38</v>
      </c>
      <c r="K27" t="s">
        <v>14</v>
      </c>
      <c r="L27">
        <f t="shared" ca="1" si="0"/>
        <v>74620</v>
      </c>
      <c r="M27">
        <v>3</v>
      </c>
      <c r="N27">
        <f t="shared" si="1"/>
        <v>1.2053063131199999</v>
      </c>
      <c r="O27" s="26">
        <f t="shared" si="4"/>
        <v>627629.14033551549</v>
      </c>
      <c r="P27" s="26">
        <f t="shared" si="5"/>
        <v>615646.60033551545</v>
      </c>
      <c r="Q27" s="28">
        <f t="shared" si="6"/>
        <v>615646.60033551545</v>
      </c>
      <c r="R27" s="2">
        <f t="shared" si="7"/>
        <v>1</v>
      </c>
      <c r="S27">
        <f t="shared" si="2"/>
        <v>2018</v>
      </c>
    </row>
    <row r="28" spans="1:19" x14ac:dyDescent="0.2">
      <c r="A28" t="s">
        <v>70</v>
      </c>
      <c r="B28" s="1">
        <v>44497</v>
      </c>
      <c r="C28" t="s">
        <v>21</v>
      </c>
      <c r="D28" s="3">
        <v>376234.78</v>
      </c>
      <c r="E28" t="s">
        <v>11</v>
      </c>
      <c r="F28" s="25">
        <f t="shared" si="3"/>
        <v>405983.4</v>
      </c>
      <c r="G28" s="78">
        <v>2000000</v>
      </c>
      <c r="H28" s="3">
        <v>29748.62</v>
      </c>
      <c r="I28" t="s">
        <v>22</v>
      </c>
      <c r="J28" t="s">
        <v>13</v>
      </c>
      <c r="K28" t="s">
        <v>49</v>
      </c>
      <c r="L28">
        <f t="shared" ca="1" si="0"/>
        <v>77485</v>
      </c>
      <c r="M28">
        <v>7</v>
      </c>
      <c r="N28">
        <f t="shared" si="1"/>
        <v>1.071612</v>
      </c>
      <c r="O28" s="26">
        <f t="shared" si="4"/>
        <v>435056.68324080005</v>
      </c>
      <c r="P28" s="26">
        <f t="shared" si="5"/>
        <v>405308.06324080005</v>
      </c>
      <c r="Q28" s="28">
        <f t="shared" si="6"/>
        <v>405308.06324080005</v>
      </c>
      <c r="R28" s="2">
        <f t="shared" si="7"/>
        <v>1</v>
      </c>
      <c r="S28">
        <f t="shared" si="2"/>
        <v>2021</v>
      </c>
    </row>
    <row r="29" spans="1:19" x14ac:dyDescent="0.2">
      <c r="A29" t="s">
        <v>71</v>
      </c>
      <c r="B29" s="1">
        <v>43937</v>
      </c>
      <c r="C29" t="s">
        <v>26</v>
      </c>
      <c r="D29" s="3">
        <v>129803.75</v>
      </c>
      <c r="E29" t="s">
        <v>33</v>
      </c>
      <c r="F29" s="25">
        <f t="shared" si="3"/>
        <v>162723.88</v>
      </c>
      <c r="G29" s="78">
        <v>1000000</v>
      </c>
      <c r="H29" s="3">
        <v>32920.129999999997</v>
      </c>
      <c r="I29" t="s">
        <v>28</v>
      </c>
      <c r="J29" t="s">
        <v>29</v>
      </c>
      <c r="K29" t="s">
        <v>72</v>
      </c>
      <c r="L29">
        <f t="shared" ca="1" si="0"/>
        <v>65789</v>
      </c>
      <c r="M29">
        <v>4</v>
      </c>
      <c r="N29">
        <f t="shared" si="1"/>
        <v>1.1037603600000001</v>
      </c>
      <c r="O29" s="26">
        <f t="shared" si="4"/>
        <v>179608.16836939682</v>
      </c>
      <c r="P29" s="26">
        <f t="shared" si="5"/>
        <v>146688.03836939682</v>
      </c>
      <c r="Q29" s="28">
        <f t="shared" si="6"/>
        <v>146688.03836939682</v>
      </c>
      <c r="R29" s="2">
        <f t="shared" si="7"/>
        <v>1</v>
      </c>
      <c r="S29">
        <f t="shared" si="2"/>
        <v>2020</v>
      </c>
    </row>
    <row r="30" spans="1:19" x14ac:dyDescent="0.2">
      <c r="A30" t="s">
        <v>73</v>
      </c>
      <c r="B30" s="1">
        <v>45114</v>
      </c>
      <c r="C30" t="s">
        <v>16</v>
      </c>
      <c r="D30" s="3">
        <v>731235.83999999997</v>
      </c>
      <c r="E30" t="s">
        <v>11</v>
      </c>
      <c r="F30" s="25">
        <f t="shared" si="3"/>
        <v>750172.09</v>
      </c>
      <c r="G30" s="78">
        <v>5000000</v>
      </c>
      <c r="H30" s="3">
        <v>18936.25</v>
      </c>
      <c r="I30" t="s">
        <v>17</v>
      </c>
      <c r="J30" t="s">
        <v>18</v>
      </c>
      <c r="K30" t="s">
        <v>55</v>
      </c>
      <c r="L30">
        <f t="shared" ca="1" si="0"/>
        <v>21295</v>
      </c>
      <c r="M30">
        <v>2</v>
      </c>
      <c r="N30">
        <f t="shared" si="1"/>
        <v>1.03</v>
      </c>
      <c r="O30" s="26">
        <f t="shared" si="4"/>
        <v>772677.25269999995</v>
      </c>
      <c r="P30" s="26">
        <f t="shared" si="5"/>
        <v>753741.00269999995</v>
      </c>
      <c r="Q30" s="28">
        <f t="shared" si="6"/>
        <v>753741.00269999995</v>
      </c>
      <c r="R30" s="2">
        <f t="shared" si="7"/>
        <v>1</v>
      </c>
      <c r="S30">
        <f t="shared" si="2"/>
        <v>2023</v>
      </c>
    </row>
    <row r="31" spans="1:19" x14ac:dyDescent="0.2">
      <c r="A31" t="s">
        <v>74</v>
      </c>
      <c r="B31" s="1">
        <v>43487</v>
      </c>
      <c r="C31" t="s">
        <v>10</v>
      </c>
      <c r="D31" s="3">
        <v>158924.78</v>
      </c>
      <c r="E31" t="s">
        <v>11</v>
      </c>
      <c r="F31" s="25">
        <f t="shared" si="3"/>
        <v>174653.73</v>
      </c>
      <c r="G31" s="78">
        <v>1000000</v>
      </c>
      <c r="H31" s="3">
        <v>15728.95</v>
      </c>
      <c r="I31" t="s">
        <v>12</v>
      </c>
      <c r="J31" t="s">
        <v>38</v>
      </c>
      <c r="K31" t="s">
        <v>57</v>
      </c>
      <c r="L31">
        <f t="shared" ca="1" si="0"/>
        <v>38305</v>
      </c>
      <c r="M31">
        <v>6</v>
      </c>
      <c r="N31">
        <f t="shared" si="1"/>
        <v>1.1479107743999999</v>
      </c>
      <c r="O31" s="26">
        <f t="shared" si="4"/>
        <v>200486.89845614851</v>
      </c>
      <c r="P31" s="26">
        <f t="shared" si="5"/>
        <v>184757.9484561485</v>
      </c>
      <c r="Q31" s="28">
        <f t="shared" si="6"/>
        <v>184757.9484561485</v>
      </c>
      <c r="R31" s="2">
        <f t="shared" si="7"/>
        <v>1</v>
      </c>
      <c r="S31">
        <f t="shared" si="2"/>
        <v>2019</v>
      </c>
    </row>
    <row r="32" spans="1:19" x14ac:dyDescent="0.2">
      <c r="A32" t="s">
        <v>75</v>
      </c>
      <c r="B32" s="1">
        <v>44874</v>
      </c>
      <c r="C32" t="s">
        <v>21</v>
      </c>
      <c r="D32" s="3">
        <v>439832.24</v>
      </c>
      <c r="E32" t="s">
        <v>11</v>
      </c>
      <c r="F32" s="25">
        <f t="shared" si="3"/>
        <v>471636.18</v>
      </c>
      <c r="G32" s="78">
        <v>2000000</v>
      </c>
      <c r="H32" s="3">
        <v>31803.94</v>
      </c>
      <c r="I32" t="s">
        <v>22</v>
      </c>
      <c r="J32" t="s">
        <v>18</v>
      </c>
      <c r="K32" t="s">
        <v>76</v>
      </c>
      <c r="L32">
        <f t="shared" ca="1" si="0"/>
        <v>50243</v>
      </c>
      <c r="M32">
        <v>8</v>
      </c>
      <c r="N32">
        <f t="shared" si="1"/>
        <v>1.0506</v>
      </c>
      <c r="O32" s="26">
        <f t="shared" si="4"/>
        <v>495500.97070800001</v>
      </c>
      <c r="P32" s="26">
        <f t="shared" si="5"/>
        <v>463697.03070800001</v>
      </c>
      <c r="Q32" s="28">
        <f t="shared" si="6"/>
        <v>463697.03070800001</v>
      </c>
      <c r="R32" s="2">
        <f t="shared" si="7"/>
        <v>1</v>
      </c>
      <c r="S32">
        <f t="shared" si="2"/>
        <v>2022</v>
      </c>
    </row>
    <row r="33" spans="1:19" x14ac:dyDescent="0.2">
      <c r="A33" t="s">
        <v>77</v>
      </c>
      <c r="B33" s="1">
        <v>44056</v>
      </c>
      <c r="C33" t="s">
        <v>26</v>
      </c>
      <c r="D33" s="3">
        <v>690239.58</v>
      </c>
      <c r="E33" t="s">
        <v>33</v>
      </c>
      <c r="F33" s="25">
        <f t="shared" si="3"/>
        <v>717632.12</v>
      </c>
      <c r="G33" s="78">
        <v>5000000</v>
      </c>
      <c r="H33" s="3">
        <v>27392.54</v>
      </c>
      <c r="I33" t="s">
        <v>28</v>
      </c>
      <c r="J33" t="s">
        <v>23</v>
      </c>
      <c r="K33" t="s">
        <v>36</v>
      </c>
      <c r="L33">
        <f t="shared" ca="1" si="0"/>
        <v>61752</v>
      </c>
      <c r="M33">
        <v>7</v>
      </c>
      <c r="N33">
        <f t="shared" si="1"/>
        <v>1.1037603600000001</v>
      </c>
      <c r="O33" s="26">
        <f t="shared" si="4"/>
        <v>792093.88711876329</v>
      </c>
      <c r="P33" s="26">
        <f t="shared" si="5"/>
        <v>764701.34711876325</v>
      </c>
      <c r="Q33" s="28">
        <f t="shared" si="6"/>
        <v>764701.34711876325</v>
      </c>
      <c r="R33" s="2">
        <f t="shared" si="7"/>
        <v>1</v>
      </c>
      <c r="S33">
        <f t="shared" si="2"/>
        <v>2020</v>
      </c>
    </row>
    <row r="34" spans="1:19" x14ac:dyDescent="0.2">
      <c r="A34" t="s">
        <v>78</v>
      </c>
      <c r="B34" s="1">
        <v>44350</v>
      </c>
      <c r="C34" t="s">
        <v>32</v>
      </c>
      <c r="D34" s="3">
        <v>215983.48</v>
      </c>
      <c r="E34" t="s">
        <v>11</v>
      </c>
      <c r="F34" s="25">
        <f t="shared" si="3"/>
        <v>236967.86000000002</v>
      </c>
      <c r="G34" s="78">
        <v>2000000</v>
      </c>
      <c r="H34" s="3">
        <v>20984.38</v>
      </c>
      <c r="I34" t="s">
        <v>17</v>
      </c>
      <c r="J34" t="s">
        <v>13</v>
      </c>
      <c r="K34" t="s">
        <v>53</v>
      </c>
      <c r="L34">
        <f t="shared" ref="L34:L65" ca="1" si="8">IF(C34="Cargo Liability",RANDBETWEEN(10000,80000),IF(C34="Collision Liability",RANDBETWEEN(20000,100000),IF(C34="Environmental Pollution",RANDBETWEEN(50000,120000),IF(C34="Damage to Other Vessels",RANDBETWEEN(15000,90000),IF(C34="Injury to Third Parties",RANDBETWEEN(5000,60000))))))</f>
        <v>13406</v>
      </c>
      <c r="M34">
        <v>4</v>
      </c>
      <c r="N34">
        <f t="shared" ref="N34:N65" si="9">IF(YEAR(B34)=2023, 1.03,
   IF(YEAR(B34)=2022, 1.0506,
   IF(YEAR(B34)=2021, 1.071612,
   IF(YEAR(B34)=2020, 1.10376036,
   IF(YEAR(B34)=2019, 1.1479107744,
   IF(YEAR(B34)=2018, 1.20530631312, 1))))))</f>
        <v>1.071612</v>
      </c>
      <c r="O34" s="26">
        <f t="shared" si="4"/>
        <v>253937.60239032001</v>
      </c>
      <c r="P34" s="26">
        <f t="shared" si="5"/>
        <v>232953.22239032001</v>
      </c>
      <c r="Q34" s="28">
        <f t="shared" si="6"/>
        <v>232953.22239032001</v>
      </c>
      <c r="R34" s="2">
        <f t="shared" si="7"/>
        <v>1</v>
      </c>
      <c r="S34">
        <f t="shared" ref="S34:S66" si="10">YEAR(B34)</f>
        <v>2021</v>
      </c>
    </row>
    <row r="35" spans="1:19" x14ac:dyDescent="0.2">
      <c r="A35" t="s">
        <v>79</v>
      </c>
      <c r="B35" s="1">
        <v>43785</v>
      </c>
      <c r="C35" t="s">
        <v>10</v>
      </c>
      <c r="D35" s="3">
        <v>507983.42</v>
      </c>
      <c r="E35" t="s">
        <v>27</v>
      </c>
      <c r="F35" s="25">
        <f t="shared" si="3"/>
        <v>543166.67999999993</v>
      </c>
      <c r="G35" s="78">
        <v>5000000</v>
      </c>
      <c r="H35" s="3">
        <v>35183.26</v>
      </c>
      <c r="I35" t="s">
        <v>12</v>
      </c>
      <c r="J35" t="s">
        <v>29</v>
      </c>
      <c r="K35" t="s">
        <v>43</v>
      </c>
      <c r="L35">
        <f t="shared" ca="1" si="8"/>
        <v>87766</v>
      </c>
      <c r="M35">
        <v>2</v>
      </c>
      <c r="N35">
        <f t="shared" si="9"/>
        <v>1.1479107743999999</v>
      </c>
      <c r="O35" s="26">
        <f t="shared" si="4"/>
        <v>623506.88426707685</v>
      </c>
      <c r="P35" s="26">
        <f t="shared" si="5"/>
        <v>588323.62426707684</v>
      </c>
      <c r="Q35" s="28">
        <f t="shared" si="6"/>
        <v>588323.62426707684</v>
      </c>
      <c r="R35" s="2">
        <f t="shared" si="7"/>
        <v>1</v>
      </c>
      <c r="S35">
        <f t="shared" si="10"/>
        <v>2019</v>
      </c>
    </row>
    <row r="36" spans="1:19" x14ac:dyDescent="0.2">
      <c r="A36" t="s">
        <v>80</v>
      </c>
      <c r="B36" s="1">
        <v>43463</v>
      </c>
      <c r="C36" t="s">
        <v>21</v>
      </c>
      <c r="D36" s="3">
        <v>451973.22</v>
      </c>
      <c r="E36" t="s">
        <v>11</v>
      </c>
      <c r="F36" s="25">
        <f t="shared" si="3"/>
        <v>480319.12999999995</v>
      </c>
      <c r="G36" s="78">
        <v>500000</v>
      </c>
      <c r="H36" s="3">
        <v>28345.91</v>
      </c>
      <c r="I36" t="s">
        <v>22</v>
      </c>
      <c r="J36" t="s">
        <v>23</v>
      </c>
      <c r="K36" t="s">
        <v>41</v>
      </c>
      <c r="L36">
        <f t="shared" ca="1" si="8"/>
        <v>53000</v>
      </c>
      <c r="M36">
        <v>4</v>
      </c>
      <c r="N36">
        <f t="shared" si="9"/>
        <v>1.2053063131199999</v>
      </c>
      <c r="O36" s="26">
        <f t="shared" si="4"/>
        <v>578931.67970130593</v>
      </c>
      <c r="P36" s="26">
        <f t="shared" si="5"/>
        <v>550585.76970130589</v>
      </c>
      <c r="Q36" s="28">
        <f t="shared" si="6"/>
        <v>500000</v>
      </c>
      <c r="R36" s="2">
        <f t="shared" si="7"/>
        <v>1</v>
      </c>
      <c r="S36">
        <f t="shared" si="10"/>
        <v>2018</v>
      </c>
    </row>
    <row r="37" spans="1:19" x14ac:dyDescent="0.2">
      <c r="A37" t="s">
        <v>82</v>
      </c>
      <c r="B37" s="1">
        <v>44423</v>
      </c>
      <c r="C37" t="s">
        <v>16</v>
      </c>
      <c r="D37" s="3">
        <v>289524.33</v>
      </c>
      <c r="E37" t="s">
        <v>11</v>
      </c>
      <c r="F37" s="25">
        <f t="shared" si="3"/>
        <v>314363.61</v>
      </c>
      <c r="G37" s="78">
        <v>2000000</v>
      </c>
      <c r="H37" s="3">
        <v>24839.279999999999</v>
      </c>
      <c r="I37" t="s">
        <v>17</v>
      </c>
      <c r="J37" t="s">
        <v>18</v>
      </c>
      <c r="K37" t="s">
        <v>47</v>
      </c>
      <c r="L37">
        <f t="shared" ca="1" si="8"/>
        <v>44364</v>
      </c>
      <c r="M37">
        <v>3</v>
      </c>
      <c r="N37">
        <f t="shared" si="9"/>
        <v>1.071612</v>
      </c>
      <c r="O37" s="26">
        <f t="shared" si="4"/>
        <v>336875.81683932</v>
      </c>
      <c r="P37" s="26">
        <f t="shared" si="5"/>
        <v>312036.53683931998</v>
      </c>
      <c r="Q37" s="28">
        <f t="shared" si="6"/>
        <v>312036.53683931998</v>
      </c>
      <c r="R37" s="2">
        <f t="shared" si="7"/>
        <v>1</v>
      </c>
      <c r="S37">
        <f t="shared" si="10"/>
        <v>2021</v>
      </c>
    </row>
    <row r="38" spans="1:19" x14ac:dyDescent="0.2">
      <c r="A38" t="s">
        <v>83</v>
      </c>
      <c r="B38" s="1">
        <v>43867</v>
      </c>
      <c r="C38" t="s">
        <v>26</v>
      </c>
      <c r="D38" s="3">
        <v>674832.75</v>
      </c>
      <c r="E38" t="s">
        <v>27</v>
      </c>
      <c r="F38" s="25">
        <f t="shared" si="3"/>
        <v>716116.29</v>
      </c>
      <c r="G38" s="78">
        <v>5000000</v>
      </c>
      <c r="H38" s="3">
        <v>41283.54</v>
      </c>
      <c r="I38" t="s">
        <v>28</v>
      </c>
      <c r="J38" t="s">
        <v>29</v>
      </c>
      <c r="K38" t="s">
        <v>34</v>
      </c>
      <c r="L38">
        <f t="shared" ca="1" si="8"/>
        <v>60564</v>
      </c>
      <c r="M38">
        <v>5</v>
      </c>
      <c r="N38">
        <f t="shared" si="9"/>
        <v>1.1037603600000001</v>
      </c>
      <c r="O38" s="26">
        <f t="shared" si="4"/>
        <v>790420.77405226452</v>
      </c>
      <c r="P38" s="26">
        <f t="shared" si="5"/>
        <v>749137.23405226448</v>
      </c>
      <c r="Q38" s="28">
        <f t="shared" si="6"/>
        <v>749137.23405226448</v>
      </c>
      <c r="R38" s="2">
        <f t="shared" si="7"/>
        <v>1</v>
      </c>
      <c r="S38">
        <f t="shared" si="10"/>
        <v>2020</v>
      </c>
    </row>
    <row r="39" spans="1:19" x14ac:dyDescent="0.2">
      <c r="A39" t="s">
        <v>84</v>
      </c>
      <c r="B39" s="1">
        <v>45027</v>
      </c>
      <c r="C39" t="s">
        <v>32</v>
      </c>
      <c r="D39" s="3">
        <v>289523.34000000003</v>
      </c>
      <c r="E39" t="s">
        <v>33</v>
      </c>
      <c r="F39" s="25">
        <f t="shared" si="3"/>
        <v>316918.08</v>
      </c>
      <c r="G39" s="78">
        <v>2000000</v>
      </c>
      <c r="H39" s="3">
        <v>27394.74</v>
      </c>
      <c r="I39" t="s">
        <v>12</v>
      </c>
      <c r="J39" t="s">
        <v>38</v>
      </c>
      <c r="K39" t="s">
        <v>65</v>
      </c>
      <c r="L39">
        <f t="shared" ca="1" si="8"/>
        <v>31665</v>
      </c>
      <c r="M39">
        <v>8</v>
      </c>
      <c r="N39">
        <f t="shared" si="9"/>
        <v>1.03</v>
      </c>
      <c r="O39" s="26">
        <f t="shared" si="4"/>
        <v>326425.62240000005</v>
      </c>
      <c r="P39" s="26">
        <f t="shared" si="5"/>
        <v>299030.88240000006</v>
      </c>
      <c r="Q39" s="28">
        <f t="shared" si="6"/>
        <v>299030.88240000006</v>
      </c>
      <c r="R39" s="2">
        <f t="shared" si="7"/>
        <v>1</v>
      </c>
      <c r="S39">
        <f t="shared" si="10"/>
        <v>2023</v>
      </c>
    </row>
    <row r="40" spans="1:19" x14ac:dyDescent="0.2">
      <c r="A40" t="s">
        <v>85</v>
      </c>
      <c r="B40" s="1">
        <v>44571</v>
      </c>
      <c r="C40" t="s">
        <v>10</v>
      </c>
      <c r="D40" s="3">
        <v>492783.45</v>
      </c>
      <c r="E40" t="s">
        <v>11</v>
      </c>
      <c r="F40" s="25">
        <f t="shared" si="3"/>
        <v>512067.73</v>
      </c>
      <c r="G40" s="78">
        <v>2000000</v>
      </c>
      <c r="H40" s="3">
        <v>19284.28</v>
      </c>
      <c r="I40" t="s">
        <v>17</v>
      </c>
      <c r="J40" t="s">
        <v>13</v>
      </c>
      <c r="K40" t="s">
        <v>39</v>
      </c>
      <c r="L40">
        <f t="shared" ca="1" si="8"/>
        <v>98768</v>
      </c>
      <c r="M40">
        <v>6</v>
      </c>
      <c r="N40">
        <f t="shared" si="9"/>
        <v>1.0506</v>
      </c>
      <c r="O40" s="26">
        <f t="shared" si="4"/>
        <v>537978.35713799996</v>
      </c>
      <c r="P40" s="26">
        <f t="shared" si="5"/>
        <v>518694.07713799994</v>
      </c>
      <c r="Q40" s="28">
        <f t="shared" si="6"/>
        <v>518694.07713799994</v>
      </c>
      <c r="R40" s="2">
        <f t="shared" si="7"/>
        <v>1</v>
      </c>
      <c r="S40">
        <f t="shared" si="10"/>
        <v>2022</v>
      </c>
    </row>
    <row r="41" spans="1:19" x14ac:dyDescent="0.2">
      <c r="A41" t="s">
        <v>86</v>
      </c>
      <c r="B41" s="1">
        <v>43711</v>
      </c>
      <c r="C41" t="s">
        <v>21</v>
      </c>
      <c r="D41" s="3">
        <v>812739.57</v>
      </c>
      <c r="E41" t="s">
        <v>11</v>
      </c>
      <c r="F41" s="25">
        <f t="shared" si="3"/>
        <v>851033.0199999999</v>
      </c>
      <c r="G41" s="78">
        <v>5000000</v>
      </c>
      <c r="H41" s="3">
        <v>38293.449999999997</v>
      </c>
      <c r="I41" t="s">
        <v>22</v>
      </c>
      <c r="J41" t="s">
        <v>38</v>
      </c>
      <c r="K41" t="s">
        <v>72</v>
      </c>
      <c r="L41">
        <f t="shared" ca="1" si="8"/>
        <v>31446</v>
      </c>
      <c r="M41">
        <v>7</v>
      </c>
      <c r="N41">
        <f t="shared" si="9"/>
        <v>1.1479107743999999</v>
      </c>
      <c r="O41" s="26">
        <f t="shared" si="4"/>
        <v>976909.97302817053</v>
      </c>
      <c r="P41" s="26">
        <f t="shared" si="5"/>
        <v>938616.52302817057</v>
      </c>
      <c r="Q41" s="28">
        <f t="shared" si="6"/>
        <v>938616.52302817057</v>
      </c>
      <c r="R41" s="2">
        <f t="shared" si="7"/>
        <v>1</v>
      </c>
      <c r="S41">
        <f t="shared" si="10"/>
        <v>2019</v>
      </c>
    </row>
    <row r="42" spans="1:19" x14ac:dyDescent="0.2">
      <c r="A42" t="s">
        <v>87</v>
      </c>
      <c r="B42" s="1">
        <v>44514</v>
      </c>
      <c r="C42" t="s">
        <v>26</v>
      </c>
      <c r="D42" s="3">
        <v>523987.21</v>
      </c>
      <c r="E42" t="s">
        <v>27</v>
      </c>
      <c r="F42" s="25">
        <f t="shared" si="3"/>
        <v>549880.48</v>
      </c>
      <c r="G42" s="78">
        <v>5000000</v>
      </c>
      <c r="H42" s="3">
        <v>25893.27</v>
      </c>
      <c r="I42" t="s">
        <v>28</v>
      </c>
      <c r="J42" t="s">
        <v>18</v>
      </c>
      <c r="K42" t="s">
        <v>45</v>
      </c>
      <c r="L42">
        <f t="shared" ca="1" si="8"/>
        <v>101567</v>
      </c>
      <c r="M42">
        <v>2</v>
      </c>
      <c r="N42">
        <f t="shared" si="9"/>
        <v>1.071612</v>
      </c>
      <c r="O42" s="26">
        <f t="shared" si="4"/>
        <v>589258.52093375998</v>
      </c>
      <c r="P42" s="26">
        <f t="shared" si="5"/>
        <v>563365.25093375996</v>
      </c>
      <c r="Q42" s="28">
        <f t="shared" si="6"/>
        <v>563365.25093375996</v>
      </c>
      <c r="R42" s="2">
        <f t="shared" si="7"/>
        <v>1</v>
      </c>
      <c r="S42">
        <f t="shared" si="10"/>
        <v>2021</v>
      </c>
    </row>
    <row r="43" spans="1:19" x14ac:dyDescent="0.2">
      <c r="A43" t="s">
        <v>88</v>
      </c>
      <c r="B43" s="1">
        <v>44985</v>
      </c>
      <c r="C43" t="s">
        <v>16</v>
      </c>
      <c r="D43" s="3">
        <v>392873.65</v>
      </c>
      <c r="E43" t="s">
        <v>11</v>
      </c>
      <c r="F43" s="25">
        <f t="shared" si="3"/>
        <v>424721.10000000003</v>
      </c>
      <c r="G43" s="78">
        <v>2000000</v>
      </c>
      <c r="H43" s="3">
        <v>31847.45</v>
      </c>
      <c r="I43" t="s">
        <v>17</v>
      </c>
      <c r="J43" t="s">
        <v>23</v>
      </c>
      <c r="K43" t="s">
        <v>19</v>
      </c>
      <c r="L43">
        <f t="shared" ca="1" si="8"/>
        <v>76791</v>
      </c>
      <c r="M43">
        <v>5</v>
      </c>
      <c r="N43">
        <f t="shared" si="9"/>
        <v>1.03</v>
      </c>
      <c r="O43" s="26">
        <f t="shared" si="4"/>
        <v>437462.73300000007</v>
      </c>
      <c r="P43" s="26">
        <f t="shared" si="5"/>
        <v>405615.28300000005</v>
      </c>
      <c r="Q43" s="28">
        <f t="shared" si="6"/>
        <v>405615.28300000005</v>
      </c>
      <c r="R43" s="2">
        <f t="shared" si="7"/>
        <v>1</v>
      </c>
      <c r="S43">
        <f t="shared" si="10"/>
        <v>2023</v>
      </c>
    </row>
    <row r="44" spans="1:19" x14ac:dyDescent="0.2">
      <c r="A44" t="s">
        <v>89</v>
      </c>
      <c r="B44" s="1">
        <v>44033</v>
      </c>
      <c r="C44" t="s">
        <v>32</v>
      </c>
      <c r="D44" s="3">
        <v>539278.54</v>
      </c>
      <c r="E44" t="s">
        <v>11</v>
      </c>
      <c r="F44" s="25">
        <f t="shared" si="3"/>
        <v>557573.29</v>
      </c>
      <c r="G44" s="78">
        <v>5000000</v>
      </c>
      <c r="H44" s="3">
        <v>18294.75</v>
      </c>
      <c r="I44" t="s">
        <v>12</v>
      </c>
      <c r="J44" t="s">
        <v>29</v>
      </c>
      <c r="K44" t="s">
        <v>59</v>
      </c>
      <c r="L44">
        <f t="shared" ca="1" si="8"/>
        <v>50047</v>
      </c>
      <c r="M44">
        <v>3</v>
      </c>
      <c r="N44">
        <f t="shared" si="9"/>
        <v>1.1037603600000001</v>
      </c>
      <c r="O44" s="26">
        <f t="shared" si="4"/>
        <v>615427.29529678449</v>
      </c>
      <c r="P44" s="26">
        <f t="shared" si="5"/>
        <v>597132.54529678449</v>
      </c>
      <c r="Q44" s="28">
        <f t="shared" si="6"/>
        <v>597132.54529678449</v>
      </c>
      <c r="R44" s="2">
        <f t="shared" si="7"/>
        <v>1</v>
      </c>
      <c r="S44">
        <f t="shared" si="10"/>
        <v>2020</v>
      </c>
    </row>
    <row r="45" spans="1:19" x14ac:dyDescent="0.2">
      <c r="A45" t="s">
        <v>90</v>
      </c>
      <c r="B45" s="1">
        <v>43178</v>
      </c>
      <c r="C45" t="s">
        <v>10</v>
      </c>
      <c r="D45" s="3">
        <v>283973.44</v>
      </c>
      <c r="E45" t="s">
        <v>27</v>
      </c>
      <c r="F45" s="25">
        <f t="shared" si="3"/>
        <v>300456.98</v>
      </c>
      <c r="G45" s="78">
        <v>2000000</v>
      </c>
      <c r="H45" s="3">
        <v>16483.54</v>
      </c>
      <c r="I45" t="s">
        <v>12</v>
      </c>
      <c r="J45" t="s">
        <v>13</v>
      </c>
      <c r="K45" t="s">
        <v>14</v>
      </c>
      <c r="L45">
        <f t="shared" ca="1" si="8"/>
        <v>91883</v>
      </c>
      <c r="M45">
        <v>4</v>
      </c>
      <c r="N45">
        <f t="shared" si="9"/>
        <v>1.2053063131199999</v>
      </c>
      <c r="O45" s="26">
        <f t="shared" si="4"/>
        <v>362142.69481496955</v>
      </c>
      <c r="P45" s="26">
        <f t="shared" si="5"/>
        <v>345659.15481496957</v>
      </c>
      <c r="Q45" s="28">
        <f t="shared" si="6"/>
        <v>345659.15481496957</v>
      </c>
      <c r="R45" s="2">
        <f t="shared" si="7"/>
        <v>1</v>
      </c>
      <c r="S45">
        <f t="shared" si="10"/>
        <v>2018</v>
      </c>
    </row>
    <row r="46" spans="1:19" x14ac:dyDescent="0.2">
      <c r="A46" t="s">
        <v>91</v>
      </c>
      <c r="B46" s="1">
        <v>44738</v>
      </c>
      <c r="C46" t="s">
        <v>21</v>
      </c>
      <c r="D46" s="3">
        <v>482839.65</v>
      </c>
      <c r="E46" t="s">
        <v>11</v>
      </c>
      <c r="F46" s="25">
        <f t="shared" si="3"/>
        <v>518138.29000000004</v>
      </c>
      <c r="G46" s="78">
        <v>5000000</v>
      </c>
      <c r="H46" s="3">
        <v>35298.639999999999</v>
      </c>
      <c r="I46" t="s">
        <v>22</v>
      </c>
      <c r="J46" t="s">
        <v>38</v>
      </c>
      <c r="K46" t="s">
        <v>47</v>
      </c>
      <c r="L46">
        <f t="shared" ca="1" si="8"/>
        <v>66868</v>
      </c>
      <c r="M46">
        <v>1</v>
      </c>
      <c r="N46">
        <f t="shared" si="9"/>
        <v>1.0506</v>
      </c>
      <c r="O46" s="26">
        <f t="shared" si="4"/>
        <v>544356.08747400006</v>
      </c>
      <c r="P46" s="26">
        <f t="shared" si="5"/>
        <v>509057.44747400004</v>
      </c>
      <c r="Q46" s="28">
        <f t="shared" si="6"/>
        <v>509057.44747400004</v>
      </c>
      <c r="R46" s="2">
        <f t="shared" si="7"/>
        <v>1</v>
      </c>
      <c r="S46">
        <f t="shared" si="10"/>
        <v>2022</v>
      </c>
    </row>
    <row r="47" spans="1:19" x14ac:dyDescent="0.2">
      <c r="A47" t="s">
        <v>92</v>
      </c>
      <c r="B47" s="1">
        <v>44472</v>
      </c>
      <c r="C47" t="s">
        <v>26</v>
      </c>
      <c r="D47" s="3">
        <v>683482.94</v>
      </c>
      <c r="E47" t="s">
        <v>33</v>
      </c>
      <c r="F47" s="25">
        <f t="shared" si="3"/>
        <v>716430.78999999992</v>
      </c>
      <c r="G47" s="78">
        <v>5000000</v>
      </c>
      <c r="H47" s="3">
        <v>32947.85</v>
      </c>
      <c r="I47" t="s">
        <v>28</v>
      </c>
      <c r="J47" t="s">
        <v>18</v>
      </c>
      <c r="K47" t="s">
        <v>36</v>
      </c>
      <c r="L47">
        <f t="shared" ca="1" si="8"/>
        <v>83372</v>
      </c>
      <c r="M47">
        <v>6</v>
      </c>
      <c r="N47">
        <f t="shared" si="9"/>
        <v>1.071612</v>
      </c>
      <c r="O47" s="26">
        <f t="shared" si="4"/>
        <v>767735.83173347998</v>
      </c>
      <c r="P47" s="26">
        <f t="shared" si="5"/>
        <v>734787.98173348</v>
      </c>
      <c r="Q47" s="28">
        <f t="shared" si="6"/>
        <v>734787.98173348</v>
      </c>
      <c r="R47" s="2">
        <f t="shared" si="7"/>
        <v>1</v>
      </c>
      <c r="S47">
        <f t="shared" si="10"/>
        <v>2021</v>
      </c>
    </row>
    <row r="48" spans="1:19" x14ac:dyDescent="0.2">
      <c r="A48" t="s">
        <v>93</v>
      </c>
      <c r="B48" s="1">
        <v>43847</v>
      </c>
      <c r="C48" t="s">
        <v>16</v>
      </c>
      <c r="D48" s="3">
        <v>783948.23</v>
      </c>
      <c r="E48" t="s">
        <v>11</v>
      </c>
      <c r="F48" s="25">
        <f t="shared" si="3"/>
        <v>813530.62</v>
      </c>
      <c r="G48" s="78">
        <v>5000000</v>
      </c>
      <c r="H48" s="3">
        <v>29582.39</v>
      </c>
      <c r="I48" t="s">
        <v>17</v>
      </c>
      <c r="J48" t="s">
        <v>23</v>
      </c>
      <c r="K48" t="s">
        <v>55</v>
      </c>
      <c r="L48">
        <f t="shared" ca="1" si="8"/>
        <v>44702</v>
      </c>
      <c r="M48">
        <v>2</v>
      </c>
      <c r="N48">
        <f t="shared" si="9"/>
        <v>1.1037603600000001</v>
      </c>
      <c r="O48" s="26">
        <f t="shared" si="4"/>
        <v>897942.85000222328</v>
      </c>
      <c r="P48" s="26">
        <f t="shared" si="5"/>
        <v>868360.46000222326</v>
      </c>
      <c r="Q48" s="28">
        <f t="shared" si="6"/>
        <v>868360.46000222326</v>
      </c>
      <c r="R48" s="2">
        <f t="shared" si="7"/>
        <v>1</v>
      </c>
      <c r="S48">
        <f t="shared" si="10"/>
        <v>2020</v>
      </c>
    </row>
    <row r="49" spans="1:19" x14ac:dyDescent="0.2">
      <c r="A49" t="s">
        <v>94</v>
      </c>
      <c r="B49" s="1">
        <v>43560</v>
      </c>
      <c r="C49" t="s">
        <v>32</v>
      </c>
      <c r="D49" s="3">
        <v>239582.74</v>
      </c>
      <c r="E49" t="s">
        <v>11</v>
      </c>
      <c r="F49" s="25">
        <f t="shared" si="3"/>
        <v>260976.97</v>
      </c>
      <c r="G49" s="78">
        <v>1000000</v>
      </c>
      <c r="H49" s="3">
        <v>21394.23</v>
      </c>
      <c r="I49" t="s">
        <v>12</v>
      </c>
      <c r="J49" t="s">
        <v>13</v>
      </c>
      <c r="K49" t="s">
        <v>24</v>
      </c>
      <c r="L49">
        <f t="shared" ca="1" si="8"/>
        <v>46277</v>
      </c>
      <c r="M49">
        <v>7</v>
      </c>
      <c r="N49">
        <f t="shared" si="9"/>
        <v>1.1479107743999999</v>
      </c>
      <c r="O49" s="26">
        <f t="shared" si="4"/>
        <v>299578.27573326556</v>
      </c>
      <c r="P49" s="26">
        <f t="shared" si="5"/>
        <v>278184.04573326558</v>
      </c>
      <c r="Q49" s="28">
        <f t="shared" si="6"/>
        <v>278184.04573326558</v>
      </c>
      <c r="R49" s="2">
        <f t="shared" si="7"/>
        <v>1</v>
      </c>
      <c r="S49">
        <f t="shared" si="10"/>
        <v>2019</v>
      </c>
    </row>
    <row r="50" spans="1:19" x14ac:dyDescent="0.2">
      <c r="A50" t="s">
        <v>95</v>
      </c>
      <c r="B50" s="1">
        <v>44916</v>
      </c>
      <c r="C50" t="s">
        <v>10</v>
      </c>
      <c r="D50" s="3">
        <v>294738.48</v>
      </c>
      <c r="E50" t="s">
        <v>11</v>
      </c>
      <c r="F50" s="25">
        <f t="shared" si="3"/>
        <v>313686.01</v>
      </c>
      <c r="G50" s="78">
        <v>2000000</v>
      </c>
      <c r="H50" s="3">
        <v>18947.53</v>
      </c>
      <c r="I50" t="s">
        <v>17</v>
      </c>
      <c r="J50" t="s">
        <v>38</v>
      </c>
      <c r="K50" t="s">
        <v>43</v>
      </c>
      <c r="L50">
        <f t="shared" ca="1" si="8"/>
        <v>95108</v>
      </c>
      <c r="M50">
        <v>4</v>
      </c>
      <c r="N50">
        <f t="shared" si="9"/>
        <v>1.0506</v>
      </c>
      <c r="O50" s="26">
        <f t="shared" si="4"/>
        <v>329558.52210599999</v>
      </c>
      <c r="P50" s="26">
        <f t="shared" si="5"/>
        <v>310610.99210599996</v>
      </c>
      <c r="Q50" s="28">
        <f t="shared" si="6"/>
        <v>310610.99210599996</v>
      </c>
      <c r="R50" s="2">
        <f t="shared" si="7"/>
        <v>1</v>
      </c>
      <c r="S50">
        <f t="shared" si="10"/>
        <v>2022</v>
      </c>
    </row>
    <row r="51" spans="1:19" x14ac:dyDescent="0.2">
      <c r="A51" t="s">
        <v>96</v>
      </c>
      <c r="B51" s="1">
        <v>44230</v>
      </c>
      <c r="C51" t="s">
        <v>21</v>
      </c>
      <c r="D51" s="3">
        <v>583948.29</v>
      </c>
      <c r="E51" t="s">
        <v>11</v>
      </c>
      <c r="F51" s="25">
        <f t="shared" si="3"/>
        <v>613232.67000000004</v>
      </c>
      <c r="G51" s="78">
        <v>5000000</v>
      </c>
      <c r="H51" s="3">
        <v>29284.38</v>
      </c>
      <c r="I51" t="s">
        <v>22</v>
      </c>
      <c r="J51" t="s">
        <v>29</v>
      </c>
      <c r="K51" t="s">
        <v>51</v>
      </c>
      <c r="L51">
        <f t="shared" ca="1" si="8"/>
        <v>65107</v>
      </c>
      <c r="M51">
        <v>9</v>
      </c>
      <c r="N51">
        <f t="shared" si="9"/>
        <v>1.071612</v>
      </c>
      <c r="O51" s="26">
        <f t="shared" si="4"/>
        <v>657147.48796404002</v>
      </c>
      <c r="P51" s="26">
        <f t="shared" si="5"/>
        <v>627863.10796404001</v>
      </c>
      <c r="Q51" s="28">
        <f t="shared" si="6"/>
        <v>627863.10796404001</v>
      </c>
      <c r="R51" s="2">
        <f t="shared" si="7"/>
        <v>1</v>
      </c>
      <c r="S51">
        <f t="shared" si="10"/>
        <v>2021</v>
      </c>
    </row>
    <row r="52" spans="1:19" x14ac:dyDescent="0.2">
      <c r="A52" t="s">
        <v>97</v>
      </c>
      <c r="B52" s="1">
        <v>43902</v>
      </c>
      <c r="C52" t="s">
        <v>26</v>
      </c>
      <c r="D52" s="3">
        <v>784839.21</v>
      </c>
      <c r="E52" t="s">
        <v>27</v>
      </c>
      <c r="F52" s="25">
        <f t="shared" si="3"/>
        <v>823786.49</v>
      </c>
      <c r="G52" s="78">
        <v>5000000</v>
      </c>
      <c r="H52" s="3">
        <v>38947.279999999999</v>
      </c>
      <c r="I52" t="s">
        <v>28</v>
      </c>
      <c r="J52" t="s">
        <v>18</v>
      </c>
      <c r="K52" t="s">
        <v>41</v>
      </c>
      <c r="L52">
        <f t="shared" ca="1" si="8"/>
        <v>66405</v>
      </c>
      <c r="M52">
        <v>3</v>
      </c>
      <c r="N52">
        <f t="shared" si="9"/>
        <v>1.1037603600000001</v>
      </c>
      <c r="O52" s="26">
        <f t="shared" si="4"/>
        <v>909262.87276553642</v>
      </c>
      <c r="P52" s="26">
        <f t="shared" si="5"/>
        <v>870315.59276553639</v>
      </c>
      <c r="Q52" s="28">
        <f t="shared" si="6"/>
        <v>870315.59276553639</v>
      </c>
      <c r="R52" s="2">
        <f t="shared" si="7"/>
        <v>1</v>
      </c>
      <c r="S52">
        <f t="shared" si="10"/>
        <v>2020</v>
      </c>
    </row>
    <row r="53" spans="1:19" x14ac:dyDescent="0.2">
      <c r="A53" t="s">
        <v>98</v>
      </c>
      <c r="B53" s="1">
        <v>45115</v>
      </c>
      <c r="C53" t="s">
        <v>16</v>
      </c>
      <c r="D53" s="3">
        <v>398483.65</v>
      </c>
      <c r="E53" t="s">
        <v>11</v>
      </c>
      <c r="F53" s="25">
        <f t="shared" si="3"/>
        <v>427431.03</v>
      </c>
      <c r="G53" s="78">
        <v>2000000</v>
      </c>
      <c r="H53" s="3">
        <v>28947.38</v>
      </c>
      <c r="I53" t="s">
        <v>17</v>
      </c>
      <c r="J53" t="s">
        <v>23</v>
      </c>
      <c r="K53" t="s">
        <v>39</v>
      </c>
      <c r="L53">
        <f t="shared" ca="1" si="8"/>
        <v>42276</v>
      </c>
      <c r="M53">
        <v>6</v>
      </c>
      <c r="N53">
        <f t="shared" si="9"/>
        <v>1.03</v>
      </c>
      <c r="O53" s="26">
        <f t="shared" si="4"/>
        <v>440253.96090000006</v>
      </c>
      <c r="P53" s="26">
        <f t="shared" si="5"/>
        <v>411306.58090000006</v>
      </c>
      <c r="Q53" s="28">
        <f t="shared" si="6"/>
        <v>411306.58090000006</v>
      </c>
      <c r="R53" s="2">
        <f t="shared" si="7"/>
        <v>1</v>
      </c>
      <c r="S53">
        <f t="shared" si="10"/>
        <v>2023</v>
      </c>
    </row>
    <row r="54" spans="1:19" x14ac:dyDescent="0.2">
      <c r="A54" t="s">
        <v>99</v>
      </c>
      <c r="B54" s="1">
        <v>43366</v>
      </c>
      <c r="C54" t="s">
        <v>32</v>
      </c>
      <c r="D54" s="3">
        <v>485739.23</v>
      </c>
      <c r="E54" t="s">
        <v>11</v>
      </c>
      <c r="F54" s="25">
        <f t="shared" si="3"/>
        <v>503135.07</v>
      </c>
      <c r="G54" s="78">
        <v>5000000</v>
      </c>
      <c r="H54" s="3">
        <v>17395.84</v>
      </c>
      <c r="I54" t="s">
        <v>12</v>
      </c>
      <c r="J54" t="s">
        <v>38</v>
      </c>
      <c r="K54" t="s">
        <v>30</v>
      </c>
      <c r="L54">
        <f t="shared" ca="1" si="8"/>
        <v>42200</v>
      </c>
      <c r="M54">
        <v>8</v>
      </c>
      <c r="N54">
        <f t="shared" si="9"/>
        <v>1.2053063131199999</v>
      </c>
      <c r="O54" s="26">
        <f t="shared" si="4"/>
        <v>606431.87622307311</v>
      </c>
      <c r="P54" s="26">
        <f t="shared" si="5"/>
        <v>589036.03622307314</v>
      </c>
      <c r="Q54" s="28">
        <f t="shared" si="6"/>
        <v>589036.03622307314</v>
      </c>
      <c r="R54" s="2">
        <f t="shared" si="7"/>
        <v>1</v>
      </c>
      <c r="S54">
        <f t="shared" si="10"/>
        <v>2018</v>
      </c>
    </row>
    <row r="55" spans="1:19" x14ac:dyDescent="0.2">
      <c r="A55" t="s">
        <v>100</v>
      </c>
      <c r="B55" s="1">
        <v>43784</v>
      </c>
      <c r="C55" t="s">
        <v>10</v>
      </c>
      <c r="D55" s="3">
        <v>593849.48</v>
      </c>
      <c r="E55" t="s">
        <v>27</v>
      </c>
      <c r="F55" s="25">
        <f t="shared" si="3"/>
        <v>632797.05999999994</v>
      </c>
      <c r="G55" s="78">
        <v>5000000</v>
      </c>
      <c r="H55" s="3">
        <v>38947.58</v>
      </c>
      <c r="I55" t="s">
        <v>17</v>
      </c>
      <c r="J55" t="s">
        <v>13</v>
      </c>
      <c r="K55" t="s">
        <v>19</v>
      </c>
      <c r="L55">
        <f t="shared" ca="1" si="8"/>
        <v>66697</v>
      </c>
      <c r="M55">
        <v>2</v>
      </c>
      <c r="N55">
        <f t="shared" si="9"/>
        <v>1.1479107743999999</v>
      </c>
      <c r="O55" s="26">
        <f t="shared" si="4"/>
        <v>726394.56318264315</v>
      </c>
      <c r="P55" s="26">
        <f t="shared" si="5"/>
        <v>687446.98318264319</v>
      </c>
      <c r="Q55" s="28">
        <f t="shared" si="6"/>
        <v>687446.98318264319</v>
      </c>
      <c r="R55" s="2">
        <f t="shared" si="7"/>
        <v>1</v>
      </c>
      <c r="S55">
        <f t="shared" si="10"/>
        <v>2019</v>
      </c>
    </row>
    <row r="56" spans="1:19" x14ac:dyDescent="0.2">
      <c r="A56" t="s">
        <v>101</v>
      </c>
      <c r="B56" s="1">
        <v>44785</v>
      </c>
      <c r="C56" t="s">
        <v>21</v>
      </c>
      <c r="D56" s="3">
        <v>683849.75</v>
      </c>
      <c r="E56" t="s">
        <v>11</v>
      </c>
      <c r="F56" s="25">
        <f t="shared" si="3"/>
        <v>716797.2</v>
      </c>
      <c r="G56" s="78">
        <v>5000000</v>
      </c>
      <c r="H56" s="3">
        <v>32947.449999999997</v>
      </c>
      <c r="I56" t="s">
        <v>22</v>
      </c>
      <c r="J56" t="s">
        <v>29</v>
      </c>
      <c r="K56" t="s">
        <v>47</v>
      </c>
      <c r="L56">
        <f t="shared" ca="1" si="8"/>
        <v>39082</v>
      </c>
      <c r="M56">
        <v>3</v>
      </c>
      <c r="N56">
        <f t="shared" si="9"/>
        <v>1.0506</v>
      </c>
      <c r="O56" s="26">
        <f t="shared" si="4"/>
        <v>753067.13831999991</v>
      </c>
      <c r="P56" s="26">
        <f t="shared" si="5"/>
        <v>720119.68831999996</v>
      </c>
      <c r="Q56" s="28">
        <f t="shared" si="6"/>
        <v>720119.68831999996</v>
      </c>
      <c r="R56" s="2">
        <f t="shared" si="7"/>
        <v>1</v>
      </c>
      <c r="S56">
        <f t="shared" si="10"/>
        <v>2022</v>
      </c>
    </row>
    <row r="57" spans="1:19" x14ac:dyDescent="0.2">
      <c r="A57" t="s">
        <v>102</v>
      </c>
      <c r="B57" s="1">
        <v>44339</v>
      </c>
      <c r="C57" t="s">
        <v>26</v>
      </c>
      <c r="D57" s="3">
        <v>792483.56</v>
      </c>
      <c r="E57" t="s">
        <v>27</v>
      </c>
      <c r="F57" s="25">
        <f t="shared" si="3"/>
        <v>827431.81</v>
      </c>
      <c r="G57" s="78">
        <v>5000000</v>
      </c>
      <c r="H57" s="3">
        <v>34948.25</v>
      </c>
      <c r="I57" t="s">
        <v>28</v>
      </c>
      <c r="J57" t="s">
        <v>18</v>
      </c>
      <c r="K57" t="s">
        <v>43</v>
      </c>
      <c r="L57">
        <f t="shared" ca="1" si="8"/>
        <v>68796</v>
      </c>
      <c r="M57">
        <v>7</v>
      </c>
      <c r="N57">
        <f t="shared" si="9"/>
        <v>1.071612</v>
      </c>
      <c r="O57" s="26">
        <f t="shared" si="4"/>
        <v>886685.85677772004</v>
      </c>
      <c r="P57" s="26">
        <f t="shared" si="5"/>
        <v>851737.60677772004</v>
      </c>
      <c r="Q57" s="28">
        <f t="shared" si="6"/>
        <v>851737.60677772004</v>
      </c>
      <c r="R57" s="2">
        <f t="shared" si="7"/>
        <v>1</v>
      </c>
      <c r="S57">
        <f t="shared" si="10"/>
        <v>2021</v>
      </c>
    </row>
    <row r="58" spans="1:19" x14ac:dyDescent="0.2">
      <c r="A58" t="s">
        <v>103</v>
      </c>
      <c r="B58" s="1">
        <v>44121</v>
      </c>
      <c r="C58" t="s">
        <v>16</v>
      </c>
      <c r="D58" s="3">
        <v>594837.93999999994</v>
      </c>
      <c r="E58" t="s">
        <v>11</v>
      </c>
      <c r="F58" s="25">
        <f t="shared" si="3"/>
        <v>623785.5</v>
      </c>
      <c r="G58" s="78">
        <v>5000000</v>
      </c>
      <c r="H58" s="3">
        <v>28947.56</v>
      </c>
      <c r="I58" t="s">
        <v>17</v>
      </c>
      <c r="J58" t="s">
        <v>23</v>
      </c>
      <c r="K58" t="s">
        <v>45</v>
      </c>
      <c r="L58">
        <f t="shared" ca="1" si="8"/>
        <v>65864</v>
      </c>
      <c r="M58">
        <v>4</v>
      </c>
      <c r="N58">
        <f t="shared" si="9"/>
        <v>1.1037603600000001</v>
      </c>
      <c r="O58" s="26">
        <f t="shared" si="4"/>
        <v>688509.70804278005</v>
      </c>
      <c r="P58" s="26">
        <f t="shared" si="5"/>
        <v>659562.14804278</v>
      </c>
      <c r="Q58" s="28">
        <f t="shared" si="6"/>
        <v>659562.14804278</v>
      </c>
      <c r="R58" s="2">
        <f t="shared" si="7"/>
        <v>1</v>
      </c>
      <c r="S58">
        <f t="shared" si="10"/>
        <v>2020</v>
      </c>
    </row>
    <row r="59" spans="1:19" x14ac:dyDescent="0.2">
      <c r="A59" t="s">
        <v>104</v>
      </c>
      <c r="B59" s="1">
        <v>44998</v>
      </c>
      <c r="C59" t="s">
        <v>32</v>
      </c>
      <c r="D59" s="3">
        <v>472839.28</v>
      </c>
      <c r="E59" t="s">
        <v>11</v>
      </c>
      <c r="F59" s="25">
        <f t="shared" si="3"/>
        <v>494777.76</v>
      </c>
      <c r="G59" s="78">
        <v>5000000</v>
      </c>
      <c r="H59" s="3">
        <v>21938.48</v>
      </c>
      <c r="I59" t="s">
        <v>12</v>
      </c>
      <c r="J59" t="s">
        <v>38</v>
      </c>
      <c r="K59" t="s">
        <v>36</v>
      </c>
      <c r="L59">
        <f t="shared" ca="1" si="8"/>
        <v>51882</v>
      </c>
      <c r="M59">
        <v>6</v>
      </c>
      <c r="N59">
        <f t="shared" si="9"/>
        <v>1.03</v>
      </c>
      <c r="O59" s="26">
        <f t="shared" si="4"/>
        <v>509621.09280000004</v>
      </c>
      <c r="P59" s="26">
        <f t="shared" si="5"/>
        <v>487682.61280000006</v>
      </c>
      <c r="Q59" s="28">
        <f t="shared" si="6"/>
        <v>487682.61280000006</v>
      </c>
      <c r="R59" s="2">
        <f t="shared" si="7"/>
        <v>1</v>
      </c>
      <c r="S59">
        <f t="shared" si="10"/>
        <v>2023</v>
      </c>
    </row>
    <row r="60" spans="1:19" x14ac:dyDescent="0.2">
      <c r="A60" t="s">
        <v>105</v>
      </c>
      <c r="B60" s="1">
        <v>43439</v>
      </c>
      <c r="C60" t="s">
        <v>10</v>
      </c>
      <c r="D60" s="3">
        <v>592483.44999999995</v>
      </c>
      <c r="E60" t="s">
        <v>27</v>
      </c>
      <c r="F60" s="25">
        <f t="shared" si="3"/>
        <v>625430.82999999996</v>
      </c>
      <c r="G60" s="78">
        <v>2000000</v>
      </c>
      <c r="H60" s="3">
        <v>32947.379999999997</v>
      </c>
      <c r="I60" t="s">
        <v>17</v>
      </c>
      <c r="J60" t="s">
        <v>18</v>
      </c>
      <c r="K60" t="s">
        <v>14</v>
      </c>
      <c r="L60">
        <f t="shared" ca="1" si="8"/>
        <v>28466</v>
      </c>
      <c r="M60">
        <v>5</v>
      </c>
      <c r="N60">
        <f t="shared" si="9"/>
        <v>1.2053063131199999</v>
      </c>
      <c r="O60" s="26">
        <f t="shared" si="4"/>
        <v>753835.72781888139</v>
      </c>
      <c r="P60" s="26">
        <f t="shared" si="5"/>
        <v>720888.34781888139</v>
      </c>
      <c r="Q60" s="28">
        <f t="shared" si="6"/>
        <v>720888.34781888139</v>
      </c>
      <c r="R60" s="2">
        <f t="shared" si="7"/>
        <v>1</v>
      </c>
      <c r="S60">
        <f t="shared" si="10"/>
        <v>2018</v>
      </c>
    </row>
    <row r="61" spans="1:19" x14ac:dyDescent="0.2">
      <c r="A61" t="s">
        <v>106</v>
      </c>
      <c r="B61" s="1">
        <v>43645</v>
      </c>
      <c r="C61" t="s">
        <v>21</v>
      </c>
      <c r="D61" s="3">
        <v>839483.29</v>
      </c>
      <c r="E61" t="s">
        <v>11</v>
      </c>
      <c r="F61" s="25">
        <f t="shared" si="3"/>
        <v>877431.67</v>
      </c>
      <c r="G61" s="78">
        <v>5000000</v>
      </c>
      <c r="H61" s="3">
        <v>37948.379999999997</v>
      </c>
      <c r="I61" t="s">
        <v>22</v>
      </c>
      <c r="J61" t="s">
        <v>29</v>
      </c>
      <c r="K61" t="s">
        <v>49</v>
      </c>
      <c r="L61">
        <f t="shared" ca="1" si="8"/>
        <v>25189</v>
      </c>
      <c r="M61">
        <v>3</v>
      </c>
      <c r="N61">
        <f t="shared" si="9"/>
        <v>1.1479107743999999</v>
      </c>
      <c r="O61" s="26">
        <f t="shared" si="4"/>
        <v>1007213.2677927852</v>
      </c>
      <c r="P61" s="26">
        <f t="shared" si="5"/>
        <v>969264.88779278519</v>
      </c>
      <c r="Q61" s="28">
        <f t="shared" si="6"/>
        <v>969264.88779278519</v>
      </c>
      <c r="R61" s="2">
        <f t="shared" si="7"/>
        <v>1</v>
      </c>
      <c r="S61">
        <f t="shared" si="10"/>
        <v>2019</v>
      </c>
    </row>
    <row r="62" spans="1:19" x14ac:dyDescent="0.2">
      <c r="A62" t="s">
        <v>107</v>
      </c>
      <c r="B62" s="1">
        <v>44821</v>
      </c>
      <c r="C62" t="s">
        <v>26</v>
      </c>
      <c r="D62" s="3">
        <v>839483.58</v>
      </c>
      <c r="E62" t="s">
        <v>27</v>
      </c>
      <c r="F62" s="25">
        <f t="shared" si="3"/>
        <v>878431.02999999991</v>
      </c>
      <c r="G62" s="78">
        <v>5000000</v>
      </c>
      <c r="H62" s="3">
        <v>38947.449999999997</v>
      </c>
      <c r="I62" t="s">
        <v>28</v>
      </c>
      <c r="J62" t="s">
        <v>38</v>
      </c>
      <c r="K62" t="s">
        <v>39</v>
      </c>
      <c r="L62">
        <f t="shared" ca="1" si="8"/>
        <v>97049</v>
      </c>
      <c r="M62">
        <v>4</v>
      </c>
      <c r="N62">
        <f t="shared" si="9"/>
        <v>1.0506</v>
      </c>
      <c r="O62" s="26">
        <f t="shared" si="4"/>
        <v>922879.64011799986</v>
      </c>
      <c r="P62" s="26">
        <f t="shared" si="5"/>
        <v>883932.19011799991</v>
      </c>
      <c r="Q62" s="28">
        <f t="shared" si="6"/>
        <v>883932.19011799991</v>
      </c>
      <c r="R62" s="2">
        <f t="shared" si="7"/>
        <v>1</v>
      </c>
      <c r="S62">
        <f t="shared" si="10"/>
        <v>2022</v>
      </c>
    </row>
    <row r="63" spans="1:19" x14ac:dyDescent="0.2">
      <c r="A63" t="s">
        <v>108</v>
      </c>
      <c r="B63" s="1">
        <v>44207</v>
      </c>
      <c r="C63" t="s">
        <v>16</v>
      </c>
      <c r="D63" s="3">
        <v>793849.23</v>
      </c>
      <c r="E63" t="s">
        <v>11</v>
      </c>
      <c r="F63" s="25">
        <f t="shared" si="3"/>
        <v>823331.71</v>
      </c>
      <c r="G63" s="78">
        <v>5000000</v>
      </c>
      <c r="H63" s="3">
        <v>29482.48</v>
      </c>
      <c r="I63" t="s">
        <v>17</v>
      </c>
      <c r="J63" t="s">
        <v>23</v>
      </c>
      <c r="K63" t="s">
        <v>51</v>
      </c>
      <c r="L63">
        <f t="shared" ca="1" si="8"/>
        <v>27037</v>
      </c>
      <c r="M63">
        <v>7</v>
      </c>
      <c r="N63">
        <f t="shared" si="9"/>
        <v>1.071612</v>
      </c>
      <c r="O63" s="26">
        <f t="shared" si="4"/>
        <v>882292.14041651995</v>
      </c>
      <c r="P63" s="26">
        <f t="shared" si="5"/>
        <v>852809.66041651997</v>
      </c>
      <c r="Q63" s="28">
        <f t="shared" si="6"/>
        <v>852809.66041651997</v>
      </c>
      <c r="R63" s="2">
        <f t="shared" si="7"/>
        <v>1</v>
      </c>
      <c r="S63">
        <f t="shared" si="10"/>
        <v>2021</v>
      </c>
    </row>
    <row r="64" spans="1:19" x14ac:dyDescent="0.2">
      <c r="A64" t="s">
        <v>109</v>
      </c>
      <c r="B64" s="1">
        <v>43946</v>
      </c>
      <c r="C64" t="s">
        <v>32</v>
      </c>
      <c r="D64" s="3">
        <v>473839.25</v>
      </c>
      <c r="E64" t="s">
        <v>11</v>
      </c>
      <c r="F64" s="25">
        <f t="shared" si="3"/>
        <v>501321.63</v>
      </c>
      <c r="G64" s="78">
        <v>5000000</v>
      </c>
      <c r="H64" s="3">
        <v>27482.38</v>
      </c>
      <c r="I64" t="s">
        <v>12</v>
      </c>
      <c r="J64" t="s">
        <v>29</v>
      </c>
      <c r="K64" t="s">
        <v>59</v>
      </c>
      <c r="L64">
        <f t="shared" ca="1" si="8"/>
        <v>31308</v>
      </c>
      <c r="M64">
        <v>6</v>
      </c>
      <c r="N64">
        <f t="shared" si="9"/>
        <v>1.1037603600000001</v>
      </c>
      <c r="O64" s="26">
        <f t="shared" si="4"/>
        <v>553338.94280458684</v>
      </c>
      <c r="P64" s="26">
        <f t="shared" si="5"/>
        <v>525856.56280458684</v>
      </c>
      <c r="Q64" s="28">
        <f t="shared" si="6"/>
        <v>525856.56280458684</v>
      </c>
      <c r="R64" s="2">
        <f t="shared" si="7"/>
        <v>1</v>
      </c>
      <c r="S64">
        <f t="shared" si="10"/>
        <v>2020</v>
      </c>
    </row>
    <row r="65" spans="1:19" x14ac:dyDescent="0.2">
      <c r="A65" t="s">
        <v>110</v>
      </c>
      <c r="B65" s="1">
        <v>43543</v>
      </c>
      <c r="C65" t="s">
        <v>10</v>
      </c>
      <c r="D65" s="3">
        <v>573849.48</v>
      </c>
      <c r="E65" t="s">
        <v>27</v>
      </c>
      <c r="F65" s="25">
        <f t="shared" si="3"/>
        <v>606697.05999999994</v>
      </c>
      <c r="G65" s="78">
        <v>5000000</v>
      </c>
      <c r="H65" s="3">
        <v>32847.58</v>
      </c>
      <c r="I65" t="s">
        <v>17</v>
      </c>
      <c r="J65" t="s">
        <v>13</v>
      </c>
      <c r="K65" t="s">
        <v>43</v>
      </c>
      <c r="L65">
        <f t="shared" ca="1" si="8"/>
        <v>59307</v>
      </c>
      <c r="M65">
        <v>3</v>
      </c>
      <c r="N65">
        <f t="shared" si="9"/>
        <v>1.1479107743999999</v>
      </c>
      <c r="O65" s="26">
        <f t="shared" si="4"/>
        <v>696434.0919708031</v>
      </c>
      <c r="P65" s="26">
        <f t="shared" si="5"/>
        <v>663586.51197080314</v>
      </c>
      <c r="Q65" s="28">
        <f t="shared" si="6"/>
        <v>663586.51197080314</v>
      </c>
      <c r="R65" s="2">
        <f t="shared" si="7"/>
        <v>1</v>
      </c>
      <c r="S65">
        <f t="shared" si="10"/>
        <v>2019</v>
      </c>
    </row>
    <row r="66" spans="1:19" x14ac:dyDescent="0.2">
      <c r="A66" t="s">
        <v>111</v>
      </c>
      <c r="B66" s="1">
        <v>44959</v>
      </c>
      <c r="C66" t="s">
        <v>21</v>
      </c>
      <c r="D66" s="3">
        <v>683849.75</v>
      </c>
      <c r="E66" t="s">
        <v>11</v>
      </c>
      <c r="F66" s="25">
        <f t="shared" si="3"/>
        <v>716797.2</v>
      </c>
      <c r="G66" s="78">
        <v>5000000</v>
      </c>
      <c r="H66" s="3">
        <v>32947.449999999997</v>
      </c>
      <c r="I66" t="s">
        <v>22</v>
      </c>
      <c r="J66" t="s">
        <v>18</v>
      </c>
      <c r="K66" t="s">
        <v>57</v>
      </c>
      <c r="L66">
        <f t="shared" ref="L66:L101" ca="1" si="11">IF(C66="Cargo Liability",RANDBETWEEN(10000,80000),IF(C66="Collision Liability",RANDBETWEEN(20000,100000),IF(C66="Environmental Pollution",RANDBETWEEN(50000,120000),IF(C66="Damage to Other Vessels",RANDBETWEEN(15000,90000),IF(C66="Injury to Third Parties",RANDBETWEEN(5000,60000))))))</f>
        <v>60515</v>
      </c>
      <c r="M66">
        <v>2</v>
      </c>
      <c r="N66">
        <f t="shared" ref="N66:N101" si="12">IF(YEAR(B66)=2023, 1.03,
   IF(YEAR(B66)=2022, 1.0506,
   IF(YEAR(B66)=2021, 1.071612,
   IF(YEAR(B66)=2020, 1.10376036,
   IF(YEAR(B66)=2019, 1.1479107744,
   IF(YEAR(B66)=2018, 1.20530631312, 1))))))</f>
        <v>1.03</v>
      </c>
      <c r="O66" s="26">
        <f t="shared" si="4"/>
        <v>738301.11599999992</v>
      </c>
      <c r="P66" s="26">
        <f t="shared" si="5"/>
        <v>705353.66599999997</v>
      </c>
      <c r="Q66" s="28">
        <f t="shared" si="6"/>
        <v>705353.66599999997</v>
      </c>
      <c r="R66" s="2">
        <f t="shared" si="7"/>
        <v>1</v>
      </c>
      <c r="S66">
        <f t="shared" si="10"/>
        <v>2023</v>
      </c>
    </row>
    <row r="67" spans="1:19" x14ac:dyDescent="0.2">
      <c r="A67" t="s">
        <v>112</v>
      </c>
      <c r="B67" s="1">
        <v>44753</v>
      </c>
      <c r="C67" t="s">
        <v>26</v>
      </c>
      <c r="D67" s="3">
        <v>683849.45</v>
      </c>
      <c r="E67" t="s">
        <v>27</v>
      </c>
      <c r="F67" s="25">
        <f t="shared" ref="F67:F101" si="13">D67+H67</f>
        <v>713331.89999999991</v>
      </c>
      <c r="G67" s="78">
        <v>5000000</v>
      </c>
      <c r="H67" s="3">
        <v>29482.45</v>
      </c>
      <c r="I67" t="s">
        <v>28</v>
      </c>
      <c r="J67" t="s">
        <v>23</v>
      </c>
      <c r="K67" t="s">
        <v>47</v>
      </c>
      <c r="L67">
        <f t="shared" ca="1" si="11"/>
        <v>94890</v>
      </c>
      <c r="M67">
        <v>4</v>
      </c>
      <c r="N67">
        <f t="shared" si="12"/>
        <v>1.0506</v>
      </c>
      <c r="O67" s="26">
        <f t="shared" ref="O67:O100" si="14">F67*N67</f>
        <v>749426.49413999985</v>
      </c>
      <c r="P67" s="26">
        <f t="shared" ref="P67:P101" si="15">O67-H67</f>
        <v>719944.0441399999</v>
      </c>
      <c r="Q67" s="28">
        <f t="shared" ref="Q67:Q101" si="16">MIN( P67,G67)</f>
        <v>719944.0441399999</v>
      </c>
      <c r="R67" s="2">
        <f t="shared" ref="R67:R101" si="17">IF(Q67&lt;1000000,1,0)</f>
        <v>1</v>
      </c>
      <c r="S67">
        <f t="shared" ref="S67:S101" si="18">YEAR(B67)</f>
        <v>2022</v>
      </c>
    </row>
    <row r="68" spans="1:19" x14ac:dyDescent="0.2">
      <c r="A68" t="s">
        <v>113</v>
      </c>
      <c r="B68" s="1">
        <v>44369</v>
      </c>
      <c r="C68" t="s">
        <v>16</v>
      </c>
      <c r="D68" s="3">
        <v>573839.54</v>
      </c>
      <c r="E68" t="s">
        <v>11</v>
      </c>
      <c r="F68" s="25">
        <f t="shared" si="13"/>
        <v>601678.92000000004</v>
      </c>
      <c r="G68" s="78">
        <v>5000000</v>
      </c>
      <c r="H68" s="3">
        <v>27839.38</v>
      </c>
      <c r="I68" t="s">
        <v>17</v>
      </c>
      <c r="J68" t="s">
        <v>38</v>
      </c>
      <c r="K68" t="s">
        <v>55</v>
      </c>
      <c r="L68">
        <f t="shared" ca="1" si="11"/>
        <v>77226</v>
      </c>
      <c r="M68">
        <v>5</v>
      </c>
      <c r="N68">
        <f t="shared" si="12"/>
        <v>1.071612</v>
      </c>
      <c r="O68" s="26">
        <f t="shared" si="14"/>
        <v>644766.35081904009</v>
      </c>
      <c r="P68" s="26">
        <f t="shared" si="15"/>
        <v>616926.97081904009</v>
      </c>
      <c r="Q68" s="28">
        <f t="shared" si="16"/>
        <v>616926.97081904009</v>
      </c>
      <c r="R68" s="2">
        <f t="shared" si="17"/>
        <v>1</v>
      </c>
      <c r="S68">
        <f t="shared" si="18"/>
        <v>2021</v>
      </c>
    </row>
    <row r="69" spans="1:19" x14ac:dyDescent="0.2">
      <c r="A69" t="s">
        <v>114</v>
      </c>
      <c r="B69" s="1">
        <v>43857</v>
      </c>
      <c r="C69" t="s">
        <v>32</v>
      </c>
      <c r="D69" s="3">
        <v>572839.44999999995</v>
      </c>
      <c r="E69" t="s">
        <v>11</v>
      </c>
      <c r="F69" s="25">
        <f t="shared" si="13"/>
        <v>605786.89999999991</v>
      </c>
      <c r="G69" s="78">
        <v>5000000</v>
      </c>
      <c r="H69" s="3">
        <v>32947.449999999997</v>
      </c>
      <c r="I69" t="s">
        <v>12</v>
      </c>
      <c r="J69" t="s">
        <v>29</v>
      </c>
      <c r="K69" t="s">
        <v>49</v>
      </c>
      <c r="L69">
        <f t="shared" ca="1" si="11"/>
        <v>57896</v>
      </c>
      <c r="M69">
        <v>3</v>
      </c>
      <c r="N69">
        <f t="shared" si="12"/>
        <v>1.1037603600000001</v>
      </c>
      <c r="O69" s="26">
        <f t="shared" si="14"/>
        <v>668643.56682728394</v>
      </c>
      <c r="P69" s="26">
        <f t="shared" si="15"/>
        <v>635696.11682728399</v>
      </c>
      <c r="Q69" s="28">
        <f t="shared" si="16"/>
        <v>635696.11682728399</v>
      </c>
      <c r="R69" s="2">
        <f t="shared" si="17"/>
        <v>1</v>
      </c>
      <c r="S69">
        <f t="shared" si="18"/>
        <v>2020</v>
      </c>
    </row>
    <row r="70" spans="1:19" x14ac:dyDescent="0.2">
      <c r="A70" t="s">
        <v>115</v>
      </c>
      <c r="B70" s="1">
        <v>43593</v>
      </c>
      <c r="C70" t="s">
        <v>32</v>
      </c>
      <c r="D70" s="3">
        <v>472839.38</v>
      </c>
      <c r="E70" t="s">
        <v>27</v>
      </c>
      <c r="F70" s="25">
        <f t="shared" si="13"/>
        <v>502313.22000000003</v>
      </c>
      <c r="G70" s="78">
        <v>2000000</v>
      </c>
      <c r="H70" s="3">
        <v>29473.84</v>
      </c>
      <c r="I70" t="s">
        <v>17</v>
      </c>
      <c r="J70" t="s">
        <v>23</v>
      </c>
      <c r="K70" t="s">
        <v>65</v>
      </c>
      <c r="L70">
        <f t="shared" ca="1" si="11"/>
        <v>29819</v>
      </c>
      <c r="M70">
        <v>4</v>
      </c>
      <c r="N70">
        <f t="shared" si="12"/>
        <v>1.1479107743999999</v>
      </c>
      <c r="O70" s="26">
        <f t="shared" si="14"/>
        <v>576610.75736155757</v>
      </c>
      <c r="P70" s="26">
        <f t="shared" si="15"/>
        <v>547136.9173615576</v>
      </c>
      <c r="Q70" s="28">
        <f t="shared" si="16"/>
        <v>547136.9173615576</v>
      </c>
      <c r="R70" s="2">
        <f t="shared" si="17"/>
        <v>1</v>
      </c>
      <c r="S70">
        <f t="shared" si="18"/>
        <v>2019</v>
      </c>
    </row>
    <row r="71" spans="1:19" x14ac:dyDescent="0.2">
      <c r="A71" t="s">
        <v>116</v>
      </c>
      <c r="B71" s="1">
        <v>45035</v>
      </c>
      <c r="C71" t="s">
        <v>10</v>
      </c>
      <c r="D71" s="3">
        <v>573849.48</v>
      </c>
      <c r="E71" t="s">
        <v>11</v>
      </c>
      <c r="F71" s="25">
        <f t="shared" si="13"/>
        <v>606697.05999999994</v>
      </c>
      <c r="G71" s="78">
        <v>5000000</v>
      </c>
      <c r="H71" s="3">
        <v>32847.58</v>
      </c>
      <c r="I71" t="s">
        <v>17</v>
      </c>
      <c r="J71" t="s">
        <v>38</v>
      </c>
      <c r="K71" t="s">
        <v>47</v>
      </c>
      <c r="L71">
        <f t="shared" ca="1" si="11"/>
        <v>36797</v>
      </c>
      <c r="M71">
        <v>3</v>
      </c>
      <c r="N71">
        <f t="shared" si="12"/>
        <v>1.03</v>
      </c>
      <c r="O71" s="26">
        <f t="shared" si="14"/>
        <v>624897.97179999994</v>
      </c>
      <c r="P71" s="26">
        <f t="shared" si="15"/>
        <v>592050.39179999998</v>
      </c>
      <c r="Q71" s="28">
        <f t="shared" si="16"/>
        <v>592050.39179999998</v>
      </c>
      <c r="R71" s="2">
        <f t="shared" si="17"/>
        <v>1</v>
      </c>
      <c r="S71">
        <f t="shared" si="18"/>
        <v>2023</v>
      </c>
    </row>
    <row r="72" spans="1:19" x14ac:dyDescent="0.2">
      <c r="A72" t="s">
        <v>117</v>
      </c>
      <c r="B72" s="1">
        <v>44481</v>
      </c>
      <c r="C72" t="s">
        <v>21</v>
      </c>
      <c r="D72" s="3">
        <v>683849.75</v>
      </c>
      <c r="E72" t="s">
        <v>11</v>
      </c>
      <c r="F72" s="25">
        <f t="shared" si="13"/>
        <v>721798.13</v>
      </c>
      <c r="G72" s="78">
        <v>5000000</v>
      </c>
      <c r="H72" s="3">
        <v>37948.379999999997</v>
      </c>
      <c r="I72" t="s">
        <v>22</v>
      </c>
      <c r="J72" t="s">
        <v>29</v>
      </c>
      <c r="K72" t="s">
        <v>53</v>
      </c>
      <c r="L72">
        <f t="shared" ca="1" si="11"/>
        <v>78088</v>
      </c>
      <c r="M72">
        <v>5</v>
      </c>
      <c r="N72">
        <f t="shared" si="12"/>
        <v>1.071612</v>
      </c>
      <c r="O72" s="26">
        <f t="shared" si="14"/>
        <v>773487.53768556006</v>
      </c>
      <c r="P72" s="26">
        <f t="shared" si="15"/>
        <v>735539.15768556006</v>
      </c>
      <c r="Q72" s="28">
        <f t="shared" si="16"/>
        <v>735539.15768556006</v>
      </c>
      <c r="R72" s="2">
        <f t="shared" si="17"/>
        <v>1</v>
      </c>
      <c r="S72">
        <f t="shared" si="18"/>
        <v>2021</v>
      </c>
    </row>
    <row r="73" spans="1:19" x14ac:dyDescent="0.2">
      <c r="A73" t="s">
        <v>118</v>
      </c>
      <c r="B73" s="1">
        <v>44648</v>
      </c>
      <c r="C73" t="s">
        <v>26</v>
      </c>
      <c r="D73" s="3">
        <v>739849.45</v>
      </c>
      <c r="E73" t="s">
        <v>27</v>
      </c>
      <c r="F73" s="25">
        <f t="shared" si="13"/>
        <v>778796.89999999991</v>
      </c>
      <c r="G73" s="78">
        <v>5000000</v>
      </c>
      <c r="H73" s="3">
        <v>38947.449999999997</v>
      </c>
      <c r="I73" t="s">
        <v>28</v>
      </c>
      <c r="J73" t="s">
        <v>13</v>
      </c>
      <c r="K73" t="s">
        <v>41</v>
      </c>
      <c r="L73">
        <f t="shared" ca="1" si="11"/>
        <v>91391</v>
      </c>
      <c r="M73">
        <v>3</v>
      </c>
      <c r="N73">
        <f t="shared" si="12"/>
        <v>1.0506</v>
      </c>
      <c r="O73" s="26">
        <f t="shared" si="14"/>
        <v>818204.02313999983</v>
      </c>
      <c r="P73" s="26">
        <f t="shared" si="15"/>
        <v>779256.57313999988</v>
      </c>
      <c r="Q73" s="28">
        <f t="shared" si="16"/>
        <v>779256.57313999988</v>
      </c>
      <c r="R73" s="2">
        <f t="shared" si="17"/>
        <v>1</v>
      </c>
      <c r="S73">
        <f t="shared" si="18"/>
        <v>2022</v>
      </c>
    </row>
    <row r="74" spans="1:19" x14ac:dyDescent="0.2">
      <c r="A74" t="s">
        <v>119</v>
      </c>
      <c r="B74" s="1">
        <v>44047</v>
      </c>
      <c r="C74" t="s">
        <v>16</v>
      </c>
      <c r="D74" s="3">
        <v>573839.54</v>
      </c>
      <c r="E74" t="s">
        <v>11</v>
      </c>
      <c r="F74" s="25">
        <f t="shared" si="13"/>
        <v>601678.92000000004</v>
      </c>
      <c r="G74" s="78">
        <v>5000000</v>
      </c>
      <c r="H74" s="3">
        <v>27839.38</v>
      </c>
      <c r="I74" t="s">
        <v>17</v>
      </c>
      <c r="J74" t="s">
        <v>18</v>
      </c>
      <c r="K74" t="s">
        <v>76</v>
      </c>
      <c r="L74">
        <f t="shared" ca="1" si="11"/>
        <v>61207</v>
      </c>
      <c r="M74">
        <v>6</v>
      </c>
      <c r="N74">
        <f t="shared" si="12"/>
        <v>1.1037603600000001</v>
      </c>
      <c r="O74" s="26">
        <f t="shared" si="14"/>
        <v>664109.34134361136</v>
      </c>
      <c r="P74" s="26">
        <f t="shared" si="15"/>
        <v>636269.96134361136</v>
      </c>
      <c r="Q74" s="28">
        <f t="shared" si="16"/>
        <v>636269.96134361136</v>
      </c>
      <c r="R74" s="2">
        <f t="shared" si="17"/>
        <v>1</v>
      </c>
      <c r="S74">
        <f t="shared" si="18"/>
        <v>2020</v>
      </c>
    </row>
    <row r="75" spans="1:19" x14ac:dyDescent="0.2">
      <c r="A75" t="s">
        <v>120</v>
      </c>
      <c r="B75" s="1">
        <v>43268</v>
      </c>
      <c r="C75" t="s">
        <v>32</v>
      </c>
      <c r="D75" s="3">
        <v>572839.44999999995</v>
      </c>
      <c r="E75" t="s">
        <v>11</v>
      </c>
      <c r="F75" s="25">
        <f t="shared" si="13"/>
        <v>605786.89999999991</v>
      </c>
      <c r="G75" s="78">
        <v>5000000</v>
      </c>
      <c r="H75" s="3">
        <v>32947.449999999997</v>
      </c>
      <c r="I75" t="s">
        <v>12</v>
      </c>
      <c r="J75" t="s">
        <v>38</v>
      </c>
      <c r="K75" t="s">
        <v>14</v>
      </c>
      <c r="L75">
        <f t="shared" ca="1" si="11"/>
        <v>47826</v>
      </c>
      <c r="M75">
        <v>3</v>
      </c>
      <c r="N75">
        <f t="shared" si="12"/>
        <v>1.2053063131199999</v>
      </c>
      <c r="O75" s="26">
        <f t="shared" si="14"/>
        <v>730158.77497539402</v>
      </c>
      <c r="P75" s="26">
        <f t="shared" si="15"/>
        <v>697211.32497539406</v>
      </c>
      <c r="Q75" s="28">
        <f t="shared" si="16"/>
        <v>697211.32497539406</v>
      </c>
      <c r="R75" s="2">
        <f t="shared" si="17"/>
        <v>1</v>
      </c>
      <c r="S75">
        <f t="shared" si="18"/>
        <v>2018</v>
      </c>
    </row>
    <row r="76" spans="1:19" x14ac:dyDescent="0.2">
      <c r="A76" t="s">
        <v>121</v>
      </c>
      <c r="B76" s="1">
        <v>45068</v>
      </c>
      <c r="C76" t="s">
        <v>10</v>
      </c>
      <c r="D76" s="3">
        <v>793849.23</v>
      </c>
      <c r="E76" t="s">
        <v>27</v>
      </c>
      <c r="F76" s="25">
        <f t="shared" si="13"/>
        <v>823331.71</v>
      </c>
      <c r="G76" s="78">
        <v>5000000</v>
      </c>
      <c r="H76" s="3">
        <v>29482.48</v>
      </c>
      <c r="I76" t="s">
        <v>17</v>
      </c>
      <c r="J76" t="s">
        <v>29</v>
      </c>
      <c r="K76" t="s">
        <v>34</v>
      </c>
      <c r="L76">
        <f t="shared" ca="1" si="11"/>
        <v>65723</v>
      </c>
      <c r="M76">
        <v>4</v>
      </c>
      <c r="N76">
        <f t="shared" si="12"/>
        <v>1.03</v>
      </c>
      <c r="O76" s="26">
        <f t="shared" si="14"/>
        <v>848031.66130000004</v>
      </c>
      <c r="P76" s="26">
        <f t="shared" si="15"/>
        <v>818549.18130000005</v>
      </c>
      <c r="Q76" s="28">
        <f t="shared" si="16"/>
        <v>818549.18130000005</v>
      </c>
      <c r="R76" s="2">
        <f t="shared" si="17"/>
        <v>1</v>
      </c>
      <c r="S76">
        <f t="shared" si="18"/>
        <v>2023</v>
      </c>
    </row>
    <row r="77" spans="1:19" x14ac:dyDescent="0.2">
      <c r="A77" t="s">
        <v>122</v>
      </c>
      <c r="B77" s="1">
        <v>44383</v>
      </c>
      <c r="C77" t="s">
        <v>21</v>
      </c>
      <c r="D77" s="3">
        <v>573849.48</v>
      </c>
      <c r="E77" t="s">
        <v>11</v>
      </c>
      <c r="F77" s="25">
        <f t="shared" si="13"/>
        <v>606697.05999999994</v>
      </c>
      <c r="G77" s="78">
        <v>5000000</v>
      </c>
      <c r="H77" s="3">
        <v>32847.58</v>
      </c>
      <c r="I77" t="s">
        <v>22</v>
      </c>
      <c r="J77" t="s">
        <v>13</v>
      </c>
      <c r="K77" t="s">
        <v>55</v>
      </c>
      <c r="L77">
        <f t="shared" ca="1" si="11"/>
        <v>83801</v>
      </c>
      <c r="M77">
        <v>3</v>
      </c>
      <c r="N77">
        <f t="shared" si="12"/>
        <v>1.071612</v>
      </c>
      <c r="O77" s="26">
        <f t="shared" si="14"/>
        <v>650143.84986071999</v>
      </c>
      <c r="P77" s="26">
        <f t="shared" si="15"/>
        <v>617296.26986072003</v>
      </c>
      <c r="Q77" s="28">
        <f t="shared" si="16"/>
        <v>617296.26986072003</v>
      </c>
      <c r="R77" s="2">
        <f t="shared" si="17"/>
        <v>1</v>
      </c>
      <c r="S77">
        <f t="shared" si="18"/>
        <v>2021</v>
      </c>
    </row>
    <row r="78" spans="1:19" x14ac:dyDescent="0.2">
      <c r="A78" t="s">
        <v>123</v>
      </c>
      <c r="B78" s="1">
        <v>43879</v>
      </c>
      <c r="C78" t="s">
        <v>26</v>
      </c>
      <c r="D78" s="3">
        <v>572839.44999999995</v>
      </c>
      <c r="E78" t="s">
        <v>11</v>
      </c>
      <c r="F78" s="25">
        <f t="shared" si="13"/>
        <v>605786.89999999991</v>
      </c>
      <c r="G78" s="78">
        <v>5000000</v>
      </c>
      <c r="H78" s="3">
        <v>32947.449999999997</v>
      </c>
      <c r="I78" t="s">
        <v>28</v>
      </c>
      <c r="J78" t="s">
        <v>23</v>
      </c>
      <c r="K78" t="s">
        <v>43</v>
      </c>
      <c r="L78">
        <f t="shared" ca="1" si="11"/>
        <v>62735</v>
      </c>
      <c r="M78">
        <v>6</v>
      </c>
      <c r="N78">
        <f t="shared" si="12"/>
        <v>1.1037603600000001</v>
      </c>
      <c r="O78" s="26">
        <f t="shared" si="14"/>
        <v>668643.56682728394</v>
      </c>
      <c r="P78" s="26">
        <f t="shared" si="15"/>
        <v>635696.11682728399</v>
      </c>
      <c r="Q78" s="28">
        <f t="shared" si="16"/>
        <v>635696.11682728399</v>
      </c>
      <c r="R78" s="2">
        <f t="shared" si="17"/>
        <v>1</v>
      </c>
      <c r="S78">
        <f t="shared" si="18"/>
        <v>2020</v>
      </c>
    </row>
    <row r="79" spans="1:19" x14ac:dyDescent="0.2">
      <c r="A79" t="s">
        <v>124</v>
      </c>
      <c r="B79" s="1">
        <v>44818</v>
      </c>
      <c r="C79" t="s">
        <v>16</v>
      </c>
      <c r="D79" s="3">
        <v>573839.54</v>
      </c>
      <c r="E79" t="s">
        <v>27</v>
      </c>
      <c r="F79" s="25">
        <f t="shared" si="13"/>
        <v>601678.92000000004</v>
      </c>
      <c r="G79" s="78">
        <v>5000000</v>
      </c>
      <c r="H79" s="3">
        <v>27839.38</v>
      </c>
      <c r="I79" t="s">
        <v>17</v>
      </c>
      <c r="J79" t="s">
        <v>18</v>
      </c>
      <c r="K79" t="s">
        <v>39</v>
      </c>
      <c r="L79">
        <f t="shared" ca="1" si="11"/>
        <v>68328</v>
      </c>
      <c r="M79">
        <v>3</v>
      </c>
      <c r="N79">
        <f t="shared" si="12"/>
        <v>1.0506</v>
      </c>
      <c r="O79" s="26">
        <f t="shared" si="14"/>
        <v>632123.87335200002</v>
      </c>
      <c r="P79" s="26">
        <f t="shared" si="15"/>
        <v>604284.49335200002</v>
      </c>
      <c r="Q79" s="28">
        <f t="shared" si="16"/>
        <v>604284.49335200002</v>
      </c>
      <c r="R79" s="2">
        <f t="shared" si="17"/>
        <v>1</v>
      </c>
      <c r="S79">
        <f t="shared" si="18"/>
        <v>2022</v>
      </c>
    </row>
    <row r="80" spans="1:19" x14ac:dyDescent="0.2">
      <c r="A80" t="s">
        <v>125</v>
      </c>
      <c r="B80" s="1">
        <v>44992</v>
      </c>
      <c r="C80" t="s">
        <v>32</v>
      </c>
      <c r="D80" s="3">
        <v>473839.25</v>
      </c>
      <c r="E80" t="s">
        <v>11</v>
      </c>
      <c r="F80" s="25">
        <f t="shared" si="13"/>
        <v>501321.63</v>
      </c>
      <c r="G80" s="78">
        <v>2000000</v>
      </c>
      <c r="H80" s="3">
        <v>27482.38</v>
      </c>
      <c r="I80" t="s">
        <v>12</v>
      </c>
      <c r="J80" t="s">
        <v>38</v>
      </c>
      <c r="K80" t="s">
        <v>24</v>
      </c>
      <c r="L80">
        <f t="shared" ca="1" si="11"/>
        <v>5635</v>
      </c>
      <c r="M80">
        <v>5</v>
      </c>
      <c r="N80">
        <f t="shared" si="12"/>
        <v>1.03</v>
      </c>
      <c r="O80" s="26">
        <f t="shared" si="14"/>
        <v>516361.27890000003</v>
      </c>
      <c r="P80" s="26">
        <f t="shared" si="15"/>
        <v>488878.89890000003</v>
      </c>
      <c r="Q80" s="28">
        <f t="shared" si="16"/>
        <v>488878.89890000003</v>
      </c>
      <c r="R80" s="2">
        <f t="shared" si="17"/>
        <v>1</v>
      </c>
      <c r="S80">
        <f t="shared" si="18"/>
        <v>2023</v>
      </c>
    </row>
    <row r="81" spans="1:19" x14ac:dyDescent="0.2">
      <c r="A81" t="s">
        <v>126</v>
      </c>
      <c r="B81" s="1">
        <v>44531</v>
      </c>
      <c r="C81" t="s">
        <v>10</v>
      </c>
      <c r="D81" s="3">
        <v>573849.48</v>
      </c>
      <c r="E81" t="s">
        <v>11</v>
      </c>
      <c r="F81" s="25">
        <f t="shared" si="13"/>
        <v>606697.05999999994</v>
      </c>
      <c r="G81" s="78">
        <v>5000000</v>
      </c>
      <c r="H81" s="3">
        <v>32847.58</v>
      </c>
      <c r="I81" t="s">
        <v>17</v>
      </c>
      <c r="J81" t="s">
        <v>29</v>
      </c>
      <c r="K81" t="s">
        <v>30</v>
      </c>
      <c r="L81">
        <f t="shared" ca="1" si="11"/>
        <v>52727</v>
      </c>
      <c r="M81">
        <v>7</v>
      </c>
      <c r="N81">
        <f t="shared" si="12"/>
        <v>1.071612</v>
      </c>
      <c r="O81" s="26">
        <f t="shared" si="14"/>
        <v>650143.84986071999</v>
      </c>
      <c r="P81" s="26">
        <f t="shared" si="15"/>
        <v>617296.26986072003</v>
      </c>
      <c r="Q81" s="28">
        <f t="shared" si="16"/>
        <v>617296.26986072003</v>
      </c>
      <c r="R81" s="2">
        <f t="shared" si="17"/>
        <v>1</v>
      </c>
      <c r="S81">
        <f t="shared" si="18"/>
        <v>2021</v>
      </c>
    </row>
    <row r="82" spans="1:19" x14ac:dyDescent="0.2">
      <c r="A82" t="s">
        <v>127</v>
      </c>
      <c r="B82" s="1">
        <v>43987</v>
      </c>
      <c r="C82" t="s">
        <v>21</v>
      </c>
      <c r="D82" s="3">
        <v>683849.75</v>
      </c>
      <c r="E82" t="s">
        <v>11</v>
      </c>
      <c r="F82" s="25">
        <f t="shared" si="13"/>
        <v>721798.13</v>
      </c>
      <c r="G82" s="78">
        <v>5000000</v>
      </c>
      <c r="H82" s="3">
        <v>37948.379999999997</v>
      </c>
      <c r="I82" t="s">
        <v>22</v>
      </c>
      <c r="J82" t="s">
        <v>13</v>
      </c>
      <c r="K82" t="s">
        <v>57</v>
      </c>
      <c r="L82">
        <f t="shared" ca="1" si="11"/>
        <v>32870</v>
      </c>
      <c r="M82">
        <v>3</v>
      </c>
      <c r="N82">
        <f t="shared" si="12"/>
        <v>1.1037603600000001</v>
      </c>
      <c r="O82" s="26">
        <f t="shared" si="14"/>
        <v>796692.16381612688</v>
      </c>
      <c r="P82" s="26">
        <f t="shared" si="15"/>
        <v>758743.78381612687</v>
      </c>
      <c r="Q82" s="28">
        <f t="shared" si="16"/>
        <v>758743.78381612687</v>
      </c>
      <c r="R82" s="2">
        <f t="shared" si="17"/>
        <v>1</v>
      </c>
      <c r="S82">
        <f t="shared" si="18"/>
        <v>2020</v>
      </c>
    </row>
    <row r="83" spans="1:19" x14ac:dyDescent="0.2">
      <c r="A83" t="s">
        <v>128</v>
      </c>
      <c r="B83" s="1">
        <v>43707</v>
      </c>
      <c r="C83" t="s">
        <v>26</v>
      </c>
      <c r="D83" s="3">
        <v>739849.45</v>
      </c>
      <c r="E83" t="s">
        <v>27</v>
      </c>
      <c r="F83" s="25">
        <f t="shared" si="13"/>
        <v>778796.89999999991</v>
      </c>
      <c r="G83" s="78">
        <v>5000000</v>
      </c>
      <c r="H83" s="3">
        <v>38947.449999999997</v>
      </c>
      <c r="I83" t="s">
        <v>28</v>
      </c>
      <c r="J83" t="s">
        <v>23</v>
      </c>
      <c r="K83" t="s">
        <v>51</v>
      </c>
      <c r="L83">
        <f t="shared" ca="1" si="11"/>
        <v>93324</v>
      </c>
      <c r="M83">
        <v>4</v>
      </c>
      <c r="N83">
        <f t="shared" si="12"/>
        <v>1.1479107743999999</v>
      </c>
      <c r="O83" s="26">
        <f t="shared" si="14"/>
        <v>893989.35257931915</v>
      </c>
      <c r="P83" s="26">
        <f t="shared" si="15"/>
        <v>855041.9025793192</v>
      </c>
      <c r="Q83" s="28">
        <f t="shared" si="16"/>
        <v>855041.9025793192</v>
      </c>
      <c r="R83" s="2">
        <f t="shared" si="17"/>
        <v>1</v>
      </c>
      <c r="S83">
        <f t="shared" si="18"/>
        <v>2019</v>
      </c>
    </row>
    <row r="84" spans="1:19" x14ac:dyDescent="0.2">
      <c r="A84" t="s">
        <v>129</v>
      </c>
      <c r="B84" s="1">
        <v>43426</v>
      </c>
      <c r="C84" t="s">
        <v>16</v>
      </c>
      <c r="D84" s="3">
        <v>573839.54</v>
      </c>
      <c r="E84" t="s">
        <v>11</v>
      </c>
      <c r="F84" s="25">
        <f t="shared" si="13"/>
        <v>601678.92000000004</v>
      </c>
      <c r="G84" s="78">
        <v>5000000</v>
      </c>
      <c r="H84" s="3">
        <v>27839.38</v>
      </c>
      <c r="I84" t="s">
        <v>17</v>
      </c>
      <c r="J84" t="s">
        <v>18</v>
      </c>
      <c r="K84" t="s">
        <v>72</v>
      </c>
      <c r="L84">
        <f t="shared" ca="1" si="11"/>
        <v>68145</v>
      </c>
      <c r="M84">
        <v>5</v>
      </c>
      <c r="N84">
        <f t="shared" si="12"/>
        <v>1.2053063131199999</v>
      </c>
      <c r="O84" s="26">
        <f t="shared" si="14"/>
        <v>725207.40074722341</v>
      </c>
      <c r="P84" s="26">
        <f t="shared" si="15"/>
        <v>697368.0207472234</v>
      </c>
      <c r="Q84" s="28">
        <f t="shared" si="16"/>
        <v>697368.0207472234</v>
      </c>
      <c r="R84" s="2">
        <f t="shared" si="17"/>
        <v>1</v>
      </c>
      <c r="S84">
        <f t="shared" si="18"/>
        <v>2018</v>
      </c>
    </row>
    <row r="85" spans="1:19" x14ac:dyDescent="0.2">
      <c r="A85" t="s">
        <v>130</v>
      </c>
      <c r="B85" s="1">
        <v>44955</v>
      </c>
      <c r="C85" t="s">
        <v>32</v>
      </c>
      <c r="D85" s="3">
        <v>572839.44999999995</v>
      </c>
      <c r="E85" t="s">
        <v>11</v>
      </c>
      <c r="F85" s="25">
        <f t="shared" si="13"/>
        <v>605786.89999999991</v>
      </c>
      <c r="G85" s="78">
        <v>5000000</v>
      </c>
      <c r="H85" s="3">
        <v>32947.449999999997</v>
      </c>
      <c r="I85" t="s">
        <v>12</v>
      </c>
      <c r="J85" t="s">
        <v>38</v>
      </c>
      <c r="K85" t="s">
        <v>65</v>
      </c>
      <c r="L85">
        <f t="shared" ca="1" si="11"/>
        <v>44228</v>
      </c>
      <c r="M85">
        <v>6</v>
      </c>
      <c r="N85">
        <f t="shared" si="12"/>
        <v>1.03</v>
      </c>
      <c r="O85" s="26">
        <f t="shared" si="14"/>
        <v>623960.50699999987</v>
      </c>
      <c r="P85" s="26">
        <f t="shared" si="15"/>
        <v>591013.05699999991</v>
      </c>
      <c r="Q85" s="28">
        <f t="shared" si="16"/>
        <v>591013.05699999991</v>
      </c>
      <c r="R85" s="2">
        <f t="shared" si="17"/>
        <v>1</v>
      </c>
      <c r="S85">
        <f t="shared" si="18"/>
        <v>2023</v>
      </c>
    </row>
    <row r="86" spans="1:19" x14ac:dyDescent="0.2">
      <c r="A86" t="s">
        <v>131</v>
      </c>
      <c r="B86" s="1">
        <v>44296</v>
      </c>
      <c r="C86" t="s">
        <v>10</v>
      </c>
      <c r="D86" s="3">
        <v>793849.23</v>
      </c>
      <c r="E86" t="s">
        <v>27</v>
      </c>
      <c r="F86" s="25">
        <f t="shared" si="13"/>
        <v>823331.71</v>
      </c>
      <c r="G86" s="78">
        <v>5000000</v>
      </c>
      <c r="H86" s="3">
        <v>29482.48</v>
      </c>
      <c r="I86" t="s">
        <v>17</v>
      </c>
      <c r="J86" t="s">
        <v>29</v>
      </c>
      <c r="K86" t="s">
        <v>47</v>
      </c>
      <c r="L86">
        <f t="shared" ca="1" si="11"/>
        <v>62788</v>
      </c>
      <c r="M86">
        <v>4</v>
      </c>
      <c r="N86">
        <f t="shared" si="12"/>
        <v>1.071612</v>
      </c>
      <c r="O86" s="26">
        <f t="shared" si="14"/>
        <v>882292.14041651995</v>
      </c>
      <c r="P86" s="26">
        <f t="shared" si="15"/>
        <v>852809.66041651997</v>
      </c>
      <c r="Q86" s="28">
        <f t="shared" si="16"/>
        <v>852809.66041651997</v>
      </c>
      <c r="R86" s="2">
        <f t="shared" si="17"/>
        <v>1</v>
      </c>
      <c r="S86">
        <f t="shared" si="18"/>
        <v>2021</v>
      </c>
    </row>
    <row r="87" spans="1:19" x14ac:dyDescent="0.2">
      <c r="A87" t="s">
        <v>132</v>
      </c>
      <c r="B87" s="1">
        <v>44032</v>
      </c>
      <c r="C87" t="s">
        <v>21</v>
      </c>
      <c r="D87" s="3">
        <v>573849.48</v>
      </c>
      <c r="E87" t="s">
        <v>11</v>
      </c>
      <c r="F87" s="25">
        <f t="shared" si="13"/>
        <v>606697.05999999994</v>
      </c>
      <c r="G87" s="78">
        <v>5000000</v>
      </c>
      <c r="H87" s="3">
        <v>32847.58</v>
      </c>
      <c r="I87" t="s">
        <v>22</v>
      </c>
      <c r="J87" t="s">
        <v>13</v>
      </c>
      <c r="K87" t="s">
        <v>19</v>
      </c>
      <c r="L87">
        <f t="shared" ca="1" si="11"/>
        <v>82728</v>
      </c>
      <c r="M87">
        <v>3</v>
      </c>
      <c r="N87">
        <f t="shared" si="12"/>
        <v>1.1037603600000001</v>
      </c>
      <c r="O87" s="26">
        <f t="shared" si="14"/>
        <v>669648.16535654163</v>
      </c>
      <c r="P87" s="26">
        <f t="shared" si="15"/>
        <v>636800.58535654168</v>
      </c>
      <c r="Q87" s="28">
        <f t="shared" si="16"/>
        <v>636800.58535654168</v>
      </c>
      <c r="R87" s="2">
        <f t="shared" si="17"/>
        <v>1</v>
      </c>
      <c r="S87">
        <f t="shared" si="18"/>
        <v>2020</v>
      </c>
    </row>
    <row r="88" spans="1:19" x14ac:dyDescent="0.2">
      <c r="A88" t="s">
        <v>133</v>
      </c>
      <c r="B88" s="1">
        <v>43520</v>
      </c>
      <c r="C88" t="s">
        <v>26</v>
      </c>
      <c r="D88" s="3">
        <v>572839.44999999995</v>
      </c>
      <c r="E88" t="s">
        <v>11</v>
      </c>
      <c r="F88" s="25">
        <f t="shared" si="13"/>
        <v>605786.89999999991</v>
      </c>
      <c r="G88" s="78">
        <v>5000000</v>
      </c>
      <c r="H88" s="3">
        <v>32947.449999999997</v>
      </c>
      <c r="I88" t="s">
        <v>28</v>
      </c>
      <c r="J88" t="s">
        <v>18</v>
      </c>
      <c r="K88" t="s">
        <v>49</v>
      </c>
      <c r="L88">
        <f t="shared" ca="1" si="11"/>
        <v>51690</v>
      </c>
      <c r="M88">
        <v>5</v>
      </c>
      <c r="N88">
        <f t="shared" si="12"/>
        <v>1.1479107743999999</v>
      </c>
      <c r="O88" s="26">
        <f t="shared" si="14"/>
        <v>695389.30950037518</v>
      </c>
      <c r="P88" s="26">
        <f t="shared" si="15"/>
        <v>662441.85950037523</v>
      </c>
      <c r="Q88" s="28">
        <f t="shared" si="16"/>
        <v>662441.85950037523</v>
      </c>
      <c r="R88" s="2">
        <f t="shared" si="17"/>
        <v>1</v>
      </c>
      <c r="S88">
        <f t="shared" si="18"/>
        <v>2019</v>
      </c>
    </row>
    <row r="89" spans="1:19" x14ac:dyDescent="0.2">
      <c r="A89" t="s">
        <v>134</v>
      </c>
      <c r="B89" s="1">
        <v>44884</v>
      </c>
      <c r="C89" t="s">
        <v>16</v>
      </c>
      <c r="D89" s="3">
        <v>573839.54</v>
      </c>
      <c r="E89" t="s">
        <v>27</v>
      </c>
      <c r="F89" s="25">
        <f t="shared" si="13"/>
        <v>601678.92000000004</v>
      </c>
      <c r="G89" s="78">
        <v>5000000</v>
      </c>
      <c r="H89" s="3">
        <v>27839.38</v>
      </c>
      <c r="I89" t="s">
        <v>17</v>
      </c>
      <c r="J89" t="s">
        <v>23</v>
      </c>
      <c r="K89" t="s">
        <v>41</v>
      </c>
      <c r="L89">
        <f t="shared" ca="1" si="11"/>
        <v>13501</v>
      </c>
      <c r="M89">
        <v>3</v>
      </c>
      <c r="N89">
        <f t="shared" si="12"/>
        <v>1.0506</v>
      </c>
      <c r="O89" s="26">
        <f t="shared" si="14"/>
        <v>632123.87335200002</v>
      </c>
      <c r="P89" s="26">
        <f t="shared" si="15"/>
        <v>604284.49335200002</v>
      </c>
      <c r="Q89" s="28">
        <f t="shared" si="16"/>
        <v>604284.49335200002</v>
      </c>
      <c r="R89" s="2">
        <f t="shared" si="17"/>
        <v>1</v>
      </c>
      <c r="S89">
        <f t="shared" si="18"/>
        <v>2022</v>
      </c>
    </row>
    <row r="90" spans="1:19" x14ac:dyDescent="0.2">
      <c r="A90" t="s">
        <v>135</v>
      </c>
      <c r="B90" s="1">
        <v>45091</v>
      </c>
      <c r="C90" t="s">
        <v>32</v>
      </c>
      <c r="D90" s="3">
        <v>473839.25</v>
      </c>
      <c r="E90" t="s">
        <v>11</v>
      </c>
      <c r="F90" s="25">
        <f t="shared" si="13"/>
        <v>501321.63</v>
      </c>
      <c r="G90" s="78">
        <v>2000000</v>
      </c>
      <c r="H90" s="3">
        <v>27482.38</v>
      </c>
      <c r="I90" t="s">
        <v>12</v>
      </c>
      <c r="J90" t="s">
        <v>38</v>
      </c>
      <c r="K90" t="s">
        <v>14</v>
      </c>
      <c r="L90">
        <f t="shared" ca="1" si="11"/>
        <v>58537</v>
      </c>
      <c r="M90">
        <v>7</v>
      </c>
      <c r="N90">
        <f t="shared" si="12"/>
        <v>1.03</v>
      </c>
      <c r="O90" s="26">
        <f t="shared" si="14"/>
        <v>516361.27890000003</v>
      </c>
      <c r="P90" s="26">
        <f t="shared" si="15"/>
        <v>488878.89890000003</v>
      </c>
      <c r="Q90" s="28">
        <f t="shared" si="16"/>
        <v>488878.89890000003</v>
      </c>
      <c r="R90" s="2">
        <f t="shared" si="17"/>
        <v>1</v>
      </c>
      <c r="S90">
        <f t="shared" si="18"/>
        <v>2023</v>
      </c>
    </row>
    <row r="91" spans="1:19" x14ac:dyDescent="0.2">
      <c r="A91" t="s">
        <v>136</v>
      </c>
      <c r="B91" s="1">
        <v>44419</v>
      </c>
      <c r="C91" t="s">
        <v>10</v>
      </c>
      <c r="D91" s="3">
        <v>573849.48</v>
      </c>
      <c r="E91" t="s">
        <v>11</v>
      </c>
      <c r="F91" s="25">
        <f t="shared" si="13"/>
        <v>606697.05999999994</v>
      </c>
      <c r="G91" s="78">
        <v>5000000</v>
      </c>
      <c r="H91" s="3">
        <v>32847.58</v>
      </c>
      <c r="I91" t="s">
        <v>17</v>
      </c>
      <c r="J91" t="s">
        <v>29</v>
      </c>
      <c r="K91" t="s">
        <v>39</v>
      </c>
      <c r="L91">
        <f t="shared" ca="1" si="11"/>
        <v>84269</v>
      </c>
      <c r="M91">
        <v>4</v>
      </c>
      <c r="N91">
        <f t="shared" si="12"/>
        <v>1.071612</v>
      </c>
      <c r="O91" s="26">
        <f t="shared" si="14"/>
        <v>650143.84986071999</v>
      </c>
      <c r="P91" s="26">
        <f t="shared" si="15"/>
        <v>617296.26986072003</v>
      </c>
      <c r="Q91" s="28">
        <f t="shared" si="16"/>
        <v>617296.26986072003</v>
      </c>
      <c r="R91" s="2">
        <f t="shared" si="17"/>
        <v>1</v>
      </c>
      <c r="S91">
        <f t="shared" si="18"/>
        <v>2021</v>
      </c>
    </row>
    <row r="92" spans="1:19" x14ac:dyDescent="0.2">
      <c r="A92" t="s">
        <v>137</v>
      </c>
      <c r="B92" s="1">
        <v>44186</v>
      </c>
      <c r="C92" t="s">
        <v>21</v>
      </c>
      <c r="D92" s="3">
        <v>683849.75</v>
      </c>
      <c r="E92" t="s">
        <v>11</v>
      </c>
      <c r="F92" s="25">
        <f t="shared" si="13"/>
        <v>721798.13</v>
      </c>
      <c r="G92" s="78">
        <v>5000000</v>
      </c>
      <c r="H92" s="3">
        <v>37948.379999999997</v>
      </c>
      <c r="I92" t="s">
        <v>22</v>
      </c>
      <c r="J92" t="s">
        <v>13</v>
      </c>
      <c r="K92" t="s">
        <v>36</v>
      </c>
      <c r="L92">
        <f t="shared" ca="1" si="11"/>
        <v>32212</v>
      </c>
      <c r="M92">
        <v>5</v>
      </c>
      <c r="N92">
        <f t="shared" si="12"/>
        <v>1.1037603600000001</v>
      </c>
      <c r="O92" s="26">
        <f t="shared" si="14"/>
        <v>796692.16381612688</v>
      </c>
      <c r="P92" s="26">
        <f t="shared" si="15"/>
        <v>758743.78381612687</v>
      </c>
      <c r="Q92" s="28">
        <f t="shared" si="16"/>
        <v>758743.78381612687</v>
      </c>
      <c r="R92" s="2">
        <f t="shared" si="17"/>
        <v>1</v>
      </c>
      <c r="S92">
        <f t="shared" si="18"/>
        <v>2020</v>
      </c>
    </row>
    <row r="93" spans="1:19" x14ac:dyDescent="0.2">
      <c r="A93" t="s">
        <v>138</v>
      </c>
      <c r="B93" s="1">
        <v>44704</v>
      </c>
      <c r="C93" t="s">
        <v>26</v>
      </c>
      <c r="D93" s="3">
        <v>739849.45</v>
      </c>
      <c r="E93" t="s">
        <v>27</v>
      </c>
      <c r="F93" s="25">
        <f t="shared" si="13"/>
        <v>778796.89999999991</v>
      </c>
      <c r="G93" s="78">
        <v>5000000</v>
      </c>
      <c r="H93" s="3">
        <v>38947.449999999997</v>
      </c>
      <c r="I93" t="s">
        <v>28</v>
      </c>
      <c r="J93" t="s">
        <v>23</v>
      </c>
      <c r="K93" t="s">
        <v>30</v>
      </c>
      <c r="L93">
        <f t="shared" ca="1" si="11"/>
        <v>89029</v>
      </c>
      <c r="M93">
        <v>6</v>
      </c>
      <c r="N93">
        <f t="shared" si="12"/>
        <v>1.0506</v>
      </c>
      <c r="O93" s="26">
        <f t="shared" si="14"/>
        <v>818204.02313999983</v>
      </c>
      <c r="P93" s="26">
        <f t="shared" si="15"/>
        <v>779256.57313999988</v>
      </c>
      <c r="Q93" s="28">
        <f t="shared" si="16"/>
        <v>779256.57313999988</v>
      </c>
      <c r="R93" s="2">
        <f t="shared" si="17"/>
        <v>1</v>
      </c>
      <c r="S93">
        <f t="shared" si="18"/>
        <v>2022</v>
      </c>
    </row>
    <row r="94" spans="1:19" x14ac:dyDescent="0.2">
      <c r="A94" t="s">
        <v>139</v>
      </c>
      <c r="B94" s="1">
        <v>43726</v>
      </c>
      <c r="C94" t="s">
        <v>16</v>
      </c>
      <c r="D94" s="3">
        <v>573839.54</v>
      </c>
      <c r="E94" t="s">
        <v>11</v>
      </c>
      <c r="F94" s="25">
        <f t="shared" si="13"/>
        <v>601678.92000000004</v>
      </c>
      <c r="G94" s="78">
        <v>5000000</v>
      </c>
      <c r="H94" s="3">
        <v>27839.38</v>
      </c>
      <c r="I94" t="s">
        <v>17</v>
      </c>
      <c r="J94" t="s">
        <v>18</v>
      </c>
      <c r="K94" t="s">
        <v>55</v>
      </c>
      <c r="L94">
        <f t="shared" ca="1" si="11"/>
        <v>20502</v>
      </c>
      <c r="M94">
        <v>3</v>
      </c>
      <c r="N94">
        <f t="shared" si="12"/>
        <v>1.1479107743999999</v>
      </c>
      <c r="O94" s="26">
        <f t="shared" si="14"/>
        <v>690673.71499735559</v>
      </c>
      <c r="P94" s="26">
        <f t="shared" si="15"/>
        <v>662834.33499735559</v>
      </c>
      <c r="Q94" s="28">
        <f t="shared" si="16"/>
        <v>662834.33499735559</v>
      </c>
      <c r="R94" s="2">
        <f t="shared" si="17"/>
        <v>1</v>
      </c>
      <c r="S94">
        <f t="shared" si="18"/>
        <v>2019</v>
      </c>
    </row>
    <row r="95" spans="1:19" x14ac:dyDescent="0.2">
      <c r="A95" t="s">
        <v>140</v>
      </c>
      <c r="B95" s="1">
        <v>45109</v>
      </c>
      <c r="C95" t="s">
        <v>32</v>
      </c>
      <c r="D95" s="3">
        <v>572839.44999999995</v>
      </c>
      <c r="E95" t="s">
        <v>11</v>
      </c>
      <c r="F95" s="25">
        <f t="shared" si="13"/>
        <v>605786.89999999991</v>
      </c>
      <c r="G95" s="78">
        <v>5000000</v>
      </c>
      <c r="H95" s="3">
        <v>32947.449999999997</v>
      </c>
      <c r="I95" t="s">
        <v>12</v>
      </c>
      <c r="J95" t="s">
        <v>38</v>
      </c>
      <c r="K95" t="s">
        <v>59</v>
      </c>
      <c r="L95">
        <f t="shared" ca="1" si="11"/>
        <v>38673</v>
      </c>
      <c r="M95">
        <v>4</v>
      </c>
      <c r="N95">
        <f t="shared" si="12"/>
        <v>1.03</v>
      </c>
      <c r="O95" s="26">
        <f t="shared" si="14"/>
        <v>623960.50699999987</v>
      </c>
      <c r="P95" s="26">
        <f t="shared" si="15"/>
        <v>591013.05699999991</v>
      </c>
      <c r="Q95" s="28">
        <f t="shared" si="16"/>
        <v>591013.05699999991</v>
      </c>
      <c r="R95" s="2">
        <f t="shared" si="17"/>
        <v>1</v>
      </c>
      <c r="S95">
        <f t="shared" si="18"/>
        <v>2023</v>
      </c>
    </row>
    <row r="96" spans="1:19" x14ac:dyDescent="0.2">
      <c r="A96" t="s">
        <v>141</v>
      </c>
      <c r="B96" s="1">
        <v>44281</v>
      </c>
      <c r="C96" t="s">
        <v>10</v>
      </c>
      <c r="D96" s="3">
        <v>793849.23</v>
      </c>
      <c r="E96" t="s">
        <v>27</v>
      </c>
      <c r="F96" s="25">
        <f t="shared" si="13"/>
        <v>823331.71</v>
      </c>
      <c r="G96" s="78">
        <v>5000000</v>
      </c>
      <c r="H96" s="3">
        <v>29482.48</v>
      </c>
      <c r="I96" t="s">
        <v>17</v>
      </c>
      <c r="J96" t="s">
        <v>29</v>
      </c>
      <c r="K96" t="s">
        <v>65</v>
      </c>
      <c r="L96">
        <f t="shared" ca="1" si="11"/>
        <v>54803</v>
      </c>
      <c r="M96">
        <v>3</v>
      </c>
      <c r="N96">
        <f t="shared" si="12"/>
        <v>1.071612</v>
      </c>
      <c r="O96" s="26">
        <f t="shared" si="14"/>
        <v>882292.14041651995</v>
      </c>
      <c r="P96" s="26">
        <f t="shared" si="15"/>
        <v>852809.66041651997</v>
      </c>
      <c r="Q96" s="28">
        <f t="shared" si="16"/>
        <v>852809.66041651997</v>
      </c>
      <c r="R96" s="2">
        <f t="shared" si="17"/>
        <v>1</v>
      </c>
      <c r="S96">
        <f t="shared" si="18"/>
        <v>2021</v>
      </c>
    </row>
    <row r="97" spans="1:19" x14ac:dyDescent="0.2">
      <c r="A97" t="s">
        <v>142</v>
      </c>
      <c r="B97" s="1">
        <v>43890</v>
      </c>
      <c r="C97" t="s">
        <v>21</v>
      </c>
      <c r="D97" s="3">
        <v>573849.48</v>
      </c>
      <c r="E97" t="s">
        <v>11</v>
      </c>
      <c r="F97" s="25">
        <f t="shared" si="13"/>
        <v>606697.05999999994</v>
      </c>
      <c r="G97" s="78">
        <v>5000000</v>
      </c>
      <c r="H97" s="3">
        <v>32847.58</v>
      </c>
      <c r="I97" t="s">
        <v>22</v>
      </c>
      <c r="J97" t="s">
        <v>13</v>
      </c>
      <c r="K97" t="s">
        <v>47</v>
      </c>
      <c r="L97">
        <f t="shared" ca="1" si="11"/>
        <v>30852</v>
      </c>
      <c r="M97">
        <v>6</v>
      </c>
      <c r="N97">
        <f t="shared" si="12"/>
        <v>1.1037603600000001</v>
      </c>
      <c r="O97" s="26">
        <f t="shared" si="14"/>
        <v>669648.16535654163</v>
      </c>
      <c r="P97" s="26">
        <f t="shared" si="15"/>
        <v>636800.58535654168</v>
      </c>
      <c r="Q97" s="28">
        <f t="shared" si="16"/>
        <v>636800.58535654168</v>
      </c>
      <c r="R97" s="2">
        <f t="shared" si="17"/>
        <v>1</v>
      </c>
      <c r="S97">
        <f t="shared" si="18"/>
        <v>2020</v>
      </c>
    </row>
    <row r="98" spans="1:19" x14ac:dyDescent="0.2">
      <c r="A98" t="s">
        <v>143</v>
      </c>
      <c r="B98" s="1">
        <v>43481</v>
      </c>
      <c r="C98" t="s">
        <v>26</v>
      </c>
      <c r="D98" s="3">
        <v>572839.44999999995</v>
      </c>
      <c r="E98" t="s">
        <v>11</v>
      </c>
      <c r="F98" s="25">
        <f t="shared" si="13"/>
        <v>605786.89999999991</v>
      </c>
      <c r="G98" s="78">
        <v>5000000</v>
      </c>
      <c r="H98" s="3">
        <v>32947.449999999997</v>
      </c>
      <c r="I98" t="s">
        <v>28</v>
      </c>
      <c r="J98" t="s">
        <v>18</v>
      </c>
      <c r="K98" t="s">
        <v>34</v>
      </c>
      <c r="L98">
        <f t="shared" ca="1" si="11"/>
        <v>116400</v>
      </c>
      <c r="M98">
        <v>5</v>
      </c>
      <c r="N98">
        <f t="shared" si="12"/>
        <v>1.1479107743999999</v>
      </c>
      <c r="O98" s="26">
        <f t="shared" si="14"/>
        <v>695389.30950037518</v>
      </c>
      <c r="P98" s="26">
        <f t="shared" si="15"/>
        <v>662441.85950037523</v>
      </c>
      <c r="Q98" s="28">
        <f t="shared" si="16"/>
        <v>662441.85950037523</v>
      </c>
      <c r="R98" s="2">
        <f t="shared" si="17"/>
        <v>1</v>
      </c>
      <c r="S98">
        <f t="shared" si="18"/>
        <v>2019</v>
      </c>
    </row>
    <row r="99" spans="1:19" x14ac:dyDescent="0.2">
      <c r="A99" t="s">
        <v>144</v>
      </c>
      <c r="B99" s="1">
        <v>44665</v>
      </c>
      <c r="C99" t="s">
        <v>16</v>
      </c>
      <c r="D99" s="3">
        <v>573839.54</v>
      </c>
      <c r="E99" t="s">
        <v>27</v>
      </c>
      <c r="F99" s="25">
        <f t="shared" si="13"/>
        <v>601678.92000000004</v>
      </c>
      <c r="G99" s="78">
        <v>5000000</v>
      </c>
      <c r="H99" s="3">
        <v>27839.38</v>
      </c>
      <c r="I99" t="s">
        <v>17</v>
      </c>
      <c r="J99" t="s">
        <v>23</v>
      </c>
      <c r="K99" t="s">
        <v>43</v>
      </c>
      <c r="L99">
        <f t="shared" ca="1" si="11"/>
        <v>51541</v>
      </c>
      <c r="M99">
        <v>3</v>
      </c>
      <c r="N99">
        <f t="shared" si="12"/>
        <v>1.0506</v>
      </c>
      <c r="O99" s="26">
        <f t="shared" si="14"/>
        <v>632123.87335200002</v>
      </c>
      <c r="P99" s="26">
        <f t="shared" si="15"/>
        <v>604284.49335200002</v>
      </c>
      <c r="Q99" s="28">
        <f t="shared" si="16"/>
        <v>604284.49335200002</v>
      </c>
      <c r="R99" s="2">
        <f t="shared" si="17"/>
        <v>1</v>
      </c>
      <c r="S99">
        <f t="shared" si="18"/>
        <v>2022</v>
      </c>
    </row>
    <row r="100" spans="1:19" x14ac:dyDescent="0.2">
      <c r="A100" t="s">
        <v>145</v>
      </c>
      <c r="B100" s="1">
        <v>45139</v>
      </c>
      <c r="C100" t="s">
        <v>32</v>
      </c>
      <c r="D100" s="3">
        <v>473839.25</v>
      </c>
      <c r="E100" t="s">
        <v>11</v>
      </c>
      <c r="F100" s="25">
        <f t="shared" si="13"/>
        <v>501321.63</v>
      </c>
      <c r="G100" s="78">
        <v>2000000</v>
      </c>
      <c r="H100" s="3">
        <v>27482.38</v>
      </c>
      <c r="I100" t="s">
        <v>12</v>
      </c>
      <c r="J100" t="s">
        <v>29</v>
      </c>
      <c r="K100" t="s">
        <v>53</v>
      </c>
      <c r="L100">
        <f t="shared" ca="1" si="11"/>
        <v>53722</v>
      </c>
      <c r="M100">
        <v>4</v>
      </c>
      <c r="N100">
        <f t="shared" si="12"/>
        <v>1.03</v>
      </c>
      <c r="O100" s="26">
        <f t="shared" si="14"/>
        <v>516361.27890000003</v>
      </c>
      <c r="P100" s="26">
        <f t="shared" si="15"/>
        <v>488878.89890000003</v>
      </c>
      <c r="Q100" s="28">
        <f t="shared" si="16"/>
        <v>488878.89890000003</v>
      </c>
      <c r="R100" s="2">
        <f t="shared" si="17"/>
        <v>1</v>
      </c>
      <c r="S100">
        <f t="shared" si="18"/>
        <v>2023</v>
      </c>
    </row>
    <row r="101" spans="1:19" x14ac:dyDescent="0.2">
      <c r="A101" t="s">
        <v>146</v>
      </c>
      <c r="B101" s="1">
        <v>44922</v>
      </c>
      <c r="C101" t="s">
        <v>26</v>
      </c>
      <c r="D101" s="3">
        <v>5000000</v>
      </c>
      <c r="E101" t="s">
        <v>33</v>
      </c>
      <c r="F101" s="25">
        <f t="shared" si="13"/>
        <v>5018723.79</v>
      </c>
      <c r="G101" s="78">
        <v>10000000</v>
      </c>
      <c r="H101" s="3">
        <v>18723.79</v>
      </c>
      <c r="I101" t="s">
        <v>28</v>
      </c>
      <c r="J101" t="s">
        <v>18</v>
      </c>
      <c r="K101" t="s">
        <v>59</v>
      </c>
      <c r="L101">
        <f t="shared" ca="1" si="11"/>
        <v>76599</v>
      </c>
      <c r="M101">
        <v>9</v>
      </c>
      <c r="N101">
        <f t="shared" si="12"/>
        <v>1.0506</v>
      </c>
      <c r="O101" s="26">
        <f>F101*N101</f>
        <v>5272671.2137740003</v>
      </c>
      <c r="P101" s="26">
        <f>O101-H101</f>
        <v>5253947.4237740003</v>
      </c>
      <c r="Q101" s="28">
        <f t="shared" si="16"/>
        <v>5253947.4237740003</v>
      </c>
      <c r="R101" s="2">
        <f t="shared" si="17"/>
        <v>0</v>
      </c>
      <c r="S101">
        <f t="shared" si="18"/>
        <v>2022</v>
      </c>
    </row>
    <row r="106" spans="1:19" x14ac:dyDescent="0.2">
      <c r="C106" s="93"/>
    </row>
    <row r="114" spans="2:9" x14ac:dyDescent="0.2">
      <c r="C114" s="93"/>
    </row>
    <row r="122" spans="2:9" x14ac:dyDescent="0.2">
      <c r="C122" s="92" t="s">
        <v>225</v>
      </c>
      <c r="D122"/>
      <c r="F122"/>
      <c r="G122"/>
      <c r="H122"/>
    </row>
    <row r="123" spans="2:9" x14ac:dyDescent="0.2">
      <c r="C123">
        <v>2018</v>
      </c>
      <c r="D123">
        <v>2019</v>
      </c>
      <c r="E123">
        <v>2020</v>
      </c>
      <c r="F123">
        <v>2021</v>
      </c>
      <c r="G123">
        <v>2022</v>
      </c>
      <c r="H123">
        <v>2023</v>
      </c>
      <c r="I123" t="s">
        <v>226</v>
      </c>
    </row>
    <row r="124" spans="2:9" x14ac:dyDescent="0.2">
      <c r="B124" t="s">
        <v>224</v>
      </c>
      <c r="C124" s="91">
        <v>10</v>
      </c>
      <c r="D124" s="91">
        <v>17</v>
      </c>
      <c r="E124" s="91">
        <v>20</v>
      </c>
      <c r="F124" s="91">
        <v>20</v>
      </c>
      <c r="G124" s="91">
        <v>17</v>
      </c>
      <c r="H124" s="91">
        <v>16</v>
      </c>
      <c r="I124" s="91">
        <v>100</v>
      </c>
    </row>
    <row r="125" spans="2:9" x14ac:dyDescent="0.2">
      <c r="D125"/>
      <c r="F125"/>
      <c r="G125"/>
      <c r="H125"/>
    </row>
    <row r="126" spans="2:9" x14ac:dyDescent="0.2">
      <c r="D126"/>
      <c r="F126"/>
      <c r="G126"/>
      <c r="H126"/>
    </row>
    <row r="127" spans="2:9" x14ac:dyDescent="0.2">
      <c r="D127"/>
      <c r="F127"/>
      <c r="G127"/>
      <c r="H127"/>
    </row>
    <row r="128" spans="2:9" x14ac:dyDescent="0.2">
      <c r="D128"/>
      <c r="F128"/>
      <c r="G128"/>
      <c r="H128"/>
    </row>
    <row r="129" spans="2:8" x14ac:dyDescent="0.2">
      <c r="D129"/>
      <c r="F129"/>
      <c r="G129"/>
      <c r="H129"/>
    </row>
    <row r="130" spans="2:8" x14ac:dyDescent="0.2">
      <c r="D130"/>
      <c r="F130"/>
      <c r="G130"/>
      <c r="H130"/>
    </row>
    <row r="131" spans="2:8" x14ac:dyDescent="0.2">
      <c r="D131"/>
      <c r="F131"/>
      <c r="G131"/>
      <c r="H131"/>
    </row>
    <row r="132" spans="2:8" x14ac:dyDescent="0.2">
      <c r="D132"/>
      <c r="F132"/>
      <c r="G132"/>
      <c r="H132"/>
    </row>
    <row r="133" spans="2:8" x14ac:dyDescent="0.2">
      <c r="D133"/>
      <c r="F133"/>
      <c r="G133"/>
      <c r="H133"/>
    </row>
    <row r="134" spans="2:8" x14ac:dyDescent="0.2">
      <c r="D134"/>
      <c r="F134"/>
      <c r="G134"/>
      <c r="H134"/>
    </row>
    <row r="135" spans="2:8" x14ac:dyDescent="0.2">
      <c r="D135"/>
      <c r="F135"/>
      <c r="G135"/>
      <c r="H135"/>
    </row>
    <row r="136" spans="2:8" x14ac:dyDescent="0.2">
      <c r="B136" s="92" t="s">
        <v>227</v>
      </c>
      <c r="C136" t="s">
        <v>231</v>
      </c>
      <c r="D136" t="s">
        <v>224</v>
      </c>
      <c r="E136" t="s">
        <v>230</v>
      </c>
      <c r="F136"/>
      <c r="G136"/>
      <c r="H136"/>
    </row>
    <row r="137" spans="2:8" x14ac:dyDescent="0.2">
      <c r="B137" s="6">
        <v>2018</v>
      </c>
      <c r="C137" s="93">
        <v>6428231.5625042599</v>
      </c>
      <c r="D137" s="91">
        <v>10</v>
      </c>
      <c r="E137" s="93">
        <f>(C137)/D137</f>
        <v>642823.15625042596</v>
      </c>
      <c r="F137"/>
      <c r="G137"/>
      <c r="H137"/>
    </row>
    <row r="138" spans="2:8" x14ac:dyDescent="0.2">
      <c r="B138" s="6">
        <v>2019</v>
      </c>
      <c r="C138" s="93">
        <v>10365188.910996957</v>
      </c>
      <c r="D138" s="91">
        <v>17</v>
      </c>
      <c r="E138" s="93">
        <f t="shared" ref="E138:E143" si="19">(C138)/D138</f>
        <v>609716.99476452684</v>
      </c>
      <c r="F138"/>
      <c r="G138"/>
      <c r="H138"/>
    </row>
    <row r="139" spans="2:8" x14ac:dyDescent="0.2">
      <c r="B139" s="6">
        <v>2020</v>
      </c>
      <c r="C139" s="93">
        <v>12073242.220101215</v>
      </c>
      <c r="D139" s="91">
        <v>20</v>
      </c>
      <c r="E139" s="93">
        <f t="shared" si="19"/>
        <v>603662.11100506072</v>
      </c>
      <c r="F139"/>
      <c r="G139"/>
      <c r="H139"/>
    </row>
    <row r="140" spans="2:8" x14ac:dyDescent="0.2">
      <c r="B140" s="6">
        <v>2021</v>
      </c>
      <c r="C140" s="93">
        <v>11966327.33605008</v>
      </c>
      <c r="D140" s="91">
        <v>20</v>
      </c>
      <c r="E140" s="93">
        <f t="shared" si="19"/>
        <v>598316.36680250405</v>
      </c>
      <c r="F140"/>
      <c r="G140"/>
      <c r="H140"/>
    </row>
    <row r="141" spans="2:8" x14ac:dyDescent="0.2">
      <c r="B141" s="6">
        <v>2022</v>
      </c>
      <c r="C141" s="93">
        <v>15005684.032431997</v>
      </c>
      <c r="D141" s="91">
        <v>17</v>
      </c>
      <c r="E141" s="93">
        <f t="shared" si="19"/>
        <v>882687.29602541158</v>
      </c>
      <c r="F141"/>
      <c r="G141"/>
      <c r="H141"/>
    </row>
    <row r="142" spans="2:8" x14ac:dyDescent="0.2">
      <c r="B142" s="6">
        <v>2023</v>
      </c>
      <c r="C142" s="93">
        <v>7445877.4091000007</v>
      </c>
      <c r="D142" s="91">
        <v>16</v>
      </c>
      <c r="E142" s="93">
        <f t="shared" si="19"/>
        <v>465367.33806875005</v>
      </c>
      <c r="F142"/>
      <c r="G142"/>
      <c r="H142"/>
    </row>
    <row r="143" spans="2:8" x14ac:dyDescent="0.2">
      <c r="B143" s="6" t="s">
        <v>226</v>
      </c>
      <c r="C143" s="93">
        <v>63284551.471184552</v>
      </c>
      <c r="D143" s="91">
        <v>100</v>
      </c>
      <c r="E143" s="93">
        <f t="shared" si="19"/>
        <v>632845.51471184555</v>
      </c>
      <c r="F143"/>
      <c r="G143"/>
      <c r="H143"/>
    </row>
    <row r="144" spans="2:8" x14ac:dyDescent="0.2">
      <c r="D144"/>
      <c r="F144"/>
      <c r="G144"/>
      <c r="H144"/>
    </row>
    <row r="145" spans="4:8" x14ac:dyDescent="0.2">
      <c r="D145"/>
      <c r="F145"/>
      <c r="G145"/>
      <c r="H145"/>
    </row>
    <row r="146" spans="4:8" x14ac:dyDescent="0.2">
      <c r="D146"/>
      <c r="F146"/>
      <c r="G146"/>
      <c r="H146"/>
    </row>
    <row r="147" spans="4:8" x14ac:dyDescent="0.2">
      <c r="D147"/>
      <c r="F147"/>
      <c r="G147"/>
      <c r="H147"/>
    </row>
    <row r="148" spans="4:8" x14ac:dyDescent="0.2">
      <c r="D148"/>
      <c r="F148"/>
      <c r="G148"/>
      <c r="H148"/>
    </row>
    <row r="149" spans="4:8" x14ac:dyDescent="0.2">
      <c r="D149"/>
      <c r="F149"/>
      <c r="G149"/>
      <c r="H149"/>
    </row>
    <row r="150" spans="4:8" x14ac:dyDescent="0.2">
      <c r="D150"/>
      <c r="F150"/>
      <c r="G150"/>
      <c r="H150"/>
    </row>
    <row r="151" spans="4:8" x14ac:dyDescent="0.2">
      <c r="D151"/>
      <c r="F151"/>
      <c r="G151"/>
      <c r="H151"/>
    </row>
    <row r="152" spans="4:8" x14ac:dyDescent="0.2">
      <c r="D152"/>
      <c r="F152"/>
      <c r="G152"/>
      <c r="H152"/>
    </row>
    <row r="153" spans="4:8" x14ac:dyDescent="0.2">
      <c r="D153"/>
      <c r="F153"/>
      <c r="G153"/>
      <c r="H153"/>
    </row>
    <row r="154" spans="4:8" x14ac:dyDescent="0.2">
      <c r="D154"/>
      <c r="F154"/>
      <c r="G154"/>
      <c r="H154"/>
    </row>
    <row r="155" spans="4:8" x14ac:dyDescent="0.2">
      <c r="D155"/>
      <c r="F155"/>
      <c r="G155"/>
      <c r="H155"/>
    </row>
    <row r="156" spans="4:8" x14ac:dyDescent="0.2">
      <c r="D156"/>
      <c r="F156"/>
      <c r="G156"/>
      <c r="H156"/>
    </row>
    <row r="157" spans="4:8" x14ac:dyDescent="0.2">
      <c r="D157"/>
      <c r="F157"/>
      <c r="G157"/>
      <c r="H157"/>
    </row>
    <row r="158" spans="4:8" x14ac:dyDescent="0.2">
      <c r="D158"/>
      <c r="F158"/>
      <c r="G158"/>
      <c r="H158"/>
    </row>
    <row r="159" spans="4:8" x14ac:dyDescent="0.2">
      <c r="D159"/>
      <c r="F159"/>
      <c r="G159"/>
      <c r="H159"/>
    </row>
    <row r="160" spans="4:8" x14ac:dyDescent="0.2">
      <c r="D160"/>
      <c r="F160"/>
      <c r="G160"/>
      <c r="H160"/>
    </row>
    <row r="161" spans="4:8" x14ac:dyDescent="0.2">
      <c r="D161"/>
      <c r="F161"/>
      <c r="G161"/>
      <c r="H161"/>
    </row>
    <row r="162" spans="4:8" x14ac:dyDescent="0.2">
      <c r="D162"/>
      <c r="F162"/>
      <c r="G162"/>
      <c r="H162"/>
    </row>
    <row r="163" spans="4:8" x14ac:dyDescent="0.2">
      <c r="D163"/>
      <c r="F163"/>
      <c r="G163"/>
      <c r="H163"/>
    </row>
    <row r="164" spans="4:8" x14ac:dyDescent="0.2">
      <c r="D164"/>
      <c r="F164"/>
      <c r="G164"/>
      <c r="H164"/>
    </row>
    <row r="165" spans="4:8" x14ac:dyDescent="0.2">
      <c r="D165"/>
      <c r="F165"/>
      <c r="G165"/>
      <c r="H165"/>
    </row>
    <row r="166" spans="4:8" x14ac:dyDescent="0.2">
      <c r="D166"/>
      <c r="F166"/>
      <c r="G166"/>
      <c r="H166"/>
    </row>
    <row r="167" spans="4:8" x14ac:dyDescent="0.2">
      <c r="D167"/>
      <c r="F167"/>
      <c r="G167"/>
      <c r="H167"/>
    </row>
    <row r="168" spans="4:8" x14ac:dyDescent="0.2">
      <c r="D168"/>
      <c r="F168"/>
      <c r="G168"/>
      <c r="H168"/>
    </row>
    <row r="169" spans="4:8" x14ac:dyDescent="0.2">
      <c r="D169"/>
      <c r="F169"/>
      <c r="G169"/>
      <c r="H169"/>
    </row>
    <row r="170" spans="4:8" x14ac:dyDescent="0.2">
      <c r="D170"/>
      <c r="F170"/>
      <c r="G170"/>
      <c r="H170"/>
    </row>
    <row r="171" spans="4:8" x14ac:dyDescent="0.2">
      <c r="D171"/>
      <c r="F171"/>
      <c r="G171"/>
      <c r="H171"/>
    </row>
    <row r="172" spans="4:8" x14ac:dyDescent="0.2">
      <c r="D172"/>
      <c r="F172"/>
      <c r="G172"/>
      <c r="H172"/>
    </row>
    <row r="173" spans="4:8" x14ac:dyDescent="0.2">
      <c r="D173"/>
      <c r="F173"/>
      <c r="G173"/>
      <c r="H173"/>
    </row>
    <row r="174" spans="4:8" x14ac:dyDescent="0.2">
      <c r="D174"/>
      <c r="F174"/>
      <c r="G174"/>
      <c r="H174"/>
    </row>
    <row r="175" spans="4:8" x14ac:dyDescent="0.2">
      <c r="D175"/>
      <c r="F175"/>
      <c r="G175"/>
      <c r="H175"/>
    </row>
    <row r="176" spans="4:8" x14ac:dyDescent="0.2">
      <c r="D176"/>
      <c r="F176"/>
      <c r="G176"/>
      <c r="H176"/>
    </row>
    <row r="177" spans="4:8" x14ac:dyDescent="0.2">
      <c r="D177"/>
      <c r="F177"/>
      <c r="G177"/>
      <c r="H177"/>
    </row>
    <row r="178" spans="4:8" x14ac:dyDescent="0.2">
      <c r="D178"/>
      <c r="F178"/>
      <c r="G178"/>
      <c r="H178"/>
    </row>
    <row r="179" spans="4:8" x14ac:dyDescent="0.2">
      <c r="D179"/>
      <c r="F179"/>
      <c r="G179"/>
      <c r="H179"/>
    </row>
    <row r="180" spans="4:8" x14ac:dyDescent="0.2">
      <c r="D180"/>
      <c r="F180"/>
      <c r="G180"/>
      <c r="H180"/>
    </row>
    <row r="181" spans="4:8" x14ac:dyDescent="0.2">
      <c r="D181"/>
      <c r="F181"/>
      <c r="G181"/>
      <c r="H181"/>
    </row>
    <row r="182" spans="4:8" x14ac:dyDescent="0.2">
      <c r="D182"/>
      <c r="F182"/>
      <c r="G182"/>
      <c r="H182"/>
    </row>
    <row r="183" spans="4:8" x14ac:dyDescent="0.2">
      <c r="D183"/>
      <c r="F183"/>
      <c r="G183"/>
      <c r="H183"/>
    </row>
    <row r="184" spans="4:8" x14ac:dyDescent="0.2">
      <c r="D184"/>
      <c r="F184"/>
      <c r="G184"/>
      <c r="H184"/>
    </row>
    <row r="185" spans="4:8" x14ac:dyDescent="0.2">
      <c r="D185"/>
      <c r="F185"/>
      <c r="G185"/>
      <c r="H185"/>
    </row>
    <row r="186" spans="4:8" x14ac:dyDescent="0.2">
      <c r="D186"/>
      <c r="F186"/>
      <c r="G186"/>
      <c r="H186"/>
    </row>
    <row r="187" spans="4:8" x14ac:dyDescent="0.2">
      <c r="D187"/>
      <c r="F187"/>
      <c r="G187"/>
      <c r="H187"/>
    </row>
    <row r="188" spans="4:8" x14ac:dyDescent="0.2">
      <c r="D188"/>
      <c r="F188"/>
      <c r="G188"/>
      <c r="H188"/>
    </row>
    <row r="189" spans="4:8" x14ac:dyDescent="0.2">
      <c r="D189"/>
      <c r="F189"/>
      <c r="G189"/>
      <c r="H189"/>
    </row>
    <row r="190" spans="4:8" x14ac:dyDescent="0.2">
      <c r="D190"/>
      <c r="F190"/>
      <c r="G190"/>
      <c r="H190"/>
    </row>
    <row r="191" spans="4:8" x14ac:dyDescent="0.2">
      <c r="D191"/>
      <c r="F191"/>
      <c r="G191"/>
      <c r="H191"/>
    </row>
    <row r="192" spans="4:8" x14ac:dyDescent="0.2">
      <c r="D192"/>
      <c r="F192"/>
      <c r="G192"/>
      <c r="H192"/>
    </row>
    <row r="193" spans="4:8" x14ac:dyDescent="0.2">
      <c r="D193"/>
      <c r="F193"/>
      <c r="G193"/>
      <c r="H193"/>
    </row>
    <row r="194" spans="4:8" x14ac:dyDescent="0.2">
      <c r="D194"/>
      <c r="F194"/>
      <c r="G194"/>
      <c r="H194"/>
    </row>
    <row r="195" spans="4:8" x14ac:dyDescent="0.2">
      <c r="D195"/>
      <c r="F195"/>
      <c r="G195"/>
      <c r="H195"/>
    </row>
    <row r="196" spans="4:8" x14ac:dyDescent="0.2">
      <c r="D196"/>
      <c r="F196"/>
      <c r="G196"/>
      <c r="H196"/>
    </row>
    <row r="197" spans="4:8" x14ac:dyDescent="0.2">
      <c r="D197"/>
      <c r="F197"/>
      <c r="G197"/>
      <c r="H197"/>
    </row>
    <row r="198" spans="4:8" x14ac:dyDescent="0.2">
      <c r="D198"/>
      <c r="F198"/>
      <c r="G198"/>
      <c r="H198"/>
    </row>
    <row r="199" spans="4:8" x14ac:dyDescent="0.2">
      <c r="D199"/>
      <c r="F199"/>
      <c r="G199"/>
      <c r="H199"/>
    </row>
    <row r="200" spans="4:8" x14ac:dyDescent="0.2">
      <c r="D200"/>
      <c r="F200"/>
      <c r="G200"/>
      <c r="H200"/>
    </row>
    <row r="201" spans="4:8" x14ac:dyDescent="0.2">
      <c r="D201"/>
      <c r="F201"/>
      <c r="G201"/>
      <c r="H201"/>
    </row>
    <row r="202" spans="4:8" x14ac:dyDescent="0.2">
      <c r="D202"/>
      <c r="F202"/>
      <c r="G202"/>
      <c r="H202"/>
    </row>
    <row r="203" spans="4:8" x14ac:dyDescent="0.2">
      <c r="D203"/>
      <c r="F203"/>
      <c r="G203"/>
      <c r="H203"/>
    </row>
    <row r="204" spans="4:8" x14ac:dyDescent="0.2">
      <c r="D204"/>
      <c r="F204"/>
      <c r="G204"/>
      <c r="H204"/>
    </row>
    <row r="205" spans="4:8" x14ac:dyDescent="0.2">
      <c r="D205"/>
      <c r="F205"/>
      <c r="G205"/>
      <c r="H205"/>
    </row>
    <row r="206" spans="4:8" x14ac:dyDescent="0.2">
      <c r="D206"/>
      <c r="F206"/>
      <c r="G206"/>
      <c r="H206"/>
    </row>
    <row r="207" spans="4:8" x14ac:dyDescent="0.2">
      <c r="D207"/>
      <c r="F207"/>
      <c r="G207"/>
      <c r="H207"/>
    </row>
    <row r="208" spans="4:8" x14ac:dyDescent="0.2">
      <c r="D208"/>
      <c r="F208"/>
      <c r="G208"/>
      <c r="H208"/>
    </row>
    <row r="209" spans="4:8" x14ac:dyDescent="0.2">
      <c r="D209"/>
      <c r="F209"/>
      <c r="G209"/>
      <c r="H209"/>
    </row>
    <row r="210" spans="4:8" x14ac:dyDescent="0.2">
      <c r="D210"/>
      <c r="F210"/>
      <c r="G210"/>
      <c r="H210"/>
    </row>
    <row r="211" spans="4:8" x14ac:dyDescent="0.2">
      <c r="D211"/>
      <c r="F211"/>
      <c r="G211"/>
      <c r="H211"/>
    </row>
    <row r="212" spans="4:8" x14ac:dyDescent="0.2">
      <c r="D212"/>
      <c r="F212"/>
      <c r="G212"/>
      <c r="H212"/>
    </row>
    <row r="213" spans="4:8" x14ac:dyDescent="0.2">
      <c r="D213"/>
      <c r="F213"/>
      <c r="G213"/>
      <c r="H213"/>
    </row>
    <row r="214" spans="4:8" x14ac:dyDescent="0.2">
      <c r="D214"/>
      <c r="F214"/>
      <c r="G214"/>
      <c r="H214"/>
    </row>
    <row r="215" spans="4:8" x14ac:dyDescent="0.2">
      <c r="D215"/>
      <c r="F215"/>
      <c r="G215"/>
      <c r="H215"/>
    </row>
    <row r="216" spans="4:8" x14ac:dyDescent="0.2">
      <c r="D216"/>
      <c r="F216"/>
      <c r="G216"/>
      <c r="H216"/>
    </row>
    <row r="217" spans="4:8" x14ac:dyDescent="0.2">
      <c r="D217"/>
      <c r="F217"/>
      <c r="G217"/>
      <c r="H217"/>
    </row>
    <row r="218" spans="4:8" x14ac:dyDescent="0.2">
      <c r="D218"/>
      <c r="F218"/>
      <c r="G218"/>
      <c r="H218"/>
    </row>
    <row r="219" spans="4:8" x14ac:dyDescent="0.2">
      <c r="D219"/>
      <c r="F219"/>
      <c r="G219"/>
      <c r="H219"/>
    </row>
    <row r="220" spans="4:8" x14ac:dyDescent="0.2">
      <c r="D220"/>
      <c r="F220"/>
      <c r="G220"/>
      <c r="H220"/>
    </row>
    <row r="221" spans="4:8" x14ac:dyDescent="0.2">
      <c r="D221"/>
      <c r="F221"/>
      <c r="G221"/>
      <c r="H221"/>
    </row>
    <row r="222" spans="4:8" x14ac:dyDescent="0.2">
      <c r="D222"/>
      <c r="F222"/>
      <c r="G222"/>
      <c r="H222"/>
    </row>
    <row r="223" spans="4:8" x14ac:dyDescent="0.2">
      <c r="D223"/>
      <c r="F223"/>
      <c r="G223"/>
      <c r="H223"/>
    </row>
    <row r="224" spans="4:8" x14ac:dyDescent="0.2">
      <c r="D224"/>
      <c r="F224"/>
      <c r="G224"/>
      <c r="H224"/>
    </row>
  </sheetData>
  <autoFilter ref="A1:S101" xr:uid="{7354DF57-728B-AA4E-9CFF-ED2615DD969F}"/>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4695-2E03-4843-A4AB-C395928551D0}">
  <dimension ref="B1:Q102"/>
  <sheetViews>
    <sheetView zoomScale="110" zoomScaleNormal="110" workbookViewId="0">
      <selection activeCell="G53" sqref="G53"/>
    </sheetView>
  </sheetViews>
  <sheetFormatPr baseColWidth="10" defaultColWidth="10.6640625" defaultRowHeight="16" x14ac:dyDescent="0.2"/>
  <cols>
    <col min="1" max="1" width="4.1640625" customWidth="1"/>
    <col min="2" max="2" width="5" customWidth="1"/>
    <col min="3" max="3" width="48.1640625" bestFit="1" customWidth="1"/>
    <col min="4" max="4" width="40" bestFit="1" customWidth="1"/>
    <col min="5" max="5" width="20" bestFit="1" customWidth="1"/>
    <col min="6" max="6" width="16.6640625" bestFit="1" customWidth="1"/>
    <col min="7" max="7" width="40.33203125" bestFit="1" customWidth="1"/>
    <col min="8" max="8" width="18.5" bestFit="1" customWidth="1"/>
    <col min="9" max="9" width="14" bestFit="1" customWidth="1"/>
    <col min="10" max="10" width="15" bestFit="1" customWidth="1"/>
    <col min="11" max="11" width="16.6640625" bestFit="1" customWidth="1"/>
    <col min="12" max="12" width="16" bestFit="1" customWidth="1"/>
    <col min="13" max="16" width="15" bestFit="1" customWidth="1"/>
    <col min="17" max="17" width="14" bestFit="1" customWidth="1"/>
    <col min="18" max="18" width="15" bestFit="1" customWidth="1"/>
    <col min="19" max="19" width="10.5" bestFit="1" customWidth="1"/>
    <col min="20" max="20" width="12.33203125" bestFit="1" customWidth="1"/>
    <col min="21" max="21" width="15" bestFit="1" customWidth="1"/>
    <col min="22" max="22" width="12.33203125" bestFit="1" customWidth="1"/>
    <col min="23" max="23" width="15" bestFit="1" customWidth="1"/>
    <col min="24" max="24" width="12.33203125" bestFit="1" customWidth="1"/>
    <col min="25" max="25" width="15" bestFit="1" customWidth="1"/>
    <col min="26" max="26" width="12.33203125" bestFit="1" customWidth="1"/>
    <col min="27" max="27" width="15" bestFit="1" customWidth="1"/>
    <col min="28" max="28" width="12.33203125" bestFit="1" customWidth="1"/>
    <col min="29" max="29" width="15" bestFit="1" customWidth="1"/>
    <col min="30" max="30" width="12.33203125" bestFit="1" customWidth="1"/>
    <col min="31" max="31" width="15" bestFit="1" customWidth="1"/>
    <col min="32" max="32" width="12.33203125" bestFit="1" customWidth="1"/>
    <col min="33" max="33" width="15" bestFit="1" customWidth="1"/>
    <col min="34" max="34" width="12.33203125" bestFit="1" customWidth="1"/>
    <col min="35" max="35" width="15" bestFit="1" customWidth="1"/>
    <col min="36" max="36" width="12.33203125" bestFit="1" customWidth="1"/>
    <col min="37" max="37" width="15" bestFit="1" customWidth="1"/>
    <col min="38" max="38" width="12.33203125" bestFit="1" customWidth="1"/>
    <col min="39" max="39" width="15" bestFit="1" customWidth="1"/>
    <col min="40" max="40" width="12.33203125" bestFit="1" customWidth="1"/>
    <col min="41" max="41" width="15" bestFit="1" customWidth="1"/>
    <col min="42" max="42" width="12.33203125" bestFit="1" customWidth="1"/>
    <col min="43" max="43" width="15" bestFit="1" customWidth="1"/>
    <col min="44" max="44" width="12.33203125" bestFit="1" customWidth="1"/>
    <col min="45" max="45" width="15" bestFit="1" customWidth="1"/>
    <col min="46" max="46" width="12.33203125" bestFit="1" customWidth="1"/>
    <col min="47" max="47" width="15" bestFit="1" customWidth="1"/>
    <col min="48" max="48" width="12.33203125" bestFit="1" customWidth="1"/>
    <col min="49" max="49" width="15" bestFit="1" customWidth="1"/>
    <col min="50" max="50" width="12.33203125" bestFit="1" customWidth="1"/>
    <col min="51" max="51" width="15" bestFit="1" customWidth="1"/>
    <col min="52" max="52" width="12.33203125" bestFit="1" customWidth="1"/>
    <col min="53" max="53" width="15" bestFit="1" customWidth="1"/>
    <col min="54" max="54" width="12.33203125" bestFit="1" customWidth="1"/>
    <col min="55" max="55" width="15" bestFit="1" customWidth="1"/>
    <col min="56" max="56" width="12.33203125" bestFit="1" customWidth="1"/>
    <col min="57" max="57" width="15" bestFit="1" customWidth="1"/>
    <col min="58" max="58" width="12.33203125" bestFit="1" customWidth="1"/>
    <col min="59" max="59" width="15" bestFit="1" customWidth="1"/>
    <col min="60" max="60" width="12.33203125" bestFit="1" customWidth="1"/>
    <col min="61" max="61" width="15" bestFit="1" customWidth="1"/>
    <col min="62" max="62" width="12.33203125" bestFit="1" customWidth="1"/>
    <col min="63" max="63" width="15" bestFit="1" customWidth="1"/>
    <col min="64" max="64" width="12.33203125" bestFit="1" customWidth="1"/>
    <col min="65" max="65" width="15" bestFit="1" customWidth="1"/>
    <col min="66" max="66" width="12.33203125" bestFit="1" customWidth="1"/>
    <col min="67" max="67" width="15" bestFit="1" customWidth="1"/>
    <col min="68" max="68" width="12.33203125" bestFit="1" customWidth="1"/>
    <col min="69" max="69" width="15" bestFit="1" customWidth="1"/>
    <col min="70" max="70" width="12.33203125" bestFit="1" customWidth="1"/>
    <col min="71" max="71" width="15" bestFit="1" customWidth="1"/>
    <col min="72" max="72" width="12.33203125" bestFit="1" customWidth="1"/>
    <col min="73" max="73" width="15" bestFit="1" customWidth="1"/>
    <col min="74" max="74" width="12.33203125" bestFit="1" customWidth="1"/>
    <col min="75" max="75" width="15" bestFit="1" customWidth="1"/>
    <col min="76" max="76" width="12.33203125" bestFit="1" customWidth="1"/>
    <col min="77" max="77" width="15" bestFit="1" customWidth="1"/>
    <col min="78" max="78" width="12.33203125" bestFit="1" customWidth="1"/>
    <col min="79" max="79" width="15" bestFit="1" customWidth="1"/>
    <col min="80" max="80" width="12.33203125" bestFit="1" customWidth="1"/>
    <col min="81" max="81" width="15" bestFit="1" customWidth="1"/>
    <col min="82" max="82" width="12.33203125" bestFit="1" customWidth="1"/>
    <col min="83" max="83" width="15" bestFit="1" customWidth="1"/>
    <col min="84" max="84" width="12.33203125" bestFit="1" customWidth="1"/>
    <col min="85" max="85" width="15" bestFit="1" customWidth="1"/>
    <col min="86" max="86" width="12.33203125" bestFit="1" customWidth="1"/>
    <col min="87" max="87" width="15" bestFit="1" customWidth="1"/>
    <col min="88" max="88" width="12.33203125" bestFit="1" customWidth="1"/>
    <col min="89" max="89" width="15" bestFit="1" customWidth="1"/>
    <col min="90" max="90" width="12.33203125" bestFit="1" customWidth="1"/>
    <col min="91" max="91" width="15" bestFit="1" customWidth="1"/>
    <col min="92" max="92" width="12.33203125" bestFit="1" customWidth="1"/>
    <col min="93" max="93" width="15" bestFit="1" customWidth="1"/>
    <col min="94" max="94" width="12.33203125" bestFit="1" customWidth="1"/>
    <col min="95" max="95" width="15" bestFit="1" customWidth="1"/>
    <col min="96" max="96" width="12.33203125" bestFit="1" customWidth="1"/>
    <col min="97" max="97" width="15" bestFit="1" customWidth="1"/>
    <col min="98" max="98" width="12.33203125" bestFit="1" customWidth="1"/>
    <col min="99" max="99" width="15" bestFit="1" customWidth="1"/>
    <col min="100" max="100" width="12.33203125" bestFit="1" customWidth="1"/>
    <col min="101" max="101" width="15" bestFit="1" customWidth="1"/>
    <col min="102" max="102" width="12.33203125" bestFit="1" customWidth="1"/>
    <col min="103" max="103" width="15" bestFit="1" customWidth="1"/>
    <col min="104" max="104" width="12.33203125" bestFit="1" customWidth="1"/>
    <col min="105" max="105" width="15" bestFit="1" customWidth="1"/>
    <col min="106" max="106" width="12.33203125" bestFit="1" customWidth="1"/>
    <col min="107" max="107" width="15" bestFit="1" customWidth="1"/>
    <col min="108" max="108" width="12.33203125" bestFit="1" customWidth="1"/>
    <col min="109" max="109" width="15" bestFit="1" customWidth="1"/>
    <col min="110" max="110" width="12.33203125" bestFit="1" customWidth="1"/>
    <col min="111" max="111" width="15" bestFit="1" customWidth="1"/>
    <col min="112" max="112" width="12.33203125" bestFit="1" customWidth="1"/>
    <col min="113" max="113" width="15" bestFit="1" customWidth="1"/>
    <col min="114" max="114" width="12.33203125" bestFit="1" customWidth="1"/>
    <col min="115" max="115" width="15" bestFit="1" customWidth="1"/>
    <col min="116" max="116" width="12.33203125" bestFit="1" customWidth="1"/>
    <col min="117" max="117" width="15" bestFit="1" customWidth="1"/>
    <col min="118" max="118" width="12.33203125" bestFit="1" customWidth="1"/>
    <col min="119" max="119" width="15" bestFit="1" customWidth="1"/>
    <col min="120" max="120" width="12.33203125" bestFit="1" customWidth="1"/>
    <col min="121" max="121" width="15" bestFit="1" customWidth="1"/>
    <col min="122" max="122" width="12.33203125" bestFit="1" customWidth="1"/>
    <col min="123" max="123" width="15" bestFit="1" customWidth="1"/>
    <col min="124" max="124" width="12.33203125" bestFit="1" customWidth="1"/>
    <col min="125" max="125" width="15" bestFit="1" customWidth="1"/>
    <col min="126" max="126" width="12.33203125" bestFit="1" customWidth="1"/>
    <col min="127" max="127" width="15" bestFit="1" customWidth="1"/>
    <col min="128" max="128" width="12.33203125" bestFit="1" customWidth="1"/>
    <col min="129" max="129" width="15" bestFit="1" customWidth="1"/>
    <col min="130" max="130" width="12.33203125" bestFit="1" customWidth="1"/>
    <col min="131" max="131" width="15" bestFit="1" customWidth="1"/>
    <col min="132" max="132" width="12.33203125" bestFit="1" customWidth="1"/>
    <col min="133" max="133" width="15" bestFit="1" customWidth="1"/>
    <col min="134" max="134" width="12.33203125" bestFit="1" customWidth="1"/>
    <col min="135" max="135" width="15" bestFit="1" customWidth="1"/>
    <col min="136" max="136" width="12.33203125" bestFit="1" customWidth="1"/>
    <col min="137" max="137" width="15" bestFit="1" customWidth="1"/>
    <col min="138" max="138" width="12.33203125" bestFit="1" customWidth="1"/>
    <col min="139" max="139" width="15" bestFit="1" customWidth="1"/>
    <col min="140" max="140" width="12.33203125" bestFit="1" customWidth="1"/>
    <col min="141" max="141" width="15" bestFit="1" customWidth="1"/>
    <col min="142" max="142" width="12.33203125" bestFit="1" customWidth="1"/>
    <col min="143" max="143" width="15" bestFit="1" customWidth="1"/>
    <col min="144" max="144" width="12.33203125" bestFit="1" customWidth="1"/>
    <col min="145" max="145" width="15" bestFit="1" customWidth="1"/>
    <col min="146" max="146" width="12.33203125" bestFit="1" customWidth="1"/>
    <col min="147" max="147" width="15" bestFit="1" customWidth="1"/>
    <col min="148" max="148" width="12.33203125" bestFit="1" customWidth="1"/>
    <col min="149" max="149" width="15" bestFit="1" customWidth="1"/>
    <col min="150" max="150" width="12.33203125" bestFit="1" customWidth="1"/>
    <col min="151" max="151" width="15" bestFit="1" customWidth="1"/>
    <col min="152" max="152" width="12.33203125" bestFit="1" customWidth="1"/>
    <col min="153" max="153" width="15" bestFit="1" customWidth="1"/>
    <col min="154" max="154" width="12.33203125" bestFit="1" customWidth="1"/>
    <col min="155" max="155" width="15" bestFit="1" customWidth="1"/>
    <col min="156" max="156" width="12.33203125" bestFit="1" customWidth="1"/>
    <col min="157" max="157" width="15" bestFit="1" customWidth="1"/>
    <col min="158" max="158" width="12.33203125" bestFit="1" customWidth="1"/>
    <col min="159" max="159" width="15" bestFit="1" customWidth="1"/>
    <col min="160" max="160" width="12.33203125" bestFit="1" customWidth="1"/>
    <col min="161" max="161" width="15" bestFit="1" customWidth="1"/>
    <col min="162" max="162" width="12.33203125" bestFit="1" customWidth="1"/>
    <col min="163" max="163" width="15" bestFit="1" customWidth="1"/>
    <col min="164" max="164" width="12.33203125" bestFit="1" customWidth="1"/>
    <col min="165" max="165" width="15" bestFit="1" customWidth="1"/>
    <col min="166" max="166" width="12.33203125" bestFit="1" customWidth="1"/>
    <col min="167" max="167" width="15" bestFit="1" customWidth="1"/>
    <col min="168" max="168" width="12.33203125" bestFit="1" customWidth="1"/>
    <col min="169" max="169" width="15" bestFit="1" customWidth="1"/>
    <col min="170" max="170" width="12.33203125" bestFit="1" customWidth="1"/>
    <col min="171" max="171" width="15" bestFit="1" customWidth="1"/>
    <col min="172" max="172" width="12.33203125" bestFit="1" customWidth="1"/>
    <col min="173" max="173" width="15" bestFit="1" customWidth="1"/>
    <col min="174" max="174" width="12.33203125" bestFit="1" customWidth="1"/>
    <col min="175" max="175" width="15" bestFit="1" customWidth="1"/>
    <col min="176" max="176" width="12.33203125" bestFit="1" customWidth="1"/>
    <col min="177" max="177" width="15" bestFit="1" customWidth="1"/>
    <col min="178" max="178" width="12.33203125" bestFit="1" customWidth="1"/>
    <col min="179" max="179" width="15" bestFit="1" customWidth="1"/>
    <col min="180" max="180" width="12.33203125" bestFit="1" customWidth="1"/>
    <col min="181" max="181" width="15" bestFit="1" customWidth="1"/>
    <col min="182" max="182" width="12.33203125" bestFit="1" customWidth="1"/>
    <col min="183" max="183" width="15" bestFit="1" customWidth="1"/>
    <col min="184" max="184" width="12.33203125" bestFit="1" customWidth="1"/>
    <col min="185" max="185" width="15" bestFit="1" customWidth="1"/>
    <col min="186" max="186" width="12.33203125" bestFit="1" customWidth="1"/>
    <col min="187" max="187" width="15" bestFit="1" customWidth="1"/>
    <col min="188" max="188" width="12.33203125" bestFit="1" customWidth="1"/>
    <col min="189" max="189" width="15" bestFit="1" customWidth="1"/>
    <col min="190" max="190" width="12.33203125" bestFit="1" customWidth="1"/>
    <col min="191" max="191" width="15" bestFit="1" customWidth="1"/>
    <col min="192" max="192" width="12.33203125" bestFit="1" customWidth="1"/>
    <col min="193" max="193" width="15" bestFit="1" customWidth="1"/>
    <col min="194" max="194" width="12.33203125" bestFit="1" customWidth="1"/>
    <col min="195" max="195" width="15" bestFit="1" customWidth="1"/>
    <col min="196" max="196" width="12.33203125" bestFit="1" customWidth="1"/>
    <col min="197" max="197" width="15" bestFit="1" customWidth="1"/>
    <col min="198" max="198" width="12.33203125" bestFit="1" customWidth="1"/>
    <col min="199" max="199" width="15" bestFit="1" customWidth="1"/>
    <col min="200" max="200" width="12.33203125" bestFit="1" customWidth="1"/>
    <col min="201" max="201" width="15" bestFit="1" customWidth="1"/>
    <col min="202" max="202" width="12.33203125" bestFit="1" customWidth="1"/>
    <col min="203" max="203" width="15" bestFit="1" customWidth="1"/>
    <col min="204" max="204" width="8.6640625" bestFit="1" customWidth="1"/>
    <col min="205" max="205" width="11.33203125" bestFit="1" customWidth="1"/>
    <col min="206" max="206" width="10.5" bestFit="1" customWidth="1"/>
  </cols>
  <sheetData>
    <row r="1" spans="2:17" ht="16.5" customHeight="1" x14ac:dyDescent="0.2"/>
    <row r="2" spans="2:17" ht="16.5" customHeight="1" x14ac:dyDescent="0.2">
      <c r="C2" s="40" t="s">
        <v>210</v>
      </c>
    </row>
    <row r="3" spans="2:17" ht="16.5" customHeight="1" x14ac:dyDescent="0.2"/>
    <row r="4" spans="2:17" ht="16.5" customHeight="1" x14ac:dyDescent="0.2"/>
    <row r="5" spans="2:17" x14ac:dyDescent="0.2">
      <c r="B5" s="22"/>
      <c r="C5" s="23" t="s">
        <v>177</v>
      </c>
    </row>
    <row r="6" spans="2:17" x14ac:dyDescent="0.2">
      <c r="B6" s="22">
        <v>1</v>
      </c>
      <c r="C6" s="22" t="s">
        <v>178</v>
      </c>
      <c r="K6" s="38"/>
      <c r="L6" s="38"/>
      <c r="M6" s="38"/>
      <c r="N6" s="38"/>
      <c r="O6" s="38"/>
      <c r="P6" s="38"/>
      <c r="Q6" s="38"/>
    </row>
    <row r="7" spans="2:17" x14ac:dyDescent="0.2">
      <c r="B7" s="22">
        <v>2</v>
      </c>
      <c r="C7" s="22" t="s">
        <v>179</v>
      </c>
      <c r="K7" s="38"/>
      <c r="L7" s="38"/>
      <c r="M7" s="38"/>
      <c r="N7" s="38"/>
      <c r="O7" s="38"/>
      <c r="P7" s="38"/>
      <c r="Q7" s="38"/>
    </row>
    <row r="8" spans="2:17" x14ac:dyDescent="0.2">
      <c r="B8" s="22">
        <v>3</v>
      </c>
      <c r="C8" s="22" t="s">
        <v>180</v>
      </c>
      <c r="K8" s="38"/>
      <c r="L8" s="38"/>
      <c r="M8" s="38"/>
      <c r="N8" s="38"/>
      <c r="O8" s="38"/>
      <c r="P8" s="38"/>
      <c r="Q8" s="38"/>
    </row>
    <row r="9" spans="2:17" x14ac:dyDescent="0.2">
      <c r="K9" s="38"/>
      <c r="L9" s="38"/>
      <c r="M9" s="38"/>
      <c r="N9" s="38"/>
      <c r="O9" s="38"/>
      <c r="P9" s="38"/>
      <c r="Q9" s="38"/>
    </row>
    <row r="10" spans="2:17" x14ac:dyDescent="0.2">
      <c r="K10" s="38"/>
      <c r="L10" s="38"/>
      <c r="M10" s="38"/>
      <c r="N10" s="38"/>
      <c r="O10" s="38"/>
      <c r="P10" s="38"/>
      <c r="Q10" s="38"/>
    </row>
    <row r="11" spans="2:17" x14ac:dyDescent="0.2">
      <c r="K11" s="38"/>
      <c r="L11" s="38"/>
      <c r="M11" s="38"/>
      <c r="N11" s="38"/>
      <c r="O11" s="38"/>
      <c r="P11" s="38"/>
      <c r="Q11" s="38"/>
    </row>
    <row r="12" spans="2:17" x14ac:dyDescent="0.2">
      <c r="C12" s="20" t="s">
        <v>181</v>
      </c>
      <c r="K12" s="38"/>
      <c r="L12" s="38"/>
      <c r="M12" s="38"/>
      <c r="N12" s="38"/>
      <c r="O12" s="38"/>
      <c r="P12" s="38"/>
      <c r="Q12" s="38"/>
    </row>
    <row r="13" spans="2:17" x14ac:dyDescent="0.2">
      <c r="C13" s="37">
        <f>'Claims Data'!D2 +'Claims Data'!H2</f>
        <v>749769.20000000007</v>
      </c>
      <c r="K13" s="38"/>
      <c r="L13" s="38"/>
      <c r="M13" s="38"/>
      <c r="N13" s="38"/>
      <c r="O13" s="38"/>
      <c r="P13" s="38"/>
      <c r="Q13" s="38"/>
    </row>
    <row r="14" spans="2:17" x14ac:dyDescent="0.2">
      <c r="K14" s="38"/>
      <c r="L14" s="38"/>
      <c r="M14" s="38"/>
      <c r="N14" s="38"/>
      <c r="O14" s="38"/>
      <c r="P14" s="38"/>
      <c r="Q14" s="38"/>
    </row>
    <row r="15" spans="2:17" x14ac:dyDescent="0.2">
      <c r="C15" s="2" t="s">
        <v>154</v>
      </c>
    </row>
    <row r="16" spans="2:17" x14ac:dyDescent="0.2">
      <c r="C16" s="37">
        <f>AVERAGE('Claims Data'!O:O)</f>
        <v>662235.24239276652</v>
      </c>
    </row>
    <row r="17" spans="3:17" ht="22" x14ac:dyDescent="0.3">
      <c r="F17" s="36" t="s">
        <v>191</v>
      </c>
      <c r="K17" s="38"/>
      <c r="L17" s="38"/>
      <c r="M17" s="38"/>
      <c r="N17" s="38"/>
      <c r="O17" s="38"/>
      <c r="P17" s="38"/>
      <c r="Q17" s="38"/>
    </row>
    <row r="18" spans="3:17" x14ac:dyDescent="0.2">
      <c r="C18" s="20" t="s">
        <v>155</v>
      </c>
      <c r="F18" s="20"/>
      <c r="K18" s="38"/>
      <c r="L18" s="38"/>
      <c r="M18" s="38"/>
      <c r="N18" s="38"/>
      <c r="O18" s="38"/>
      <c r="P18" s="38"/>
      <c r="Q18" s="38"/>
    </row>
    <row r="19" spans="3:17" x14ac:dyDescent="0.2">
      <c r="F19" s="18" t="s">
        <v>190</v>
      </c>
      <c r="K19" s="38"/>
      <c r="L19" s="38"/>
      <c r="M19" s="38"/>
      <c r="N19" s="38"/>
      <c r="O19" s="38"/>
      <c r="P19" s="38"/>
      <c r="Q19" s="38"/>
    </row>
    <row r="20" spans="3:17" x14ac:dyDescent="0.2">
      <c r="C20" s="92" t="s">
        <v>227</v>
      </c>
      <c r="D20" t="s">
        <v>238</v>
      </c>
      <c r="F20" s="92" t="s">
        <v>227</v>
      </c>
      <c r="G20" t="s">
        <v>228</v>
      </c>
      <c r="K20" s="38"/>
      <c r="L20" s="38"/>
      <c r="M20" s="38"/>
      <c r="N20" s="38"/>
      <c r="O20" s="38"/>
      <c r="P20" s="38"/>
      <c r="Q20" s="38"/>
    </row>
    <row r="21" spans="3:17" x14ac:dyDescent="0.2">
      <c r="C21" s="6">
        <v>2018</v>
      </c>
      <c r="D21" s="93">
        <v>669173.20322055672</v>
      </c>
      <c r="F21" s="6" t="s">
        <v>18</v>
      </c>
      <c r="G21" s="93">
        <v>19512145.281790316</v>
      </c>
      <c r="K21" s="38"/>
      <c r="L21" s="38"/>
      <c r="M21" s="38"/>
      <c r="N21" s="38"/>
      <c r="O21" s="38"/>
      <c r="P21" s="38"/>
      <c r="Q21" s="38"/>
    </row>
    <row r="22" spans="3:17" x14ac:dyDescent="0.2">
      <c r="C22" s="6">
        <v>2019</v>
      </c>
      <c r="D22" s="93">
        <v>639792.99937575357</v>
      </c>
      <c r="F22" s="6" t="s">
        <v>13</v>
      </c>
      <c r="G22" s="93">
        <v>8871876.238524707</v>
      </c>
      <c r="K22" s="38"/>
      <c r="L22" s="38"/>
      <c r="M22" s="38"/>
      <c r="N22" s="38"/>
      <c r="O22" s="38"/>
      <c r="P22" s="38"/>
      <c r="Q22" s="38"/>
    </row>
    <row r="23" spans="3:17" x14ac:dyDescent="0.2">
      <c r="C23" s="6">
        <v>2020</v>
      </c>
      <c r="D23" s="93">
        <v>636678.22750506061</v>
      </c>
      <c r="F23" s="6" t="s">
        <v>23</v>
      </c>
      <c r="G23" s="93">
        <v>12719764.111130364</v>
      </c>
      <c r="K23" s="38"/>
      <c r="L23" s="38"/>
      <c r="M23" s="38"/>
      <c r="N23" s="38"/>
      <c r="O23" s="38"/>
      <c r="P23" s="38"/>
      <c r="Q23" s="38"/>
    </row>
    <row r="24" spans="3:17" x14ac:dyDescent="0.2">
      <c r="C24" s="6">
        <v>2021</v>
      </c>
      <c r="D24" s="93">
        <v>626237.1313025041</v>
      </c>
      <c r="F24" s="6" t="s">
        <v>38</v>
      </c>
      <c r="G24" s="93">
        <v>10644299.793974385</v>
      </c>
      <c r="K24" s="38"/>
      <c r="L24" s="38"/>
      <c r="M24" s="38"/>
      <c r="N24" s="38"/>
      <c r="O24" s="38"/>
      <c r="P24" s="38"/>
      <c r="Q24" s="38"/>
    </row>
    <row r="25" spans="3:17" x14ac:dyDescent="0.2">
      <c r="C25" s="6">
        <v>2022</v>
      </c>
      <c r="D25" s="93">
        <v>911278.74249600002</v>
      </c>
      <c r="F25" s="6" t="s">
        <v>29</v>
      </c>
      <c r="G25" s="93">
        <v>11536466.045764737</v>
      </c>
      <c r="K25" s="38"/>
      <c r="L25" s="38"/>
      <c r="M25" s="38"/>
      <c r="N25" s="38"/>
      <c r="O25" s="38"/>
      <c r="P25" s="38"/>
      <c r="Q25" s="38"/>
    </row>
    <row r="26" spans="3:17" x14ac:dyDescent="0.2">
      <c r="C26" s="6">
        <v>2023</v>
      </c>
      <c r="D26" s="93">
        <v>494079.08869375003</v>
      </c>
      <c r="F26" s="6" t="s">
        <v>226</v>
      </c>
      <c r="G26" s="93">
        <v>63284551.471184507</v>
      </c>
    </row>
    <row r="27" spans="3:17" x14ac:dyDescent="0.2">
      <c r="C27" s="6" t="s">
        <v>226</v>
      </c>
      <c r="D27" s="93">
        <v>662235.24239276676</v>
      </c>
    </row>
    <row r="28" spans="3:17" x14ac:dyDescent="0.2">
      <c r="K28" s="38"/>
      <c r="L28" s="38"/>
      <c r="M28" s="38"/>
      <c r="N28" s="38"/>
      <c r="O28" s="38"/>
      <c r="P28" s="38"/>
      <c r="Q28" s="38"/>
    </row>
    <row r="29" spans="3:17" x14ac:dyDescent="0.2">
      <c r="K29" s="38"/>
      <c r="L29" s="38"/>
      <c r="M29" s="38"/>
      <c r="N29" s="38"/>
      <c r="O29" s="38"/>
      <c r="P29" s="38"/>
      <c r="Q29" s="38"/>
    </row>
    <row r="30" spans="3:17" x14ac:dyDescent="0.2">
      <c r="K30" s="38"/>
      <c r="L30" s="38"/>
      <c r="M30" s="38"/>
      <c r="N30" s="38"/>
      <c r="O30" s="38"/>
      <c r="P30" s="38"/>
      <c r="Q30" s="38"/>
    </row>
    <row r="31" spans="3:17" x14ac:dyDescent="0.2">
      <c r="C31" s="18" t="s">
        <v>184</v>
      </c>
      <c r="F31" s="18" t="s">
        <v>192</v>
      </c>
      <c r="K31" s="38"/>
      <c r="L31" s="38"/>
      <c r="M31" s="38"/>
      <c r="N31" s="38"/>
      <c r="O31" s="38"/>
      <c r="P31" s="38"/>
      <c r="Q31" s="38"/>
    </row>
    <row r="32" spans="3:17" x14ac:dyDescent="0.2">
      <c r="C32" s="92" t="s">
        <v>227</v>
      </c>
      <c r="D32" t="s">
        <v>224</v>
      </c>
      <c r="F32" s="92" t="s">
        <v>227</v>
      </c>
      <c r="G32" t="s">
        <v>224</v>
      </c>
      <c r="I32" s="38"/>
      <c r="K32" s="38"/>
      <c r="L32" s="38"/>
      <c r="M32" s="38"/>
      <c r="N32" s="38"/>
      <c r="O32" s="38"/>
      <c r="P32" s="38"/>
      <c r="Q32" s="38"/>
    </row>
    <row r="33" spans="3:17" ht="14" x14ac:dyDescent="0.2">
      <c r="C33" s="6" t="s">
        <v>16</v>
      </c>
      <c r="D33" s="91">
        <v>19</v>
      </c>
      <c r="F33" s="6" t="s">
        <v>18</v>
      </c>
      <c r="G33" s="91">
        <v>23</v>
      </c>
      <c r="I33" s="38"/>
      <c r="K33" s="38"/>
      <c r="L33" s="38"/>
      <c r="M33" s="38"/>
      <c r="N33" s="38"/>
      <c r="O33" s="38"/>
      <c r="P33" s="38"/>
      <c r="Q33" s="38"/>
    </row>
    <row r="34" spans="3:17" x14ac:dyDescent="0.2">
      <c r="C34" s="6" t="s">
        <v>10</v>
      </c>
      <c r="D34" s="91">
        <v>21</v>
      </c>
      <c r="F34" s="6" t="s">
        <v>13</v>
      </c>
      <c r="G34" s="91">
        <v>18</v>
      </c>
      <c r="I34" s="38"/>
      <c r="K34" s="38"/>
      <c r="L34" s="38"/>
      <c r="M34" s="38"/>
      <c r="N34" s="38"/>
      <c r="O34" s="38"/>
      <c r="P34" s="38"/>
      <c r="Q34" s="38"/>
    </row>
    <row r="35" spans="3:17" x14ac:dyDescent="0.2">
      <c r="C35" s="6" t="s">
        <v>21</v>
      </c>
      <c r="D35" s="91">
        <v>20</v>
      </c>
      <c r="F35" s="6" t="s">
        <v>23</v>
      </c>
      <c r="G35" s="91">
        <v>19</v>
      </c>
      <c r="I35" s="38"/>
      <c r="K35" s="38"/>
      <c r="L35" s="38"/>
      <c r="M35" s="38"/>
      <c r="N35" s="38"/>
      <c r="O35" s="38"/>
      <c r="P35" s="38"/>
      <c r="Q35" s="38"/>
    </row>
    <row r="36" spans="3:17" x14ac:dyDescent="0.2">
      <c r="C36" s="6" t="s">
        <v>26</v>
      </c>
      <c r="D36" s="91">
        <v>22</v>
      </c>
      <c r="F36" s="6" t="s">
        <v>38</v>
      </c>
      <c r="G36" s="91">
        <v>20</v>
      </c>
      <c r="I36" s="38"/>
      <c r="K36" s="38"/>
      <c r="L36" s="38"/>
      <c r="M36" s="38"/>
      <c r="N36" s="38"/>
      <c r="O36" s="38"/>
      <c r="P36" s="38"/>
      <c r="Q36" s="38"/>
    </row>
    <row r="37" spans="3:17" x14ac:dyDescent="0.2">
      <c r="C37" s="6" t="s">
        <v>32</v>
      </c>
      <c r="D37" s="91">
        <v>18</v>
      </c>
      <c r="F37" s="6" t="s">
        <v>29</v>
      </c>
      <c r="G37" s="91">
        <v>20</v>
      </c>
      <c r="I37" s="38"/>
    </row>
    <row r="38" spans="3:17" x14ac:dyDescent="0.2">
      <c r="C38" s="6" t="s">
        <v>226</v>
      </c>
      <c r="D38" s="91">
        <v>100</v>
      </c>
      <c r="F38" s="6" t="s">
        <v>226</v>
      </c>
      <c r="G38" s="91">
        <v>100</v>
      </c>
      <c r="I38" s="38"/>
    </row>
    <row r="39" spans="3:17" x14ac:dyDescent="0.2">
      <c r="I39" s="38"/>
      <c r="K39" s="80" t="s">
        <v>182</v>
      </c>
      <c r="L39" s="80"/>
      <c r="M39" s="80"/>
    </row>
    <row r="40" spans="3:17" x14ac:dyDescent="0.2">
      <c r="I40" s="38"/>
      <c r="K40" s="80" t="s">
        <v>194</v>
      </c>
      <c r="L40" s="80"/>
      <c r="M40" s="80"/>
    </row>
    <row r="41" spans="3:17" x14ac:dyDescent="0.2">
      <c r="C41" s="18" t="s">
        <v>185</v>
      </c>
      <c r="F41" s="18" t="s">
        <v>193</v>
      </c>
      <c r="K41" s="80" t="s">
        <v>195</v>
      </c>
      <c r="L41" s="80"/>
      <c r="M41" s="80"/>
    </row>
    <row r="42" spans="3:17" x14ac:dyDescent="0.2">
      <c r="C42" s="92" t="s">
        <v>227</v>
      </c>
      <c r="D42" t="s">
        <v>239</v>
      </c>
      <c r="F42" s="92" t="s">
        <v>227</v>
      </c>
      <c r="G42" t="s">
        <v>241</v>
      </c>
    </row>
    <row r="43" spans="3:17" x14ac:dyDescent="0.2">
      <c r="C43" s="6" t="s">
        <v>16</v>
      </c>
      <c r="D43" s="93">
        <v>590583.49804316077</v>
      </c>
      <c r="F43" s="6" t="s">
        <v>18</v>
      </c>
      <c r="G43" s="93">
        <v>848354.14268653549</v>
      </c>
      <c r="I43" s="38"/>
    </row>
    <row r="44" spans="3:17" x14ac:dyDescent="0.2">
      <c r="C44" s="6" t="s">
        <v>10</v>
      </c>
      <c r="D44" s="93">
        <v>575993.98655816261</v>
      </c>
      <c r="F44" s="6" t="s">
        <v>13</v>
      </c>
      <c r="G44" s="93">
        <v>492882.01325137261</v>
      </c>
      <c r="I44" s="38"/>
    </row>
    <row r="45" spans="3:17" x14ac:dyDescent="0.2">
      <c r="C45" s="6" t="s">
        <v>21</v>
      </c>
      <c r="D45" s="93">
        <v>632910.37720460887</v>
      </c>
      <c r="F45" s="6" t="s">
        <v>23</v>
      </c>
      <c r="G45" s="93">
        <v>669461.26900686126</v>
      </c>
      <c r="I45" s="38"/>
    </row>
    <row r="46" spans="3:17" x14ac:dyDescent="0.2">
      <c r="C46" s="6" t="s">
        <v>26</v>
      </c>
      <c r="D46" s="93">
        <v>857385.58584398741</v>
      </c>
      <c r="F46" s="6" t="s">
        <v>38</v>
      </c>
      <c r="G46" s="93">
        <v>532214.98969871923</v>
      </c>
      <c r="I46" s="38"/>
    </row>
    <row r="47" spans="3:17" x14ac:dyDescent="0.2">
      <c r="C47" s="6" t="s">
        <v>32</v>
      </c>
      <c r="D47" s="93">
        <v>469272.26988795225</v>
      </c>
      <c r="F47" s="6" t="s">
        <v>29</v>
      </c>
      <c r="G47" s="93">
        <v>576823.30228823679</v>
      </c>
      <c r="I47" s="38"/>
    </row>
    <row r="48" spans="3:17" x14ac:dyDescent="0.2">
      <c r="C48" s="6" t="s">
        <v>226</v>
      </c>
      <c r="D48" s="93">
        <v>632845.5147118452</v>
      </c>
      <c r="F48" s="6" t="s">
        <v>226</v>
      </c>
      <c r="G48" s="93">
        <v>632845.51471184532</v>
      </c>
      <c r="I48" s="38"/>
    </row>
    <row r="49" spans="3:11" x14ac:dyDescent="0.2">
      <c r="I49" s="38"/>
    </row>
    <row r="50" spans="3:11" x14ac:dyDescent="0.2">
      <c r="I50" s="38"/>
      <c r="K50" s="21"/>
    </row>
    <row r="51" spans="3:11" ht="22" x14ac:dyDescent="0.3">
      <c r="C51" s="36" t="s">
        <v>186</v>
      </c>
      <c r="I51" s="38"/>
    </row>
    <row r="52" spans="3:11" x14ac:dyDescent="0.2">
      <c r="C52" s="18" t="s">
        <v>187</v>
      </c>
    </row>
    <row r="54" spans="3:11" x14ac:dyDescent="0.2">
      <c r="C54" s="92" t="s">
        <v>227</v>
      </c>
      <c r="D54" t="s">
        <v>228</v>
      </c>
      <c r="I54" s="38"/>
    </row>
    <row r="55" spans="3:11" x14ac:dyDescent="0.2">
      <c r="C55" s="6" t="s">
        <v>22</v>
      </c>
      <c r="D55" s="93">
        <v>12876363.980988942</v>
      </c>
      <c r="I55" s="38"/>
    </row>
    <row r="56" spans="3:11" x14ac:dyDescent="0.2">
      <c r="C56" s="6" t="s">
        <v>12</v>
      </c>
      <c r="D56" s="93">
        <v>11725993.852562537</v>
      </c>
      <c r="I56" s="38"/>
    </row>
    <row r="57" spans="3:11" x14ac:dyDescent="0.2">
      <c r="C57" s="6" t="s">
        <v>28</v>
      </c>
      <c r="D57" s="93">
        <v>18420308.32073123</v>
      </c>
      <c r="I57" s="38"/>
    </row>
    <row r="58" spans="3:11" x14ac:dyDescent="0.2">
      <c r="C58" s="6" t="s">
        <v>17</v>
      </c>
      <c r="D58" s="93">
        <v>20261885.316901799</v>
      </c>
      <c r="I58" s="38"/>
    </row>
    <row r="59" spans="3:11" x14ac:dyDescent="0.2">
      <c r="C59" s="6" t="s">
        <v>226</v>
      </c>
      <c r="D59" s="93">
        <v>63284551.471184507</v>
      </c>
      <c r="I59" s="38"/>
    </row>
    <row r="60" spans="3:11" x14ac:dyDescent="0.2">
      <c r="F60" s="38"/>
      <c r="G60" s="38"/>
      <c r="H60" s="38"/>
      <c r="I60" s="38"/>
    </row>
    <row r="61" spans="3:11" x14ac:dyDescent="0.2">
      <c r="F61" s="38"/>
      <c r="G61" s="38"/>
      <c r="H61" s="38"/>
      <c r="I61" s="38"/>
      <c r="K61" s="20"/>
    </row>
    <row r="62" spans="3:11" x14ac:dyDescent="0.2">
      <c r="C62" s="18" t="s">
        <v>188</v>
      </c>
      <c r="F62" s="38"/>
      <c r="G62" s="38"/>
      <c r="H62" s="38"/>
      <c r="I62" s="38"/>
    </row>
    <row r="63" spans="3:11" x14ac:dyDescent="0.2">
      <c r="C63" s="92" t="s">
        <v>227</v>
      </c>
      <c r="D63" t="s">
        <v>224</v>
      </c>
    </row>
    <row r="64" spans="3:11" x14ac:dyDescent="0.2">
      <c r="C64" s="6" t="s">
        <v>22</v>
      </c>
      <c r="D64" s="91">
        <v>21</v>
      </c>
    </row>
    <row r="65" spans="3:9" x14ac:dyDescent="0.2">
      <c r="C65" s="6" t="s">
        <v>12</v>
      </c>
      <c r="D65" s="91">
        <v>23</v>
      </c>
    </row>
    <row r="66" spans="3:9" x14ac:dyDescent="0.2">
      <c r="C66" s="6" t="s">
        <v>28</v>
      </c>
      <c r="D66" s="91">
        <v>21</v>
      </c>
    </row>
    <row r="67" spans="3:9" x14ac:dyDescent="0.2">
      <c r="C67" s="6" t="s">
        <v>17</v>
      </c>
      <c r="D67" s="91">
        <v>35</v>
      </c>
      <c r="F67" s="38"/>
      <c r="G67" s="38"/>
      <c r="H67" s="38"/>
      <c r="I67" s="38"/>
    </row>
    <row r="68" spans="3:9" x14ac:dyDescent="0.2">
      <c r="C68" s="6" t="s">
        <v>226</v>
      </c>
      <c r="D68" s="91">
        <v>100</v>
      </c>
      <c r="F68" s="38"/>
      <c r="G68" s="38"/>
      <c r="H68" s="38"/>
      <c r="I68" s="38"/>
    </row>
    <row r="69" spans="3:9" x14ac:dyDescent="0.2">
      <c r="F69" s="38"/>
      <c r="G69" s="38"/>
      <c r="H69" s="38"/>
      <c r="I69" s="38"/>
    </row>
    <row r="70" spans="3:9" x14ac:dyDescent="0.2">
      <c r="F70" s="38"/>
      <c r="G70" s="38"/>
      <c r="H70" s="38"/>
      <c r="I70" s="38"/>
    </row>
    <row r="71" spans="3:9" x14ac:dyDescent="0.2">
      <c r="C71" s="98" t="s">
        <v>189</v>
      </c>
      <c r="F71" s="38"/>
      <c r="G71" s="38"/>
      <c r="H71" s="38"/>
      <c r="I71" s="38"/>
    </row>
    <row r="72" spans="3:9" x14ac:dyDescent="0.2">
      <c r="C72" s="92" t="s">
        <v>227</v>
      </c>
      <c r="D72" t="s">
        <v>239</v>
      </c>
      <c r="F72" s="38"/>
      <c r="G72" s="38"/>
      <c r="H72" s="38"/>
      <c r="I72" s="38"/>
    </row>
    <row r="73" spans="3:9" x14ac:dyDescent="0.2">
      <c r="C73" s="6" t="s">
        <v>22</v>
      </c>
      <c r="D73" s="93">
        <v>613160.18957090203</v>
      </c>
      <c r="F73" s="38"/>
      <c r="G73" s="38"/>
      <c r="H73" s="38"/>
      <c r="I73" s="38"/>
    </row>
    <row r="74" spans="3:9" x14ac:dyDescent="0.2">
      <c r="C74" s="6" t="s">
        <v>12</v>
      </c>
      <c r="D74" s="93">
        <v>509825.81967663206</v>
      </c>
      <c r="F74" s="38"/>
      <c r="G74" s="38"/>
      <c r="H74" s="38"/>
      <c r="I74" s="38"/>
    </row>
    <row r="75" spans="3:9" x14ac:dyDescent="0.2">
      <c r="C75" s="6" t="s">
        <v>28</v>
      </c>
      <c r="D75" s="93">
        <v>877157.5390824395</v>
      </c>
      <c r="F75" s="38"/>
      <c r="G75" s="38"/>
      <c r="H75" s="38"/>
      <c r="I75" s="38"/>
    </row>
    <row r="76" spans="3:9" x14ac:dyDescent="0.2">
      <c r="C76" s="6" t="s">
        <v>17</v>
      </c>
      <c r="D76" s="93">
        <v>578911.00905433716</v>
      </c>
    </row>
    <row r="77" spans="3:9" x14ac:dyDescent="0.2">
      <c r="C77" s="6" t="s">
        <v>226</v>
      </c>
      <c r="D77" s="93">
        <v>632845.51471184532</v>
      </c>
    </row>
    <row r="78" spans="3:9" x14ac:dyDescent="0.2">
      <c r="F78" s="38"/>
      <c r="G78" s="38"/>
      <c r="H78" s="38"/>
      <c r="I78" s="38"/>
    </row>
    <row r="79" spans="3:9" x14ac:dyDescent="0.2">
      <c r="F79" s="38"/>
      <c r="G79" s="38"/>
      <c r="H79" s="38"/>
      <c r="I79" s="38"/>
    </row>
    <row r="80" spans="3:9" x14ac:dyDescent="0.2">
      <c r="C80" s="2" t="s">
        <v>156</v>
      </c>
      <c r="F80" s="38"/>
      <c r="G80" s="38"/>
      <c r="H80" s="38"/>
      <c r="I80" s="38"/>
    </row>
    <row r="81" spans="3:9" x14ac:dyDescent="0.2">
      <c r="C81" s="92" t="s">
        <v>227</v>
      </c>
      <c r="D81" t="s">
        <v>240</v>
      </c>
      <c r="F81" s="38"/>
      <c r="G81" s="38"/>
      <c r="H81" s="38"/>
      <c r="I81" s="38"/>
    </row>
    <row r="82" spans="3:9" x14ac:dyDescent="0.2">
      <c r="C82" s="6">
        <v>2018</v>
      </c>
      <c r="D82" s="93">
        <v>6428231.5625042599</v>
      </c>
      <c r="F82" s="38"/>
      <c r="G82" s="38"/>
      <c r="H82" s="38"/>
      <c r="I82" s="38"/>
    </row>
    <row r="83" spans="3:9" x14ac:dyDescent="0.2">
      <c r="C83" s="6">
        <v>2019</v>
      </c>
      <c r="D83" s="93">
        <v>10365188.910996957</v>
      </c>
      <c r="F83" s="38"/>
      <c r="G83" s="38"/>
      <c r="H83" s="38"/>
      <c r="I83" s="38"/>
    </row>
    <row r="84" spans="3:9" x14ac:dyDescent="0.2">
      <c r="C84" s="6">
        <v>2020</v>
      </c>
      <c r="D84" s="93">
        <v>12073242.220101215</v>
      </c>
      <c r="F84" s="38"/>
      <c r="G84" s="38"/>
      <c r="H84" s="38"/>
      <c r="I84" s="38"/>
    </row>
    <row r="85" spans="3:9" x14ac:dyDescent="0.2">
      <c r="C85" s="6">
        <v>2021</v>
      </c>
      <c r="D85" s="93">
        <v>11966327.33605008</v>
      </c>
      <c r="F85" s="38"/>
      <c r="G85" s="38"/>
      <c r="H85" s="38"/>
      <c r="I85" s="38"/>
    </row>
    <row r="86" spans="3:9" x14ac:dyDescent="0.2">
      <c r="C86" s="6">
        <v>2022</v>
      </c>
      <c r="D86" s="93">
        <v>15005684.032431997</v>
      </c>
      <c r="F86" s="38"/>
      <c r="G86" s="38"/>
      <c r="H86" s="38"/>
      <c r="I86" s="38"/>
    </row>
    <row r="87" spans="3:9" x14ac:dyDescent="0.2">
      <c r="C87" s="6">
        <v>2023</v>
      </c>
      <c r="D87" s="93">
        <v>7445877.4091000007</v>
      </c>
    </row>
    <row r="88" spans="3:9" x14ac:dyDescent="0.2">
      <c r="C88" s="6" t="s">
        <v>226</v>
      </c>
      <c r="D88" s="93">
        <v>63284551.471184514</v>
      </c>
    </row>
    <row r="89" spans="3:9" x14ac:dyDescent="0.2">
      <c r="F89" s="38"/>
      <c r="G89" s="38"/>
      <c r="H89" s="38"/>
      <c r="I89" s="38"/>
    </row>
    <row r="90" spans="3:9" x14ac:dyDescent="0.2">
      <c r="F90" s="38"/>
      <c r="G90" s="38"/>
      <c r="H90" s="38"/>
      <c r="I90" s="38"/>
    </row>
    <row r="91" spans="3:9" x14ac:dyDescent="0.2">
      <c r="F91" s="38"/>
      <c r="G91" s="38"/>
      <c r="H91" s="38"/>
      <c r="I91" s="38"/>
    </row>
    <row r="92" spans="3:9" x14ac:dyDescent="0.2">
      <c r="F92" s="38"/>
      <c r="G92" s="38"/>
      <c r="H92" s="38"/>
      <c r="I92" s="38"/>
    </row>
    <row r="93" spans="3:9" x14ac:dyDescent="0.2">
      <c r="F93" s="38"/>
      <c r="G93" s="38"/>
      <c r="H93" s="38"/>
      <c r="I93" s="38"/>
    </row>
    <row r="94" spans="3:9" x14ac:dyDescent="0.2">
      <c r="F94" s="38"/>
      <c r="G94" s="38"/>
      <c r="H94" s="38"/>
      <c r="I94" s="38"/>
    </row>
    <row r="95" spans="3:9" x14ac:dyDescent="0.2">
      <c r="F95" s="38"/>
      <c r="G95" s="38"/>
      <c r="H95" s="38"/>
      <c r="I95" s="38"/>
    </row>
    <row r="96" spans="3:9" x14ac:dyDescent="0.2">
      <c r="F96" s="38"/>
      <c r="G96" s="38"/>
      <c r="H96" s="38"/>
      <c r="I96" s="38"/>
    </row>
    <row r="97" spans="3:9" x14ac:dyDescent="0.2">
      <c r="F97" s="38"/>
      <c r="G97" s="38"/>
      <c r="H97" s="38"/>
      <c r="I97" s="38"/>
    </row>
    <row r="102" spans="3:9" x14ac:dyDescent="0.2">
      <c r="C102" s="21"/>
    </row>
  </sheetData>
  <mergeCells count="3">
    <mergeCell ref="K40:M40"/>
    <mergeCell ref="K41:M41"/>
    <mergeCell ref="K39:M39"/>
  </mergeCells>
  <pageMargins left="0.7" right="0.7" top="0.75" bottom="0.75" header="0.3" footer="0.3"/>
  <pageSetup paperSize="9" orientation="portrait" verticalDpi="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F4A3-EC7C-3348-977E-44D82B5A3750}">
  <dimension ref="A1:N69"/>
  <sheetViews>
    <sheetView zoomScale="37" zoomScaleNormal="100" workbookViewId="0">
      <selection activeCell="I66" sqref="I66"/>
    </sheetView>
  </sheetViews>
  <sheetFormatPr baseColWidth="10" defaultColWidth="10.6640625" defaultRowHeight="16" x14ac:dyDescent="0.2"/>
  <cols>
    <col min="2" max="2" width="40.6640625" customWidth="1"/>
    <col min="3" max="3" width="37.33203125" bestFit="1" customWidth="1"/>
    <col min="4" max="4" width="18.1640625" customWidth="1"/>
    <col min="5" max="5" width="12.33203125" customWidth="1"/>
    <col min="7" max="7" width="48.1640625" style="6" customWidth="1"/>
    <col min="8" max="11" width="25.5" customWidth="1"/>
    <col min="12" max="12" width="19.1640625" customWidth="1"/>
    <col min="14" max="14" width="23.33203125" customWidth="1"/>
    <col min="111" max="111" width="7" bestFit="1" customWidth="1"/>
    <col min="112" max="112" width="10.5" bestFit="1" customWidth="1"/>
  </cols>
  <sheetData>
    <row r="1" spans="2:11" x14ac:dyDescent="0.2">
      <c r="G1" s="18" t="s">
        <v>207</v>
      </c>
      <c r="H1" s="10"/>
      <c r="I1" s="11"/>
    </row>
    <row r="2" spans="2:11" ht="17.5" customHeight="1" x14ac:dyDescent="0.25">
      <c r="B2" s="4" t="s">
        <v>148</v>
      </c>
      <c r="G2" s="81">
        <v>1</v>
      </c>
      <c r="H2" s="82" t="s">
        <v>214</v>
      </c>
      <c r="I2" s="82"/>
      <c r="J2" s="82"/>
      <c r="K2" s="82"/>
    </row>
    <row r="3" spans="2:11" ht="20" thickBot="1" x14ac:dyDescent="0.3">
      <c r="B3" s="4"/>
      <c r="G3" s="81"/>
      <c r="H3" s="82"/>
      <c r="I3" s="82"/>
      <c r="J3" s="82"/>
      <c r="K3" s="82"/>
    </row>
    <row r="4" spans="2:11" ht="17" thickBot="1" x14ac:dyDescent="0.25">
      <c r="D4" s="44" t="s">
        <v>196</v>
      </c>
      <c r="E4" s="45" t="s">
        <v>197</v>
      </c>
      <c r="G4" s="46" t="s">
        <v>169</v>
      </c>
      <c r="H4" s="30" t="s">
        <v>176</v>
      </c>
      <c r="I4" s="30" t="s">
        <v>170</v>
      </c>
      <c r="J4" s="55" t="s">
        <v>232</v>
      </c>
      <c r="K4" s="2"/>
    </row>
    <row r="5" spans="2:11" x14ac:dyDescent="0.2">
      <c r="B5" s="41">
        <v>2018</v>
      </c>
      <c r="C5" s="30" t="s">
        <v>149</v>
      </c>
      <c r="D5" s="31">
        <v>1.08</v>
      </c>
      <c r="E5" s="32">
        <f>E6*D6</f>
        <v>1.2053063131200001</v>
      </c>
      <c r="G5" s="48">
        <v>2018</v>
      </c>
      <c r="H5" s="52">
        <f>C15</f>
        <v>45000000</v>
      </c>
      <c r="I5" s="52">
        <v>10</v>
      </c>
      <c r="J5" s="94">
        <f xml:space="preserve"> I5 / H5</f>
        <v>2.2222222222222222E-7</v>
      </c>
    </row>
    <row r="6" spans="2:11" x14ac:dyDescent="0.2">
      <c r="B6" s="42">
        <v>2019</v>
      </c>
      <c r="C6" t="s">
        <v>150</v>
      </c>
      <c r="D6">
        <v>1.05</v>
      </c>
      <c r="E6" s="33">
        <f t="shared" ref="E6:E8" si="0">E7*D7</f>
        <v>1.1479107744000001</v>
      </c>
      <c r="G6" s="48">
        <f>G5+1</f>
        <v>2019</v>
      </c>
      <c r="H6" s="52">
        <f t="shared" ref="H6:H10" si="1">C16</f>
        <v>49000000</v>
      </c>
      <c r="I6" s="52">
        <v>17</v>
      </c>
      <c r="J6" s="94">
        <f t="shared" ref="J6:J10" si="2" xml:space="preserve"> I6 / H6</f>
        <v>3.4693877551020406E-7</v>
      </c>
      <c r="K6" s="2"/>
    </row>
    <row r="7" spans="2:11" x14ac:dyDescent="0.2">
      <c r="B7" s="42">
        <v>2020</v>
      </c>
      <c r="C7" t="s">
        <v>151</v>
      </c>
      <c r="D7">
        <v>1.04</v>
      </c>
      <c r="E7" s="33">
        <f>E8*D8</f>
        <v>1.1037603600000001</v>
      </c>
      <c r="G7" s="48">
        <f t="shared" ref="G7:G10" si="3">G6+1</f>
        <v>2020</v>
      </c>
      <c r="H7" s="52">
        <f t="shared" si="1"/>
        <v>41750000</v>
      </c>
      <c r="I7" s="52">
        <v>20</v>
      </c>
      <c r="J7" s="94">
        <f t="shared" si="2"/>
        <v>4.7904191616766466E-7</v>
      </c>
    </row>
    <row r="8" spans="2:11" x14ac:dyDescent="0.2">
      <c r="B8" s="42">
        <v>2021</v>
      </c>
      <c r="C8" t="s">
        <v>152</v>
      </c>
      <c r="D8">
        <v>1.03</v>
      </c>
      <c r="E8" s="33">
        <f t="shared" si="0"/>
        <v>1.071612</v>
      </c>
      <c r="G8" s="48">
        <f t="shared" si="3"/>
        <v>2021</v>
      </c>
      <c r="H8" s="52">
        <f t="shared" si="1"/>
        <v>41500000</v>
      </c>
      <c r="I8" s="52">
        <v>20</v>
      </c>
      <c r="J8" s="94">
        <f t="shared" si="2"/>
        <v>4.8192771084337348E-7</v>
      </c>
    </row>
    <row r="9" spans="2:11" x14ac:dyDescent="0.2">
      <c r="B9" s="42">
        <v>2022</v>
      </c>
      <c r="C9" t="s">
        <v>153</v>
      </c>
      <c r="D9">
        <v>1.02</v>
      </c>
      <c r="E9" s="33">
        <f>E10*D10</f>
        <v>1.0506</v>
      </c>
      <c r="G9" s="48">
        <f t="shared" si="3"/>
        <v>2022</v>
      </c>
      <c r="H9" s="52">
        <f t="shared" si="1"/>
        <v>43590000</v>
      </c>
      <c r="I9" s="52">
        <v>17</v>
      </c>
      <c r="J9" s="94">
        <f t="shared" si="2"/>
        <v>3.8999770589584768E-7</v>
      </c>
      <c r="K9" s="7"/>
    </row>
    <row r="10" spans="2:11" ht="17" thickBot="1" x14ac:dyDescent="0.25">
      <c r="B10" s="42">
        <v>2023</v>
      </c>
      <c r="C10" t="s">
        <v>153</v>
      </c>
      <c r="D10">
        <v>1.02</v>
      </c>
      <c r="E10" s="33">
        <f>E11*D11</f>
        <v>1.03</v>
      </c>
      <c r="G10" s="50">
        <f t="shared" si="3"/>
        <v>2023</v>
      </c>
      <c r="H10" s="58">
        <f t="shared" si="1"/>
        <v>44750000</v>
      </c>
      <c r="I10" s="58">
        <v>16</v>
      </c>
      <c r="J10" s="94">
        <f t="shared" si="2"/>
        <v>3.5754189944134076E-7</v>
      </c>
    </row>
    <row r="11" spans="2:11" ht="17" customHeight="1" thickBot="1" x14ac:dyDescent="0.25">
      <c r="B11" s="43">
        <v>2024</v>
      </c>
      <c r="C11" s="34" t="s">
        <v>168</v>
      </c>
      <c r="D11" s="34">
        <v>1.03</v>
      </c>
      <c r="E11" s="35">
        <v>1</v>
      </c>
    </row>
    <row r="12" spans="2:11" ht="17" customHeight="1" x14ac:dyDescent="0.2">
      <c r="B12" s="5"/>
      <c r="G12" s="2" t="s">
        <v>206</v>
      </c>
    </row>
    <row r="13" spans="2:11" ht="17" customHeight="1" thickBot="1" x14ac:dyDescent="0.25">
      <c r="B13" s="2" t="s">
        <v>198</v>
      </c>
      <c r="G13" s="81">
        <v>2</v>
      </c>
      <c r="H13" s="85" t="s">
        <v>215</v>
      </c>
      <c r="I13" s="85"/>
      <c r="J13" s="85"/>
      <c r="K13" s="85"/>
    </row>
    <row r="14" spans="2:11" ht="17" customHeight="1" x14ac:dyDescent="0.2">
      <c r="B14" s="46" t="s">
        <v>169</v>
      </c>
      <c r="C14" s="47" t="s">
        <v>199</v>
      </c>
      <c r="G14" s="81"/>
      <c r="H14" s="85"/>
      <c r="I14" s="85"/>
      <c r="J14" s="85"/>
      <c r="K14" s="85"/>
    </row>
    <row r="15" spans="2:11" ht="17" customHeight="1" x14ac:dyDescent="0.2">
      <c r="B15" s="48">
        <v>2018</v>
      </c>
      <c r="C15" s="49">
        <f>45000000</f>
        <v>45000000</v>
      </c>
      <c r="G15" s="81"/>
      <c r="H15" s="85"/>
      <c r="I15" s="85"/>
      <c r="J15" s="85"/>
      <c r="K15" s="85"/>
    </row>
    <row r="16" spans="2:11" ht="17" customHeight="1" x14ac:dyDescent="0.2">
      <c r="B16" s="48">
        <f>B15+1</f>
        <v>2019</v>
      </c>
      <c r="C16" s="49">
        <v>49000000</v>
      </c>
      <c r="G16" s="81"/>
      <c r="H16" s="85"/>
      <c r="I16" s="85"/>
      <c r="J16" s="85"/>
      <c r="K16" s="85"/>
    </row>
    <row r="17" spans="2:11" ht="17" customHeight="1" x14ac:dyDescent="0.2">
      <c r="B17" s="48">
        <f t="shared" ref="B17:B20" si="4">B16+1</f>
        <v>2020</v>
      </c>
      <c r="C17" s="49">
        <v>41750000</v>
      </c>
      <c r="G17" s="92" t="s">
        <v>227</v>
      </c>
      <c r="H17" s="92" t="s">
        <v>231</v>
      </c>
      <c r="I17" t="s">
        <v>224</v>
      </c>
      <c r="J17" t="s">
        <v>230</v>
      </c>
    </row>
    <row r="18" spans="2:11" ht="17" customHeight="1" x14ac:dyDescent="0.2">
      <c r="B18" s="48">
        <f t="shared" si="4"/>
        <v>2021</v>
      </c>
      <c r="C18" s="49">
        <v>41500000</v>
      </c>
      <c r="G18" s="6">
        <v>2018</v>
      </c>
      <c r="H18" s="93">
        <v>6428231.5625042599</v>
      </c>
      <c r="I18" s="91">
        <v>10</v>
      </c>
      <c r="J18" s="93">
        <f>H18/I18</f>
        <v>642823.15625042596</v>
      </c>
    </row>
    <row r="19" spans="2:11" ht="17" customHeight="1" x14ac:dyDescent="0.2">
      <c r="B19" s="48">
        <f t="shared" si="4"/>
        <v>2022</v>
      </c>
      <c r="C19" s="49">
        <v>43590000</v>
      </c>
      <c r="G19" s="6">
        <v>2019</v>
      </c>
      <c r="H19" s="93">
        <v>10365188.910996957</v>
      </c>
      <c r="I19" s="91">
        <v>17</v>
      </c>
      <c r="J19" s="93">
        <f t="shared" ref="J19:J24" si="5">H19/I19</f>
        <v>609716.99476452684</v>
      </c>
    </row>
    <row r="20" spans="2:11" ht="17" customHeight="1" thickBot="1" x14ac:dyDescent="0.25">
      <c r="B20" s="50">
        <f t="shared" si="4"/>
        <v>2023</v>
      </c>
      <c r="C20" s="51">
        <v>44750000</v>
      </c>
      <c r="G20" s="6">
        <v>2020</v>
      </c>
      <c r="H20" s="93">
        <v>12073242.220101215</v>
      </c>
      <c r="I20" s="91">
        <v>20</v>
      </c>
      <c r="J20" s="93">
        <f t="shared" si="5"/>
        <v>603662.11100506072</v>
      </c>
    </row>
    <row r="21" spans="2:11" ht="17" customHeight="1" thickBot="1" x14ac:dyDescent="0.25">
      <c r="B21" s="18"/>
      <c r="C21" s="52"/>
      <c r="G21" s="6">
        <v>2021</v>
      </c>
      <c r="H21" s="93">
        <v>11966327.33605008</v>
      </c>
      <c r="I21" s="91">
        <v>20</v>
      </c>
      <c r="J21" s="93">
        <f t="shared" si="5"/>
        <v>598316.36680250405</v>
      </c>
    </row>
    <row r="22" spans="2:11" ht="17" customHeight="1" thickBot="1" x14ac:dyDescent="0.25">
      <c r="B22" s="53" t="s">
        <v>200</v>
      </c>
      <c r="C22" s="54">
        <v>40000000</v>
      </c>
      <c r="G22" s="6">
        <v>2022</v>
      </c>
      <c r="H22" s="93">
        <v>15005684.032431997</v>
      </c>
      <c r="I22" s="91">
        <v>17</v>
      </c>
      <c r="J22" s="93">
        <f t="shared" si="5"/>
        <v>882687.29602541158</v>
      </c>
    </row>
    <row r="23" spans="2:11" ht="17" customHeight="1" x14ac:dyDescent="0.2">
      <c r="B23" s="5"/>
      <c r="G23" s="6">
        <v>2023</v>
      </c>
      <c r="H23" s="93">
        <v>7445877.4091000007</v>
      </c>
      <c r="I23" s="91">
        <v>16</v>
      </c>
      <c r="J23" s="93">
        <f t="shared" si="5"/>
        <v>465367.33806875005</v>
      </c>
    </row>
    <row r="24" spans="2:11" ht="17" customHeight="1" x14ac:dyDescent="0.2">
      <c r="B24" s="22"/>
      <c r="C24" s="39" t="s">
        <v>177</v>
      </c>
      <c r="D24" s="22"/>
      <c r="G24" s="6" t="s">
        <v>226</v>
      </c>
      <c r="H24" s="93">
        <v>63284551.471184552</v>
      </c>
      <c r="I24" s="91">
        <v>100</v>
      </c>
      <c r="J24" s="93">
        <f t="shared" si="5"/>
        <v>632845.51471184555</v>
      </c>
    </row>
    <row r="25" spans="2:11" ht="17" customHeight="1" x14ac:dyDescent="0.2">
      <c r="B25" s="22">
        <v>1</v>
      </c>
      <c r="C25" s="22" t="s">
        <v>178</v>
      </c>
      <c r="D25" s="22"/>
    </row>
    <row r="26" spans="2:11" ht="17" customHeight="1" x14ac:dyDescent="0.2">
      <c r="B26" s="22">
        <v>2</v>
      </c>
      <c r="C26" s="22" t="s">
        <v>179</v>
      </c>
      <c r="D26" s="22"/>
    </row>
    <row r="27" spans="2:11" ht="17" customHeight="1" x14ac:dyDescent="0.2">
      <c r="B27" s="22">
        <v>3</v>
      </c>
      <c r="C27" s="22" t="s">
        <v>201</v>
      </c>
      <c r="D27" s="22"/>
      <c r="G27" s="18" t="s">
        <v>209</v>
      </c>
    </row>
    <row r="28" spans="2:11" ht="17" customHeight="1" x14ac:dyDescent="0.2">
      <c r="B28" s="22">
        <v>4</v>
      </c>
      <c r="C28" s="22" t="s">
        <v>180</v>
      </c>
      <c r="D28" s="22"/>
      <c r="G28" s="81">
        <v>3</v>
      </c>
      <c r="H28" s="84" t="s">
        <v>216</v>
      </c>
      <c r="I28" s="84"/>
      <c r="J28" s="84"/>
      <c r="K28" s="84"/>
    </row>
    <row r="29" spans="2:11" ht="17" customHeight="1" thickBot="1" x14ac:dyDescent="0.25">
      <c r="B29" s="22">
        <v>5</v>
      </c>
      <c r="C29" s="22" t="s">
        <v>202</v>
      </c>
      <c r="D29" s="22"/>
      <c r="G29" s="83"/>
      <c r="H29" s="84"/>
      <c r="I29" s="84"/>
      <c r="J29" s="84"/>
      <c r="K29" s="84"/>
    </row>
    <row r="30" spans="2:11" ht="17" customHeight="1" x14ac:dyDescent="0.2">
      <c r="B30" s="22">
        <v>6</v>
      </c>
      <c r="C30" s="22" t="s">
        <v>203</v>
      </c>
      <c r="D30" s="22"/>
      <c r="G30" s="46" t="s">
        <v>173</v>
      </c>
      <c r="H30" s="59" t="s">
        <v>208</v>
      </c>
      <c r="I30" s="59" t="s">
        <v>174</v>
      </c>
      <c r="J30" s="60" t="s">
        <v>175</v>
      </c>
    </row>
    <row r="31" spans="2:11" ht="17" customHeight="1" x14ac:dyDescent="0.2">
      <c r="B31" s="22">
        <v>7</v>
      </c>
      <c r="C31" s="22" t="s">
        <v>204</v>
      </c>
      <c r="D31" s="22"/>
      <c r="G31" s="56">
        <v>2018</v>
      </c>
      <c r="H31" s="61">
        <v>642823.15625042596</v>
      </c>
      <c r="I31" s="94">
        <f xml:space="preserve"> H31 / G31</f>
        <v>318.54467604084539</v>
      </c>
      <c r="J31" s="62">
        <f xml:space="preserve"> I31*H31</f>
        <v>204767894.05934566</v>
      </c>
    </row>
    <row r="32" spans="2:11" ht="17" customHeight="1" x14ac:dyDescent="0.2">
      <c r="B32" s="22">
        <v>8</v>
      </c>
      <c r="C32" s="22" t="s">
        <v>205</v>
      </c>
      <c r="D32" s="22"/>
      <c r="G32" s="56">
        <v>2019</v>
      </c>
      <c r="H32" s="61">
        <v>609716.99476452684</v>
      </c>
      <c r="I32" s="94">
        <f t="shared" ref="I32:I36" si="6" xml:space="preserve"> H32 / G32</f>
        <v>301.98959621819063</v>
      </c>
      <c r="J32" s="62">
        <f t="shared" ref="J32:J36" si="7" xml:space="preserve"> I32*H32</f>
        <v>184128189.05630812</v>
      </c>
    </row>
    <row r="33" spans="1:12" ht="17" customHeight="1" x14ac:dyDescent="0.2">
      <c r="B33" s="5"/>
      <c r="G33" s="56">
        <v>2020</v>
      </c>
      <c r="H33" s="61">
        <v>603662.11100506072</v>
      </c>
      <c r="I33" s="94">
        <f t="shared" si="6"/>
        <v>298.84262921042608</v>
      </c>
      <c r="J33" s="62">
        <f t="shared" si="7"/>
        <v>180399972.40746844</v>
      </c>
    </row>
    <row r="34" spans="1:12" x14ac:dyDescent="0.2">
      <c r="G34" s="56">
        <v>2021</v>
      </c>
      <c r="H34" s="61">
        <v>598316.36680250405</v>
      </c>
      <c r="I34" s="94">
        <f t="shared" si="6"/>
        <v>296.04966195076895</v>
      </c>
      <c r="J34" s="62">
        <f t="shared" si="7"/>
        <v>177131358.1314936</v>
      </c>
    </row>
    <row r="35" spans="1:12" ht="15" customHeight="1" x14ac:dyDescent="0.2">
      <c r="C35" s="9"/>
      <c r="E35" s="12"/>
      <c r="G35" s="56">
        <v>2022</v>
      </c>
      <c r="H35" s="61">
        <v>882687.29602541158</v>
      </c>
      <c r="I35" s="94">
        <f t="shared" si="6"/>
        <v>436.54168942898696</v>
      </c>
      <c r="J35" s="62">
        <f t="shared" si="7"/>
        <v>385329803.4444375</v>
      </c>
      <c r="L35" t="s">
        <v>233</v>
      </c>
    </row>
    <row r="36" spans="1:12" ht="17" thickBot="1" x14ac:dyDescent="0.25">
      <c r="E36" s="12"/>
      <c r="G36" s="57">
        <v>2023</v>
      </c>
      <c r="H36" s="61">
        <v>465367.33806875005</v>
      </c>
      <c r="I36" s="94">
        <f t="shared" si="6"/>
        <v>230.03822939631738</v>
      </c>
      <c r="J36" s="62">
        <f t="shared" si="7"/>
        <v>107052278.46821271</v>
      </c>
    </row>
    <row r="37" spans="1:12" x14ac:dyDescent="0.2">
      <c r="A37" s="24">
        <v>5</v>
      </c>
      <c r="B37" s="89" t="s">
        <v>213</v>
      </c>
      <c r="C37" s="89"/>
      <c r="D37" s="89"/>
      <c r="E37" s="89"/>
      <c r="H37" s="14"/>
      <c r="I37" s="15"/>
      <c r="J37" s="7"/>
    </row>
    <row r="38" spans="1:12" x14ac:dyDescent="0.2">
      <c r="B38" s="5" t="s">
        <v>157</v>
      </c>
      <c r="G38" s="29">
        <v>4</v>
      </c>
      <c r="H38" s="89" t="s">
        <v>221</v>
      </c>
      <c r="I38" s="89"/>
      <c r="J38" s="89"/>
      <c r="K38" s="89"/>
    </row>
    <row r="39" spans="1:12" x14ac:dyDescent="0.2">
      <c r="B39" s="95">
        <v>5272671.21</v>
      </c>
      <c r="H39" s="66"/>
      <c r="I39" s="66"/>
      <c r="J39" s="66"/>
      <c r="K39" s="66"/>
    </row>
    <row r="40" spans="1:12" x14ac:dyDescent="0.2">
      <c r="B40" s="9"/>
      <c r="C40" s="9"/>
      <c r="G40" s="65"/>
      <c r="H40" s="66"/>
      <c r="I40" s="66"/>
      <c r="J40" s="66"/>
      <c r="K40" s="66"/>
    </row>
    <row r="41" spans="1:12" x14ac:dyDescent="0.2">
      <c r="A41" s="24">
        <v>6</v>
      </c>
      <c r="B41" s="89" t="s">
        <v>211</v>
      </c>
      <c r="C41" s="89"/>
      <c r="D41" s="89"/>
      <c r="E41" s="89"/>
      <c r="G41" s="21" t="s">
        <v>171</v>
      </c>
      <c r="H41" s="63">
        <f>AVERAGE(J5, J6, J7, J8, J9, J10)</f>
        <v>3.7961170501344213E-7</v>
      </c>
      <c r="I41" s="6"/>
      <c r="J41" s="13"/>
    </row>
    <row r="42" spans="1:12" x14ac:dyDescent="0.2">
      <c r="B42" s="2" t="s">
        <v>158</v>
      </c>
      <c r="G42" s="21" t="s">
        <v>172</v>
      </c>
      <c r="H42" s="64">
        <f>AVERAGE(J18, J19, J20, J21, J22, J23, J24)</f>
        <v>633631.25394693215</v>
      </c>
      <c r="I42" s="6"/>
      <c r="J42" s="7"/>
      <c r="K42" s="11"/>
    </row>
    <row r="43" spans="1:12" x14ac:dyDescent="0.2">
      <c r="B43" s="96">
        <v>20</v>
      </c>
      <c r="H43" s="6"/>
      <c r="I43" s="6"/>
      <c r="J43" s="7"/>
    </row>
    <row r="44" spans="1:12" x14ac:dyDescent="0.2">
      <c r="G44" s="21" t="s">
        <v>167</v>
      </c>
      <c r="H44" s="16">
        <v>40000000</v>
      </c>
      <c r="I44" s="6"/>
      <c r="J44" s="17"/>
    </row>
    <row r="45" spans="1:12" x14ac:dyDescent="0.2">
      <c r="A45" s="24">
        <v>7</v>
      </c>
      <c r="B45" s="89" t="s">
        <v>212</v>
      </c>
      <c r="C45" s="89"/>
      <c r="D45" s="89"/>
      <c r="E45" s="89"/>
      <c r="G45" s="21"/>
      <c r="H45" s="16"/>
      <c r="I45" s="6"/>
      <c r="J45" s="17"/>
    </row>
    <row r="46" spans="1:12" ht="24.5" customHeight="1" x14ac:dyDescent="0.2">
      <c r="B46" s="2" t="s">
        <v>159</v>
      </c>
      <c r="G46" s="21"/>
      <c r="H46" s="16"/>
      <c r="I46" s="6"/>
      <c r="J46" s="17"/>
    </row>
    <row r="47" spans="1:12" ht="15" customHeight="1" x14ac:dyDescent="0.2">
      <c r="B47" s="71">
        <f>B39/B43</f>
        <v>263633.56050000002</v>
      </c>
      <c r="G47" s="86">
        <v>8</v>
      </c>
      <c r="H47" s="87" t="s">
        <v>222</v>
      </c>
      <c r="I47" s="87"/>
      <c r="J47" s="87"/>
      <c r="K47" s="87"/>
    </row>
    <row r="48" spans="1:12" ht="15" customHeight="1" x14ac:dyDescent="0.2">
      <c r="G48" s="86"/>
      <c r="H48" s="87"/>
      <c r="I48" s="87"/>
      <c r="J48" s="87"/>
      <c r="K48" s="87"/>
    </row>
    <row r="49" spans="7:14" x14ac:dyDescent="0.2">
      <c r="G49" s="18" t="s">
        <v>163</v>
      </c>
      <c r="J49" s="3">
        <f>H41*H42*H44</f>
        <v>9621353.626424009</v>
      </c>
    </row>
    <row r="50" spans="7:14" x14ac:dyDescent="0.2">
      <c r="G50" s="6" t="s">
        <v>164</v>
      </c>
      <c r="J50" s="93">
        <f>J49+B47</f>
        <v>9884987.1869240087</v>
      </c>
      <c r="N50" s="6"/>
    </row>
    <row r="51" spans="7:14" x14ac:dyDescent="0.2">
      <c r="H51" s="8"/>
      <c r="I51" s="8"/>
      <c r="N51" s="6"/>
    </row>
    <row r="52" spans="7:14" x14ac:dyDescent="0.2">
      <c r="G52" s="67"/>
      <c r="H52" s="8"/>
      <c r="I52" s="8"/>
      <c r="N52" s="6"/>
    </row>
    <row r="53" spans="7:14" x14ac:dyDescent="0.2">
      <c r="G53" s="19"/>
      <c r="N53" s="6"/>
    </row>
    <row r="54" spans="7:14" x14ac:dyDescent="0.2">
      <c r="G54" s="69">
        <v>9</v>
      </c>
      <c r="H54" s="89" t="s">
        <v>183</v>
      </c>
      <c r="I54" s="89"/>
      <c r="J54" s="89"/>
      <c r="K54" s="89"/>
      <c r="N54" s="6"/>
    </row>
    <row r="55" spans="7:14" x14ac:dyDescent="0.2">
      <c r="G55" s="18" t="s">
        <v>165</v>
      </c>
      <c r="N55" s="6"/>
    </row>
    <row r="56" spans="7:14" x14ac:dyDescent="0.2">
      <c r="G56" s="6" t="s">
        <v>166</v>
      </c>
      <c r="H56" s="7"/>
      <c r="I56" s="7"/>
      <c r="N56" s="6"/>
    </row>
    <row r="58" spans="7:14" x14ac:dyDescent="0.2">
      <c r="G58" s="68">
        <f>J49*1.3*1.1</f>
        <v>13758535.685786335</v>
      </c>
    </row>
    <row r="60" spans="7:14" x14ac:dyDescent="0.2">
      <c r="G60" s="88">
        <v>10</v>
      </c>
      <c r="H60" s="84" t="s">
        <v>223</v>
      </c>
      <c r="I60" s="84"/>
      <c r="J60" s="84"/>
      <c r="K60" s="84"/>
    </row>
    <row r="61" spans="7:14" ht="16" customHeight="1" x14ac:dyDescent="0.2">
      <c r="G61" s="88"/>
      <c r="H61" s="84"/>
      <c r="I61" s="84"/>
      <c r="J61" s="84"/>
      <c r="K61" s="84"/>
    </row>
    <row r="62" spans="7:14" x14ac:dyDescent="0.2">
      <c r="G62" s="88"/>
      <c r="H62" s="84"/>
      <c r="I62" s="84"/>
      <c r="J62" s="84"/>
      <c r="K62" s="84"/>
    </row>
    <row r="63" spans="7:14" x14ac:dyDescent="0.2">
      <c r="G63" s="18" t="s">
        <v>160</v>
      </c>
      <c r="H63" t="s">
        <v>217</v>
      </c>
    </row>
    <row r="64" spans="7:14" x14ac:dyDescent="0.2">
      <c r="G64" s="18" t="s">
        <v>220</v>
      </c>
      <c r="H64" s="71">
        <f>H42*1.06</f>
        <v>671649.12918374815</v>
      </c>
    </row>
    <row r="65" spans="7:9" x14ac:dyDescent="0.2">
      <c r="G65" s="18" t="s">
        <v>171</v>
      </c>
      <c r="H65" s="97">
        <v>3.8000000000000001E-7</v>
      </c>
    </row>
    <row r="66" spans="7:9" x14ac:dyDescent="0.2">
      <c r="G66" s="18" t="s">
        <v>218</v>
      </c>
      <c r="H66" s="37">
        <f>H64*H65*H44</f>
        <v>10209066.763592973</v>
      </c>
    </row>
    <row r="67" spans="7:9" x14ac:dyDescent="0.2">
      <c r="G67" s="18" t="s">
        <v>219</v>
      </c>
      <c r="H67" s="70">
        <f>H66*1.3*1.1</f>
        <v>14598965.471937954</v>
      </c>
      <c r="I67" s="8"/>
    </row>
    <row r="69" spans="7:9" x14ac:dyDescent="0.2">
      <c r="G69" s="19"/>
    </row>
  </sheetData>
  <mergeCells count="15">
    <mergeCell ref="B37:E37"/>
    <mergeCell ref="B41:E41"/>
    <mergeCell ref="B45:E45"/>
    <mergeCell ref="G47:G48"/>
    <mergeCell ref="H47:K48"/>
    <mergeCell ref="G60:G62"/>
    <mergeCell ref="H60:K62"/>
    <mergeCell ref="H38:K38"/>
    <mergeCell ref="H54:K54"/>
    <mergeCell ref="G2:G3"/>
    <mergeCell ref="H2:K3"/>
    <mergeCell ref="G28:G29"/>
    <mergeCell ref="H28:K29"/>
    <mergeCell ref="G13:G16"/>
    <mergeCell ref="H13:K16"/>
  </mergeCell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abSelected="1" zoomScale="81" zoomScaleNormal="100" workbookViewId="0">
      <selection sqref="A1:XFD1048576"/>
    </sheetView>
  </sheetViews>
  <sheetFormatPr baseColWidth="10" defaultColWidth="10.83203125" defaultRowHeight="16" x14ac:dyDescent="0.2"/>
  <cols>
    <col min="1" max="16384" width="10.83203125" style="90"/>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 Template</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Barbara Garza</cp:lastModifiedBy>
  <dcterms:created xsi:type="dcterms:W3CDTF">2024-09-03T17:44:11Z</dcterms:created>
  <dcterms:modified xsi:type="dcterms:W3CDTF">2025-05-16T20:13:35Z</dcterms:modified>
</cp:coreProperties>
</file>