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202402898892\Downloads\"/>
    </mc:Choice>
  </mc:AlternateContent>
  <xr:revisionPtr revIDLastSave="0" documentId="8_{BFF7A470-F743-441E-9B32-F8140D75FF8D}" xr6:coauthVersionLast="36" xr6:coauthVersionMax="36" xr10:uidLastSave="{00000000-0000-0000-0000-000000000000}"/>
  <bookViews>
    <workbookView xWindow="0" yWindow="0" windowWidth="21600" windowHeight="9405" activeTab="1" xr2:uid="{5BA5588D-71AD-42FB-98B5-66ED7C7AAE7F}"/>
  </bookViews>
  <sheets>
    <sheet name="Questão 1" sheetId="2" r:id="rId1"/>
    <sheet name="Questão 2" sheetId="1" r:id="rId2"/>
  </sheets>
  <definedNames>
    <definedName name="_xlnm._FilterDatabase" localSheetId="1" hidden="1">'Questão 2'!$A$1:$F$1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9" i="1" l="1"/>
  <c r="N130" i="1"/>
  <c r="N128" i="1"/>
  <c r="L130" i="1"/>
  <c r="L129" i="1"/>
  <c r="L128" i="1"/>
  <c r="J129" i="1"/>
  <c r="J130" i="1"/>
  <c r="J128" i="1"/>
  <c r="N75" i="1"/>
  <c r="N74" i="1"/>
  <c r="N73" i="1"/>
  <c r="N72" i="1"/>
  <c r="N71" i="1"/>
  <c r="J113" i="1"/>
  <c r="K107" i="1"/>
  <c r="K106" i="1"/>
  <c r="K111" i="1"/>
  <c r="K108" i="1"/>
  <c r="M95" i="1"/>
  <c r="K90" i="1"/>
  <c r="K89" i="1"/>
  <c r="K94" i="1"/>
  <c r="J96" i="1" s="1"/>
  <c r="K91" i="1"/>
  <c r="J80" i="1"/>
  <c r="J82" i="1"/>
  <c r="J81" i="1"/>
  <c r="K77" i="1"/>
  <c r="J79" i="1" s="1"/>
  <c r="K74" i="1"/>
  <c r="K73" i="1"/>
  <c r="K72" i="1"/>
  <c r="J114" i="1" l="1"/>
  <c r="J115" i="1"/>
  <c r="J97" i="1"/>
  <c r="J99" i="1" s="1"/>
  <c r="J98" i="1"/>
  <c r="J61" i="1"/>
  <c r="J60" i="1"/>
  <c r="J59" i="1"/>
  <c r="J58" i="1"/>
  <c r="K47" i="1"/>
  <c r="K43" i="1"/>
  <c r="L47" i="1"/>
  <c r="L43" i="1"/>
  <c r="L39" i="1"/>
  <c r="N28" i="1"/>
  <c r="N18" i="1"/>
  <c r="F42" i="2"/>
  <c r="E42" i="2"/>
  <c r="D42" i="2"/>
  <c r="C42" i="2"/>
  <c r="E28" i="2"/>
  <c r="E29" i="2"/>
  <c r="E27" i="2"/>
  <c r="D27" i="2"/>
  <c r="C27" i="2"/>
  <c r="C22" i="2"/>
  <c r="B12" i="2"/>
  <c r="H8" i="2"/>
  <c r="F8" i="2"/>
  <c r="D8" i="2"/>
  <c r="I54" i="1" l="1"/>
  <c r="I52" i="1"/>
  <c r="I49" i="1"/>
  <c r="K39" i="1"/>
  <c r="I34" i="1"/>
  <c r="I35" i="1"/>
  <c r="N29" i="1"/>
  <c r="N30" i="1"/>
  <c r="I33" i="1"/>
  <c r="I23" i="1"/>
  <c r="N19" i="1"/>
  <c r="I24" i="1" s="1"/>
  <c r="N20" i="1"/>
  <c r="I25" i="1" s="1"/>
  <c r="I15" i="1"/>
  <c r="I8" i="1"/>
  <c r="I9" i="1"/>
  <c r="J4" i="1"/>
  <c r="K4" i="1"/>
  <c r="I11" i="1" s="1"/>
  <c r="L4" i="1"/>
  <c r="I14" i="1" s="1"/>
  <c r="J5" i="1"/>
  <c r="K5" i="1"/>
  <c r="I12" i="1" s="1"/>
  <c r="L5" i="1"/>
  <c r="K3" i="1"/>
  <c r="I10" i="1" s="1"/>
  <c r="L3" i="1"/>
  <c r="I13" i="1" s="1"/>
  <c r="J3" i="1"/>
  <c r="I7" i="1" s="1"/>
  <c r="B53" i="2"/>
  <c r="B54" i="2"/>
  <c r="B52" i="2"/>
  <c r="B50" i="2"/>
  <c r="B51" i="2"/>
  <c r="B49" i="2"/>
  <c r="B47" i="2"/>
  <c r="B48" i="2"/>
  <c r="B46" i="2"/>
  <c r="F43" i="2"/>
  <c r="F44" i="2"/>
  <c r="E44" i="2"/>
  <c r="E43" i="2"/>
  <c r="D43" i="2"/>
  <c r="D44" i="2"/>
  <c r="C43" i="2"/>
  <c r="C44" i="2"/>
  <c r="B38" i="2"/>
  <c r="B39" i="2"/>
  <c r="B37" i="2"/>
  <c r="B35" i="2"/>
  <c r="B36" i="2"/>
  <c r="B34" i="2"/>
  <c r="B32" i="2"/>
  <c r="B33" i="2"/>
  <c r="B31" i="2"/>
  <c r="C28" i="2"/>
  <c r="D28" i="2"/>
  <c r="C29" i="2"/>
  <c r="D29" i="2"/>
  <c r="B19" i="2"/>
  <c r="B20" i="2"/>
  <c r="B18" i="2"/>
  <c r="B17" i="2"/>
  <c r="B14" i="2"/>
  <c r="H10" i="2"/>
  <c r="H9" i="2"/>
  <c r="F10" i="2"/>
  <c r="F9" i="2"/>
  <c r="B16" i="2" s="1"/>
  <c r="B15" i="2"/>
  <c r="D9" i="2"/>
  <c r="B13" i="2" s="1"/>
  <c r="D10" i="2"/>
</calcChain>
</file>

<file path=xl/sharedStrings.xml><?xml version="1.0" encoding="utf-8"?>
<sst xmlns="http://schemas.openxmlformats.org/spreadsheetml/2006/main" count="899" uniqueCount="95">
  <si>
    <t>Área</t>
  </si>
  <si>
    <t>Linguagem</t>
  </si>
  <si>
    <t>Assinatura</t>
  </si>
  <si>
    <t>Renda</t>
  </si>
  <si>
    <t>Valor</t>
  </si>
  <si>
    <t>Dados</t>
  </si>
  <si>
    <t>Python</t>
  </si>
  <si>
    <t>Gratuita</t>
  </si>
  <si>
    <t>TI</t>
  </si>
  <si>
    <t>Enterprise</t>
  </si>
  <si>
    <t>Profissional</t>
  </si>
  <si>
    <t>Engenharia</t>
  </si>
  <si>
    <t>R</t>
  </si>
  <si>
    <t>Outros</t>
  </si>
  <si>
    <t>Julia</t>
  </si>
  <si>
    <t>Idade</t>
  </si>
  <si>
    <t>Alpha</t>
  </si>
  <si>
    <t>Beta</t>
  </si>
  <si>
    <t>Gama</t>
  </si>
  <si>
    <t>EPS</t>
  </si>
  <si>
    <t>Latência</t>
  </si>
  <si>
    <t>Volume</t>
  </si>
  <si>
    <t>x</t>
  </si>
  <si>
    <t>z</t>
  </si>
  <si>
    <t>a)</t>
  </si>
  <si>
    <t>b)</t>
  </si>
  <si>
    <t>P(18 &lt; x &lt;= 25)</t>
  </si>
  <si>
    <t>A probabilidade de o volume de dados ingeridos pelo Sistema Gama ficar entre 18 TB e 25 TB é 47,4%</t>
  </si>
  <si>
    <t>c)</t>
  </si>
  <si>
    <t>d)</t>
  </si>
  <si>
    <t>Total</t>
  </si>
  <si>
    <t>Portanto, o sistema Alpha tem maior probabilidade de atender os critérios de alta performance</t>
  </si>
  <si>
    <t>Quartil</t>
  </si>
  <si>
    <t>Rótulos de Linha</t>
  </si>
  <si>
    <t>Total Geral</t>
  </si>
  <si>
    <t>Média de Valor2</t>
  </si>
  <si>
    <t>DesvPad de Valor</t>
  </si>
  <si>
    <t>P(300 &lt; x &lt;= 500)</t>
  </si>
  <si>
    <t>Média de Idade</t>
  </si>
  <si>
    <t>DesvPad de Idade</t>
  </si>
  <si>
    <t>P(x &gt; 35)</t>
  </si>
  <si>
    <t>Valores</t>
  </si>
  <si>
    <t>Média de Renda</t>
  </si>
  <si>
    <t>DesvPad de Renda</t>
  </si>
  <si>
    <t>Média de Valor</t>
  </si>
  <si>
    <t>Normal</t>
  </si>
  <si>
    <t>Percentil</t>
  </si>
  <si>
    <t>e)</t>
  </si>
  <si>
    <t>P(idade &gt; 35)</t>
  </si>
  <si>
    <t>P(renda &gt; 8000)</t>
  </si>
  <si>
    <t>P(valor &gt; 250)</t>
  </si>
  <si>
    <t>P(x &lt;= x_0) = 85%</t>
  </si>
  <si>
    <t>P(x &lt;= x_0) = 10%</t>
  </si>
  <si>
    <t>P(x &lt;= x_0) = 80%</t>
  </si>
  <si>
    <t>DesvPad de Valor2</t>
  </si>
  <si>
    <t>A probabilidade do usário nesta base ser considerado estratégico é de 9,1%.</t>
  </si>
  <si>
    <t>calcular o intervalo de confiança p a media das idades considerando 90% de confiança</t>
  </si>
  <si>
    <t>media (vulgo x/)</t>
  </si>
  <si>
    <t>desvpad da amostra(s)</t>
  </si>
  <si>
    <t>n (numero de registros ou tamanho da amostra)</t>
  </si>
  <si>
    <t>NC(nivel de confianca)</t>
  </si>
  <si>
    <t>α</t>
  </si>
  <si>
    <t>α (significancia)</t>
  </si>
  <si>
    <t>z_c</t>
  </si>
  <si>
    <t>E</t>
  </si>
  <si>
    <t>E (margem erro)</t>
  </si>
  <si>
    <t>LI(limite inferior)</t>
  </si>
  <si>
    <t>LS(limite superior)</t>
  </si>
  <si>
    <t>com 90% de confiança (ou com 10% de significancia), a idade media está entre 33,52 e 35,48 anos</t>
  </si>
  <si>
    <t>amostra</t>
  </si>
  <si>
    <t>populacao</t>
  </si>
  <si>
    <t>1 passo: faz a media da coluna pedida</t>
  </si>
  <si>
    <t>2 passo: faz o desvio padrão da coluna pedida</t>
  </si>
  <si>
    <t>3 passo: calcula o n usando cont.núm</t>
  </si>
  <si>
    <t>4 passo: Nível de confiança ou significâcia(smp alfa) vão ser dados na questão, (se dá um, o outro é oq completa ele)</t>
  </si>
  <si>
    <t>5 passo: faz o z_c que é inv.normP.N(1-significancia/2)</t>
  </si>
  <si>
    <t>6 passo: calcula E(margem de erro) que é z_c * desvpad.A / RAIZ de n</t>
  </si>
  <si>
    <t>7 passo: calcula o limite inferior que é média - E</t>
  </si>
  <si>
    <t>8 passo: calcula o limite superior que é média + E</t>
  </si>
  <si>
    <t>calcular o intervalo de confiança p a media das rendas considerando 95% de confiança</t>
  </si>
  <si>
    <t>com 95% de confiança (ou com 5% de significancia), a renda media está entre 10212,68 e 11311,90 reais</t>
  </si>
  <si>
    <t>JEITO MAIS FACIL DE CALCULAR E: int.confiança.norm(alfa; desvpad; n)</t>
  </si>
  <si>
    <t>calcular o intervalo de confiança p a media dos valores de assinatura considerando 99% de confiança</t>
  </si>
  <si>
    <t>com 99% de confiança (ou com 1% de significancia), o valor de assinatura está entre 134 e 181 reais</t>
  </si>
  <si>
    <t>distribuicao normal</t>
  </si>
  <si>
    <t>distribuicao de student</t>
  </si>
  <si>
    <t>t_c</t>
  </si>
  <si>
    <t>usar metodo de student quando o n for menor que 130, pra caso o prof peça um filtro ou algo do tipo</t>
  </si>
  <si>
    <t>calcular o intervalo de confiança da media das idades de acordo com o tipo de linguagem de preferencia</t>
  </si>
  <si>
    <t>SE NENHUM NIVEL DE CONFIANCA OU SIGNIFICANCIA, USAR 95% DE CONFIANÇA PRA 5% DE SIGNIFICANCIA</t>
  </si>
  <si>
    <t>DesvPad de Idade2</t>
  </si>
  <si>
    <t>Contagem de Idade3</t>
  </si>
  <si>
    <t>com tabela dinamica: selecionar media, desvpad e contagem(n)</t>
  </si>
  <si>
    <t>LI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</si>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</sst>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"/>
    <numFmt numFmtId="165" formatCode="0.0%"/>
    <numFmt numFmtId="166" formatCode="0.0"/>
    <numFmt numFmtId="167" formatCode="_-* #,##0_-;\-* #,##0_-;_-* &quot;-&quot;??_-;_-@_-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3" applyNumberFormat="1" applyFont="1"/>
    <xf numFmtId="166" fontId="0" fillId="0" borderId="0" xfId="0" applyNumberFormat="1"/>
    <xf numFmtId="1" fontId="0" fillId="0" borderId="0" xfId="0" applyNumberFormat="1"/>
    <xf numFmtId="167" fontId="0" fillId="0" borderId="0" xfId="1" applyNumberFormat="1" applyFont="1"/>
    <xf numFmtId="10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2" applyNumberFormat="1" applyFont="1"/>
    <xf numFmtId="0" fontId="0" fillId="0" borderId="0" xfId="0" applyAlignment="1">
      <alignment wrapText="1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16"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2" formatCode="0.00"/>
    </dxf>
    <dxf>
      <numFmt numFmtId="164" formatCode="0.000"/>
    </dxf>
    <dxf>
      <numFmt numFmtId="2" formatCode="0.00"/>
    </dxf>
    <dxf>
      <numFmt numFmtId="172" formatCode="0.0000"/>
    </dxf>
    <dxf>
      <numFmt numFmtId="171" formatCode="0.00000"/>
    </dxf>
    <dxf>
      <numFmt numFmtId="170" formatCode="0.000000"/>
    </dxf>
    <dxf>
      <numFmt numFmtId="169" formatCode="0.0000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orte" refreshedDate="45792.638688657411" createdVersion="6" refreshedVersion="6" minRefreshableVersion="3" recordCount="244" xr:uid="{623A78B2-C58B-47D1-9815-5F145894188C}">
  <cacheSource type="worksheet">
    <worksheetSource ref="A1:F245" sheet="Questão 2"/>
  </cacheSource>
  <cacheFields count="6">
    <cacheField name="Área" numFmtId="0">
      <sharedItems/>
    </cacheField>
    <cacheField name="Linguagem" numFmtId="0">
      <sharedItems count="3">
        <s v="R"/>
        <s v="Python"/>
        <s v="Julia"/>
      </sharedItems>
    </cacheField>
    <cacheField name="Assinatura" numFmtId="0">
      <sharedItems count="3">
        <s v="Gratuita"/>
        <s v="Profissional"/>
        <s v="Enterprise"/>
      </sharedItems>
    </cacheField>
    <cacheField name="Idade" numFmtId="0">
      <sharedItems containsSemiMixedTypes="0" containsString="0" containsNumber="1" containsInteger="1" minValue="18" maxValue="58"/>
    </cacheField>
    <cacheField name="Renda" numFmtId="0">
      <sharedItems containsSemiMixedTypes="0" containsString="0" containsNumber="1" containsInteger="1" minValue="2000" maxValue="20200" count="120">
        <n v="4200"/>
        <n v="9900"/>
        <n v="8000"/>
        <n v="6700"/>
        <n v="7800"/>
        <n v="5000"/>
        <n v="13600"/>
        <n v="14000"/>
        <n v="11900"/>
        <n v="7000"/>
        <n v="5600"/>
        <n v="2900"/>
        <n v="4900"/>
        <n v="4600"/>
        <n v="15500"/>
        <n v="12600"/>
        <n v="10900"/>
        <n v="6000"/>
        <n v="17000"/>
        <n v="10500"/>
        <n v="8400"/>
        <n v="18600"/>
        <n v="8600"/>
        <n v="9600"/>
        <n v="4000"/>
        <n v="11500"/>
        <n v="6500"/>
        <n v="11000"/>
        <n v="10700"/>
        <n v="17600"/>
        <n v="7300"/>
        <n v="5900"/>
        <n v="8700"/>
        <n v="10200"/>
        <n v="6400"/>
        <n v="10100"/>
        <n v="6100"/>
        <n v="13800"/>
        <n v="17300"/>
        <n v="17200"/>
        <n v="7500"/>
        <n v="13200"/>
        <n v="8500"/>
        <n v="19200"/>
        <n v="10400"/>
        <n v="15900"/>
        <n v="5800"/>
        <n v="13000"/>
        <n v="16800"/>
        <n v="13900"/>
        <n v="5500"/>
        <n v="15200"/>
        <n v="7400"/>
        <n v="5300"/>
        <n v="15700"/>
        <n v="18800"/>
        <n v="9800"/>
        <n v="13400"/>
        <n v="13500"/>
        <n v="10000"/>
        <n v="12700"/>
        <n v="15800"/>
        <n v="4800"/>
        <n v="7900"/>
        <n v="8100"/>
        <n v="3700"/>
        <n v="9500"/>
        <n v="11200"/>
        <n v="14500"/>
        <n v="14600"/>
        <n v="16200"/>
        <n v="12000"/>
        <n v="12800"/>
        <n v="13700"/>
        <n v="17400"/>
        <n v="8300"/>
        <n v="15300"/>
        <n v="8200"/>
        <n v="19000"/>
        <n v="11600"/>
        <n v="16000"/>
        <n v="20200"/>
        <n v="12100"/>
        <n v="19300"/>
        <n v="18900"/>
        <n v="4500"/>
        <n v="7200"/>
        <n v="7100"/>
        <n v="17900"/>
        <n v="13300"/>
        <n v="2800"/>
        <n v="14800"/>
        <n v="3500"/>
        <n v="2400"/>
        <n v="14200"/>
        <n v="2000"/>
        <n v="9200"/>
        <n v="14900"/>
        <n v="16700"/>
        <n v="16500"/>
        <n v="10800"/>
        <n v="15600"/>
        <n v="15400"/>
        <n v="6900"/>
        <n v="16300"/>
        <n v="15000"/>
        <n v="12400"/>
        <n v="8800"/>
        <n v="18000"/>
        <n v="4700"/>
        <n v="11700"/>
        <n v="9100"/>
        <n v="7600"/>
        <n v="17500"/>
        <n v="3300"/>
        <n v="10600"/>
        <n v="9400"/>
        <n v="18300"/>
        <n v="11300"/>
        <n v="3200"/>
      </sharedItems>
    </cacheField>
    <cacheField name="Valor" numFmtId="0">
      <sharedItems containsSemiMixedTypes="0" containsString="0" containsNumber="1" containsInteger="1" minValue="0" maxValue="5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s v="Dados"/>
    <x v="0"/>
    <x v="0"/>
    <n v="28"/>
    <x v="0"/>
    <n v="50"/>
  </r>
  <r>
    <s v="TI"/>
    <x v="1"/>
    <x v="0"/>
    <n v="37"/>
    <x v="1"/>
    <n v="0"/>
  </r>
  <r>
    <s v="Dados"/>
    <x v="0"/>
    <x v="0"/>
    <n v="47"/>
    <x v="2"/>
    <n v="0"/>
  </r>
  <r>
    <s v="Dados"/>
    <x v="1"/>
    <x v="0"/>
    <n v="22"/>
    <x v="3"/>
    <n v="35"/>
  </r>
  <r>
    <s v="Dados"/>
    <x v="1"/>
    <x v="0"/>
    <n v="25"/>
    <x v="4"/>
    <n v="40"/>
  </r>
  <r>
    <s v="Dados"/>
    <x v="1"/>
    <x v="1"/>
    <n v="23"/>
    <x v="5"/>
    <n v="120"/>
  </r>
  <r>
    <s v="TI"/>
    <x v="2"/>
    <x v="2"/>
    <n v="39"/>
    <x v="6"/>
    <n v="360"/>
  </r>
  <r>
    <s v="Engenharia"/>
    <x v="2"/>
    <x v="1"/>
    <n v="43"/>
    <x v="7"/>
    <n v="210"/>
  </r>
  <r>
    <s v="Outros"/>
    <x v="2"/>
    <x v="2"/>
    <n v="41"/>
    <x v="8"/>
    <n v="180"/>
  </r>
  <r>
    <s v="Dados"/>
    <x v="1"/>
    <x v="0"/>
    <n v="38"/>
    <x v="9"/>
    <n v="50"/>
  </r>
  <r>
    <s v="Dados"/>
    <x v="1"/>
    <x v="0"/>
    <n v="26"/>
    <x v="10"/>
    <n v="60"/>
  </r>
  <r>
    <s v="Dados"/>
    <x v="1"/>
    <x v="1"/>
    <n v="19"/>
    <x v="11"/>
    <n v="10"/>
  </r>
  <r>
    <s v="Dados"/>
    <x v="1"/>
    <x v="0"/>
    <n v="31"/>
    <x v="12"/>
    <n v="25"/>
  </r>
  <r>
    <s v="Dados"/>
    <x v="1"/>
    <x v="1"/>
    <n v="20"/>
    <x v="13"/>
    <n v="100"/>
  </r>
  <r>
    <s v="Engenharia"/>
    <x v="0"/>
    <x v="0"/>
    <n v="30"/>
    <x v="14"/>
    <n v="0"/>
  </r>
  <r>
    <s v="TI"/>
    <x v="1"/>
    <x v="1"/>
    <n v="36"/>
    <x v="15"/>
    <n v="170"/>
  </r>
  <r>
    <s v="Outros"/>
    <x v="0"/>
    <x v="1"/>
    <n v="36"/>
    <x v="16"/>
    <n v="160"/>
  </r>
  <r>
    <s v="Dados"/>
    <x v="1"/>
    <x v="0"/>
    <n v="33"/>
    <x v="17"/>
    <n v="25"/>
  </r>
  <r>
    <s v="Engenharia"/>
    <x v="2"/>
    <x v="2"/>
    <n v="43"/>
    <x v="18"/>
    <n v="200"/>
  </r>
  <r>
    <s v="Dados"/>
    <x v="1"/>
    <x v="0"/>
    <n v="26"/>
    <x v="19"/>
    <n v="35"/>
  </r>
  <r>
    <s v="Dados"/>
    <x v="1"/>
    <x v="0"/>
    <n v="38"/>
    <x v="20"/>
    <n v="10"/>
  </r>
  <r>
    <s v="Engenharia"/>
    <x v="0"/>
    <x v="1"/>
    <n v="37"/>
    <x v="21"/>
    <n v="190"/>
  </r>
  <r>
    <s v="Dados"/>
    <x v="1"/>
    <x v="0"/>
    <n v="34"/>
    <x v="22"/>
    <n v="0"/>
  </r>
  <r>
    <s v="Dados"/>
    <x v="1"/>
    <x v="0"/>
    <n v="22"/>
    <x v="23"/>
    <n v="0"/>
  </r>
  <r>
    <s v="Outros"/>
    <x v="0"/>
    <x v="0"/>
    <n v="47"/>
    <x v="24"/>
    <n v="30"/>
  </r>
  <r>
    <s v="Dados"/>
    <x v="1"/>
    <x v="2"/>
    <n v="31"/>
    <x v="25"/>
    <n v="190"/>
  </r>
  <r>
    <s v="TI"/>
    <x v="1"/>
    <x v="1"/>
    <n v="22"/>
    <x v="26"/>
    <n v="160"/>
  </r>
  <r>
    <s v="TI"/>
    <x v="1"/>
    <x v="0"/>
    <n v="35"/>
    <x v="27"/>
    <n v="40"/>
  </r>
  <r>
    <s v="Dados"/>
    <x v="1"/>
    <x v="1"/>
    <n v="28"/>
    <x v="28"/>
    <n v="130"/>
  </r>
  <r>
    <s v="Engenharia"/>
    <x v="2"/>
    <x v="1"/>
    <n v="58"/>
    <x v="29"/>
    <n v="110"/>
  </r>
  <r>
    <s v="Dados"/>
    <x v="1"/>
    <x v="0"/>
    <n v="32"/>
    <x v="30"/>
    <n v="45"/>
  </r>
  <r>
    <s v="Dados"/>
    <x v="0"/>
    <x v="0"/>
    <n v="45"/>
    <x v="5"/>
    <n v="125"/>
  </r>
  <r>
    <s v="TI"/>
    <x v="1"/>
    <x v="1"/>
    <n v="22"/>
    <x v="31"/>
    <n v="145"/>
  </r>
  <r>
    <s v="Dados"/>
    <x v="1"/>
    <x v="0"/>
    <n v="24"/>
    <x v="32"/>
    <n v="40"/>
  </r>
  <r>
    <s v="Dados"/>
    <x v="1"/>
    <x v="2"/>
    <n v="31"/>
    <x v="33"/>
    <n v="240"/>
  </r>
  <r>
    <s v="Outros"/>
    <x v="0"/>
    <x v="1"/>
    <n v="47"/>
    <x v="34"/>
    <n v="310"/>
  </r>
  <r>
    <s v="Dados"/>
    <x v="1"/>
    <x v="0"/>
    <n v="28"/>
    <x v="35"/>
    <n v="25"/>
  </r>
  <r>
    <s v="Outros"/>
    <x v="0"/>
    <x v="1"/>
    <n v="39"/>
    <x v="19"/>
    <n v="300"/>
  </r>
  <r>
    <s v="Dados"/>
    <x v="1"/>
    <x v="0"/>
    <n v="28"/>
    <x v="36"/>
    <n v="20"/>
  </r>
  <r>
    <s v="TI"/>
    <x v="2"/>
    <x v="1"/>
    <n v="46"/>
    <x v="37"/>
    <n v="210"/>
  </r>
  <r>
    <s v="Outros"/>
    <x v="0"/>
    <x v="1"/>
    <n v="39"/>
    <x v="38"/>
    <n v="250"/>
  </r>
  <r>
    <s v="Outros"/>
    <x v="0"/>
    <x v="1"/>
    <n v="30"/>
    <x v="39"/>
    <n v="200"/>
  </r>
  <r>
    <s v="Dados"/>
    <x v="1"/>
    <x v="1"/>
    <n v="32"/>
    <x v="40"/>
    <n v="130"/>
  </r>
  <r>
    <s v="Engenharia"/>
    <x v="2"/>
    <x v="0"/>
    <n v="48"/>
    <x v="41"/>
    <n v="75"/>
  </r>
  <r>
    <s v="Outros"/>
    <x v="0"/>
    <x v="1"/>
    <n v="43"/>
    <x v="42"/>
    <n v="200"/>
  </r>
  <r>
    <s v="TI"/>
    <x v="0"/>
    <x v="0"/>
    <n v="34"/>
    <x v="32"/>
    <n v="55"/>
  </r>
  <r>
    <s v="Engenharia"/>
    <x v="2"/>
    <x v="2"/>
    <n v="44"/>
    <x v="43"/>
    <n v="500"/>
  </r>
  <r>
    <s v="TI"/>
    <x v="0"/>
    <x v="0"/>
    <n v="36"/>
    <x v="44"/>
    <n v="0"/>
  </r>
  <r>
    <s v="Engenharia"/>
    <x v="2"/>
    <x v="2"/>
    <n v="51"/>
    <x v="45"/>
    <n v="430"/>
  </r>
  <r>
    <s v="Dados"/>
    <x v="1"/>
    <x v="1"/>
    <n v="21"/>
    <x v="46"/>
    <n v="170"/>
  </r>
  <r>
    <s v="Outros"/>
    <x v="0"/>
    <x v="2"/>
    <n v="33"/>
    <x v="47"/>
    <n v="500"/>
  </r>
  <r>
    <s v="Engenharia"/>
    <x v="2"/>
    <x v="2"/>
    <n v="50"/>
    <x v="7"/>
    <n v="400"/>
  </r>
  <r>
    <s v="Outros"/>
    <x v="2"/>
    <x v="2"/>
    <n v="51"/>
    <x v="48"/>
    <n v="315"/>
  </r>
  <r>
    <s v="Engenharia"/>
    <x v="1"/>
    <x v="0"/>
    <n v="24"/>
    <x v="49"/>
    <n v="50"/>
  </r>
  <r>
    <s v="TI"/>
    <x v="1"/>
    <x v="0"/>
    <n v="22"/>
    <x v="23"/>
    <n v="25"/>
  </r>
  <r>
    <s v="Outros"/>
    <x v="0"/>
    <x v="1"/>
    <n v="28"/>
    <x v="23"/>
    <n v="150"/>
  </r>
  <r>
    <s v="Outros"/>
    <x v="0"/>
    <x v="1"/>
    <n v="47"/>
    <x v="2"/>
    <n v="200"/>
  </r>
  <r>
    <s v="Outros"/>
    <x v="0"/>
    <x v="2"/>
    <n v="44"/>
    <x v="39"/>
    <n v="270"/>
  </r>
  <r>
    <s v="Dados"/>
    <x v="1"/>
    <x v="1"/>
    <n v="32"/>
    <x v="50"/>
    <n v="130"/>
  </r>
  <r>
    <s v="TI"/>
    <x v="1"/>
    <x v="2"/>
    <n v="31"/>
    <x v="51"/>
    <n v="385"/>
  </r>
  <r>
    <s v="Dados"/>
    <x v="1"/>
    <x v="0"/>
    <n v="32"/>
    <x v="5"/>
    <n v="65"/>
  </r>
  <r>
    <s v="Dados"/>
    <x v="1"/>
    <x v="0"/>
    <n v="28"/>
    <x v="52"/>
    <n v="50"/>
  </r>
  <r>
    <s v="Dados"/>
    <x v="1"/>
    <x v="1"/>
    <n v="23"/>
    <x v="31"/>
    <n v="165"/>
  </r>
  <r>
    <s v="Outros"/>
    <x v="0"/>
    <x v="1"/>
    <n v="42"/>
    <x v="28"/>
    <n v="190"/>
  </r>
  <r>
    <s v="Dados"/>
    <x v="1"/>
    <x v="0"/>
    <n v="36"/>
    <x v="53"/>
    <n v="35"/>
  </r>
  <r>
    <s v="Outros"/>
    <x v="0"/>
    <x v="0"/>
    <n v="29"/>
    <x v="54"/>
    <n v="45"/>
  </r>
  <r>
    <s v="Outros"/>
    <x v="0"/>
    <x v="1"/>
    <n v="40"/>
    <x v="55"/>
    <n v="180"/>
  </r>
  <r>
    <s v="Dados"/>
    <x v="1"/>
    <x v="0"/>
    <n v="34"/>
    <x v="56"/>
    <n v="0"/>
  </r>
  <r>
    <s v="Engenharia"/>
    <x v="1"/>
    <x v="0"/>
    <n v="28"/>
    <x v="57"/>
    <n v="40"/>
  </r>
  <r>
    <s v="Outros"/>
    <x v="0"/>
    <x v="1"/>
    <n v="29"/>
    <x v="18"/>
    <n v="160"/>
  </r>
  <r>
    <s v="Dados"/>
    <x v="1"/>
    <x v="0"/>
    <n v="37"/>
    <x v="22"/>
    <n v="60"/>
  </r>
  <r>
    <s v="TI"/>
    <x v="1"/>
    <x v="2"/>
    <n v="31"/>
    <x v="58"/>
    <n v="320"/>
  </r>
  <r>
    <s v="Dados"/>
    <x v="1"/>
    <x v="0"/>
    <n v="36"/>
    <x v="59"/>
    <n v="0"/>
  </r>
  <r>
    <s v="Outros"/>
    <x v="0"/>
    <x v="1"/>
    <n v="36"/>
    <x v="35"/>
    <n v="120"/>
  </r>
  <r>
    <s v="Outros"/>
    <x v="0"/>
    <x v="1"/>
    <n v="34"/>
    <x v="27"/>
    <n v="150"/>
  </r>
  <r>
    <s v="Dados"/>
    <x v="1"/>
    <x v="2"/>
    <n v="28"/>
    <x v="4"/>
    <n v="325"/>
  </r>
  <r>
    <s v="Outros"/>
    <x v="0"/>
    <x v="1"/>
    <n v="47"/>
    <x v="60"/>
    <n v="230"/>
  </r>
  <r>
    <s v="Engenharia"/>
    <x v="0"/>
    <x v="1"/>
    <n v="38"/>
    <x v="61"/>
    <n v="160"/>
  </r>
  <r>
    <s v="Engenharia"/>
    <x v="1"/>
    <x v="1"/>
    <n v="22"/>
    <x v="4"/>
    <n v="220"/>
  </r>
  <r>
    <s v="Dados"/>
    <x v="1"/>
    <x v="0"/>
    <n v="19"/>
    <x v="62"/>
    <n v="20"/>
  </r>
  <r>
    <s v="Outros"/>
    <x v="2"/>
    <x v="2"/>
    <n v="41"/>
    <x v="57"/>
    <n v="330"/>
  </r>
  <r>
    <s v="Outros"/>
    <x v="0"/>
    <x v="1"/>
    <n v="33"/>
    <x v="63"/>
    <n v="130"/>
  </r>
  <r>
    <s v="TI"/>
    <x v="1"/>
    <x v="0"/>
    <n v="22"/>
    <x v="62"/>
    <n v="0"/>
  </r>
  <r>
    <s v="Dados"/>
    <x v="1"/>
    <x v="0"/>
    <n v="31"/>
    <x v="42"/>
    <n v="0"/>
  </r>
  <r>
    <s v="TI"/>
    <x v="1"/>
    <x v="1"/>
    <n v="31"/>
    <x v="7"/>
    <n v="170"/>
  </r>
  <r>
    <s v="TI"/>
    <x v="0"/>
    <x v="1"/>
    <n v="44"/>
    <x v="47"/>
    <n v="180"/>
  </r>
  <r>
    <s v="Outros"/>
    <x v="0"/>
    <x v="0"/>
    <n v="41"/>
    <x v="22"/>
    <n v="70"/>
  </r>
  <r>
    <s v="Dados"/>
    <x v="0"/>
    <x v="0"/>
    <n v="44"/>
    <x v="35"/>
    <n v="80"/>
  </r>
  <r>
    <s v="Engenharia"/>
    <x v="2"/>
    <x v="1"/>
    <n v="47"/>
    <x v="29"/>
    <n v="260"/>
  </r>
  <r>
    <s v="Outros"/>
    <x v="0"/>
    <x v="0"/>
    <n v="40"/>
    <x v="34"/>
    <n v="105"/>
  </r>
  <r>
    <s v="Dados"/>
    <x v="0"/>
    <x v="0"/>
    <n v="44"/>
    <x v="64"/>
    <n v="105"/>
  </r>
  <r>
    <s v="Dados"/>
    <x v="1"/>
    <x v="0"/>
    <n v="21"/>
    <x v="65"/>
    <n v="0"/>
  </r>
  <r>
    <s v="Dados"/>
    <x v="1"/>
    <x v="1"/>
    <n v="38"/>
    <x v="66"/>
    <n v="200"/>
  </r>
  <r>
    <s v="TI"/>
    <x v="1"/>
    <x v="1"/>
    <n v="28"/>
    <x v="67"/>
    <n v="180"/>
  </r>
  <r>
    <s v="Engenharia"/>
    <x v="2"/>
    <x v="2"/>
    <n v="41"/>
    <x v="68"/>
    <n v="515"/>
  </r>
  <r>
    <s v="Engenharia"/>
    <x v="1"/>
    <x v="0"/>
    <n v="32"/>
    <x v="69"/>
    <n v="60"/>
  </r>
  <r>
    <s v="Outros"/>
    <x v="0"/>
    <x v="1"/>
    <n v="47"/>
    <x v="70"/>
    <n v="200"/>
  </r>
  <r>
    <s v="TI"/>
    <x v="1"/>
    <x v="1"/>
    <n v="28"/>
    <x v="67"/>
    <n v="140"/>
  </r>
  <r>
    <s v="Dados"/>
    <x v="2"/>
    <x v="2"/>
    <n v="38"/>
    <x v="71"/>
    <n v="250"/>
  </r>
  <r>
    <s v="Dados"/>
    <x v="1"/>
    <x v="1"/>
    <n v="33"/>
    <x v="20"/>
    <n v="130"/>
  </r>
  <r>
    <s v="Outros"/>
    <x v="0"/>
    <x v="0"/>
    <n v="44"/>
    <x v="72"/>
    <n v="80"/>
  </r>
  <r>
    <s v="Outros"/>
    <x v="2"/>
    <x v="0"/>
    <n v="45"/>
    <x v="52"/>
    <n v="70"/>
  </r>
  <r>
    <s v="TI"/>
    <x v="1"/>
    <x v="2"/>
    <n v="27"/>
    <x v="73"/>
    <n v="495"/>
  </r>
  <r>
    <s v="Dados"/>
    <x v="1"/>
    <x v="0"/>
    <n v="24"/>
    <x v="4"/>
    <n v="0"/>
  </r>
  <r>
    <s v="Dados"/>
    <x v="0"/>
    <x v="1"/>
    <n v="36"/>
    <x v="32"/>
    <n v="120"/>
  </r>
  <r>
    <s v="Engenharia"/>
    <x v="1"/>
    <x v="0"/>
    <n v="22"/>
    <x v="26"/>
    <n v="25"/>
  </r>
  <r>
    <s v="Engenharia"/>
    <x v="2"/>
    <x v="1"/>
    <n v="58"/>
    <x v="74"/>
    <n v="280"/>
  </r>
  <r>
    <s v="Dados"/>
    <x v="1"/>
    <x v="2"/>
    <n v="35"/>
    <x v="75"/>
    <n v="415"/>
  </r>
  <r>
    <s v="Dados"/>
    <x v="0"/>
    <x v="1"/>
    <n v="28"/>
    <x v="44"/>
    <n v="200"/>
  </r>
  <r>
    <s v="Dados"/>
    <x v="1"/>
    <x v="0"/>
    <n v="23"/>
    <x v="26"/>
    <n v="0"/>
  </r>
  <r>
    <s v="Outros"/>
    <x v="2"/>
    <x v="1"/>
    <n v="42"/>
    <x v="37"/>
    <n v="100"/>
  </r>
  <r>
    <s v="Dados"/>
    <x v="2"/>
    <x v="2"/>
    <n v="34"/>
    <x v="19"/>
    <n v="140"/>
  </r>
  <r>
    <s v="Dados"/>
    <x v="0"/>
    <x v="1"/>
    <n v="47"/>
    <x v="33"/>
    <n v="240"/>
  </r>
  <r>
    <s v="TI"/>
    <x v="2"/>
    <x v="2"/>
    <n v="38"/>
    <x v="68"/>
    <n v="390"/>
  </r>
  <r>
    <s v="Outros"/>
    <x v="0"/>
    <x v="1"/>
    <n v="42"/>
    <x v="8"/>
    <n v="420"/>
  </r>
  <r>
    <s v="Engenharia"/>
    <x v="2"/>
    <x v="2"/>
    <n v="35"/>
    <x v="18"/>
    <n v="90"/>
  </r>
  <r>
    <s v="Outros"/>
    <x v="0"/>
    <x v="1"/>
    <n v="32"/>
    <x v="76"/>
    <n v="190"/>
  </r>
  <r>
    <s v="Dados"/>
    <x v="0"/>
    <x v="0"/>
    <n v="39"/>
    <x v="77"/>
    <n v="90"/>
  </r>
  <r>
    <s v="Outros"/>
    <x v="2"/>
    <x v="1"/>
    <n v="36"/>
    <x v="61"/>
    <n v="150"/>
  </r>
  <r>
    <s v="Dados"/>
    <x v="1"/>
    <x v="1"/>
    <n v="33"/>
    <x v="44"/>
    <n v="190"/>
  </r>
  <r>
    <s v="Engenharia"/>
    <x v="2"/>
    <x v="2"/>
    <n v="58"/>
    <x v="78"/>
    <n v="120"/>
  </r>
  <r>
    <s v="Dados"/>
    <x v="1"/>
    <x v="0"/>
    <n v="35"/>
    <x v="17"/>
    <n v="35"/>
  </r>
  <r>
    <s v="Outros"/>
    <x v="0"/>
    <x v="1"/>
    <n v="36"/>
    <x v="79"/>
    <n v="150"/>
  </r>
  <r>
    <s v="Outros"/>
    <x v="0"/>
    <x v="1"/>
    <n v="29"/>
    <x v="80"/>
    <n v="190"/>
  </r>
  <r>
    <s v="Engenharia"/>
    <x v="2"/>
    <x v="2"/>
    <n v="43"/>
    <x v="81"/>
    <n v="140"/>
  </r>
  <r>
    <s v="Outros"/>
    <x v="0"/>
    <x v="2"/>
    <n v="46"/>
    <x v="23"/>
    <n v="260"/>
  </r>
  <r>
    <s v="TI"/>
    <x v="1"/>
    <x v="0"/>
    <n v="25"/>
    <x v="19"/>
    <n v="0"/>
  </r>
  <r>
    <s v="Engenharia"/>
    <x v="2"/>
    <x v="2"/>
    <n v="43"/>
    <x v="39"/>
    <n v="590"/>
  </r>
  <r>
    <s v="Outros"/>
    <x v="0"/>
    <x v="1"/>
    <n v="42"/>
    <x v="82"/>
    <n v="240"/>
  </r>
  <r>
    <s v="Engenharia"/>
    <x v="2"/>
    <x v="2"/>
    <n v="47"/>
    <x v="83"/>
    <n v="550"/>
  </r>
  <r>
    <s v="Dados"/>
    <x v="0"/>
    <x v="1"/>
    <n v="43"/>
    <x v="44"/>
    <n v="220"/>
  </r>
  <r>
    <s v="Dados"/>
    <x v="1"/>
    <x v="0"/>
    <n v="32"/>
    <x v="22"/>
    <n v="50"/>
  </r>
  <r>
    <s v="Dados"/>
    <x v="1"/>
    <x v="0"/>
    <n v="28"/>
    <x v="17"/>
    <n v="20"/>
  </r>
  <r>
    <s v="Dados"/>
    <x v="1"/>
    <x v="1"/>
    <n v="36"/>
    <x v="40"/>
    <n v="130"/>
  </r>
  <r>
    <s v="Outros"/>
    <x v="0"/>
    <x v="0"/>
    <n v="38"/>
    <x v="18"/>
    <n v="45"/>
  </r>
  <r>
    <s v="TI"/>
    <x v="2"/>
    <x v="2"/>
    <n v="46"/>
    <x v="47"/>
    <n v="100"/>
  </r>
  <r>
    <s v="Engenharia"/>
    <x v="2"/>
    <x v="2"/>
    <n v="54"/>
    <x v="84"/>
    <n v="275"/>
  </r>
  <r>
    <s v="Dados"/>
    <x v="1"/>
    <x v="0"/>
    <n v="24"/>
    <x v="85"/>
    <n v="75"/>
  </r>
  <r>
    <s v="Dados"/>
    <x v="1"/>
    <x v="0"/>
    <n v="26"/>
    <x v="0"/>
    <n v="30"/>
  </r>
  <r>
    <s v="Outros"/>
    <x v="0"/>
    <x v="1"/>
    <n v="42"/>
    <x v="55"/>
    <n v="290"/>
  </r>
  <r>
    <s v="Outros"/>
    <x v="0"/>
    <x v="1"/>
    <n v="33"/>
    <x v="61"/>
    <n v="180"/>
  </r>
  <r>
    <s v="Dados"/>
    <x v="1"/>
    <x v="0"/>
    <n v="23"/>
    <x v="86"/>
    <n v="30"/>
  </r>
  <r>
    <s v="Dados"/>
    <x v="1"/>
    <x v="0"/>
    <n v="22"/>
    <x v="87"/>
    <n v="30"/>
  </r>
  <r>
    <s v="Engenharia"/>
    <x v="2"/>
    <x v="1"/>
    <n v="48"/>
    <x v="88"/>
    <n v="260"/>
  </r>
  <r>
    <s v="Outros"/>
    <x v="0"/>
    <x v="1"/>
    <n v="41"/>
    <x v="67"/>
    <n v="180"/>
  </r>
  <r>
    <s v="Dados"/>
    <x v="1"/>
    <x v="0"/>
    <n v="26"/>
    <x v="42"/>
    <n v="50"/>
  </r>
  <r>
    <s v="TI"/>
    <x v="2"/>
    <x v="2"/>
    <n v="45"/>
    <x v="47"/>
    <n v="200"/>
  </r>
  <r>
    <s v="TI"/>
    <x v="1"/>
    <x v="1"/>
    <n v="28"/>
    <x v="79"/>
    <n v="170"/>
  </r>
  <r>
    <s v="TI"/>
    <x v="2"/>
    <x v="2"/>
    <n v="57"/>
    <x v="89"/>
    <n v="390"/>
  </r>
  <r>
    <s v="TI"/>
    <x v="1"/>
    <x v="0"/>
    <n v="18"/>
    <x v="90"/>
    <n v="30"/>
  </r>
  <r>
    <s v="Outros"/>
    <x v="0"/>
    <x v="1"/>
    <n v="37"/>
    <x v="39"/>
    <n v="170"/>
  </r>
  <r>
    <s v="Engenharia"/>
    <x v="0"/>
    <x v="1"/>
    <n v="32"/>
    <x v="91"/>
    <n v="10"/>
  </r>
  <r>
    <s v="Outros"/>
    <x v="0"/>
    <x v="1"/>
    <n v="31"/>
    <x v="30"/>
    <n v="140"/>
  </r>
  <r>
    <s v="Dados"/>
    <x v="1"/>
    <x v="1"/>
    <n v="18"/>
    <x v="92"/>
    <n v="20"/>
  </r>
  <r>
    <s v="TI"/>
    <x v="1"/>
    <x v="2"/>
    <n v="19"/>
    <x v="93"/>
    <n v="10"/>
  </r>
  <r>
    <s v="Outros"/>
    <x v="0"/>
    <x v="1"/>
    <n v="32"/>
    <x v="60"/>
    <n v="220"/>
  </r>
  <r>
    <s v="Dados"/>
    <x v="0"/>
    <x v="1"/>
    <n v="40"/>
    <x v="1"/>
    <n v="160"/>
  </r>
  <r>
    <s v="Dados"/>
    <x v="1"/>
    <x v="1"/>
    <n v="36"/>
    <x v="40"/>
    <n v="190"/>
  </r>
  <r>
    <s v="Dados"/>
    <x v="1"/>
    <x v="0"/>
    <n v="37"/>
    <x v="12"/>
    <n v="0"/>
  </r>
  <r>
    <s v="Outros"/>
    <x v="0"/>
    <x v="2"/>
    <n v="38"/>
    <x v="49"/>
    <n v="505"/>
  </r>
  <r>
    <s v="Engenharia"/>
    <x v="2"/>
    <x v="2"/>
    <n v="49"/>
    <x v="48"/>
    <n v="420"/>
  </r>
  <r>
    <s v="Dados"/>
    <x v="1"/>
    <x v="0"/>
    <n v="35"/>
    <x v="65"/>
    <n v="30"/>
  </r>
  <r>
    <s v="TI"/>
    <x v="1"/>
    <x v="0"/>
    <n v="18"/>
    <x v="65"/>
    <n v="0"/>
  </r>
  <r>
    <s v="Outros"/>
    <x v="0"/>
    <x v="1"/>
    <n v="33"/>
    <x v="2"/>
    <n v="210"/>
  </r>
  <r>
    <s v="TI"/>
    <x v="2"/>
    <x v="1"/>
    <n v="33"/>
    <x v="79"/>
    <n v="210"/>
  </r>
  <r>
    <s v="Engenharia"/>
    <x v="2"/>
    <x v="2"/>
    <n v="37"/>
    <x v="94"/>
    <n v="410"/>
  </r>
  <r>
    <s v="Dados"/>
    <x v="1"/>
    <x v="0"/>
    <n v="18"/>
    <x v="95"/>
    <n v="0"/>
  </r>
  <r>
    <s v="Dados"/>
    <x v="1"/>
    <x v="1"/>
    <n v="36"/>
    <x v="34"/>
    <n v="200"/>
  </r>
  <r>
    <s v="Outros"/>
    <x v="2"/>
    <x v="2"/>
    <n v="53"/>
    <x v="29"/>
    <n v="300"/>
  </r>
  <r>
    <s v="Dados"/>
    <x v="1"/>
    <x v="0"/>
    <n v="31"/>
    <x v="31"/>
    <n v="5"/>
  </r>
  <r>
    <s v="Dados"/>
    <x v="1"/>
    <x v="0"/>
    <n v="24"/>
    <x v="86"/>
    <n v="20"/>
  </r>
  <r>
    <s v="Dados"/>
    <x v="1"/>
    <x v="0"/>
    <n v="19"/>
    <x v="12"/>
    <n v="35"/>
  </r>
  <r>
    <s v="TI"/>
    <x v="1"/>
    <x v="0"/>
    <n v="23"/>
    <x v="0"/>
    <n v="0"/>
  </r>
  <r>
    <s v="TI"/>
    <x v="0"/>
    <x v="2"/>
    <n v="31"/>
    <x v="91"/>
    <n v="300"/>
  </r>
  <r>
    <s v="Dados"/>
    <x v="1"/>
    <x v="2"/>
    <n v="24"/>
    <x v="47"/>
    <n v="560"/>
  </r>
  <r>
    <s v="Dados"/>
    <x v="0"/>
    <x v="2"/>
    <n v="38"/>
    <x v="15"/>
    <n v="390"/>
  </r>
  <r>
    <s v="Dados"/>
    <x v="0"/>
    <x v="1"/>
    <n v="34"/>
    <x v="96"/>
    <n v="190"/>
  </r>
  <r>
    <s v="Dados"/>
    <x v="1"/>
    <x v="2"/>
    <n v="29"/>
    <x v="35"/>
    <n v="570"/>
  </r>
  <r>
    <s v="Dados"/>
    <x v="1"/>
    <x v="0"/>
    <n v="38"/>
    <x v="62"/>
    <n v="0"/>
  </r>
  <r>
    <s v="Dados"/>
    <x v="0"/>
    <x v="1"/>
    <n v="31"/>
    <x v="52"/>
    <n v="190"/>
  </r>
  <r>
    <s v="Outros"/>
    <x v="0"/>
    <x v="1"/>
    <n v="37"/>
    <x v="97"/>
    <n v="180"/>
  </r>
  <r>
    <s v="Outros"/>
    <x v="0"/>
    <x v="1"/>
    <n v="39"/>
    <x v="98"/>
    <n v="220"/>
  </r>
  <r>
    <s v="Outros"/>
    <x v="0"/>
    <x v="0"/>
    <n v="34"/>
    <x v="99"/>
    <n v="70"/>
  </r>
  <r>
    <s v="TI"/>
    <x v="1"/>
    <x v="0"/>
    <n v="23"/>
    <x v="100"/>
    <n v="35"/>
  </r>
  <r>
    <s v="Dados"/>
    <x v="1"/>
    <x v="0"/>
    <n v="22"/>
    <x v="50"/>
    <n v="25"/>
  </r>
  <r>
    <s v="Outros"/>
    <x v="0"/>
    <x v="0"/>
    <n v="39"/>
    <x v="101"/>
    <n v="100"/>
  </r>
  <r>
    <s v="Outros"/>
    <x v="0"/>
    <x v="1"/>
    <n v="45"/>
    <x v="57"/>
    <n v="250"/>
  </r>
  <r>
    <s v="Engenharia"/>
    <x v="2"/>
    <x v="2"/>
    <n v="40"/>
    <x v="102"/>
    <n v="505"/>
  </r>
  <r>
    <s v="Dados"/>
    <x v="1"/>
    <x v="0"/>
    <n v="25"/>
    <x v="103"/>
    <n v="0"/>
  </r>
  <r>
    <s v="Dados"/>
    <x v="0"/>
    <x v="2"/>
    <n v="46"/>
    <x v="59"/>
    <n v="420"/>
  </r>
  <r>
    <s v="Dados"/>
    <x v="1"/>
    <x v="1"/>
    <n v="25"/>
    <x v="9"/>
    <n v="120"/>
  </r>
  <r>
    <s v="Dados"/>
    <x v="1"/>
    <x v="0"/>
    <n v="23"/>
    <x v="36"/>
    <n v="0"/>
  </r>
  <r>
    <s v="Engenharia"/>
    <x v="2"/>
    <x v="2"/>
    <n v="42"/>
    <x v="39"/>
    <n v="280"/>
  </r>
  <r>
    <s v="Engenharia"/>
    <x v="1"/>
    <x v="0"/>
    <n v="31"/>
    <x v="38"/>
    <n v="45"/>
  </r>
  <r>
    <s v="TI"/>
    <x v="1"/>
    <x v="0"/>
    <n v="30"/>
    <x v="1"/>
    <n v="0"/>
  </r>
  <r>
    <s v="Engenharia"/>
    <x v="2"/>
    <x v="1"/>
    <n v="45"/>
    <x v="88"/>
    <n v="100"/>
  </r>
  <r>
    <s v="Outros"/>
    <x v="2"/>
    <x v="0"/>
    <n v="53"/>
    <x v="104"/>
    <n v="70"/>
  </r>
  <r>
    <s v="Dados"/>
    <x v="1"/>
    <x v="0"/>
    <n v="31"/>
    <x v="26"/>
    <n v="0"/>
  </r>
  <r>
    <s v="TI"/>
    <x v="1"/>
    <x v="0"/>
    <n v="27"/>
    <x v="15"/>
    <n v="50"/>
  </r>
  <r>
    <s v="Outros"/>
    <x v="0"/>
    <x v="2"/>
    <n v="40"/>
    <x v="22"/>
    <n v="150"/>
  </r>
  <r>
    <s v="Engenharia"/>
    <x v="2"/>
    <x v="2"/>
    <n v="52"/>
    <x v="45"/>
    <n v="360"/>
  </r>
  <r>
    <s v="Engenharia"/>
    <x v="2"/>
    <x v="1"/>
    <n v="58"/>
    <x v="101"/>
    <n v="220"/>
  </r>
  <r>
    <s v="Outros"/>
    <x v="0"/>
    <x v="1"/>
    <n v="39"/>
    <x v="105"/>
    <n v="180"/>
  </r>
  <r>
    <s v="Dados"/>
    <x v="1"/>
    <x v="1"/>
    <n v="24"/>
    <x v="66"/>
    <n v="160"/>
  </r>
  <r>
    <s v="Dados"/>
    <x v="0"/>
    <x v="1"/>
    <n v="41"/>
    <x v="33"/>
    <n v="270"/>
  </r>
  <r>
    <s v="TI"/>
    <x v="1"/>
    <x v="1"/>
    <n v="30"/>
    <x v="106"/>
    <n v="95"/>
  </r>
  <r>
    <s v="Dados"/>
    <x v="0"/>
    <x v="1"/>
    <n v="35"/>
    <x v="107"/>
    <n v="200"/>
  </r>
  <r>
    <s v="Engenharia"/>
    <x v="1"/>
    <x v="2"/>
    <n v="25"/>
    <x v="108"/>
    <n v="570"/>
  </r>
  <r>
    <s v="Outros"/>
    <x v="0"/>
    <x v="1"/>
    <n v="44"/>
    <x v="32"/>
    <n v="190"/>
  </r>
  <r>
    <s v="Dados"/>
    <x v="1"/>
    <x v="0"/>
    <n v="20"/>
    <x v="109"/>
    <n v="15"/>
  </r>
  <r>
    <s v="Dados"/>
    <x v="1"/>
    <x v="0"/>
    <n v="33"/>
    <x v="52"/>
    <n v="0"/>
  </r>
  <r>
    <s v="Dados"/>
    <x v="1"/>
    <x v="0"/>
    <n v="19"/>
    <x v="12"/>
    <n v="0"/>
  </r>
  <r>
    <s v="TI"/>
    <x v="1"/>
    <x v="1"/>
    <n v="23"/>
    <x v="110"/>
    <n v="120"/>
  </r>
  <r>
    <s v="Dados"/>
    <x v="2"/>
    <x v="2"/>
    <n v="33"/>
    <x v="111"/>
    <n v="430"/>
  </r>
  <r>
    <s v="Outros"/>
    <x v="0"/>
    <x v="1"/>
    <n v="31"/>
    <x v="66"/>
    <n v="150"/>
  </r>
  <r>
    <s v="Dados"/>
    <x v="1"/>
    <x v="0"/>
    <n v="26"/>
    <x v="50"/>
    <n v="10"/>
  </r>
  <r>
    <s v="Dados"/>
    <x v="1"/>
    <x v="2"/>
    <n v="35"/>
    <x v="82"/>
    <n v="450"/>
  </r>
  <r>
    <s v="Dados"/>
    <x v="1"/>
    <x v="2"/>
    <n v="22"/>
    <x v="17"/>
    <n v="540"/>
  </r>
  <r>
    <s v="Dados"/>
    <x v="0"/>
    <x v="1"/>
    <n v="35"/>
    <x v="4"/>
    <n v="220"/>
  </r>
  <r>
    <s v="Outros"/>
    <x v="0"/>
    <x v="2"/>
    <n v="47"/>
    <x v="6"/>
    <n v="315"/>
  </r>
  <r>
    <s v="Outros"/>
    <x v="0"/>
    <x v="0"/>
    <n v="36"/>
    <x v="57"/>
    <n v="60"/>
  </r>
  <r>
    <s v="Dados"/>
    <x v="1"/>
    <x v="1"/>
    <n v="24"/>
    <x v="112"/>
    <n v="150"/>
  </r>
  <r>
    <s v="Outros"/>
    <x v="0"/>
    <x v="1"/>
    <n v="38"/>
    <x v="113"/>
    <n v="180"/>
  </r>
  <r>
    <s v="Dados"/>
    <x v="1"/>
    <x v="2"/>
    <n v="31"/>
    <x v="59"/>
    <n v="150"/>
  </r>
  <r>
    <s v="Outros"/>
    <x v="0"/>
    <x v="0"/>
    <n v="35"/>
    <x v="62"/>
    <n v="70"/>
  </r>
  <r>
    <s v="Outros"/>
    <x v="0"/>
    <x v="1"/>
    <n v="32"/>
    <x v="68"/>
    <n v="130"/>
  </r>
  <r>
    <s v="Engenharia"/>
    <x v="2"/>
    <x v="2"/>
    <n v="39"/>
    <x v="80"/>
    <n v="325"/>
  </r>
  <r>
    <s v="Dados"/>
    <x v="1"/>
    <x v="2"/>
    <n v="20"/>
    <x v="114"/>
    <n v="0"/>
  </r>
  <r>
    <s v="Outros"/>
    <x v="0"/>
    <x v="1"/>
    <n v="46"/>
    <x v="71"/>
    <n v="290"/>
  </r>
  <r>
    <s v="Outros"/>
    <x v="0"/>
    <x v="1"/>
    <n v="28"/>
    <x v="44"/>
    <n v="180"/>
  </r>
  <r>
    <s v="TI"/>
    <x v="1"/>
    <x v="0"/>
    <n v="26"/>
    <x v="115"/>
    <n v="20"/>
  </r>
  <r>
    <s v="Dados"/>
    <x v="1"/>
    <x v="1"/>
    <n v="31"/>
    <x v="116"/>
    <n v="220"/>
  </r>
  <r>
    <s v="Outros"/>
    <x v="0"/>
    <x v="0"/>
    <n v="47"/>
    <x v="14"/>
    <n v="120"/>
  </r>
  <r>
    <s v="TI"/>
    <x v="1"/>
    <x v="0"/>
    <n v="32"/>
    <x v="27"/>
    <n v="30"/>
  </r>
  <r>
    <s v="Dados"/>
    <x v="1"/>
    <x v="0"/>
    <n v="31"/>
    <x v="53"/>
    <n v="50"/>
  </r>
  <r>
    <s v="Outros"/>
    <x v="0"/>
    <x v="1"/>
    <n v="38"/>
    <x v="117"/>
    <n v="150"/>
  </r>
  <r>
    <s v="Engenharia"/>
    <x v="0"/>
    <x v="1"/>
    <n v="47"/>
    <x v="7"/>
    <n v="200"/>
  </r>
  <r>
    <s v="Dados"/>
    <x v="1"/>
    <x v="1"/>
    <n v="25"/>
    <x v="9"/>
    <n v="150"/>
  </r>
  <r>
    <s v="Engenharia"/>
    <x v="2"/>
    <x v="2"/>
    <n v="48"/>
    <x v="108"/>
    <n v="320"/>
  </r>
  <r>
    <s v="Outros"/>
    <x v="2"/>
    <x v="2"/>
    <n v="57"/>
    <x v="79"/>
    <n v="140"/>
  </r>
  <r>
    <s v="Engenharia"/>
    <x v="1"/>
    <x v="0"/>
    <n v="25"/>
    <x v="80"/>
    <n v="15"/>
  </r>
  <r>
    <s v="TI"/>
    <x v="1"/>
    <x v="0"/>
    <n v="27"/>
    <x v="118"/>
    <n v="75"/>
  </r>
  <r>
    <s v="Engenharia"/>
    <x v="0"/>
    <x v="0"/>
    <n v="28"/>
    <x v="76"/>
    <n v="55"/>
  </r>
  <r>
    <s v="Dados"/>
    <x v="1"/>
    <x v="1"/>
    <n v="20"/>
    <x v="11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F8DBB-76E2-4CE6-87E5-403B35774D93}" name="Tabela dinâmica7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122:L126" firstHeaderRow="0" firstDataRow="1" firstDataCol="1"/>
  <pivotFields count="6"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édia de Idade" fld="3" subtotal="average" baseField="1" baseItem="0"/>
    <dataField name="DesvPad de Idade2" fld="3" subtotal="stdDev" baseField="1" baseItem="0"/>
    <dataField name="Contagem de Idade3" fld="3" subtotal="count" baseField="1" baseItem="0" numFmtId="1"/>
  </dataFields>
  <formats count="2">
    <format dxfId="6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1D72A-A0F2-4BB4-AB99-BCCEDA067967}" name="Tabela dinâmica4" cacheId="1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45:J47" firstHeaderRow="1" firstDataRow="1" firstDataCol="1"/>
  <pivotFields count="6">
    <pivotField showAll="0"/>
    <pivotField showAll="0"/>
    <pivotField showAll="0"/>
    <pivotField dataField="1" showAll="0"/>
    <pivotField showAll="0"/>
    <pivotField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Média de Idade" fld="3" subtotal="average" baseField="0" baseItem="1097107818"/>
    <dataField name="DesvPad de Idade" fld="3" subtotal="stdDev" baseField="0" baseItem="1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1DFB2-699E-4606-8634-2444E28FCA3E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27:K31" firstHeaderRow="0" firstDataRow="1" firstDataCol="1"/>
  <pivotFields count="6"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Idade" fld="3" subtotal="average" baseField="1" baseItem="0"/>
    <dataField name="DesvPad de Idade" fld="3" subtotal="stdDev" baseField="1" baseItem="0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D9A13-E9DE-4022-98D0-E7EEDC75AE9F}" name="Tabela dinâ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Q11:S15" firstHeaderRow="0" firstDataRow="1" firstDataCol="1"/>
  <pivotFields count="6"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Valor" fld="5" subtotal="average" baseField="2" baseItem="0"/>
    <dataField name="DesvPad de Valor2" fld="5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D024A-DED4-476E-80B6-06A5B615A7E7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17:K21" firstHeaderRow="0" firstDataRow="1" firstDataCol="1"/>
  <pivotFields count="6"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Valor2" fld="5" subtotal="average" baseField="2" baseItem="0"/>
    <dataField name="DesvPad de Valor" fld="5" subtotal="stdDev" baseField="2" baseItem="0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EAA58-D715-4EE3-986D-446FF7C7FC9C}" name="Tabela dinâmica6" cacheId="1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41:J43" firstHeaderRow="1" firstDataRow="1" firstDataCol="1"/>
  <pivotFields count="6">
    <pivotField showAll="0"/>
    <pivotField showAll="0"/>
    <pivotField showAll="0"/>
    <pivotField showAll="0"/>
    <pivotField showAll="0"/>
    <pivotField dataField="1"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Média de Valor" fld="5" subtotal="average" baseField="0" baseItem="1097107818"/>
    <dataField name="DesvPad de Valor" fld="5" subtotal="stdDev" baseField="0" baseItem="1097107818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5F76E-01AD-42AD-ACFF-FBE66F4B40B7}" name="Tabela dinâmica5" cacheId="1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37:J39" firstHeaderRow="1" firstDataRow="1" firstDataCol="1"/>
  <pivotFields count="6">
    <pivotField showAll="0"/>
    <pivotField showAll="0"/>
    <pivotField showAll="0"/>
    <pivotField showAll="0"/>
    <pivotField dataField="1" showAll="0"/>
    <pivotField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Média de Renda" fld="4" subtotal="average" baseField="0" baseItem="1097107818"/>
    <dataField name="DesvPad de Renda" fld="4" subtotal="stdDev" baseField="0" baseItem="1097107818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2DE7-D909-4449-BC2D-04E146D170CA}">
  <dimension ref="A1:H55"/>
  <sheetViews>
    <sheetView topLeftCell="A23" workbookViewId="0">
      <selection activeCell="B56" sqref="B56"/>
    </sheetView>
  </sheetViews>
  <sheetFormatPr defaultRowHeight="14.25"/>
  <cols>
    <col min="2" max="2" width="13.75" bestFit="1" customWidth="1"/>
    <col min="3" max="3" width="10.625" customWidth="1"/>
  </cols>
  <sheetData>
    <row r="1" spans="1:8">
      <c r="A1" t="s">
        <v>24</v>
      </c>
    </row>
    <row r="2" spans="1:8">
      <c r="C2" s="15" t="s">
        <v>19</v>
      </c>
      <c r="D2" s="15"/>
      <c r="E2" s="15" t="s">
        <v>20</v>
      </c>
      <c r="F2" s="15"/>
      <c r="G2" s="15" t="s">
        <v>21</v>
      </c>
      <c r="H2" s="15"/>
    </row>
    <row r="3" spans="1:8">
      <c r="B3" t="s">
        <v>16</v>
      </c>
      <c r="C3" s="1">
        <v>1540</v>
      </c>
      <c r="D3">
        <v>185</v>
      </c>
      <c r="E3">
        <v>18</v>
      </c>
      <c r="F3">
        <v>4.2</v>
      </c>
      <c r="G3">
        <v>23.5</v>
      </c>
      <c r="H3">
        <v>3.8</v>
      </c>
    </row>
    <row r="4" spans="1:8">
      <c r="B4" t="s">
        <v>17</v>
      </c>
      <c r="C4" s="1">
        <v>1220</v>
      </c>
      <c r="D4">
        <v>134</v>
      </c>
      <c r="E4">
        <v>22</v>
      </c>
      <c r="F4">
        <v>5.0999999999999996</v>
      </c>
      <c r="G4">
        <v>19.8</v>
      </c>
      <c r="H4">
        <v>2.7</v>
      </c>
    </row>
    <row r="5" spans="1:8">
      <c r="B5" t="s">
        <v>18</v>
      </c>
      <c r="C5" s="1">
        <v>1050</v>
      </c>
      <c r="D5">
        <v>200</v>
      </c>
      <c r="E5">
        <v>30</v>
      </c>
      <c r="F5">
        <v>6.5</v>
      </c>
      <c r="G5">
        <v>21</v>
      </c>
      <c r="H5">
        <v>5.5</v>
      </c>
    </row>
    <row r="7" spans="1:8">
      <c r="C7" t="s">
        <v>22</v>
      </c>
      <c r="D7" t="s">
        <v>23</v>
      </c>
      <c r="E7" t="s">
        <v>22</v>
      </c>
      <c r="F7" t="s">
        <v>23</v>
      </c>
      <c r="G7" t="s">
        <v>22</v>
      </c>
      <c r="H7" t="s">
        <v>23</v>
      </c>
    </row>
    <row r="8" spans="1:8">
      <c r="B8" t="s">
        <v>16</v>
      </c>
      <c r="C8" s="1">
        <v>1800</v>
      </c>
      <c r="D8" s="3">
        <f>(C8-C3)/D3</f>
        <v>1.4054054054054055</v>
      </c>
      <c r="E8">
        <v>15</v>
      </c>
      <c r="F8" s="3">
        <f>(E8-E3)/F3</f>
        <v>-0.7142857142857143</v>
      </c>
      <c r="G8">
        <v>27.2</v>
      </c>
      <c r="H8" s="3">
        <f>(G8-G3)/H3</f>
        <v>0.9736842105263156</v>
      </c>
    </row>
    <row r="9" spans="1:8">
      <c r="B9" t="s">
        <v>17</v>
      </c>
      <c r="C9" s="1">
        <v>1100</v>
      </c>
      <c r="D9" s="3">
        <f t="shared" ref="D9:F10" si="0">(C9-C4)/D4</f>
        <v>-0.89552238805970152</v>
      </c>
      <c r="E9">
        <v>25</v>
      </c>
      <c r="F9" s="3">
        <f t="shared" si="0"/>
        <v>0.58823529411764708</v>
      </c>
      <c r="G9">
        <v>17</v>
      </c>
      <c r="H9" s="3">
        <f t="shared" ref="H9" si="1">(G9-G4)/H4</f>
        <v>-1.0370370370370372</v>
      </c>
    </row>
    <row r="10" spans="1:8">
      <c r="B10" t="s">
        <v>18</v>
      </c>
      <c r="C10" s="1">
        <v>940</v>
      </c>
      <c r="D10" s="3">
        <f t="shared" si="0"/>
        <v>-0.55000000000000004</v>
      </c>
      <c r="E10">
        <v>29</v>
      </c>
      <c r="F10" s="3">
        <f t="shared" si="0"/>
        <v>-0.15384615384615385</v>
      </c>
      <c r="G10">
        <v>18.5</v>
      </c>
      <c r="H10" s="3">
        <f t="shared" ref="H10" si="2">(G10-G5)/H5</f>
        <v>-0.45454545454545453</v>
      </c>
    </row>
    <row r="12" spans="1:8">
      <c r="B12" s="15" t="str">
        <f>"Um EPS de "&amp;TEXT(C8,"#.###")&amp;" é "&amp;ROUND(D8,2)&amp;" desvios-padrões "&amp;IF(D8&gt;0,"maior","menor")&amp;" que a média"</f>
        <v>Um EPS de 1.800 é 1,41 desvios-padrões maior que a média</v>
      </c>
      <c r="C12" s="15"/>
      <c r="D12" s="15"/>
      <c r="E12" s="15"/>
      <c r="F12" s="15"/>
      <c r="G12" s="15"/>
      <c r="H12" s="15"/>
    </row>
    <row r="13" spans="1:8">
      <c r="B13" s="15" t="str">
        <f t="shared" ref="B13:B14" si="3">"Um EPS de "&amp;TEXT(C9,"#.###")&amp;" é "&amp;ROUND(D9,2)&amp;" desvios-padrões "&amp;IF(D9&gt;0,"maior","menor")&amp;" que a média"</f>
        <v>Um EPS de 1.100 é -0,9 desvios-padrões menor que a média</v>
      </c>
      <c r="C13" s="15"/>
      <c r="D13" s="15"/>
      <c r="E13" s="15"/>
      <c r="F13" s="15"/>
      <c r="G13" s="15"/>
      <c r="H13" s="15"/>
    </row>
    <row r="14" spans="1:8">
      <c r="B14" s="15" t="str">
        <f t="shared" si="3"/>
        <v>Um EPS de 940 é -0,55 desvios-padrões menor que a média</v>
      </c>
      <c r="C14" s="15"/>
      <c r="D14" s="15"/>
      <c r="E14" s="15"/>
      <c r="F14" s="15"/>
      <c r="G14" s="15"/>
      <c r="H14" s="15"/>
    </row>
    <row r="15" spans="1:8">
      <c r="B15" s="15" t="str">
        <f>"Uma latência de resposta de "&amp;TEXT(E8,"#.###")&amp;" ms é "&amp;ROUND(F8,2)&amp;" desvios-padrões "&amp;IF(F8&gt;0,"maior","menor")&amp;" que a média"</f>
        <v>Uma latência de resposta de 15 ms é -0,71 desvios-padrões menor que a média</v>
      </c>
      <c r="C15" s="15"/>
      <c r="D15" s="15"/>
      <c r="E15" s="15"/>
      <c r="F15" s="15"/>
      <c r="G15" s="15"/>
      <c r="H15" s="15"/>
    </row>
    <row r="16" spans="1:8">
      <c r="B16" s="15" t="str">
        <f>"Uma latência de resposta de "&amp;TEXT(E9,"#.###")&amp;" ms é "&amp;ROUND(F9,2)&amp;" desvios-padrões "&amp;IF(F9&gt;0,"maior","menor")&amp;" que a média"</f>
        <v>Uma latência de resposta de 25 ms é 0,59 desvios-padrões maior que a média</v>
      </c>
      <c r="C16" s="15"/>
      <c r="D16" s="15"/>
      <c r="E16" s="15"/>
      <c r="F16" s="15"/>
      <c r="G16" s="15"/>
      <c r="H16" s="15"/>
    </row>
    <row r="17" spans="1:8">
      <c r="B17" s="15" t="str">
        <f>"Uma latência de resposta de "&amp;TEXT(E10,"#.###")&amp;" ms é "&amp;ROUND(F10,2)&amp;" desvios-padrões "&amp;IF(F10&gt;0,"maior","menor")&amp;" que a média"</f>
        <v>Uma latência de resposta de 29 ms é -0,15 desvios-padrões menor que a média</v>
      </c>
      <c r="C17" s="15"/>
      <c r="D17" s="15"/>
      <c r="E17" s="15"/>
      <c r="F17" s="15"/>
      <c r="G17" s="15"/>
      <c r="H17" s="15"/>
    </row>
    <row r="18" spans="1:8">
      <c r="B18" s="15" t="str">
        <f>"Um volume de dados de "&amp;TEXT(G8,"#.###,00")&amp;" TB é "&amp;ROUND(H8,2)&amp;" desvios-padrões "&amp;IF(H8&gt;0,"maior","menor")&amp;" que a média"</f>
        <v>Um volume de dados de 27,20 TB é 0,97 desvios-padrões maior que a média</v>
      </c>
      <c r="C18" s="15"/>
      <c r="D18" s="15"/>
      <c r="E18" s="15"/>
      <c r="F18" s="15"/>
      <c r="G18" s="15"/>
      <c r="H18" s="15"/>
    </row>
    <row r="19" spans="1:8">
      <c r="B19" s="15" t="str">
        <f>"Um volume de dados de "&amp;TEXT(G9,"#.###,00")&amp;" TB é "&amp;ROUND(H9,2)&amp;" desvios-padrões "&amp;IF(H9&gt;0,"maior","menor")&amp;" que a média"</f>
        <v>Um volume de dados de 17,00 TB é -1,04 desvios-padrões menor que a média</v>
      </c>
      <c r="C19" s="15"/>
      <c r="D19" s="15"/>
      <c r="E19" s="15"/>
      <c r="F19" s="15"/>
      <c r="G19" s="15"/>
      <c r="H19" s="15"/>
    </row>
    <row r="20" spans="1:8">
      <c r="B20" s="15" t="str">
        <f>"Um volume de dados de "&amp;TEXT(G10,"#.###,00")&amp;" TB é "&amp;ROUND(H10,2)&amp;" desvios-padrões "&amp;IF(H10&gt;0,"maior","menor")&amp;" que a média"</f>
        <v>Um volume de dados de 18,50 TB é -0,45 desvios-padrões menor que a média</v>
      </c>
      <c r="C20" s="15"/>
      <c r="D20" s="15"/>
      <c r="E20" s="15"/>
      <c r="F20" s="15"/>
      <c r="G20" s="15"/>
      <c r="H20" s="15"/>
    </row>
    <row r="22" spans="1:8">
      <c r="A22" t="s">
        <v>25</v>
      </c>
      <c r="B22" t="s">
        <v>26</v>
      </c>
      <c r="C22" s="4">
        <f>_xlfn.NORM.DIST(25,G5,H5,TRUE)-_xlfn.NORM.DIST(18,G5,H5,TRUE)</f>
        <v>0.47375008185794965</v>
      </c>
    </row>
    <row r="23" spans="1:8">
      <c r="B23" t="s">
        <v>27</v>
      </c>
    </row>
    <row r="25" spans="1:8" ht="42.75">
      <c r="C25" s="12" t="s">
        <v>51</v>
      </c>
      <c r="D25" s="12" t="s">
        <v>52</v>
      </c>
      <c r="E25" s="12" t="s">
        <v>53</v>
      </c>
    </row>
    <row r="26" spans="1:8">
      <c r="A26" t="s">
        <v>28</v>
      </c>
      <c r="C26" t="s">
        <v>19</v>
      </c>
      <c r="D26" t="s">
        <v>20</v>
      </c>
      <c r="E26" t="s">
        <v>21</v>
      </c>
    </row>
    <row r="27" spans="1:8">
      <c r="B27" t="s">
        <v>16</v>
      </c>
      <c r="C27" s="7">
        <f>_xlfn.NORM.INV(85%,C3,D3)</f>
        <v>1731.7401770563511</v>
      </c>
      <c r="D27" s="6">
        <f>_xlfn.NORM.INV(10%,E3,F3)</f>
        <v>12.617483424712677</v>
      </c>
      <c r="E27" s="5">
        <f>_xlfn.NORM.INV(80%,G3,H3)</f>
        <v>26.698160687577076</v>
      </c>
    </row>
    <row r="28" spans="1:8">
      <c r="B28" t="s">
        <v>17</v>
      </c>
      <c r="C28" s="7">
        <f>_xlfn.NORM.INV(85%,C4,D4)</f>
        <v>1358.8820741921679</v>
      </c>
      <c r="D28" s="6">
        <f>_xlfn.NORM.INV(10%,E4,F4)</f>
        <v>15.464087015722537</v>
      </c>
      <c r="E28" s="5">
        <f t="shared" ref="E28:E29" si="4">_xlfn.NORM.INV(80%,G4,H4)</f>
        <v>22.072377330646869</v>
      </c>
    </row>
    <row r="29" spans="1:8">
      <c r="B29" t="s">
        <v>18</v>
      </c>
      <c r="C29" s="7">
        <f>_xlfn.NORM.INV(85%,C5,D5)</f>
        <v>1257.2866778987579</v>
      </c>
      <c r="D29" s="6">
        <f>_xlfn.NORM.INV(10%,E5,F5)</f>
        <v>21.669914823960099</v>
      </c>
      <c r="E29" s="5">
        <f t="shared" si="4"/>
        <v>25.628916784651032</v>
      </c>
    </row>
    <row r="31" spans="1:8">
      <c r="B31" s="15" t="str">
        <f>"No sistema "&amp;B27&amp;", o EPS de alta vazão é de no mínimo "&amp;TEXT(C27,"#.###")</f>
        <v>No sistema Alpha, o EPS de alta vazão é de no mínimo 1.732</v>
      </c>
      <c r="C31" s="15"/>
      <c r="D31" s="15"/>
      <c r="E31" s="15"/>
      <c r="F31" s="15"/>
      <c r="G31" s="15"/>
      <c r="H31" s="15"/>
    </row>
    <row r="32" spans="1:8">
      <c r="B32" s="15" t="str">
        <f t="shared" ref="B32:B33" si="5">"No sistema "&amp;B28&amp;", o EPS de alta vazão é de no mínimo "&amp;TEXT(C28,"#.###")</f>
        <v>No sistema Beta, o EPS de alta vazão é de no mínimo 1.359</v>
      </c>
      <c r="C32" s="15"/>
      <c r="D32" s="15"/>
      <c r="E32" s="15"/>
      <c r="F32" s="15"/>
      <c r="G32" s="15"/>
      <c r="H32" s="15"/>
    </row>
    <row r="33" spans="1:8">
      <c r="B33" s="15" t="str">
        <f t="shared" si="5"/>
        <v>No sistema Gama, o EPS de alta vazão é de no mínimo 1.257</v>
      </c>
      <c r="C33" s="15"/>
      <c r="D33" s="15"/>
      <c r="E33" s="15"/>
      <c r="F33" s="15"/>
      <c r="G33" s="15"/>
      <c r="H33" s="15"/>
    </row>
    <row r="34" spans="1:8">
      <c r="B34" s="15" t="str">
        <f>"No sistema "&amp;B27&amp;", a latência de resposta ultrarrápida é de no máximo "&amp;TEXT(D27,"#.###")&amp;" ms"</f>
        <v>No sistema Alpha, a latência de resposta ultrarrápida é de no máximo 13 ms</v>
      </c>
      <c r="C34" s="15"/>
      <c r="D34" s="15"/>
      <c r="E34" s="15"/>
      <c r="F34" s="15"/>
      <c r="G34" s="15"/>
      <c r="H34" s="15"/>
    </row>
    <row r="35" spans="1:8">
      <c r="B35" s="15" t="str">
        <f>"No sistema "&amp;B28&amp;", a latência de resposta ultrarrápida é de no máximo "&amp;TEXT(D28,"#.###")&amp;" ms"</f>
        <v>No sistema Beta, a latência de resposta ultrarrápida é de no máximo 15 ms</v>
      </c>
      <c r="C35" s="15"/>
      <c r="D35" s="15"/>
      <c r="E35" s="15"/>
      <c r="F35" s="15"/>
      <c r="G35" s="15"/>
      <c r="H35" s="15"/>
    </row>
    <row r="36" spans="1:8">
      <c r="B36" s="15" t="str">
        <f>"No sistema "&amp;B29&amp;", a latência de resposta ultrarrápida é de no máximo "&amp;TEXT(D29,"#.###")&amp;" ms"</f>
        <v>No sistema Gama, a latência de resposta ultrarrápida é de no máximo 22 ms</v>
      </c>
      <c r="C36" s="15"/>
      <c r="D36" s="15"/>
      <c r="E36" s="15"/>
      <c r="F36" s="15"/>
      <c r="G36" s="15"/>
      <c r="H36" s="15"/>
    </row>
    <row r="37" spans="1:8">
      <c r="B37" s="15" t="str">
        <f>"No sistema "&amp;B27&amp;", o volume de alta capacidade é de no mínimo "&amp;TEXT(E27,"#.###,00")&amp;" TB"</f>
        <v>No sistema Alpha, o volume de alta capacidade é de no mínimo 26,70 TB</v>
      </c>
      <c r="C37" s="15"/>
      <c r="D37" s="15"/>
      <c r="E37" s="15"/>
      <c r="F37" s="15"/>
      <c r="G37" s="15"/>
      <c r="H37" s="15"/>
    </row>
    <row r="38" spans="1:8">
      <c r="B38" s="15" t="str">
        <f>"No sistema "&amp;B28&amp;", o volume de alta capacidade é de no mínimo "&amp;TEXT(E28,"#.###,00")&amp;" TB"</f>
        <v>No sistema Beta, o volume de alta capacidade é de no mínimo 22,07 TB</v>
      </c>
      <c r="C38" s="15"/>
      <c r="D38" s="15"/>
      <c r="E38" s="15"/>
      <c r="F38" s="15"/>
      <c r="G38" s="15"/>
      <c r="H38" s="15"/>
    </row>
    <row r="39" spans="1:8">
      <c r="B39" s="15" t="str">
        <f>"No sistema "&amp;B29&amp;", o volume de alta capacidade é de no mínimo "&amp;TEXT(E29,"#.###,00")&amp;" TB"</f>
        <v>No sistema Gama, o volume de alta capacidade é de no mínimo 25,63 TB</v>
      </c>
      <c r="C39" s="15"/>
      <c r="D39" s="15"/>
      <c r="E39" s="15"/>
      <c r="F39" s="15"/>
      <c r="G39" s="15"/>
      <c r="H39" s="15"/>
    </row>
    <row r="41" spans="1:8">
      <c r="A41" t="s">
        <v>29</v>
      </c>
      <c r="C41" t="s">
        <v>19</v>
      </c>
      <c r="D41" t="s">
        <v>20</v>
      </c>
      <c r="E41" t="s">
        <v>21</v>
      </c>
      <c r="F41" t="s">
        <v>30</v>
      </c>
    </row>
    <row r="42" spans="1:8">
      <c r="B42" t="s">
        <v>16</v>
      </c>
      <c r="C42" s="8">
        <f>1-_xlfn.NORM.DIST(1600,C3,D3,TRUE)</f>
        <v>0.37284625297891294</v>
      </c>
      <c r="D42" s="8">
        <f>_xlfn.NORM.DIST(20,E3,F3,TRUE)</f>
        <v>0.68303065805932717</v>
      </c>
      <c r="E42" s="8">
        <f>1-_xlfn.NORM.DIST(22,G3,H3,TRUE)</f>
        <v>0.65348144496636829</v>
      </c>
      <c r="F42" s="4">
        <f>C42*D42*E42</f>
        <v>0.16641912764252556</v>
      </c>
    </row>
    <row r="43" spans="1:8">
      <c r="B43" t="s">
        <v>17</v>
      </c>
      <c r="C43" s="8">
        <f>1-_xlfn.NORM.DIST(1600,C4,D4,TRUE)</f>
        <v>2.2854035513525384E-3</v>
      </c>
      <c r="D43" s="8">
        <f>_xlfn.NORM.DIST(20,E4,F4,TRUE)</f>
        <v>0.34747115751908475</v>
      </c>
      <c r="E43" s="8">
        <f t="shared" ref="E43" si="6">1-_xlfn.NORM.DIST(22,G4,H4,TRUE)</f>
        <v>0.20758915974995007</v>
      </c>
      <c r="F43" s="4">
        <f t="shared" ref="F43:F44" si="7">C43*D43*E43</f>
        <v>1.6484900491880951E-4</v>
      </c>
    </row>
    <row r="44" spans="1:8">
      <c r="B44" t="s">
        <v>18</v>
      </c>
      <c r="C44" s="8">
        <f>1-_xlfn.NORM.DIST(1600,C5,D5,TRUE)</f>
        <v>2.9797632350545555E-3</v>
      </c>
      <c r="D44" s="8">
        <f>_xlfn.NORM.DIST(20,E5,F5,TRUE)</f>
        <v>6.19679028363712E-2</v>
      </c>
      <c r="E44" s="8">
        <f>1-_xlfn.NORM.DIST(22,G5,H5,TRUE)</f>
        <v>0.42786270766003576</v>
      </c>
      <c r="F44" s="4">
        <f t="shared" si="7"/>
        <v>7.9004711465155661E-5</v>
      </c>
    </row>
    <row r="46" spans="1:8">
      <c r="B46" t="str">
        <f>"O sistema "&amp;$B42&amp;" tem probabilidade de "&amp;TEXT(C42,"0#,##%")&amp;" de atender o critério de EPS de alta performance"</f>
        <v>O sistema Alpha tem probabilidade de 37,28% de atender o critério de EPS de alta performance</v>
      </c>
    </row>
    <row r="47" spans="1:8">
      <c r="B47" t="str">
        <f t="shared" ref="B47:B48" si="8">"O sistema "&amp;$B43&amp;" tem probabilidade de "&amp;TEXT(C43,"0#,##%")&amp;" de atender o critério de EPS de alta performance"</f>
        <v>O sistema Beta tem probabilidade de 0,23% de atender o critério de EPS de alta performance</v>
      </c>
    </row>
    <row r="48" spans="1:8">
      <c r="B48" t="str">
        <f t="shared" si="8"/>
        <v>O sistema Gama tem probabilidade de 0,3% de atender o critério de EPS de alta performance</v>
      </c>
    </row>
    <row r="49" spans="2:2">
      <c r="B49" t="str">
        <f>"O sistema "&amp;$B42&amp;" tem probabilidade de "&amp;TEXT(D42,"0#,##%")&amp;" de atender o critério de latência de resposta de alta performance"</f>
        <v>O sistema Alpha tem probabilidade de 68,3% de atender o critério de latência de resposta de alta performance</v>
      </c>
    </row>
    <row r="50" spans="2:2">
      <c r="B50" t="str">
        <f>"O sistema "&amp;$B43&amp;" tem probabilidade de "&amp;TEXT(D43,"0#,##%")&amp;" de atender o critério de latência de resposta de alta performance"</f>
        <v>O sistema Beta tem probabilidade de 34,75% de atender o critério de latência de resposta de alta performance</v>
      </c>
    </row>
    <row r="51" spans="2:2">
      <c r="B51" t="str">
        <f>"O sistema "&amp;$B44&amp;" tem probabilidade de "&amp;TEXT(D44,"0#,##%")&amp;" de atender o critério de latência de resposta de alta performance"</f>
        <v>O sistema Gama tem probabilidade de 06,2% de atender o critério de latência de resposta de alta performance</v>
      </c>
    </row>
    <row r="52" spans="2:2">
      <c r="B52" t="str">
        <f>"O sistema "&amp;$B42&amp;" tem probabilidade de "&amp;TEXT(E42,"0#,##%")&amp;" de atender o critério de capacidade de volume alta performance"</f>
        <v>O sistema Alpha tem probabilidade de 65,35% de atender o critério de capacidade de volume alta performance</v>
      </c>
    </row>
    <row r="53" spans="2:2">
      <c r="B53" t="str">
        <f>"O sistema "&amp;$B43&amp;" tem probabilidade de "&amp;TEXT(E43,"0#,##%")&amp;" de atender o critério de capacidade de volume alta performance"</f>
        <v>O sistema Beta tem probabilidade de 20,76% de atender o critério de capacidade de volume alta performance</v>
      </c>
    </row>
    <row r="54" spans="2:2">
      <c r="B54" t="str">
        <f>"O sistema "&amp;$B44&amp;" tem probabilidade de "&amp;TEXT(E44,"0#,##%")&amp;" de atender o critério de capacidade de volume alta performance"</f>
        <v>O sistema Gama tem probabilidade de 42,79% de atender o critério de capacidade de volume alta performance</v>
      </c>
    </row>
    <row r="55" spans="2:2">
      <c r="B55" t="s">
        <v>31</v>
      </c>
    </row>
  </sheetData>
  <mergeCells count="21">
    <mergeCell ref="B37:H37"/>
    <mergeCell ref="B38:H38"/>
    <mergeCell ref="B39:H39"/>
    <mergeCell ref="B31:H31"/>
    <mergeCell ref="B32:H32"/>
    <mergeCell ref="B33:H33"/>
    <mergeCell ref="B34:H34"/>
    <mergeCell ref="B35:H35"/>
    <mergeCell ref="B36:H36"/>
    <mergeCell ref="B20:H20"/>
    <mergeCell ref="C2:D2"/>
    <mergeCell ref="E2:F2"/>
    <mergeCell ref="G2:H2"/>
    <mergeCell ref="B12:H12"/>
    <mergeCell ref="B13:H13"/>
    <mergeCell ref="B14:H14"/>
    <mergeCell ref="B15:H15"/>
    <mergeCell ref="B16:H16"/>
    <mergeCell ref="B17:H17"/>
    <mergeCell ref="B18:H18"/>
    <mergeCell ref="B19:H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B6E8-9D31-4F3F-B360-F39B24B91060}">
  <dimension ref="A1:IP245"/>
  <sheetViews>
    <sheetView tabSelected="1" topLeftCell="A106" zoomScale="85" zoomScaleNormal="85" workbookViewId="0">
      <selection activeCell="N137" sqref="N137"/>
    </sheetView>
  </sheetViews>
  <sheetFormatPr defaultRowHeight="14.25"/>
  <cols>
    <col min="9" max="9" width="18" bestFit="1" customWidth="1"/>
    <col min="10" max="10" width="14.5" bestFit="1" customWidth="1"/>
    <col min="11" max="11" width="18.25" bestFit="1" customWidth="1"/>
    <col min="12" max="12" width="19.25" bestFit="1" customWidth="1"/>
    <col min="13" max="16" width="19.5" bestFit="1" customWidth="1"/>
    <col min="17" max="17" width="18" bestFit="1" customWidth="1"/>
    <col min="18" max="18" width="14.125" bestFit="1" customWidth="1"/>
    <col min="19" max="19" width="17.875" bestFit="1" customWidth="1"/>
    <col min="20" max="248" width="19.5" bestFit="1" customWidth="1"/>
    <col min="249" max="249" width="21" bestFit="1" customWidth="1"/>
    <col min="250" max="250" width="18.75" bestFit="1" customWidth="1"/>
  </cols>
  <sheetData>
    <row r="1" spans="1:19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4</v>
      </c>
    </row>
    <row r="2" spans="1:19">
      <c r="A2" t="s">
        <v>5</v>
      </c>
      <c r="B2" t="s">
        <v>12</v>
      </c>
      <c r="C2" t="s">
        <v>7</v>
      </c>
      <c r="D2">
        <v>28</v>
      </c>
      <c r="E2">
        <v>4200</v>
      </c>
      <c r="F2">
        <v>50</v>
      </c>
      <c r="H2" t="s">
        <v>24</v>
      </c>
      <c r="I2" t="s">
        <v>32</v>
      </c>
      <c r="J2" t="s">
        <v>15</v>
      </c>
      <c r="K2" t="s">
        <v>3</v>
      </c>
      <c r="L2" t="s">
        <v>4</v>
      </c>
    </row>
    <row r="3" spans="1:19">
      <c r="A3" t="s">
        <v>8</v>
      </c>
      <c r="B3" t="s">
        <v>6</v>
      </c>
      <c r="C3" t="s">
        <v>7</v>
      </c>
      <c r="D3">
        <v>37</v>
      </c>
      <c r="E3">
        <v>9900</v>
      </c>
      <c r="F3">
        <v>0</v>
      </c>
      <c r="I3">
        <v>1</v>
      </c>
      <c r="J3">
        <f>_xlfn.QUARTILE.INC(D:D,$I3)</f>
        <v>28</v>
      </c>
      <c r="K3">
        <f>_xlfn.QUARTILE.INC(E:E,$I3)</f>
        <v>7375</v>
      </c>
      <c r="L3">
        <f>_xlfn.QUARTILE.INC(F:F,$I3)</f>
        <v>40</v>
      </c>
    </row>
    <row r="4" spans="1:19">
      <c r="A4" t="s">
        <v>5</v>
      </c>
      <c r="B4" t="s">
        <v>12</v>
      </c>
      <c r="C4" t="s">
        <v>7</v>
      </c>
      <c r="D4">
        <v>47</v>
      </c>
      <c r="E4">
        <v>8000</v>
      </c>
      <c r="F4">
        <v>0</v>
      </c>
      <c r="I4">
        <v>2</v>
      </c>
      <c r="J4">
        <f t="shared" ref="J4:J5" si="0">_xlfn.QUARTILE.INC(D:D,$I4)</f>
        <v>34</v>
      </c>
      <c r="K4">
        <f t="shared" ref="K4:K5" si="1">_xlfn.QUARTILE.INC(E:E,$I4)</f>
        <v>10400</v>
      </c>
      <c r="L4">
        <f t="shared" ref="L4:L5" si="2">_xlfn.QUARTILE.INC(F:F,$I4)</f>
        <v>140</v>
      </c>
    </row>
    <row r="5" spans="1:19">
      <c r="A5" t="s">
        <v>5</v>
      </c>
      <c r="B5" t="s">
        <v>6</v>
      </c>
      <c r="C5" t="s">
        <v>7</v>
      </c>
      <c r="D5">
        <v>22</v>
      </c>
      <c r="E5">
        <v>6700</v>
      </c>
      <c r="F5">
        <v>35</v>
      </c>
      <c r="I5">
        <v>3</v>
      </c>
      <c r="J5">
        <f t="shared" si="0"/>
        <v>41</v>
      </c>
      <c r="K5">
        <f t="shared" si="1"/>
        <v>14050</v>
      </c>
      <c r="L5">
        <f t="shared" si="2"/>
        <v>220</v>
      </c>
    </row>
    <row r="6" spans="1:19">
      <c r="A6" t="s">
        <v>5</v>
      </c>
      <c r="B6" t="s">
        <v>6</v>
      </c>
      <c r="C6" t="s">
        <v>7</v>
      </c>
      <c r="D6">
        <v>25</v>
      </c>
      <c r="E6">
        <v>7800</v>
      </c>
      <c r="F6">
        <v>40</v>
      </c>
    </row>
    <row r="7" spans="1:19">
      <c r="A7" t="s">
        <v>5</v>
      </c>
      <c r="B7" t="s">
        <v>6</v>
      </c>
      <c r="C7" t="s">
        <v>10</v>
      </c>
      <c r="D7">
        <v>23</v>
      </c>
      <c r="E7">
        <v>5000</v>
      </c>
      <c r="F7">
        <v>120</v>
      </c>
      <c r="I7" t="str">
        <f>$I3*25&amp;"% dos usuários têm até "&amp;J3&amp;" anos"</f>
        <v>25% dos usuários têm até 28 anos</v>
      </c>
    </row>
    <row r="8" spans="1:19">
      <c r="A8" t="s">
        <v>8</v>
      </c>
      <c r="B8" t="s">
        <v>14</v>
      </c>
      <c r="C8" t="s">
        <v>9</v>
      </c>
      <c r="D8">
        <v>39</v>
      </c>
      <c r="E8">
        <v>13600</v>
      </c>
      <c r="F8">
        <v>360</v>
      </c>
      <c r="I8" t="str">
        <f>$I4*25&amp;"% dos usuários têm até "&amp;J4&amp;" anos"</f>
        <v>50% dos usuários têm até 34 anos</v>
      </c>
    </row>
    <row r="9" spans="1:19">
      <c r="A9" t="s">
        <v>11</v>
      </c>
      <c r="B9" t="s">
        <v>14</v>
      </c>
      <c r="C9" t="s">
        <v>10</v>
      </c>
      <c r="D9">
        <v>43</v>
      </c>
      <c r="E9">
        <v>14000</v>
      </c>
      <c r="F9">
        <v>210</v>
      </c>
      <c r="I9" t="str">
        <f>$I5*25&amp;"% dos usuários têm até "&amp;J5&amp;" anos"</f>
        <v>75% dos usuários têm até 41 anos</v>
      </c>
    </row>
    <row r="10" spans="1:19">
      <c r="A10" t="s">
        <v>13</v>
      </c>
      <c r="B10" t="s">
        <v>14</v>
      </c>
      <c r="C10" t="s">
        <v>9</v>
      </c>
      <c r="D10">
        <v>41</v>
      </c>
      <c r="E10">
        <v>11900</v>
      </c>
      <c r="F10">
        <v>180</v>
      </c>
      <c r="I10" t="str">
        <f>$I3*25&amp;"% dos usuários têm renda de até até R$ "&amp;TEXT(K3,"#.###,00")</f>
        <v>25% dos usuários têm renda de até até R$ 7.375,00</v>
      </c>
    </row>
    <row r="11" spans="1:19">
      <c r="A11" t="s">
        <v>5</v>
      </c>
      <c r="B11" t="s">
        <v>6</v>
      </c>
      <c r="C11" t="s">
        <v>7</v>
      </c>
      <c r="D11">
        <v>38</v>
      </c>
      <c r="E11">
        <v>7000</v>
      </c>
      <c r="F11">
        <v>50</v>
      </c>
      <c r="I11" t="str">
        <f>$I4*25&amp;"% dos usuários têm renda de até até R$ "&amp;TEXT(K4,"#.###,00")</f>
        <v>50% dos usuários têm renda de até até R$ 10.400,00</v>
      </c>
      <c r="Q11" s="9" t="s">
        <v>33</v>
      </c>
      <c r="R11" t="s">
        <v>44</v>
      </c>
      <c r="S11" t="s">
        <v>54</v>
      </c>
    </row>
    <row r="12" spans="1:19">
      <c r="A12" t="s">
        <v>5</v>
      </c>
      <c r="B12" t="s">
        <v>6</v>
      </c>
      <c r="C12" t="s">
        <v>7</v>
      </c>
      <c r="D12">
        <v>26</v>
      </c>
      <c r="E12">
        <v>5600</v>
      </c>
      <c r="F12">
        <v>60</v>
      </c>
      <c r="I12" t="str">
        <f>$I5*25&amp;"% dos usuários têm renda de até até R$ "&amp;TEXT(K5,"#.###,00")</f>
        <v>75% dos usuários têm renda de até até R$ 14.050,00</v>
      </c>
      <c r="Q12" s="10" t="s">
        <v>9</v>
      </c>
      <c r="R12" s="14">
        <v>332.45454545454544</v>
      </c>
      <c r="S12" s="14">
        <v>151.47690426349666</v>
      </c>
    </row>
    <row r="13" spans="1:19">
      <c r="A13" t="s">
        <v>5</v>
      </c>
      <c r="B13" t="s">
        <v>6</v>
      </c>
      <c r="C13" t="s">
        <v>10</v>
      </c>
      <c r="D13">
        <v>19</v>
      </c>
      <c r="E13">
        <v>2900</v>
      </c>
      <c r="F13">
        <v>10</v>
      </c>
      <c r="I13" t="str">
        <f>$I3*25&amp;"% dos usuários pagam até R$ "&amp;TEXT(L3,"#.###,00")&amp;" de assinatura na plataforma"</f>
        <v>25% dos usuários pagam até R$ 40,00 de assinatura na plataforma</v>
      </c>
      <c r="Q13" s="10" t="s">
        <v>7</v>
      </c>
      <c r="R13" s="14">
        <v>35.053763440860216</v>
      </c>
      <c r="S13" s="14">
        <v>31.159605118122798</v>
      </c>
    </row>
    <row r="14" spans="1:19">
      <c r="A14" t="s">
        <v>5</v>
      </c>
      <c r="B14" t="s">
        <v>6</v>
      </c>
      <c r="C14" t="s">
        <v>7</v>
      </c>
      <c r="D14">
        <v>31</v>
      </c>
      <c r="E14">
        <v>4900</v>
      </c>
      <c r="F14">
        <v>25</v>
      </c>
      <c r="I14" t="str">
        <f>$I4*25&amp;"% dos usuários pagam até R$ "&amp;TEXT(L4,"#.###,00")&amp;" de assinatura na plataforma"</f>
        <v>50% dos usuários pagam até R$ 140,00 de assinatura na plataforma</v>
      </c>
      <c r="Q14" s="10" t="s">
        <v>10</v>
      </c>
      <c r="R14" s="14">
        <v>177.65625</v>
      </c>
      <c r="S14" s="14">
        <v>63.216225119988401</v>
      </c>
    </row>
    <row r="15" spans="1:19">
      <c r="A15" t="s">
        <v>5</v>
      </c>
      <c r="B15" t="s">
        <v>6</v>
      </c>
      <c r="C15" t="s">
        <v>10</v>
      </c>
      <c r="D15">
        <v>20</v>
      </c>
      <c r="E15">
        <v>4600</v>
      </c>
      <c r="F15">
        <v>100</v>
      </c>
      <c r="I15" t="str">
        <f>$I5*25&amp;"% dos usuários pagam até R$ "&amp;TEXT(L5,"#.###,00")&amp;" de assinatura na plataforma"</f>
        <v>75% dos usuários pagam até R$ 220,00 de assinatura na plataforma</v>
      </c>
      <c r="Q15" s="10" t="s">
        <v>34</v>
      </c>
      <c r="R15" s="14">
        <v>158.19672131147541</v>
      </c>
      <c r="S15" s="14">
        <v>140.90764797091632</v>
      </c>
    </row>
    <row r="16" spans="1:19">
      <c r="A16" t="s">
        <v>11</v>
      </c>
      <c r="B16" t="s">
        <v>12</v>
      </c>
      <c r="C16" t="s">
        <v>7</v>
      </c>
      <c r="D16">
        <v>30</v>
      </c>
      <c r="E16">
        <v>15500</v>
      </c>
      <c r="F16">
        <v>0</v>
      </c>
    </row>
    <row r="17" spans="1:14">
      <c r="A17" t="s">
        <v>8</v>
      </c>
      <c r="B17" t="s">
        <v>6</v>
      </c>
      <c r="C17" t="s">
        <v>10</v>
      </c>
      <c r="D17">
        <v>36</v>
      </c>
      <c r="E17">
        <v>12600</v>
      </c>
      <c r="F17">
        <v>170</v>
      </c>
      <c r="H17" t="s">
        <v>25</v>
      </c>
      <c r="I17" s="9" t="s">
        <v>33</v>
      </c>
      <c r="J17" t="s">
        <v>35</v>
      </c>
      <c r="K17" t="s">
        <v>36</v>
      </c>
      <c r="N17" t="s">
        <v>37</v>
      </c>
    </row>
    <row r="18" spans="1:14">
      <c r="A18" t="s">
        <v>13</v>
      </c>
      <c r="B18" t="s">
        <v>12</v>
      </c>
      <c r="C18" t="s">
        <v>10</v>
      </c>
      <c r="D18">
        <v>36</v>
      </c>
      <c r="E18">
        <v>10900</v>
      </c>
      <c r="F18">
        <v>160</v>
      </c>
      <c r="I18" s="10" t="s">
        <v>9</v>
      </c>
      <c r="J18" s="3">
        <v>332.45454545454544</v>
      </c>
      <c r="K18" s="3">
        <v>151.47690426349666</v>
      </c>
      <c r="M18" t="s">
        <v>9</v>
      </c>
      <c r="N18" s="8">
        <f>_xlfn.NORM.DIST(500,J18,K18,TRUE)-_xlfn.NORM.DIST(300,J18,K18,TRUE)</f>
        <v>0.45047942083274134</v>
      </c>
    </row>
    <row r="19" spans="1:14">
      <c r="A19" t="s">
        <v>5</v>
      </c>
      <c r="B19" t="s">
        <v>6</v>
      </c>
      <c r="C19" t="s">
        <v>7</v>
      </c>
      <c r="D19">
        <v>33</v>
      </c>
      <c r="E19">
        <v>6000</v>
      </c>
      <c r="F19">
        <v>25</v>
      </c>
      <c r="I19" s="10" t="s">
        <v>7</v>
      </c>
      <c r="J19" s="3">
        <v>35.053763440860216</v>
      </c>
      <c r="K19" s="3">
        <v>31.159605118122798</v>
      </c>
      <c r="M19" t="s">
        <v>7</v>
      </c>
      <c r="N19" s="8">
        <f t="shared" ref="N19:N20" si="3">_xlfn.NORM.DIST(500,J19,K19,TRUE)-_xlfn.NORM.DIST(300,J19,K19,TRUE)</f>
        <v>0</v>
      </c>
    </row>
    <row r="20" spans="1:14">
      <c r="A20" t="s">
        <v>11</v>
      </c>
      <c r="B20" t="s">
        <v>14</v>
      </c>
      <c r="C20" t="s">
        <v>9</v>
      </c>
      <c r="D20">
        <v>43</v>
      </c>
      <c r="E20">
        <v>17000</v>
      </c>
      <c r="F20">
        <v>200</v>
      </c>
      <c r="I20" s="10" t="s">
        <v>10</v>
      </c>
      <c r="J20" s="3">
        <v>177.65625</v>
      </c>
      <c r="K20" s="3">
        <v>63.216225119988401</v>
      </c>
      <c r="M20" t="s">
        <v>10</v>
      </c>
      <c r="N20" s="8">
        <f t="shared" si="3"/>
        <v>2.6475227669204071E-2</v>
      </c>
    </row>
    <row r="21" spans="1:14">
      <c r="A21" t="s">
        <v>5</v>
      </c>
      <c r="B21" t="s">
        <v>6</v>
      </c>
      <c r="C21" t="s">
        <v>7</v>
      </c>
      <c r="D21">
        <v>26</v>
      </c>
      <c r="E21">
        <v>10500</v>
      </c>
      <c r="F21">
        <v>35</v>
      </c>
      <c r="I21" s="10" t="s">
        <v>34</v>
      </c>
      <c r="J21" s="3">
        <v>158.19672131147541</v>
      </c>
      <c r="K21" s="3">
        <v>140.90764797091632</v>
      </c>
    </row>
    <row r="22" spans="1:14">
      <c r="A22" t="s">
        <v>5</v>
      </c>
      <c r="B22" t="s">
        <v>6</v>
      </c>
      <c r="C22" t="s">
        <v>7</v>
      </c>
      <c r="D22">
        <v>38</v>
      </c>
      <c r="E22">
        <v>8400</v>
      </c>
      <c r="F22">
        <v>10</v>
      </c>
    </row>
    <row r="23" spans="1:14">
      <c r="A23" t="s">
        <v>11</v>
      </c>
      <c r="B23" t="s">
        <v>12</v>
      </c>
      <c r="C23" t="s">
        <v>10</v>
      </c>
      <c r="D23">
        <v>37</v>
      </c>
      <c r="E23">
        <v>18600</v>
      </c>
      <c r="F23">
        <v>190</v>
      </c>
      <c r="I23" t="str">
        <f>"A probabilidade de um usuário da categoria "&amp;M18&amp;" pagar enter R$ 300,00 e R$ 500,00 é "&amp;TEXT(N18,"0#,00%")</f>
        <v>A probabilidade de um usuário da categoria Enterprise pagar enter R$ 300,00 e R$ 500,00 é 45,05%</v>
      </c>
    </row>
    <row r="24" spans="1:14">
      <c r="A24" t="s">
        <v>5</v>
      </c>
      <c r="B24" t="s">
        <v>6</v>
      </c>
      <c r="C24" t="s">
        <v>7</v>
      </c>
      <c r="D24">
        <v>34</v>
      </c>
      <c r="E24">
        <v>8600</v>
      </c>
      <c r="F24">
        <v>0</v>
      </c>
      <c r="I24" t="str">
        <f t="shared" ref="I24:I25" si="4">"A probabilidade de um usuário da categoria "&amp;M19&amp;" pagar enter R$ 300,00 e R$ 500,00 é "&amp;TEXT(N19,"0#,00%")</f>
        <v>A probabilidade de um usuário da categoria Gratuita pagar enter R$ 300,00 e R$ 500,00 é 0,00%</v>
      </c>
    </row>
    <row r="25" spans="1:14">
      <c r="A25" t="s">
        <v>5</v>
      </c>
      <c r="B25" t="s">
        <v>6</v>
      </c>
      <c r="C25" t="s">
        <v>7</v>
      </c>
      <c r="D25">
        <v>22</v>
      </c>
      <c r="E25">
        <v>9600</v>
      </c>
      <c r="F25">
        <v>0</v>
      </c>
      <c r="I25" t="str">
        <f t="shared" si="4"/>
        <v>A probabilidade de um usuário da categoria Profissional pagar enter R$ 300,00 e R$ 500,00 é 02,65%</v>
      </c>
    </row>
    <row r="26" spans="1:14">
      <c r="A26" t="s">
        <v>13</v>
      </c>
      <c r="B26" t="s">
        <v>12</v>
      </c>
      <c r="C26" t="s">
        <v>7</v>
      </c>
      <c r="D26">
        <v>47</v>
      </c>
      <c r="E26">
        <v>4000</v>
      </c>
      <c r="F26">
        <v>30</v>
      </c>
    </row>
    <row r="27" spans="1:14">
      <c r="A27" t="s">
        <v>5</v>
      </c>
      <c r="B27" t="s">
        <v>6</v>
      </c>
      <c r="C27" t="s">
        <v>9</v>
      </c>
      <c r="D27">
        <v>31</v>
      </c>
      <c r="E27">
        <v>11500</v>
      </c>
      <c r="F27">
        <v>190</v>
      </c>
      <c r="H27" t="s">
        <v>28</v>
      </c>
      <c r="I27" s="9" t="s">
        <v>33</v>
      </c>
      <c r="J27" t="s">
        <v>38</v>
      </c>
      <c r="K27" t="s">
        <v>39</v>
      </c>
      <c r="N27" t="s">
        <v>40</v>
      </c>
    </row>
    <row r="28" spans="1:14">
      <c r="A28" t="s">
        <v>8</v>
      </c>
      <c r="B28" t="s">
        <v>6</v>
      </c>
      <c r="C28" t="s">
        <v>10</v>
      </c>
      <c r="D28">
        <v>22</v>
      </c>
      <c r="E28">
        <v>6500</v>
      </c>
      <c r="F28">
        <v>160</v>
      </c>
      <c r="I28" s="10" t="s">
        <v>14</v>
      </c>
      <c r="J28" s="2">
        <v>45.533333333333331</v>
      </c>
      <c r="K28" s="2">
        <v>7.2161435180245137</v>
      </c>
      <c r="M28" t="s">
        <v>14</v>
      </c>
      <c r="N28" s="8">
        <f>1-_xlfn.NORM.DIST(35,J28,K28,TRUE)</f>
        <v>0.9278123695359477</v>
      </c>
    </row>
    <row r="29" spans="1:14">
      <c r="A29" t="s">
        <v>8</v>
      </c>
      <c r="B29" t="s">
        <v>6</v>
      </c>
      <c r="C29" t="s">
        <v>7</v>
      </c>
      <c r="D29">
        <v>35</v>
      </c>
      <c r="E29">
        <v>11000</v>
      </c>
      <c r="F29">
        <v>40</v>
      </c>
      <c r="I29" s="10" t="s">
        <v>6</v>
      </c>
      <c r="J29" s="2">
        <v>27.556521739130435</v>
      </c>
      <c r="K29" s="2">
        <v>5.6447325303716172</v>
      </c>
      <c r="M29" t="s">
        <v>6</v>
      </c>
      <c r="N29" s="8">
        <f t="shared" ref="N29:N30" si="5">1-_xlfn.NORM.DIST(35,J29,K29,TRUE)</f>
        <v>9.3641542873931116E-2</v>
      </c>
    </row>
    <row r="30" spans="1:14">
      <c r="A30" t="s">
        <v>5</v>
      </c>
      <c r="B30" t="s">
        <v>6</v>
      </c>
      <c r="C30" t="s">
        <v>10</v>
      </c>
      <c r="D30">
        <v>28</v>
      </c>
      <c r="E30">
        <v>10700</v>
      </c>
      <c r="F30">
        <v>130</v>
      </c>
      <c r="I30" s="10" t="s">
        <v>12</v>
      </c>
      <c r="J30" s="2">
        <v>38.095238095238095</v>
      </c>
      <c r="K30" s="2">
        <v>5.9183583030151681</v>
      </c>
      <c r="M30" t="s">
        <v>12</v>
      </c>
      <c r="N30" s="8">
        <f t="shared" si="5"/>
        <v>0.69950915204170339</v>
      </c>
    </row>
    <row r="31" spans="1:14">
      <c r="A31" t="s">
        <v>11</v>
      </c>
      <c r="B31" t="s">
        <v>14</v>
      </c>
      <c r="C31" t="s">
        <v>10</v>
      </c>
      <c r="D31">
        <v>58</v>
      </c>
      <c r="E31">
        <v>17600</v>
      </c>
      <c r="F31">
        <v>110</v>
      </c>
      <c r="I31" s="10" t="s">
        <v>34</v>
      </c>
      <c r="J31" s="2">
        <v>34.5</v>
      </c>
      <c r="K31" s="2">
        <v>9.2827110414918863</v>
      </c>
    </row>
    <row r="32" spans="1:14">
      <c r="A32" t="s">
        <v>5</v>
      </c>
      <c r="B32" t="s">
        <v>6</v>
      </c>
      <c r="C32" t="s">
        <v>7</v>
      </c>
      <c r="D32">
        <v>32</v>
      </c>
      <c r="E32">
        <v>7300</v>
      </c>
      <c r="F32">
        <v>45</v>
      </c>
    </row>
    <row r="33" spans="1:250">
      <c r="A33" t="s">
        <v>5</v>
      </c>
      <c r="B33" t="s">
        <v>12</v>
      </c>
      <c r="C33" t="s">
        <v>7</v>
      </c>
      <c r="D33">
        <v>45</v>
      </c>
      <c r="E33">
        <v>5000</v>
      </c>
      <c r="F33">
        <v>125</v>
      </c>
      <c r="I33" t="str">
        <f>"A probabilidade do usuário que prefere a linguagem "&amp;M28&amp;" ter mais de 35 anos é de "&amp;TEXT(N28,"0#,00%")</f>
        <v>A probabilidade do usuário que prefere a linguagem Julia ter mais de 35 anos é de 92,78%</v>
      </c>
    </row>
    <row r="34" spans="1:250">
      <c r="A34" t="s">
        <v>8</v>
      </c>
      <c r="B34" t="s">
        <v>6</v>
      </c>
      <c r="C34" t="s">
        <v>10</v>
      </c>
      <c r="D34">
        <v>22</v>
      </c>
      <c r="E34">
        <v>5900</v>
      </c>
      <c r="F34">
        <v>145</v>
      </c>
      <c r="I34" t="str">
        <f t="shared" ref="I34:I35" si="6">"A probabilidade do usuário que prefere a linguagem "&amp;M29&amp;" ter mais de 35 anos é de "&amp;TEXT(N29,"0#,00%")</f>
        <v>A probabilidade do usuário que prefere a linguagem Python ter mais de 35 anos é de 09,36%</v>
      </c>
    </row>
    <row r="35" spans="1:250">
      <c r="A35" t="s">
        <v>5</v>
      </c>
      <c r="B35" t="s">
        <v>6</v>
      </c>
      <c r="C35" t="s">
        <v>7</v>
      </c>
      <c r="D35">
        <v>24</v>
      </c>
      <c r="E35">
        <v>8700</v>
      </c>
      <c r="F35">
        <v>40</v>
      </c>
      <c r="I35" t="str">
        <f t="shared" si="6"/>
        <v>A probabilidade do usuário que prefere a linguagem R ter mais de 35 anos é de 69,95%</v>
      </c>
    </row>
    <row r="36" spans="1:250">
      <c r="A36" t="s">
        <v>5</v>
      </c>
      <c r="B36" t="s">
        <v>6</v>
      </c>
      <c r="C36" t="s">
        <v>9</v>
      </c>
      <c r="D36">
        <v>31</v>
      </c>
      <c r="E36">
        <v>10200</v>
      </c>
      <c r="F36">
        <v>240</v>
      </c>
    </row>
    <row r="37" spans="1:250">
      <c r="A37" t="s">
        <v>13</v>
      </c>
      <c r="B37" t="s">
        <v>12</v>
      </c>
      <c r="C37" t="s">
        <v>10</v>
      </c>
      <c r="D37">
        <v>47</v>
      </c>
      <c r="E37">
        <v>6400</v>
      </c>
      <c r="F37">
        <v>310</v>
      </c>
      <c r="H37" t="s">
        <v>29</v>
      </c>
      <c r="I37" s="9" t="s">
        <v>41</v>
      </c>
      <c r="K37" s="9"/>
      <c r="L37" s="9"/>
    </row>
    <row r="38" spans="1:250">
      <c r="A38" t="s">
        <v>5</v>
      </c>
      <c r="B38" t="s">
        <v>6</v>
      </c>
      <c r="C38" t="s">
        <v>7</v>
      </c>
      <c r="D38">
        <v>28</v>
      </c>
      <c r="E38">
        <v>10100</v>
      </c>
      <c r="F38">
        <v>25</v>
      </c>
      <c r="I38" s="10" t="s">
        <v>42</v>
      </c>
      <c r="J38" s="3">
        <v>10762.295081967213</v>
      </c>
      <c r="K38" t="s">
        <v>45</v>
      </c>
      <c r="L38" t="s">
        <v>46</v>
      </c>
    </row>
    <row r="39" spans="1:250">
      <c r="A39" t="s">
        <v>13</v>
      </c>
      <c r="B39" t="s">
        <v>12</v>
      </c>
      <c r="C39" t="s">
        <v>10</v>
      </c>
      <c r="D39">
        <v>39</v>
      </c>
      <c r="E39">
        <v>10500</v>
      </c>
      <c r="F39">
        <v>300</v>
      </c>
      <c r="I39" s="10" t="s">
        <v>43</v>
      </c>
      <c r="J39" s="3">
        <v>4380.2555099356232</v>
      </c>
      <c r="K39" s="11">
        <f>_xlfn.NORM.INV(80%,J38,J39)</f>
        <v>14448.811127603789</v>
      </c>
      <c r="L39" s="11">
        <f>_xlfn.PERCENTILE.INC(E:E,80%)</f>
        <v>15340</v>
      </c>
    </row>
    <row r="40" spans="1:250">
      <c r="A40" t="s">
        <v>5</v>
      </c>
      <c r="B40" t="s">
        <v>6</v>
      </c>
      <c r="C40" t="s">
        <v>7</v>
      </c>
      <c r="D40">
        <v>28</v>
      </c>
      <c r="E40">
        <v>6100</v>
      </c>
      <c r="F40">
        <v>20</v>
      </c>
    </row>
    <row r="41" spans="1:250">
      <c r="A41" t="s">
        <v>8</v>
      </c>
      <c r="B41" t="s">
        <v>14</v>
      </c>
      <c r="C41" t="s">
        <v>10</v>
      </c>
      <c r="D41">
        <v>46</v>
      </c>
      <c r="E41">
        <v>13800</v>
      </c>
      <c r="F41">
        <v>210</v>
      </c>
      <c r="I41" s="9" t="s">
        <v>41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</row>
    <row r="42" spans="1:250">
      <c r="A42" t="s">
        <v>13</v>
      </c>
      <c r="B42" t="s">
        <v>12</v>
      </c>
      <c r="C42" t="s">
        <v>10</v>
      </c>
      <c r="D42">
        <v>39</v>
      </c>
      <c r="E42">
        <v>17300</v>
      </c>
      <c r="F42">
        <v>250</v>
      </c>
      <c r="I42" s="10" t="s">
        <v>44</v>
      </c>
      <c r="J42" s="3">
        <v>158.19672131147541</v>
      </c>
      <c r="K42" t="s">
        <v>45</v>
      </c>
      <c r="L42" t="s">
        <v>46</v>
      </c>
    </row>
    <row r="43" spans="1:250">
      <c r="A43" t="s">
        <v>13</v>
      </c>
      <c r="B43" t="s">
        <v>12</v>
      </c>
      <c r="C43" t="s">
        <v>10</v>
      </c>
      <c r="D43">
        <v>30</v>
      </c>
      <c r="E43">
        <v>17200</v>
      </c>
      <c r="F43">
        <v>200</v>
      </c>
      <c r="I43" s="10" t="s">
        <v>36</v>
      </c>
      <c r="J43" s="3">
        <v>140.90764797091632</v>
      </c>
      <c r="K43" s="11">
        <f>_xlfn.NORM.INV(75%,J42,J43)</f>
        <v>253.23748559209622</v>
      </c>
      <c r="L43" s="11">
        <f>_xlfn.PERCENTILE.INC(F:F,75%)</f>
        <v>220</v>
      </c>
    </row>
    <row r="44" spans="1:250">
      <c r="A44" t="s">
        <v>5</v>
      </c>
      <c r="B44" t="s">
        <v>6</v>
      </c>
      <c r="C44" t="s">
        <v>10</v>
      </c>
      <c r="D44">
        <v>32</v>
      </c>
      <c r="E44">
        <v>7500</v>
      </c>
      <c r="F44">
        <v>130</v>
      </c>
    </row>
    <row r="45" spans="1:250">
      <c r="A45" t="s">
        <v>11</v>
      </c>
      <c r="B45" t="s">
        <v>14</v>
      </c>
      <c r="C45" t="s">
        <v>7</v>
      </c>
      <c r="D45">
        <v>48</v>
      </c>
      <c r="E45">
        <v>13200</v>
      </c>
      <c r="F45">
        <v>75</v>
      </c>
      <c r="I45" s="9" t="s">
        <v>41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</row>
    <row r="46" spans="1:250">
      <c r="A46" t="s">
        <v>13</v>
      </c>
      <c r="B46" t="s">
        <v>12</v>
      </c>
      <c r="C46" t="s">
        <v>10</v>
      </c>
      <c r="D46">
        <v>43</v>
      </c>
      <c r="E46">
        <v>8500</v>
      </c>
      <c r="F46">
        <v>200</v>
      </c>
      <c r="I46" s="10" t="s">
        <v>38</v>
      </c>
      <c r="J46" s="3">
        <v>34.5</v>
      </c>
      <c r="K46" t="s">
        <v>45</v>
      </c>
      <c r="L46" t="s">
        <v>46</v>
      </c>
    </row>
    <row r="47" spans="1:250">
      <c r="A47" t="s">
        <v>8</v>
      </c>
      <c r="B47" t="s">
        <v>12</v>
      </c>
      <c r="C47" t="s">
        <v>7</v>
      </c>
      <c r="D47">
        <v>34</v>
      </c>
      <c r="E47">
        <v>8700</v>
      </c>
      <c r="F47">
        <v>55</v>
      </c>
      <c r="I47" s="10" t="s">
        <v>39</v>
      </c>
      <c r="J47" s="3">
        <v>9.2827110414918863</v>
      </c>
      <c r="K47" s="6">
        <f>_xlfn.NORM.INV(30%,J46,J47)</f>
        <v>29.632141570521064</v>
      </c>
      <c r="L47">
        <f>_xlfn.PERCENTILE.INC(D:D,30%)</f>
        <v>28.899999999999991</v>
      </c>
    </row>
    <row r="48" spans="1:250">
      <c r="A48" t="s">
        <v>11</v>
      </c>
      <c r="B48" t="s">
        <v>14</v>
      </c>
      <c r="C48" t="s">
        <v>9</v>
      </c>
      <c r="D48">
        <v>44</v>
      </c>
      <c r="E48">
        <v>19200</v>
      </c>
      <c r="F48">
        <v>500</v>
      </c>
    </row>
    <row r="49" spans="1:13" ht="14.25" customHeight="1">
      <c r="A49" t="s">
        <v>8</v>
      </c>
      <c r="B49" t="s">
        <v>12</v>
      </c>
      <c r="C49" t="s">
        <v>7</v>
      </c>
      <c r="D49">
        <v>36</v>
      </c>
      <c r="E49">
        <v>10400</v>
      </c>
      <c r="F49">
        <v>0</v>
      </c>
      <c r="I49" s="16" t="str">
        <f>"O usuário considerado financeiramente elevado tem renda de pelo menos R$ "&amp;TEXT(K39,"0#.###,00")&amp;" (de acordo com uma distribuição Normal) ou R$ "&amp;TEXT(L39,"0#.###,00")&amp;" (de acordo com o Percentil)"</f>
        <v>O usuário considerado financeiramente elevado tem renda de pelo menos R$ 14.448,81 (de acordo com uma distribuição Normal) ou R$ 15.340,00 (de acordo com o Percentil)</v>
      </c>
      <c r="J49" s="16"/>
      <c r="K49" s="16"/>
      <c r="L49" s="16"/>
      <c r="M49" s="12"/>
    </row>
    <row r="50" spans="1:13">
      <c r="A50" t="s">
        <v>11</v>
      </c>
      <c r="B50" t="s">
        <v>14</v>
      </c>
      <c r="C50" t="s">
        <v>9</v>
      </c>
      <c r="D50">
        <v>51</v>
      </c>
      <c r="E50">
        <v>15900</v>
      </c>
      <c r="F50">
        <v>430</v>
      </c>
      <c r="I50" s="16"/>
      <c r="J50" s="16"/>
      <c r="K50" s="16"/>
      <c r="L50" s="16"/>
      <c r="M50" s="12"/>
    </row>
    <row r="51" spans="1:13">
      <c r="A51" t="s">
        <v>5</v>
      </c>
      <c r="B51" t="s">
        <v>6</v>
      </c>
      <c r="C51" t="s">
        <v>10</v>
      </c>
      <c r="D51">
        <v>21</v>
      </c>
      <c r="E51">
        <v>5800</v>
      </c>
      <c r="F51">
        <v>170</v>
      </c>
      <c r="I51" s="16"/>
      <c r="J51" s="16"/>
      <c r="K51" s="16"/>
      <c r="L51" s="16"/>
      <c r="M51" s="12"/>
    </row>
    <row r="52" spans="1:13">
      <c r="A52" t="s">
        <v>13</v>
      </c>
      <c r="B52" t="s">
        <v>12</v>
      </c>
      <c r="C52" t="s">
        <v>9</v>
      </c>
      <c r="D52">
        <v>33</v>
      </c>
      <c r="E52">
        <v>13000</v>
      </c>
      <c r="F52">
        <v>500</v>
      </c>
      <c r="I52" s="16" t="str">
        <f>"O usuário com perfil de investimento pagam pelo menos R$ "&amp;TEXT(K43,"#.###,00")&amp;" (de acordo com uma distribuição Normal) ou R$ "&amp;TEXT(L43,"#.###,00")&amp;" (de acordo com o Percentil)"</f>
        <v>O usuário com perfil de investimento pagam pelo menos R$ 253,24 (de acordo com uma distribuição Normal) ou R$ 220,00 (de acordo com o Percentil)</v>
      </c>
      <c r="J52" s="16"/>
      <c r="K52" s="16"/>
      <c r="L52" s="16"/>
    </row>
    <row r="53" spans="1:13">
      <c r="A53" t="s">
        <v>11</v>
      </c>
      <c r="B53" t="s">
        <v>14</v>
      </c>
      <c r="C53" t="s">
        <v>9</v>
      </c>
      <c r="D53">
        <v>50</v>
      </c>
      <c r="E53">
        <v>14000</v>
      </c>
      <c r="F53">
        <v>400</v>
      </c>
      <c r="I53" s="16"/>
      <c r="J53" s="16"/>
      <c r="K53" s="16"/>
      <c r="L53" s="16"/>
    </row>
    <row r="54" spans="1:13">
      <c r="A54" t="s">
        <v>13</v>
      </c>
      <c r="B54" t="s">
        <v>14</v>
      </c>
      <c r="C54" t="s">
        <v>9</v>
      </c>
      <c r="D54">
        <v>51</v>
      </c>
      <c r="E54">
        <v>16800</v>
      </c>
      <c r="F54">
        <v>315</v>
      </c>
      <c r="I54" s="16" t="str">
        <f>"O usuário com perfil jovem de alto engajamento têm no máximo "&amp;TEXT(K47,"#.###")&amp;" anos (de acordo com uma distribuição Normal) ou "&amp;TEXT(L47,"#.###,00")&amp;" anos (de acordo com o Percentil)"</f>
        <v>O usuário com perfil jovem de alto engajamento têm no máximo 30 anos (de acordo com uma distribuição Normal) ou 28,90 anos (de acordo com o Percentil)</v>
      </c>
      <c r="J54" s="16"/>
      <c r="K54" s="16"/>
      <c r="L54" s="16"/>
    </row>
    <row r="55" spans="1:13">
      <c r="A55" t="s">
        <v>11</v>
      </c>
      <c r="B55" t="s">
        <v>6</v>
      </c>
      <c r="C55" t="s">
        <v>7</v>
      </c>
      <c r="D55">
        <v>24</v>
      </c>
      <c r="E55">
        <v>13900</v>
      </c>
      <c r="F55">
        <v>50</v>
      </c>
      <c r="I55" s="16"/>
      <c r="J55" s="16"/>
      <c r="K55" s="16"/>
      <c r="L55" s="16"/>
    </row>
    <row r="56" spans="1:13">
      <c r="A56" t="s">
        <v>8</v>
      </c>
      <c r="B56" t="s">
        <v>6</v>
      </c>
      <c r="C56" t="s">
        <v>7</v>
      </c>
      <c r="D56">
        <v>22</v>
      </c>
      <c r="E56">
        <v>9600</v>
      </c>
      <c r="F56">
        <v>25</v>
      </c>
    </row>
    <row r="57" spans="1:13">
      <c r="A57" t="s">
        <v>13</v>
      </c>
      <c r="B57" t="s">
        <v>12</v>
      </c>
      <c r="C57" t="s">
        <v>10</v>
      </c>
      <c r="D57">
        <v>28</v>
      </c>
      <c r="E57">
        <v>9600</v>
      </c>
      <c r="F57">
        <v>150</v>
      </c>
      <c r="H57" t="s">
        <v>47</v>
      </c>
    </row>
    <row r="58" spans="1:13">
      <c r="A58" t="s">
        <v>13</v>
      </c>
      <c r="B58" t="s">
        <v>12</v>
      </c>
      <c r="C58" t="s">
        <v>10</v>
      </c>
      <c r="D58">
        <v>47</v>
      </c>
      <c r="E58">
        <v>8000</v>
      </c>
      <c r="F58">
        <v>200</v>
      </c>
      <c r="I58" t="s">
        <v>48</v>
      </c>
      <c r="J58" s="4">
        <f>1-_xlfn.NORM.DIST(35,J46,J47,TRUE)</f>
        <v>0.47852192882980349</v>
      </c>
    </row>
    <row r="59" spans="1:13">
      <c r="A59" t="s">
        <v>13</v>
      </c>
      <c r="B59" t="s">
        <v>12</v>
      </c>
      <c r="C59" t="s">
        <v>9</v>
      </c>
      <c r="D59">
        <v>44</v>
      </c>
      <c r="E59">
        <v>17200</v>
      </c>
      <c r="F59">
        <v>270</v>
      </c>
      <c r="I59" t="s">
        <v>49</v>
      </c>
      <c r="J59" s="4">
        <f>1-_xlfn.NORM.DIST(8000,J38,J39,TRUE)</f>
        <v>0.73585686078774526</v>
      </c>
    </row>
    <row r="60" spans="1:13">
      <c r="A60" t="s">
        <v>5</v>
      </c>
      <c r="B60" t="s">
        <v>6</v>
      </c>
      <c r="C60" t="s">
        <v>10</v>
      </c>
      <c r="D60">
        <v>32</v>
      </c>
      <c r="E60">
        <v>5500</v>
      </c>
      <c r="F60">
        <v>130</v>
      </c>
      <c r="I60" t="s">
        <v>50</v>
      </c>
      <c r="J60" s="4">
        <f>1-_xlfn.NORM.DIST(250,J42,J43,TRUE)</f>
        <v>0.25735743243715758</v>
      </c>
    </row>
    <row r="61" spans="1:13">
      <c r="A61" t="s">
        <v>8</v>
      </c>
      <c r="B61" t="s">
        <v>6</v>
      </c>
      <c r="C61" t="s">
        <v>9</v>
      </c>
      <c r="D61">
        <v>31</v>
      </c>
      <c r="E61">
        <v>15200</v>
      </c>
      <c r="F61">
        <v>385</v>
      </c>
      <c r="J61" s="13">
        <f>J58*J59*J60</f>
        <v>9.0621637014653422E-2</v>
      </c>
    </row>
    <row r="62" spans="1:13">
      <c r="A62" t="s">
        <v>5</v>
      </c>
      <c r="B62" t="s">
        <v>6</v>
      </c>
      <c r="C62" t="s">
        <v>7</v>
      </c>
      <c r="D62">
        <v>32</v>
      </c>
      <c r="E62">
        <v>5000</v>
      </c>
      <c r="F62">
        <v>65</v>
      </c>
    </row>
    <row r="63" spans="1:13">
      <c r="A63" t="s">
        <v>5</v>
      </c>
      <c r="B63" t="s">
        <v>6</v>
      </c>
      <c r="C63" t="s">
        <v>7</v>
      </c>
      <c r="D63">
        <v>28</v>
      </c>
      <c r="E63">
        <v>7400</v>
      </c>
      <c r="F63">
        <v>50</v>
      </c>
      <c r="I63" s="17" t="s">
        <v>55</v>
      </c>
      <c r="J63" s="17"/>
      <c r="K63" s="17"/>
      <c r="L63" s="17"/>
    </row>
    <row r="64" spans="1:13">
      <c r="A64" t="s">
        <v>5</v>
      </c>
      <c r="B64" t="s">
        <v>6</v>
      </c>
      <c r="C64" t="s">
        <v>10</v>
      </c>
      <c r="D64">
        <v>23</v>
      </c>
      <c r="E64">
        <v>5900</v>
      </c>
      <c r="F64">
        <v>165</v>
      </c>
      <c r="I64" s="17"/>
      <c r="J64" s="17"/>
      <c r="K64" s="17"/>
      <c r="L64" s="17"/>
    </row>
    <row r="65" spans="1:14">
      <c r="A65" t="s">
        <v>13</v>
      </c>
      <c r="B65" t="s">
        <v>12</v>
      </c>
      <c r="C65" t="s">
        <v>10</v>
      </c>
      <c r="D65">
        <v>42</v>
      </c>
      <c r="E65">
        <v>10700</v>
      </c>
      <c r="F65">
        <v>190</v>
      </c>
      <c r="I65" s="17"/>
      <c r="J65" s="17"/>
      <c r="K65" s="17"/>
      <c r="L65" s="17"/>
    </row>
    <row r="66" spans="1:14">
      <c r="A66" t="s">
        <v>5</v>
      </c>
      <c r="B66" t="s">
        <v>6</v>
      </c>
      <c r="C66" t="s">
        <v>7</v>
      </c>
      <c r="D66">
        <v>36</v>
      </c>
      <c r="E66">
        <v>5300</v>
      </c>
      <c r="F66">
        <v>35</v>
      </c>
    </row>
    <row r="67" spans="1:14">
      <c r="A67" t="s">
        <v>13</v>
      </c>
      <c r="B67" t="s">
        <v>12</v>
      </c>
      <c r="C67" t="s">
        <v>7</v>
      </c>
      <c r="D67">
        <v>29</v>
      </c>
      <c r="E67">
        <v>15700</v>
      </c>
      <c r="F67">
        <v>45</v>
      </c>
    </row>
    <row r="68" spans="1:14">
      <c r="A68" t="s">
        <v>13</v>
      </c>
      <c r="B68" t="s">
        <v>12</v>
      </c>
      <c r="C68" t="s">
        <v>10</v>
      </c>
      <c r="D68">
        <v>40</v>
      </c>
      <c r="E68">
        <v>18800</v>
      </c>
      <c r="F68">
        <v>180</v>
      </c>
    </row>
    <row r="69" spans="1:14">
      <c r="A69" t="s">
        <v>5</v>
      </c>
      <c r="B69" t="s">
        <v>6</v>
      </c>
      <c r="C69" t="s">
        <v>7</v>
      </c>
      <c r="D69">
        <v>34</v>
      </c>
      <c r="E69">
        <v>9800</v>
      </c>
      <c r="F69">
        <v>0</v>
      </c>
      <c r="I69" s="29" t="s">
        <v>84</v>
      </c>
      <c r="J69" s="29"/>
      <c r="K69" s="29"/>
    </row>
    <row r="70" spans="1:14">
      <c r="A70" t="s">
        <v>11</v>
      </c>
      <c r="B70" t="s">
        <v>6</v>
      </c>
      <c r="C70" t="s">
        <v>7</v>
      </c>
      <c r="D70">
        <v>28</v>
      </c>
      <c r="E70">
        <v>13400</v>
      </c>
      <c r="F70">
        <v>40</v>
      </c>
      <c r="I70" s="19" t="s">
        <v>56</v>
      </c>
      <c r="J70" s="20"/>
      <c r="K70" s="21"/>
      <c r="M70" s="15" t="s">
        <v>85</v>
      </c>
      <c r="N70" s="15"/>
    </row>
    <row r="71" spans="1:14">
      <c r="A71" t="s">
        <v>13</v>
      </c>
      <c r="B71" t="s">
        <v>12</v>
      </c>
      <c r="C71" t="s">
        <v>10</v>
      </c>
      <c r="D71">
        <v>29</v>
      </c>
      <c r="E71">
        <v>17000</v>
      </c>
      <c r="F71">
        <v>160</v>
      </c>
      <c r="I71" s="22"/>
      <c r="J71" s="18"/>
      <c r="K71" s="23"/>
      <c r="M71" t="s">
        <v>86</v>
      </c>
      <c r="N71" s="3">
        <f>_xlfn.T.INV.2T(K77,K74-1)</f>
        <v>1.6511484017737137</v>
      </c>
    </row>
    <row r="72" spans="1:14">
      <c r="A72" t="s">
        <v>5</v>
      </c>
      <c r="B72" t="s">
        <v>6</v>
      </c>
      <c r="C72" t="s">
        <v>7</v>
      </c>
      <c r="D72">
        <v>37</v>
      </c>
      <c r="E72">
        <v>8600</v>
      </c>
      <c r="F72">
        <v>60</v>
      </c>
      <c r="I72" s="27" t="s">
        <v>57</v>
      </c>
      <c r="J72" s="27"/>
      <c r="K72">
        <f>AVERAGE(D:D)</f>
        <v>34.5</v>
      </c>
      <c r="M72" t="s">
        <v>65</v>
      </c>
      <c r="N72" s="3">
        <f>N71*K73/SQRT(K74)</f>
        <v>0.9812191758458273</v>
      </c>
    </row>
    <row r="73" spans="1:14">
      <c r="A73" t="s">
        <v>8</v>
      </c>
      <c r="B73" t="s">
        <v>6</v>
      </c>
      <c r="C73" t="s">
        <v>9</v>
      </c>
      <c r="D73">
        <v>31</v>
      </c>
      <c r="E73">
        <v>13500</v>
      </c>
      <c r="F73">
        <v>320</v>
      </c>
      <c r="I73" s="15" t="s">
        <v>58</v>
      </c>
      <c r="J73" s="15"/>
      <c r="K73">
        <f>_xlfn.STDEV.S(D:D)</f>
        <v>9.2827110414918863</v>
      </c>
      <c r="M73" t="s">
        <v>65</v>
      </c>
      <c r="N73" s="3">
        <f>_xlfn.CONFIDENCE.T(K77,K73,K74)</f>
        <v>0.9812191758458273</v>
      </c>
    </row>
    <row r="74" spans="1:14">
      <c r="A74" t="s">
        <v>5</v>
      </c>
      <c r="B74" t="s">
        <v>6</v>
      </c>
      <c r="C74" t="s">
        <v>7</v>
      </c>
      <c r="D74">
        <v>36</v>
      </c>
      <c r="E74">
        <v>10000</v>
      </c>
      <c r="F74">
        <v>0</v>
      </c>
      <c r="I74" s="16" t="s">
        <v>59</v>
      </c>
      <c r="J74" s="16"/>
      <c r="K74" s="28">
        <f>COUNT(D:D)</f>
        <v>244</v>
      </c>
      <c r="L74" s="28" t="s">
        <v>69</v>
      </c>
      <c r="M74" t="s">
        <v>66</v>
      </c>
      <c r="N74" s="3">
        <f>K72-N72</f>
        <v>33.51878082415417</v>
      </c>
    </row>
    <row r="75" spans="1:14">
      <c r="A75" t="s">
        <v>13</v>
      </c>
      <c r="B75" t="s">
        <v>12</v>
      </c>
      <c r="C75" t="s">
        <v>10</v>
      </c>
      <c r="D75">
        <v>36</v>
      </c>
      <c r="E75">
        <v>10100</v>
      </c>
      <c r="F75">
        <v>120</v>
      </c>
      <c r="I75" s="16"/>
      <c r="J75" s="16"/>
      <c r="K75" s="28"/>
      <c r="L75" s="28"/>
      <c r="M75" t="s">
        <v>67</v>
      </c>
      <c r="N75" s="3">
        <f>K72+N73</f>
        <v>35.48121917584583</v>
      </c>
    </row>
    <row r="76" spans="1:14">
      <c r="A76" t="s">
        <v>13</v>
      </c>
      <c r="B76" t="s">
        <v>12</v>
      </c>
      <c r="C76" t="s">
        <v>10</v>
      </c>
      <c r="D76">
        <v>34</v>
      </c>
      <c r="E76">
        <v>11000</v>
      </c>
      <c r="F76">
        <v>150</v>
      </c>
      <c r="I76" s="15" t="s">
        <v>60</v>
      </c>
      <c r="J76" s="15"/>
      <c r="K76" s="26">
        <v>0.9</v>
      </c>
      <c r="L76" s="28"/>
      <c r="M76" t="s">
        <v>87</v>
      </c>
    </row>
    <row r="77" spans="1:14" ht="15">
      <c r="A77" t="s">
        <v>5</v>
      </c>
      <c r="B77" t="s">
        <v>6</v>
      </c>
      <c r="C77" t="s">
        <v>9</v>
      </c>
      <c r="D77">
        <v>28</v>
      </c>
      <c r="E77">
        <v>7800</v>
      </c>
      <c r="F77">
        <v>325</v>
      </c>
      <c r="I77" s="25" t="s">
        <v>62</v>
      </c>
      <c r="J77" s="25"/>
      <c r="K77" s="26">
        <f>1-K76</f>
        <v>9.9999999999999978E-2</v>
      </c>
      <c r="L77" s="28"/>
    </row>
    <row r="78" spans="1:14">
      <c r="A78" t="s">
        <v>13</v>
      </c>
      <c r="B78" t="s">
        <v>12</v>
      </c>
      <c r="C78" t="s">
        <v>10</v>
      </c>
      <c r="D78">
        <v>47</v>
      </c>
      <c r="E78">
        <v>12700</v>
      </c>
      <c r="F78">
        <v>230</v>
      </c>
    </row>
    <row r="79" spans="1:14">
      <c r="A79" t="s">
        <v>11</v>
      </c>
      <c r="B79" t="s">
        <v>12</v>
      </c>
      <c r="C79" t="s">
        <v>10</v>
      </c>
      <c r="D79">
        <v>38</v>
      </c>
      <c r="E79">
        <v>15800</v>
      </c>
      <c r="F79">
        <v>160</v>
      </c>
      <c r="I79" t="s">
        <v>63</v>
      </c>
      <c r="J79" s="3">
        <f>_xlfn.NORM.S.INV(1-K77/2)</f>
        <v>1.6448536269514715</v>
      </c>
      <c r="L79" s="28" t="s">
        <v>70</v>
      </c>
    </row>
    <row r="80" spans="1:14">
      <c r="A80" t="s">
        <v>11</v>
      </c>
      <c r="B80" t="s">
        <v>6</v>
      </c>
      <c r="C80" t="s">
        <v>10</v>
      </c>
      <c r="D80">
        <v>22</v>
      </c>
      <c r="E80">
        <v>7800</v>
      </c>
      <c r="F80">
        <v>220</v>
      </c>
      <c r="I80" t="s">
        <v>65</v>
      </c>
      <c r="J80" s="2">
        <f>J79*K73/SQRT(K74)</f>
        <v>0.97747841350333853</v>
      </c>
      <c r="L80" s="28"/>
    </row>
    <row r="81" spans="1:13">
      <c r="A81" t="s">
        <v>5</v>
      </c>
      <c r="B81" t="s">
        <v>6</v>
      </c>
      <c r="C81" t="s">
        <v>7</v>
      </c>
      <c r="D81">
        <v>19</v>
      </c>
      <c r="E81">
        <v>4800</v>
      </c>
      <c r="F81">
        <v>20</v>
      </c>
      <c r="I81" t="s">
        <v>66</v>
      </c>
      <c r="J81" s="2">
        <f>K72-J80</f>
        <v>33.522521586496659</v>
      </c>
      <c r="L81" s="28"/>
    </row>
    <row r="82" spans="1:13">
      <c r="A82" t="s">
        <v>13</v>
      </c>
      <c r="B82" t="s">
        <v>14</v>
      </c>
      <c r="C82" t="s">
        <v>9</v>
      </c>
      <c r="D82">
        <v>41</v>
      </c>
      <c r="E82">
        <v>13400</v>
      </c>
      <c r="F82">
        <v>330</v>
      </c>
      <c r="I82" t="s">
        <v>67</v>
      </c>
      <c r="J82" s="2">
        <f>K72+J80</f>
        <v>35.477478413503341</v>
      </c>
      <c r="L82" s="28"/>
    </row>
    <row r="83" spans="1:13">
      <c r="A83" t="s">
        <v>13</v>
      </c>
      <c r="B83" t="s">
        <v>12</v>
      </c>
      <c r="C83" t="s">
        <v>10</v>
      </c>
      <c r="D83">
        <v>33</v>
      </c>
      <c r="E83">
        <v>7900</v>
      </c>
      <c r="F83">
        <v>130</v>
      </c>
    </row>
    <row r="84" spans="1:13">
      <c r="A84" t="s">
        <v>8</v>
      </c>
      <c r="B84" t="s">
        <v>6</v>
      </c>
      <c r="C84" t="s">
        <v>7</v>
      </c>
      <c r="D84">
        <v>22</v>
      </c>
      <c r="E84">
        <v>4800</v>
      </c>
      <c r="F84">
        <v>0</v>
      </c>
      <c r="I84" s="19" t="s">
        <v>68</v>
      </c>
      <c r="J84" s="20"/>
      <c r="K84" s="21"/>
      <c r="M84" t="s">
        <v>89</v>
      </c>
    </row>
    <row r="85" spans="1:13">
      <c r="A85" t="s">
        <v>5</v>
      </c>
      <c r="B85" t="s">
        <v>6</v>
      </c>
      <c r="C85" t="s">
        <v>7</v>
      </c>
      <c r="D85">
        <v>31</v>
      </c>
      <c r="E85">
        <v>8500</v>
      </c>
      <c r="F85">
        <v>0</v>
      </c>
      <c r="I85" s="22"/>
      <c r="J85" s="18"/>
      <c r="K85" s="23"/>
      <c r="M85" t="s">
        <v>71</v>
      </c>
    </row>
    <row r="86" spans="1:13">
      <c r="A86" t="s">
        <v>8</v>
      </c>
      <c r="B86" t="s">
        <v>6</v>
      </c>
      <c r="C86" t="s">
        <v>10</v>
      </c>
      <c r="D86">
        <v>31</v>
      </c>
      <c r="E86">
        <v>14000</v>
      </c>
      <c r="F86">
        <v>170</v>
      </c>
      <c r="M86" t="s">
        <v>72</v>
      </c>
    </row>
    <row r="87" spans="1:13">
      <c r="A87" t="s">
        <v>8</v>
      </c>
      <c r="B87" t="s">
        <v>12</v>
      </c>
      <c r="C87" t="s">
        <v>10</v>
      </c>
      <c r="D87">
        <v>44</v>
      </c>
      <c r="E87">
        <v>13000</v>
      </c>
      <c r="F87">
        <v>180</v>
      </c>
      <c r="I87" s="19" t="s">
        <v>79</v>
      </c>
      <c r="J87" s="20"/>
      <c r="K87" s="21"/>
      <c r="M87" t="s">
        <v>73</v>
      </c>
    </row>
    <row r="88" spans="1:13">
      <c r="A88" t="s">
        <v>13</v>
      </c>
      <c r="B88" t="s">
        <v>12</v>
      </c>
      <c r="C88" t="s">
        <v>7</v>
      </c>
      <c r="D88">
        <v>41</v>
      </c>
      <c r="E88">
        <v>8600</v>
      </c>
      <c r="F88">
        <v>70</v>
      </c>
      <c r="I88" s="22"/>
      <c r="J88" s="18"/>
      <c r="K88" s="23"/>
      <c r="M88" t="s">
        <v>74</v>
      </c>
    </row>
    <row r="89" spans="1:13">
      <c r="A89" t="s">
        <v>5</v>
      </c>
      <c r="B89" t="s">
        <v>12</v>
      </c>
      <c r="C89" t="s">
        <v>7</v>
      </c>
      <c r="D89">
        <v>44</v>
      </c>
      <c r="E89">
        <v>10100</v>
      </c>
      <c r="F89">
        <v>80</v>
      </c>
      <c r="I89" s="27" t="s">
        <v>57</v>
      </c>
      <c r="J89" s="27"/>
      <c r="K89">
        <f>AVERAGE(E:E)</f>
        <v>10762.295081967213</v>
      </c>
      <c r="M89" t="s">
        <v>75</v>
      </c>
    </row>
    <row r="90" spans="1:13">
      <c r="A90" t="s">
        <v>11</v>
      </c>
      <c r="B90" t="s">
        <v>14</v>
      </c>
      <c r="C90" t="s">
        <v>10</v>
      </c>
      <c r="D90">
        <v>47</v>
      </c>
      <c r="E90">
        <v>17600</v>
      </c>
      <c r="F90">
        <v>260</v>
      </c>
      <c r="I90" s="15" t="s">
        <v>58</v>
      </c>
      <c r="J90" s="15"/>
      <c r="K90">
        <f>_xlfn.STDEV.S(E:E)</f>
        <v>4380.2555099356232</v>
      </c>
      <c r="M90" t="s">
        <v>76</v>
      </c>
    </row>
    <row r="91" spans="1:13">
      <c r="A91" t="s">
        <v>13</v>
      </c>
      <c r="B91" t="s">
        <v>12</v>
      </c>
      <c r="C91" t="s">
        <v>7</v>
      </c>
      <c r="D91">
        <v>40</v>
      </c>
      <c r="E91">
        <v>6400</v>
      </c>
      <c r="F91">
        <v>105</v>
      </c>
      <c r="I91" s="16" t="s">
        <v>59</v>
      </c>
      <c r="J91" s="16"/>
      <c r="K91" s="28">
        <f>COUNT(D:D)</f>
        <v>244</v>
      </c>
      <c r="M91" t="s">
        <v>77</v>
      </c>
    </row>
    <row r="92" spans="1:13">
      <c r="A92" t="s">
        <v>5</v>
      </c>
      <c r="B92" t="s">
        <v>12</v>
      </c>
      <c r="C92" t="s">
        <v>7</v>
      </c>
      <c r="D92">
        <v>44</v>
      </c>
      <c r="E92">
        <v>8100</v>
      </c>
      <c r="F92">
        <v>105</v>
      </c>
      <c r="I92" s="16"/>
      <c r="J92" s="16"/>
      <c r="K92" s="28"/>
      <c r="M92" t="s">
        <v>78</v>
      </c>
    </row>
    <row r="93" spans="1:13">
      <c r="A93" t="s">
        <v>5</v>
      </c>
      <c r="B93" t="s">
        <v>6</v>
      </c>
      <c r="C93" t="s">
        <v>7</v>
      </c>
      <c r="D93">
        <v>21</v>
      </c>
      <c r="E93">
        <v>3700</v>
      </c>
      <c r="F93">
        <v>0</v>
      </c>
      <c r="I93" s="15" t="s">
        <v>60</v>
      </c>
      <c r="J93" s="15"/>
      <c r="K93" s="26">
        <v>0.95</v>
      </c>
    </row>
    <row r="94" spans="1:13" ht="15">
      <c r="A94" t="s">
        <v>5</v>
      </c>
      <c r="B94" t="s">
        <v>6</v>
      </c>
      <c r="C94" t="s">
        <v>10</v>
      </c>
      <c r="D94">
        <v>38</v>
      </c>
      <c r="E94">
        <v>9500</v>
      </c>
      <c r="F94">
        <v>200</v>
      </c>
      <c r="I94" s="25" t="s">
        <v>62</v>
      </c>
      <c r="J94" s="25"/>
      <c r="K94" s="26">
        <f>1-K93</f>
        <v>5.0000000000000044E-2</v>
      </c>
      <c r="M94" t="s">
        <v>81</v>
      </c>
    </row>
    <row r="95" spans="1:13">
      <c r="A95" t="s">
        <v>8</v>
      </c>
      <c r="B95" t="s">
        <v>6</v>
      </c>
      <c r="C95" t="s">
        <v>10</v>
      </c>
      <c r="D95">
        <v>28</v>
      </c>
      <c r="E95">
        <v>11200</v>
      </c>
      <c r="F95">
        <v>180</v>
      </c>
      <c r="M95" s="3">
        <f>_xlfn.CONFIDENCE.NORM(K94,K90,K91)</f>
        <v>549.60746447330064</v>
      </c>
    </row>
    <row r="96" spans="1:13">
      <c r="A96" t="s">
        <v>11</v>
      </c>
      <c r="B96" t="s">
        <v>14</v>
      </c>
      <c r="C96" t="s">
        <v>9</v>
      </c>
      <c r="D96">
        <v>41</v>
      </c>
      <c r="E96">
        <v>14500</v>
      </c>
      <c r="F96">
        <v>515</v>
      </c>
      <c r="I96" t="s">
        <v>63</v>
      </c>
      <c r="J96" s="3">
        <f>_xlfn.NORM.S.INV(1-K94/2)</f>
        <v>1.9599639845400536</v>
      </c>
    </row>
    <row r="97" spans="1:11">
      <c r="A97" t="s">
        <v>11</v>
      </c>
      <c r="B97" t="s">
        <v>6</v>
      </c>
      <c r="C97" t="s">
        <v>7</v>
      </c>
      <c r="D97">
        <v>32</v>
      </c>
      <c r="E97">
        <v>14600</v>
      </c>
      <c r="F97">
        <v>60</v>
      </c>
      <c r="I97" t="s">
        <v>65</v>
      </c>
      <c r="J97" s="2">
        <f>J96*K90/SQRT(K91)</f>
        <v>549.60746447330064</v>
      </c>
    </row>
    <row r="98" spans="1:11">
      <c r="A98" t="s">
        <v>13</v>
      </c>
      <c r="B98" t="s">
        <v>12</v>
      </c>
      <c r="C98" t="s">
        <v>10</v>
      </c>
      <c r="D98">
        <v>47</v>
      </c>
      <c r="E98">
        <v>16200</v>
      </c>
      <c r="F98">
        <v>200</v>
      </c>
      <c r="I98" t="s">
        <v>66</v>
      </c>
      <c r="J98" s="2">
        <f>K89-J97</f>
        <v>10212.687617493913</v>
      </c>
    </row>
    <row r="99" spans="1:11">
      <c r="A99" t="s">
        <v>8</v>
      </c>
      <c r="B99" t="s">
        <v>6</v>
      </c>
      <c r="C99" t="s">
        <v>10</v>
      </c>
      <c r="D99">
        <v>28</v>
      </c>
      <c r="E99">
        <v>11200</v>
      </c>
      <c r="F99">
        <v>140</v>
      </c>
      <c r="I99" t="s">
        <v>67</v>
      </c>
      <c r="J99" s="2">
        <f>K89+J97</f>
        <v>11311.902546440513</v>
      </c>
    </row>
    <row r="100" spans="1:11">
      <c r="A100" t="s">
        <v>5</v>
      </c>
      <c r="B100" t="s">
        <v>14</v>
      </c>
      <c r="C100" t="s">
        <v>9</v>
      </c>
      <c r="D100">
        <v>38</v>
      </c>
      <c r="E100">
        <v>12000</v>
      </c>
      <c r="F100">
        <v>250</v>
      </c>
    </row>
    <row r="101" spans="1:11">
      <c r="A101" t="s">
        <v>5</v>
      </c>
      <c r="B101" t="s">
        <v>6</v>
      </c>
      <c r="C101" t="s">
        <v>10</v>
      </c>
      <c r="D101">
        <v>33</v>
      </c>
      <c r="E101">
        <v>8400</v>
      </c>
      <c r="F101">
        <v>130</v>
      </c>
      <c r="I101" s="19" t="s">
        <v>80</v>
      </c>
      <c r="J101" s="20"/>
      <c r="K101" s="21"/>
    </row>
    <row r="102" spans="1:11">
      <c r="A102" t="s">
        <v>13</v>
      </c>
      <c r="B102" t="s">
        <v>12</v>
      </c>
      <c r="C102" t="s">
        <v>7</v>
      </c>
      <c r="D102">
        <v>44</v>
      </c>
      <c r="E102">
        <v>12800</v>
      </c>
      <c r="F102">
        <v>80</v>
      </c>
      <c r="I102" s="22"/>
      <c r="J102" s="18"/>
      <c r="K102" s="23"/>
    </row>
    <row r="103" spans="1:11">
      <c r="A103" t="s">
        <v>13</v>
      </c>
      <c r="B103" t="s">
        <v>14</v>
      </c>
      <c r="C103" t="s">
        <v>7</v>
      </c>
      <c r="D103">
        <v>45</v>
      </c>
      <c r="E103">
        <v>7400</v>
      </c>
      <c r="F103">
        <v>70</v>
      </c>
    </row>
    <row r="104" spans="1:11">
      <c r="A104" t="s">
        <v>8</v>
      </c>
      <c r="B104" t="s">
        <v>6</v>
      </c>
      <c r="C104" t="s">
        <v>9</v>
      </c>
      <c r="D104">
        <v>27</v>
      </c>
      <c r="E104">
        <v>13700</v>
      </c>
      <c r="F104">
        <v>495</v>
      </c>
      <c r="I104" s="19" t="s">
        <v>82</v>
      </c>
      <c r="J104" s="20"/>
      <c r="K104" s="21"/>
    </row>
    <row r="105" spans="1:11">
      <c r="A105" t="s">
        <v>5</v>
      </c>
      <c r="B105" t="s">
        <v>6</v>
      </c>
      <c r="C105" t="s">
        <v>7</v>
      </c>
      <c r="D105">
        <v>24</v>
      </c>
      <c r="E105">
        <v>7800</v>
      </c>
      <c r="F105">
        <v>0</v>
      </c>
      <c r="I105" s="22"/>
      <c r="J105" s="18"/>
      <c r="K105" s="23"/>
    </row>
    <row r="106" spans="1:11">
      <c r="A106" t="s">
        <v>5</v>
      </c>
      <c r="B106" t="s">
        <v>12</v>
      </c>
      <c r="C106" t="s">
        <v>10</v>
      </c>
      <c r="D106">
        <v>36</v>
      </c>
      <c r="E106">
        <v>8700</v>
      </c>
      <c r="F106">
        <v>120</v>
      </c>
      <c r="I106" s="27" t="s">
        <v>57</v>
      </c>
      <c r="J106" s="27"/>
      <c r="K106">
        <f>AVERAGE(F:F)</f>
        <v>158.19672131147541</v>
      </c>
    </row>
    <row r="107" spans="1:11">
      <c r="A107" t="s">
        <v>11</v>
      </c>
      <c r="B107" t="s">
        <v>6</v>
      </c>
      <c r="C107" t="s">
        <v>7</v>
      </c>
      <c r="D107">
        <v>22</v>
      </c>
      <c r="E107">
        <v>6500</v>
      </c>
      <c r="F107">
        <v>25</v>
      </c>
      <c r="I107" s="15" t="s">
        <v>58</v>
      </c>
      <c r="J107" s="15"/>
      <c r="K107">
        <f>_xlfn.STDEV.S(F:F)</f>
        <v>140.90764797091632</v>
      </c>
    </row>
    <row r="108" spans="1:11">
      <c r="A108" t="s">
        <v>11</v>
      </c>
      <c r="B108" t="s">
        <v>14</v>
      </c>
      <c r="C108" t="s">
        <v>10</v>
      </c>
      <c r="D108">
        <v>58</v>
      </c>
      <c r="E108">
        <v>17400</v>
      </c>
      <c r="F108">
        <v>280</v>
      </c>
      <c r="I108" s="16" t="s">
        <v>59</v>
      </c>
      <c r="J108" s="16"/>
      <c r="K108" s="28">
        <f>COUNT(D:D)</f>
        <v>244</v>
      </c>
    </row>
    <row r="109" spans="1:11">
      <c r="A109" t="s">
        <v>5</v>
      </c>
      <c r="B109" t="s">
        <v>6</v>
      </c>
      <c r="C109" t="s">
        <v>9</v>
      </c>
      <c r="D109">
        <v>35</v>
      </c>
      <c r="E109">
        <v>8300</v>
      </c>
      <c r="F109">
        <v>415</v>
      </c>
      <c r="I109" s="16"/>
      <c r="J109" s="16"/>
      <c r="K109" s="28"/>
    </row>
    <row r="110" spans="1:11">
      <c r="A110" t="s">
        <v>5</v>
      </c>
      <c r="B110" t="s">
        <v>12</v>
      </c>
      <c r="C110" t="s">
        <v>10</v>
      </c>
      <c r="D110">
        <v>28</v>
      </c>
      <c r="E110">
        <v>10400</v>
      </c>
      <c r="F110">
        <v>200</v>
      </c>
      <c r="I110" s="15" t="s">
        <v>60</v>
      </c>
      <c r="J110" s="15"/>
      <c r="K110" s="26">
        <v>0.99</v>
      </c>
    </row>
    <row r="111" spans="1:11" ht="15">
      <c r="A111" t="s">
        <v>5</v>
      </c>
      <c r="B111" t="s">
        <v>6</v>
      </c>
      <c r="C111" t="s">
        <v>7</v>
      </c>
      <c r="D111">
        <v>23</v>
      </c>
      <c r="E111">
        <v>6500</v>
      </c>
      <c r="F111">
        <v>0</v>
      </c>
      <c r="I111" s="25" t="s">
        <v>62</v>
      </c>
      <c r="J111" s="25"/>
      <c r="K111" s="26">
        <f>1-K110</f>
        <v>1.0000000000000009E-2</v>
      </c>
    </row>
    <row r="112" spans="1:11">
      <c r="A112" t="s">
        <v>13</v>
      </c>
      <c r="B112" t="s">
        <v>14</v>
      </c>
      <c r="C112" t="s">
        <v>10</v>
      </c>
      <c r="D112">
        <v>42</v>
      </c>
      <c r="E112">
        <v>13800</v>
      </c>
      <c r="F112">
        <v>100</v>
      </c>
    </row>
    <row r="113" spans="1:14">
      <c r="A113" t="s">
        <v>5</v>
      </c>
      <c r="B113" t="s">
        <v>14</v>
      </c>
      <c r="C113" t="s">
        <v>9</v>
      </c>
      <c r="D113">
        <v>34</v>
      </c>
      <c r="E113">
        <v>10500</v>
      </c>
      <c r="F113">
        <v>140</v>
      </c>
      <c r="I113" t="s">
        <v>65</v>
      </c>
      <c r="J113" s="3">
        <f>_xlfn.CONFIDENCE.NORM(K111,K107,K108)</f>
        <v>23.235751979689777</v>
      </c>
    </row>
    <row r="114" spans="1:14">
      <c r="A114" t="s">
        <v>5</v>
      </c>
      <c r="B114" t="s">
        <v>12</v>
      </c>
      <c r="C114" t="s">
        <v>10</v>
      </c>
      <c r="D114">
        <v>47</v>
      </c>
      <c r="E114">
        <v>10200</v>
      </c>
      <c r="F114">
        <v>240</v>
      </c>
      <c r="I114" t="s">
        <v>66</v>
      </c>
      <c r="J114" s="3">
        <f>K106-J113</f>
        <v>134.96096933178563</v>
      </c>
    </row>
    <row r="115" spans="1:14">
      <c r="A115" t="s">
        <v>8</v>
      </c>
      <c r="B115" t="s">
        <v>14</v>
      </c>
      <c r="C115" t="s">
        <v>9</v>
      </c>
      <c r="D115">
        <v>38</v>
      </c>
      <c r="E115">
        <v>14500</v>
      </c>
      <c r="F115">
        <v>390</v>
      </c>
      <c r="I115" t="s">
        <v>67</v>
      </c>
      <c r="J115" s="3">
        <f>K106+J113</f>
        <v>181.43247329116519</v>
      </c>
    </row>
    <row r="116" spans="1:14">
      <c r="A116" t="s">
        <v>13</v>
      </c>
      <c r="B116" t="s">
        <v>12</v>
      </c>
      <c r="C116" t="s">
        <v>10</v>
      </c>
      <c r="D116">
        <v>42</v>
      </c>
      <c r="E116">
        <v>11900</v>
      </c>
      <c r="F116">
        <v>420</v>
      </c>
    </row>
    <row r="117" spans="1:14">
      <c r="A117" t="s">
        <v>11</v>
      </c>
      <c r="B117" t="s">
        <v>14</v>
      </c>
      <c r="C117" t="s">
        <v>9</v>
      </c>
      <c r="D117">
        <v>35</v>
      </c>
      <c r="E117">
        <v>17000</v>
      </c>
      <c r="F117">
        <v>90</v>
      </c>
      <c r="I117" s="19" t="s">
        <v>83</v>
      </c>
      <c r="J117" s="20"/>
      <c r="K117" s="21"/>
    </row>
    <row r="118" spans="1:14">
      <c r="A118" t="s">
        <v>13</v>
      </c>
      <c r="B118" t="s">
        <v>12</v>
      </c>
      <c r="C118" t="s">
        <v>10</v>
      </c>
      <c r="D118">
        <v>32</v>
      </c>
      <c r="E118">
        <v>15300</v>
      </c>
      <c r="F118">
        <v>190</v>
      </c>
      <c r="I118" s="22"/>
      <c r="J118" s="18"/>
      <c r="K118" s="23"/>
    </row>
    <row r="119" spans="1:14">
      <c r="A119" t="s">
        <v>5</v>
      </c>
      <c r="B119" t="s">
        <v>12</v>
      </c>
      <c r="C119" t="s">
        <v>7</v>
      </c>
      <c r="D119">
        <v>39</v>
      </c>
      <c r="E119">
        <v>8200</v>
      </c>
      <c r="F119">
        <v>90</v>
      </c>
    </row>
    <row r="120" spans="1:14">
      <c r="A120" t="s">
        <v>13</v>
      </c>
      <c r="B120" t="s">
        <v>14</v>
      </c>
      <c r="C120" t="s">
        <v>10</v>
      </c>
      <c r="D120">
        <v>36</v>
      </c>
      <c r="E120">
        <v>15800</v>
      </c>
      <c r="F120">
        <v>150</v>
      </c>
      <c r="I120" t="s">
        <v>88</v>
      </c>
    </row>
    <row r="121" spans="1:14">
      <c r="A121" t="s">
        <v>5</v>
      </c>
      <c r="B121" t="s">
        <v>6</v>
      </c>
      <c r="C121" t="s">
        <v>10</v>
      </c>
      <c r="D121">
        <v>33</v>
      </c>
      <c r="E121">
        <v>10400</v>
      </c>
      <c r="F121">
        <v>190</v>
      </c>
    </row>
    <row r="122" spans="1:14">
      <c r="A122" t="s">
        <v>11</v>
      </c>
      <c r="B122" t="s">
        <v>14</v>
      </c>
      <c r="C122" t="s">
        <v>9</v>
      </c>
      <c r="D122">
        <v>58</v>
      </c>
      <c r="E122">
        <v>19000</v>
      </c>
      <c r="F122">
        <v>120</v>
      </c>
      <c r="I122" s="9" t="s">
        <v>33</v>
      </c>
      <c r="J122" t="s">
        <v>38</v>
      </c>
      <c r="K122" t="s">
        <v>90</v>
      </c>
      <c r="L122" t="s">
        <v>91</v>
      </c>
      <c r="N122" s="16" t="s">
        <v>92</v>
      </c>
    </row>
    <row r="123" spans="1:14">
      <c r="A123" t="s">
        <v>5</v>
      </c>
      <c r="B123" t="s">
        <v>6</v>
      </c>
      <c r="C123" t="s">
        <v>7</v>
      </c>
      <c r="D123">
        <v>35</v>
      </c>
      <c r="E123">
        <v>6000</v>
      </c>
      <c r="F123">
        <v>35</v>
      </c>
      <c r="I123" s="10" t="s">
        <v>14</v>
      </c>
      <c r="J123" s="3">
        <v>45.533333333333331</v>
      </c>
      <c r="K123" s="3">
        <v>7.2161435180245137</v>
      </c>
      <c r="L123" s="6">
        <v>45</v>
      </c>
      <c r="N123" s="16"/>
    </row>
    <row r="124" spans="1:14">
      <c r="A124" t="s">
        <v>13</v>
      </c>
      <c r="B124" t="s">
        <v>12</v>
      </c>
      <c r="C124" t="s">
        <v>10</v>
      </c>
      <c r="D124">
        <v>36</v>
      </c>
      <c r="E124">
        <v>11600</v>
      </c>
      <c r="F124">
        <v>150</v>
      </c>
      <c r="I124" s="10" t="s">
        <v>6</v>
      </c>
      <c r="J124" s="3">
        <v>27.556521739130435</v>
      </c>
      <c r="K124" s="3">
        <v>5.6447325303716172</v>
      </c>
      <c r="L124" s="6">
        <v>115</v>
      </c>
      <c r="N124" s="16"/>
    </row>
    <row r="125" spans="1:14">
      <c r="A125" t="s">
        <v>13</v>
      </c>
      <c r="B125" t="s">
        <v>12</v>
      </c>
      <c r="C125" t="s">
        <v>10</v>
      </c>
      <c r="D125">
        <v>29</v>
      </c>
      <c r="E125">
        <v>16000</v>
      </c>
      <c r="F125">
        <v>190</v>
      </c>
      <c r="I125" s="10" t="s">
        <v>12</v>
      </c>
      <c r="J125" s="3">
        <v>38.095238095238095</v>
      </c>
      <c r="K125" s="3">
        <v>5.9183583030151681</v>
      </c>
      <c r="L125" s="6">
        <v>84</v>
      </c>
      <c r="N125" s="16"/>
    </row>
    <row r="126" spans="1:14">
      <c r="A126" t="s">
        <v>11</v>
      </c>
      <c r="B126" t="s">
        <v>14</v>
      </c>
      <c r="C126" t="s">
        <v>9</v>
      </c>
      <c r="D126">
        <v>43</v>
      </c>
      <c r="E126">
        <v>20200</v>
      </c>
      <c r="F126">
        <v>140</v>
      </c>
      <c r="I126" s="10" t="s">
        <v>34</v>
      </c>
      <c r="J126" s="3">
        <v>34.5</v>
      </c>
      <c r="K126" s="3">
        <v>9.2827110414918863</v>
      </c>
      <c r="L126" s="6">
        <v>244</v>
      </c>
      <c r="N126" s="16"/>
    </row>
    <row r="127" spans="1:14" ht="15">
      <c r="A127" t="s">
        <v>13</v>
      </c>
      <c r="B127" t="s">
        <v>12</v>
      </c>
      <c r="C127" t="s">
        <v>9</v>
      </c>
      <c r="D127">
        <v>46</v>
      </c>
      <c r="E127">
        <v>9600</v>
      </c>
      <c r="F127">
        <v>260</v>
      </c>
      <c r="I127" s="24" t="s">
        <v>61</v>
      </c>
      <c r="J127" s="26">
        <v>0.05</v>
      </c>
    </row>
    <row r="128" spans="1:14">
      <c r="A128" t="s">
        <v>8</v>
      </c>
      <c r="B128" t="s">
        <v>6</v>
      </c>
      <c r="C128" t="s">
        <v>7</v>
      </c>
      <c r="D128">
        <v>25</v>
      </c>
      <c r="E128">
        <v>10500</v>
      </c>
      <c r="F128">
        <v>0</v>
      </c>
      <c r="I128" s="10" t="s">
        <v>64</v>
      </c>
      <c r="J128">
        <f>_xlfn.CONFIDENCE.T(5%,K123,L123)</f>
        <v>2.1679695198742421</v>
      </c>
      <c r="K128" s="10" t="s">
        <v>93</v>
      </c>
      <c r="L128" s="3">
        <f>J123-J128</f>
        <v>43.365363813459091</v>
      </c>
      <c r="M128" s="10" t="s">
        <v>94</v>
      </c>
      <c r="N128" s="3">
        <f>J123+J128</f>
        <v>47.701302853207572</v>
      </c>
    </row>
    <row r="129" spans="1:14">
      <c r="A129" t="s">
        <v>11</v>
      </c>
      <c r="B129" t="s">
        <v>14</v>
      </c>
      <c r="C129" t="s">
        <v>9</v>
      </c>
      <c r="D129">
        <v>43</v>
      </c>
      <c r="E129">
        <v>17200</v>
      </c>
      <c r="F129">
        <v>590</v>
      </c>
      <c r="J129">
        <f t="shared" ref="J129:J130" si="7">_xlfn.CONFIDENCE.T(5%,K124,L124)</f>
        <v>1.0427428845859565</v>
      </c>
      <c r="L129" s="3">
        <f>J124-J129</f>
        <v>26.51377885454448</v>
      </c>
      <c r="N129" s="3">
        <f t="shared" ref="N129:N130" si="8">J124+J129</f>
        <v>28.59926462371639</v>
      </c>
    </row>
    <row r="130" spans="1:14">
      <c r="A130" t="s">
        <v>13</v>
      </c>
      <c r="B130" t="s">
        <v>12</v>
      </c>
      <c r="C130" t="s">
        <v>10</v>
      </c>
      <c r="D130">
        <v>42</v>
      </c>
      <c r="E130">
        <v>12100</v>
      </c>
      <c r="F130">
        <v>240</v>
      </c>
      <c r="J130">
        <f t="shared" si="7"/>
        <v>1.2843624866164201</v>
      </c>
      <c r="L130" s="3">
        <f>J125-J130</f>
        <v>36.810875608621672</v>
      </c>
      <c r="N130" s="3">
        <f t="shared" si="8"/>
        <v>39.379600581854518</v>
      </c>
    </row>
    <row r="131" spans="1:14">
      <c r="A131" t="s">
        <v>11</v>
      </c>
      <c r="B131" t="s">
        <v>14</v>
      </c>
      <c r="C131" t="s">
        <v>9</v>
      </c>
      <c r="D131">
        <v>47</v>
      </c>
      <c r="E131">
        <v>19300</v>
      </c>
      <c r="F131">
        <v>550</v>
      </c>
    </row>
    <row r="132" spans="1:14">
      <c r="A132" t="s">
        <v>5</v>
      </c>
      <c r="B132" t="s">
        <v>12</v>
      </c>
      <c r="C132" t="s">
        <v>10</v>
      </c>
      <c r="D132">
        <v>43</v>
      </c>
      <c r="E132">
        <v>10400</v>
      </c>
      <c r="F132">
        <v>220</v>
      </c>
    </row>
    <row r="133" spans="1:14">
      <c r="A133" t="s">
        <v>5</v>
      </c>
      <c r="B133" t="s">
        <v>6</v>
      </c>
      <c r="C133" t="s">
        <v>7</v>
      </c>
      <c r="D133">
        <v>32</v>
      </c>
      <c r="E133">
        <v>8600</v>
      </c>
      <c r="F133">
        <v>50</v>
      </c>
    </row>
    <row r="134" spans="1:14">
      <c r="A134" t="s">
        <v>5</v>
      </c>
      <c r="B134" t="s">
        <v>6</v>
      </c>
      <c r="C134" t="s">
        <v>7</v>
      </c>
      <c r="D134">
        <v>28</v>
      </c>
      <c r="E134">
        <v>6000</v>
      </c>
      <c r="F134">
        <v>20</v>
      </c>
    </row>
    <row r="135" spans="1:14">
      <c r="A135" t="s">
        <v>5</v>
      </c>
      <c r="B135" t="s">
        <v>6</v>
      </c>
      <c r="C135" t="s">
        <v>10</v>
      </c>
      <c r="D135">
        <v>36</v>
      </c>
      <c r="E135">
        <v>7500</v>
      </c>
      <c r="F135">
        <v>130</v>
      </c>
    </row>
    <row r="136" spans="1:14">
      <c r="A136" t="s">
        <v>13</v>
      </c>
      <c r="B136" t="s">
        <v>12</v>
      </c>
      <c r="C136" t="s">
        <v>7</v>
      </c>
      <c r="D136">
        <v>38</v>
      </c>
      <c r="E136">
        <v>17000</v>
      </c>
      <c r="F136">
        <v>45</v>
      </c>
    </row>
    <row r="137" spans="1:14">
      <c r="A137" t="s">
        <v>8</v>
      </c>
      <c r="B137" t="s">
        <v>14</v>
      </c>
      <c r="C137" t="s">
        <v>9</v>
      </c>
      <c r="D137">
        <v>46</v>
      </c>
      <c r="E137">
        <v>13000</v>
      </c>
      <c r="F137">
        <v>100</v>
      </c>
    </row>
    <row r="138" spans="1:14">
      <c r="A138" t="s">
        <v>11</v>
      </c>
      <c r="B138" t="s">
        <v>14</v>
      </c>
      <c r="C138" t="s">
        <v>9</v>
      </c>
      <c r="D138">
        <v>54</v>
      </c>
      <c r="E138">
        <v>18900</v>
      </c>
      <c r="F138">
        <v>275</v>
      </c>
    </row>
    <row r="139" spans="1:14">
      <c r="A139" t="s">
        <v>5</v>
      </c>
      <c r="B139" t="s">
        <v>6</v>
      </c>
      <c r="C139" t="s">
        <v>7</v>
      </c>
      <c r="D139">
        <v>24</v>
      </c>
      <c r="E139">
        <v>4500</v>
      </c>
      <c r="F139">
        <v>75</v>
      </c>
    </row>
    <row r="140" spans="1:14">
      <c r="A140" t="s">
        <v>5</v>
      </c>
      <c r="B140" t="s">
        <v>6</v>
      </c>
      <c r="C140" t="s">
        <v>7</v>
      </c>
      <c r="D140">
        <v>26</v>
      </c>
      <c r="E140">
        <v>4200</v>
      </c>
      <c r="F140">
        <v>30</v>
      </c>
    </row>
    <row r="141" spans="1:14">
      <c r="A141" t="s">
        <v>13</v>
      </c>
      <c r="B141" t="s">
        <v>12</v>
      </c>
      <c r="C141" t="s">
        <v>10</v>
      </c>
      <c r="D141">
        <v>42</v>
      </c>
      <c r="E141">
        <v>18800</v>
      </c>
      <c r="F141">
        <v>290</v>
      </c>
    </row>
    <row r="142" spans="1:14">
      <c r="A142" t="s">
        <v>13</v>
      </c>
      <c r="B142" t="s">
        <v>12</v>
      </c>
      <c r="C142" t="s">
        <v>10</v>
      </c>
      <c r="D142">
        <v>33</v>
      </c>
      <c r="E142">
        <v>15800</v>
      </c>
      <c r="F142">
        <v>180</v>
      </c>
    </row>
    <row r="143" spans="1:14">
      <c r="A143" t="s">
        <v>5</v>
      </c>
      <c r="B143" t="s">
        <v>6</v>
      </c>
      <c r="C143" t="s">
        <v>7</v>
      </c>
      <c r="D143">
        <v>23</v>
      </c>
      <c r="E143">
        <v>7200</v>
      </c>
      <c r="F143">
        <v>30</v>
      </c>
    </row>
    <row r="144" spans="1:14">
      <c r="A144" t="s">
        <v>5</v>
      </c>
      <c r="B144" t="s">
        <v>6</v>
      </c>
      <c r="C144" t="s">
        <v>7</v>
      </c>
      <c r="D144">
        <v>22</v>
      </c>
      <c r="E144">
        <v>7100</v>
      </c>
      <c r="F144">
        <v>30</v>
      </c>
    </row>
    <row r="145" spans="1:6">
      <c r="A145" t="s">
        <v>11</v>
      </c>
      <c r="B145" t="s">
        <v>14</v>
      </c>
      <c r="C145" t="s">
        <v>10</v>
      </c>
      <c r="D145">
        <v>48</v>
      </c>
      <c r="E145">
        <v>17900</v>
      </c>
      <c r="F145">
        <v>260</v>
      </c>
    </row>
    <row r="146" spans="1:6">
      <c r="A146" t="s">
        <v>13</v>
      </c>
      <c r="B146" t="s">
        <v>12</v>
      </c>
      <c r="C146" t="s">
        <v>10</v>
      </c>
      <c r="D146">
        <v>41</v>
      </c>
      <c r="E146">
        <v>11200</v>
      </c>
      <c r="F146">
        <v>180</v>
      </c>
    </row>
    <row r="147" spans="1:6">
      <c r="A147" t="s">
        <v>5</v>
      </c>
      <c r="B147" t="s">
        <v>6</v>
      </c>
      <c r="C147" t="s">
        <v>7</v>
      </c>
      <c r="D147">
        <v>26</v>
      </c>
      <c r="E147">
        <v>8500</v>
      </c>
      <c r="F147">
        <v>50</v>
      </c>
    </row>
    <row r="148" spans="1:6">
      <c r="A148" t="s">
        <v>8</v>
      </c>
      <c r="B148" t="s">
        <v>14</v>
      </c>
      <c r="C148" t="s">
        <v>9</v>
      </c>
      <c r="D148">
        <v>45</v>
      </c>
      <c r="E148">
        <v>13000</v>
      </c>
      <c r="F148">
        <v>200</v>
      </c>
    </row>
    <row r="149" spans="1:6">
      <c r="A149" t="s">
        <v>8</v>
      </c>
      <c r="B149" t="s">
        <v>6</v>
      </c>
      <c r="C149" t="s">
        <v>10</v>
      </c>
      <c r="D149">
        <v>28</v>
      </c>
      <c r="E149">
        <v>11600</v>
      </c>
      <c r="F149">
        <v>170</v>
      </c>
    </row>
    <row r="150" spans="1:6">
      <c r="A150" t="s">
        <v>8</v>
      </c>
      <c r="B150" t="s">
        <v>14</v>
      </c>
      <c r="C150" t="s">
        <v>9</v>
      </c>
      <c r="D150">
        <v>57</v>
      </c>
      <c r="E150">
        <v>13300</v>
      </c>
      <c r="F150">
        <v>390</v>
      </c>
    </row>
    <row r="151" spans="1:6">
      <c r="A151" t="s">
        <v>8</v>
      </c>
      <c r="B151" t="s">
        <v>6</v>
      </c>
      <c r="C151" t="s">
        <v>7</v>
      </c>
      <c r="D151">
        <v>18</v>
      </c>
      <c r="E151">
        <v>2800</v>
      </c>
      <c r="F151">
        <v>30</v>
      </c>
    </row>
    <row r="152" spans="1:6">
      <c r="A152" t="s">
        <v>13</v>
      </c>
      <c r="B152" t="s">
        <v>12</v>
      </c>
      <c r="C152" t="s">
        <v>10</v>
      </c>
      <c r="D152">
        <v>37</v>
      </c>
      <c r="E152">
        <v>17200</v>
      </c>
      <c r="F152">
        <v>170</v>
      </c>
    </row>
    <row r="153" spans="1:6">
      <c r="A153" t="s">
        <v>11</v>
      </c>
      <c r="B153" t="s">
        <v>12</v>
      </c>
      <c r="C153" t="s">
        <v>10</v>
      </c>
      <c r="D153">
        <v>32</v>
      </c>
      <c r="E153">
        <v>14800</v>
      </c>
      <c r="F153">
        <v>10</v>
      </c>
    </row>
    <row r="154" spans="1:6">
      <c r="A154" t="s">
        <v>13</v>
      </c>
      <c r="B154" t="s">
        <v>12</v>
      </c>
      <c r="C154" t="s">
        <v>10</v>
      </c>
      <c r="D154">
        <v>31</v>
      </c>
      <c r="E154">
        <v>7300</v>
      </c>
      <c r="F154">
        <v>140</v>
      </c>
    </row>
    <row r="155" spans="1:6">
      <c r="A155" t="s">
        <v>5</v>
      </c>
      <c r="B155" t="s">
        <v>6</v>
      </c>
      <c r="C155" t="s">
        <v>10</v>
      </c>
      <c r="D155">
        <v>18</v>
      </c>
      <c r="E155">
        <v>3500</v>
      </c>
      <c r="F155">
        <v>20</v>
      </c>
    </row>
    <row r="156" spans="1:6">
      <c r="A156" t="s">
        <v>8</v>
      </c>
      <c r="B156" t="s">
        <v>6</v>
      </c>
      <c r="C156" t="s">
        <v>9</v>
      </c>
      <c r="D156">
        <v>19</v>
      </c>
      <c r="E156">
        <v>2400</v>
      </c>
      <c r="F156">
        <v>10</v>
      </c>
    </row>
    <row r="157" spans="1:6">
      <c r="A157" t="s">
        <v>13</v>
      </c>
      <c r="B157" t="s">
        <v>12</v>
      </c>
      <c r="C157" t="s">
        <v>10</v>
      </c>
      <c r="D157">
        <v>32</v>
      </c>
      <c r="E157">
        <v>12700</v>
      </c>
      <c r="F157">
        <v>220</v>
      </c>
    </row>
    <row r="158" spans="1:6">
      <c r="A158" t="s">
        <v>5</v>
      </c>
      <c r="B158" t="s">
        <v>12</v>
      </c>
      <c r="C158" t="s">
        <v>10</v>
      </c>
      <c r="D158">
        <v>40</v>
      </c>
      <c r="E158">
        <v>9900</v>
      </c>
      <c r="F158">
        <v>160</v>
      </c>
    </row>
    <row r="159" spans="1:6">
      <c r="A159" t="s">
        <v>5</v>
      </c>
      <c r="B159" t="s">
        <v>6</v>
      </c>
      <c r="C159" t="s">
        <v>10</v>
      </c>
      <c r="D159">
        <v>36</v>
      </c>
      <c r="E159">
        <v>7500</v>
      </c>
      <c r="F159">
        <v>190</v>
      </c>
    </row>
    <row r="160" spans="1:6">
      <c r="A160" t="s">
        <v>5</v>
      </c>
      <c r="B160" t="s">
        <v>6</v>
      </c>
      <c r="C160" t="s">
        <v>7</v>
      </c>
      <c r="D160">
        <v>37</v>
      </c>
      <c r="E160">
        <v>4900</v>
      </c>
      <c r="F160">
        <v>0</v>
      </c>
    </row>
    <row r="161" spans="1:6">
      <c r="A161" t="s">
        <v>13</v>
      </c>
      <c r="B161" t="s">
        <v>12</v>
      </c>
      <c r="C161" t="s">
        <v>9</v>
      </c>
      <c r="D161">
        <v>38</v>
      </c>
      <c r="E161">
        <v>13900</v>
      </c>
      <c r="F161">
        <v>505</v>
      </c>
    </row>
    <row r="162" spans="1:6">
      <c r="A162" t="s">
        <v>11</v>
      </c>
      <c r="B162" t="s">
        <v>14</v>
      </c>
      <c r="C162" t="s">
        <v>9</v>
      </c>
      <c r="D162">
        <v>49</v>
      </c>
      <c r="E162">
        <v>16800</v>
      </c>
      <c r="F162">
        <v>420</v>
      </c>
    </row>
    <row r="163" spans="1:6">
      <c r="A163" t="s">
        <v>5</v>
      </c>
      <c r="B163" t="s">
        <v>6</v>
      </c>
      <c r="C163" t="s">
        <v>7</v>
      </c>
      <c r="D163">
        <v>35</v>
      </c>
      <c r="E163">
        <v>3700</v>
      </c>
      <c r="F163">
        <v>30</v>
      </c>
    </row>
    <row r="164" spans="1:6">
      <c r="A164" t="s">
        <v>8</v>
      </c>
      <c r="B164" t="s">
        <v>6</v>
      </c>
      <c r="C164" t="s">
        <v>7</v>
      </c>
      <c r="D164">
        <v>18</v>
      </c>
      <c r="E164">
        <v>3700</v>
      </c>
      <c r="F164">
        <v>0</v>
      </c>
    </row>
    <row r="165" spans="1:6">
      <c r="A165" t="s">
        <v>13</v>
      </c>
      <c r="B165" t="s">
        <v>12</v>
      </c>
      <c r="C165" t="s">
        <v>10</v>
      </c>
      <c r="D165">
        <v>33</v>
      </c>
      <c r="E165">
        <v>8000</v>
      </c>
      <c r="F165">
        <v>210</v>
      </c>
    </row>
    <row r="166" spans="1:6">
      <c r="A166" t="s">
        <v>8</v>
      </c>
      <c r="B166" t="s">
        <v>14</v>
      </c>
      <c r="C166" t="s">
        <v>10</v>
      </c>
      <c r="D166">
        <v>33</v>
      </c>
      <c r="E166">
        <v>11600</v>
      </c>
      <c r="F166">
        <v>210</v>
      </c>
    </row>
    <row r="167" spans="1:6">
      <c r="A167" t="s">
        <v>11</v>
      </c>
      <c r="B167" t="s">
        <v>14</v>
      </c>
      <c r="C167" t="s">
        <v>9</v>
      </c>
      <c r="D167">
        <v>37</v>
      </c>
      <c r="E167">
        <v>14200</v>
      </c>
      <c r="F167">
        <v>410</v>
      </c>
    </row>
    <row r="168" spans="1:6">
      <c r="A168" t="s">
        <v>5</v>
      </c>
      <c r="B168" t="s">
        <v>6</v>
      </c>
      <c r="C168" t="s">
        <v>7</v>
      </c>
      <c r="D168">
        <v>18</v>
      </c>
      <c r="E168">
        <v>2000</v>
      </c>
      <c r="F168">
        <v>0</v>
      </c>
    </row>
    <row r="169" spans="1:6">
      <c r="A169" t="s">
        <v>5</v>
      </c>
      <c r="B169" t="s">
        <v>6</v>
      </c>
      <c r="C169" t="s">
        <v>10</v>
      </c>
      <c r="D169">
        <v>36</v>
      </c>
      <c r="E169">
        <v>6400</v>
      </c>
      <c r="F169">
        <v>200</v>
      </c>
    </row>
    <row r="170" spans="1:6">
      <c r="A170" t="s">
        <v>13</v>
      </c>
      <c r="B170" t="s">
        <v>14</v>
      </c>
      <c r="C170" t="s">
        <v>9</v>
      </c>
      <c r="D170">
        <v>53</v>
      </c>
      <c r="E170">
        <v>17600</v>
      </c>
      <c r="F170">
        <v>300</v>
      </c>
    </row>
    <row r="171" spans="1:6">
      <c r="A171" t="s">
        <v>5</v>
      </c>
      <c r="B171" t="s">
        <v>6</v>
      </c>
      <c r="C171" t="s">
        <v>7</v>
      </c>
      <c r="D171">
        <v>31</v>
      </c>
      <c r="E171">
        <v>5900</v>
      </c>
      <c r="F171">
        <v>5</v>
      </c>
    </row>
    <row r="172" spans="1:6">
      <c r="A172" t="s">
        <v>5</v>
      </c>
      <c r="B172" t="s">
        <v>6</v>
      </c>
      <c r="C172" t="s">
        <v>7</v>
      </c>
      <c r="D172">
        <v>24</v>
      </c>
      <c r="E172">
        <v>7200</v>
      </c>
      <c r="F172">
        <v>20</v>
      </c>
    </row>
    <row r="173" spans="1:6">
      <c r="A173" t="s">
        <v>5</v>
      </c>
      <c r="B173" t="s">
        <v>6</v>
      </c>
      <c r="C173" t="s">
        <v>7</v>
      </c>
      <c r="D173">
        <v>19</v>
      </c>
      <c r="E173">
        <v>4900</v>
      </c>
      <c r="F173">
        <v>35</v>
      </c>
    </row>
    <row r="174" spans="1:6">
      <c r="A174" t="s">
        <v>8</v>
      </c>
      <c r="B174" t="s">
        <v>6</v>
      </c>
      <c r="C174" t="s">
        <v>7</v>
      </c>
      <c r="D174">
        <v>23</v>
      </c>
      <c r="E174">
        <v>4200</v>
      </c>
      <c r="F174">
        <v>0</v>
      </c>
    </row>
    <row r="175" spans="1:6">
      <c r="A175" t="s">
        <v>8</v>
      </c>
      <c r="B175" t="s">
        <v>12</v>
      </c>
      <c r="C175" t="s">
        <v>9</v>
      </c>
      <c r="D175">
        <v>31</v>
      </c>
      <c r="E175">
        <v>14800</v>
      </c>
      <c r="F175">
        <v>300</v>
      </c>
    </row>
    <row r="176" spans="1:6">
      <c r="A176" t="s">
        <v>5</v>
      </c>
      <c r="B176" t="s">
        <v>6</v>
      </c>
      <c r="C176" t="s">
        <v>9</v>
      </c>
      <c r="D176">
        <v>24</v>
      </c>
      <c r="E176">
        <v>13000</v>
      </c>
      <c r="F176">
        <v>560</v>
      </c>
    </row>
    <row r="177" spans="1:6">
      <c r="A177" t="s">
        <v>5</v>
      </c>
      <c r="B177" t="s">
        <v>12</v>
      </c>
      <c r="C177" t="s">
        <v>9</v>
      </c>
      <c r="D177">
        <v>38</v>
      </c>
      <c r="E177">
        <v>12600</v>
      </c>
      <c r="F177">
        <v>390</v>
      </c>
    </row>
    <row r="178" spans="1:6">
      <c r="A178" t="s">
        <v>5</v>
      </c>
      <c r="B178" t="s">
        <v>12</v>
      </c>
      <c r="C178" t="s">
        <v>10</v>
      </c>
      <c r="D178">
        <v>34</v>
      </c>
      <c r="E178">
        <v>9200</v>
      </c>
      <c r="F178">
        <v>190</v>
      </c>
    </row>
    <row r="179" spans="1:6">
      <c r="A179" t="s">
        <v>5</v>
      </c>
      <c r="B179" t="s">
        <v>6</v>
      </c>
      <c r="C179" t="s">
        <v>9</v>
      </c>
      <c r="D179">
        <v>29</v>
      </c>
      <c r="E179">
        <v>10100</v>
      </c>
      <c r="F179">
        <v>570</v>
      </c>
    </row>
    <row r="180" spans="1:6">
      <c r="A180" t="s">
        <v>5</v>
      </c>
      <c r="B180" t="s">
        <v>6</v>
      </c>
      <c r="C180" t="s">
        <v>7</v>
      </c>
      <c r="D180">
        <v>38</v>
      </c>
      <c r="E180">
        <v>4800</v>
      </c>
      <c r="F180">
        <v>0</v>
      </c>
    </row>
    <row r="181" spans="1:6">
      <c r="A181" t="s">
        <v>5</v>
      </c>
      <c r="B181" t="s">
        <v>12</v>
      </c>
      <c r="C181" t="s">
        <v>10</v>
      </c>
      <c r="D181">
        <v>31</v>
      </c>
      <c r="E181">
        <v>7400</v>
      </c>
      <c r="F181">
        <v>190</v>
      </c>
    </row>
    <row r="182" spans="1:6">
      <c r="A182" t="s">
        <v>13</v>
      </c>
      <c r="B182" t="s">
        <v>12</v>
      </c>
      <c r="C182" t="s">
        <v>10</v>
      </c>
      <c r="D182">
        <v>37</v>
      </c>
      <c r="E182">
        <v>14900</v>
      </c>
      <c r="F182">
        <v>180</v>
      </c>
    </row>
    <row r="183" spans="1:6">
      <c r="A183" t="s">
        <v>13</v>
      </c>
      <c r="B183" t="s">
        <v>12</v>
      </c>
      <c r="C183" t="s">
        <v>10</v>
      </c>
      <c r="D183">
        <v>39</v>
      </c>
      <c r="E183">
        <v>16700</v>
      </c>
      <c r="F183">
        <v>220</v>
      </c>
    </row>
    <row r="184" spans="1:6">
      <c r="A184" t="s">
        <v>13</v>
      </c>
      <c r="B184" t="s">
        <v>12</v>
      </c>
      <c r="C184" t="s">
        <v>7</v>
      </c>
      <c r="D184">
        <v>34</v>
      </c>
      <c r="E184">
        <v>16500</v>
      </c>
      <c r="F184">
        <v>70</v>
      </c>
    </row>
    <row r="185" spans="1:6">
      <c r="A185" t="s">
        <v>8</v>
      </c>
      <c r="B185" t="s">
        <v>6</v>
      </c>
      <c r="C185" t="s">
        <v>7</v>
      </c>
      <c r="D185">
        <v>23</v>
      </c>
      <c r="E185">
        <v>10800</v>
      </c>
      <c r="F185">
        <v>35</v>
      </c>
    </row>
    <row r="186" spans="1:6">
      <c r="A186" t="s">
        <v>5</v>
      </c>
      <c r="B186" t="s">
        <v>6</v>
      </c>
      <c r="C186" t="s">
        <v>7</v>
      </c>
      <c r="D186">
        <v>22</v>
      </c>
      <c r="E186">
        <v>5500</v>
      </c>
      <c r="F186">
        <v>25</v>
      </c>
    </row>
    <row r="187" spans="1:6">
      <c r="A187" t="s">
        <v>13</v>
      </c>
      <c r="B187" t="s">
        <v>12</v>
      </c>
      <c r="C187" t="s">
        <v>7</v>
      </c>
      <c r="D187">
        <v>39</v>
      </c>
      <c r="E187">
        <v>15600</v>
      </c>
      <c r="F187">
        <v>100</v>
      </c>
    </row>
    <row r="188" spans="1:6">
      <c r="A188" t="s">
        <v>13</v>
      </c>
      <c r="B188" t="s">
        <v>12</v>
      </c>
      <c r="C188" t="s">
        <v>10</v>
      </c>
      <c r="D188">
        <v>45</v>
      </c>
      <c r="E188">
        <v>13400</v>
      </c>
      <c r="F188">
        <v>250</v>
      </c>
    </row>
    <row r="189" spans="1:6">
      <c r="A189" t="s">
        <v>11</v>
      </c>
      <c r="B189" t="s">
        <v>14</v>
      </c>
      <c r="C189" t="s">
        <v>9</v>
      </c>
      <c r="D189">
        <v>40</v>
      </c>
      <c r="E189">
        <v>15400</v>
      </c>
      <c r="F189">
        <v>505</v>
      </c>
    </row>
    <row r="190" spans="1:6">
      <c r="A190" t="s">
        <v>5</v>
      </c>
      <c r="B190" t="s">
        <v>6</v>
      </c>
      <c r="C190" t="s">
        <v>7</v>
      </c>
      <c r="D190">
        <v>25</v>
      </c>
      <c r="E190">
        <v>6900</v>
      </c>
      <c r="F190">
        <v>0</v>
      </c>
    </row>
    <row r="191" spans="1:6">
      <c r="A191" t="s">
        <v>5</v>
      </c>
      <c r="B191" t="s">
        <v>12</v>
      </c>
      <c r="C191" t="s">
        <v>9</v>
      </c>
      <c r="D191">
        <v>46</v>
      </c>
      <c r="E191">
        <v>10000</v>
      </c>
      <c r="F191">
        <v>420</v>
      </c>
    </row>
    <row r="192" spans="1:6">
      <c r="A192" t="s">
        <v>5</v>
      </c>
      <c r="B192" t="s">
        <v>6</v>
      </c>
      <c r="C192" t="s">
        <v>10</v>
      </c>
      <c r="D192">
        <v>25</v>
      </c>
      <c r="E192">
        <v>7000</v>
      </c>
      <c r="F192">
        <v>120</v>
      </c>
    </row>
    <row r="193" spans="1:6">
      <c r="A193" t="s">
        <v>5</v>
      </c>
      <c r="B193" t="s">
        <v>6</v>
      </c>
      <c r="C193" t="s">
        <v>7</v>
      </c>
      <c r="D193">
        <v>23</v>
      </c>
      <c r="E193">
        <v>6100</v>
      </c>
      <c r="F193">
        <v>0</v>
      </c>
    </row>
    <row r="194" spans="1:6">
      <c r="A194" t="s">
        <v>11</v>
      </c>
      <c r="B194" t="s">
        <v>14</v>
      </c>
      <c r="C194" t="s">
        <v>9</v>
      </c>
      <c r="D194">
        <v>42</v>
      </c>
      <c r="E194">
        <v>17200</v>
      </c>
      <c r="F194">
        <v>280</v>
      </c>
    </row>
    <row r="195" spans="1:6">
      <c r="A195" t="s">
        <v>11</v>
      </c>
      <c r="B195" t="s">
        <v>6</v>
      </c>
      <c r="C195" t="s">
        <v>7</v>
      </c>
      <c r="D195">
        <v>31</v>
      </c>
      <c r="E195">
        <v>17300</v>
      </c>
      <c r="F195">
        <v>45</v>
      </c>
    </row>
    <row r="196" spans="1:6">
      <c r="A196" t="s">
        <v>8</v>
      </c>
      <c r="B196" t="s">
        <v>6</v>
      </c>
      <c r="C196" t="s">
        <v>7</v>
      </c>
      <c r="D196">
        <v>30</v>
      </c>
      <c r="E196">
        <v>9900</v>
      </c>
      <c r="F196">
        <v>0</v>
      </c>
    </row>
    <row r="197" spans="1:6">
      <c r="A197" t="s">
        <v>11</v>
      </c>
      <c r="B197" t="s">
        <v>14</v>
      </c>
      <c r="C197" t="s">
        <v>10</v>
      </c>
      <c r="D197">
        <v>45</v>
      </c>
      <c r="E197">
        <v>17900</v>
      </c>
      <c r="F197">
        <v>100</v>
      </c>
    </row>
    <row r="198" spans="1:6">
      <c r="A198" t="s">
        <v>13</v>
      </c>
      <c r="B198" t="s">
        <v>14</v>
      </c>
      <c r="C198" t="s">
        <v>7</v>
      </c>
      <c r="D198">
        <v>53</v>
      </c>
      <c r="E198">
        <v>16300</v>
      </c>
      <c r="F198">
        <v>70</v>
      </c>
    </row>
    <row r="199" spans="1:6">
      <c r="A199" t="s">
        <v>5</v>
      </c>
      <c r="B199" t="s">
        <v>6</v>
      </c>
      <c r="C199" t="s">
        <v>7</v>
      </c>
      <c r="D199">
        <v>31</v>
      </c>
      <c r="E199">
        <v>6500</v>
      </c>
      <c r="F199">
        <v>0</v>
      </c>
    </row>
    <row r="200" spans="1:6">
      <c r="A200" t="s">
        <v>8</v>
      </c>
      <c r="B200" t="s">
        <v>6</v>
      </c>
      <c r="C200" t="s">
        <v>7</v>
      </c>
      <c r="D200">
        <v>27</v>
      </c>
      <c r="E200">
        <v>12600</v>
      </c>
      <c r="F200">
        <v>50</v>
      </c>
    </row>
    <row r="201" spans="1:6">
      <c r="A201" t="s">
        <v>13</v>
      </c>
      <c r="B201" t="s">
        <v>12</v>
      </c>
      <c r="C201" t="s">
        <v>9</v>
      </c>
      <c r="D201">
        <v>40</v>
      </c>
      <c r="E201">
        <v>8600</v>
      </c>
      <c r="F201">
        <v>150</v>
      </c>
    </row>
    <row r="202" spans="1:6">
      <c r="A202" t="s">
        <v>11</v>
      </c>
      <c r="B202" t="s">
        <v>14</v>
      </c>
      <c r="C202" t="s">
        <v>9</v>
      </c>
      <c r="D202">
        <v>52</v>
      </c>
      <c r="E202">
        <v>15900</v>
      </c>
      <c r="F202">
        <v>360</v>
      </c>
    </row>
    <row r="203" spans="1:6">
      <c r="A203" t="s">
        <v>11</v>
      </c>
      <c r="B203" t="s">
        <v>14</v>
      </c>
      <c r="C203" t="s">
        <v>10</v>
      </c>
      <c r="D203">
        <v>58</v>
      </c>
      <c r="E203">
        <v>15600</v>
      </c>
      <c r="F203">
        <v>220</v>
      </c>
    </row>
    <row r="204" spans="1:6">
      <c r="A204" t="s">
        <v>13</v>
      </c>
      <c r="B204" t="s">
        <v>12</v>
      </c>
      <c r="C204" t="s">
        <v>10</v>
      </c>
      <c r="D204">
        <v>39</v>
      </c>
      <c r="E204">
        <v>15000</v>
      </c>
      <c r="F204">
        <v>180</v>
      </c>
    </row>
    <row r="205" spans="1:6">
      <c r="A205" t="s">
        <v>5</v>
      </c>
      <c r="B205" t="s">
        <v>6</v>
      </c>
      <c r="C205" t="s">
        <v>10</v>
      </c>
      <c r="D205">
        <v>24</v>
      </c>
      <c r="E205">
        <v>9500</v>
      </c>
      <c r="F205">
        <v>160</v>
      </c>
    </row>
    <row r="206" spans="1:6">
      <c r="A206" t="s">
        <v>5</v>
      </c>
      <c r="B206" t="s">
        <v>12</v>
      </c>
      <c r="C206" t="s">
        <v>10</v>
      </c>
      <c r="D206">
        <v>41</v>
      </c>
      <c r="E206">
        <v>10200</v>
      </c>
      <c r="F206">
        <v>270</v>
      </c>
    </row>
    <row r="207" spans="1:6">
      <c r="A207" t="s">
        <v>8</v>
      </c>
      <c r="B207" t="s">
        <v>6</v>
      </c>
      <c r="C207" t="s">
        <v>10</v>
      </c>
      <c r="D207">
        <v>30</v>
      </c>
      <c r="E207">
        <v>12400</v>
      </c>
      <c r="F207">
        <v>95</v>
      </c>
    </row>
    <row r="208" spans="1:6">
      <c r="A208" t="s">
        <v>5</v>
      </c>
      <c r="B208" t="s">
        <v>12</v>
      </c>
      <c r="C208" t="s">
        <v>10</v>
      </c>
      <c r="D208">
        <v>35</v>
      </c>
      <c r="E208">
        <v>8800</v>
      </c>
      <c r="F208">
        <v>200</v>
      </c>
    </row>
    <row r="209" spans="1:6">
      <c r="A209" t="s">
        <v>11</v>
      </c>
      <c r="B209" t="s">
        <v>6</v>
      </c>
      <c r="C209" t="s">
        <v>9</v>
      </c>
      <c r="D209">
        <v>25</v>
      </c>
      <c r="E209">
        <v>18000</v>
      </c>
      <c r="F209">
        <v>570</v>
      </c>
    </row>
    <row r="210" spans="1:6">
      <c r="A210" t="s">
        <v>13</v>
      </c>
      <c r="B210" t="s">
        <v>12</v>
      </c>
      <c r="C210" t="s">
        <v>10</v>
      </c>
      <c r="D210">
        <v>44</v>
      </c>
      <c r="E210">
        <v>8700</v>
      </c>
      <c r="F210">
        <v>190</v>
      </c>
    </row>
    <row r="211" spans="1:6">
      <c r="A211" t="s">
        <v>5</v>
      </c>
      <c r="B211" t="s">
        <v>6</v>
      </c>
      <c r="C211" t="s">
        <v>7</v>
      </c>
      <c r="D211">
        <v>20</v>
      </c>
      <c r="E211">
        <v>4700</v>
      </c>
      <c r="F211">
        <v>15</v>
      </c>
    </row>
    <row r="212" spans="1:6">
      <c r="A212" t="s">
        <v>5</v>
      </c>
      <c r="B212" t="s">
        <v>6</v>
      </c>
      <c r="C212" t="s">
        <v>7</v>
      </c>
      <c r="D212">
        <v>33</v>
      </c>
      <c r="E212">
        <v>7400</v>
      </c>
      <c r="F212">
        <v>0</v>
      </c>
    </row>
    <row r="213" spans="1:6">
      <c r="A213" t="s">
        <v>5</v>
      </c>
      <c r="B213" t="s">
        <v>6</v>
      </c>
      <c r="C213" t="s">
        <v>7</v>
      </c>
      <c r="D213">
        <v>19</v>
      </c>
      <c r="E213">
        <v>4900</v>
      </c>
      <c r="F213">
        <v>0</v>
      </c>
    </row>
    <row r="214" spans="1:6">
      <c r="A214" t="s">
        <v>8</v>
      </c>
      <c r="B214" t="s">
        <v>6</v>
      </c>
      <c r="C214" t="s">
        <v>10</v>
      </c>
      <c r="D214">
        <v>23</v>
      </c>
      <c r="E214">
        <v>11700</v>
      </c>
      <c r="F214">
        <v>120</v>
      </c>
    </row>
    <row r="215" spans="1:6">
      <c r="A215" t="s">
        <v>5</v>
      </c>
      <c r="B215" t="s">
        <v>14</v>
      </c>
      <c r="C215" t="s">
        <v>9</v>
      </c>
      <c r="D215">
        <v>33</v>
      </c>
      <c r="E215">
        <v>9100</v>
      </c>
      <c r="F215">
        <v>430</v>
      </c>
    </row>
    <row r="216" spans="1:6">
      <c r="A216" t="s">
        <v>13</v>
      </c>
      <c r="B216" t="s">
        <v>12</v>
      </c>
      <c r="C216" t="s">
        <v>10</v>
      </c>
      <c r="D216">
        <v>31</v>
      </c>
      <c r="E216">
        <v>9500</v>
      </c>
      <c r="F216">
        <v>150</v>
      </c>
    </row>
    <row r="217" spans="1:6">
      <c r="A217" t="s">
        <v>5</v>
      </c>
      <c r="B217" t="s">
        <v>6</v>
      </c>
      <c r="C217" t="s">
        <v>7</v>
      </c>
      <c r="D217">
        <v>26</v>
      </c>
      <c r="E217">
        <v>5500</v>
      </c>
      <c r="F217">
        <v>10</v>
      </c>
    </row>
    <row r="218" spans="1:6">
      <c r="A218" t="s">
        <v>5</v>
      </c>
      <c r="B218" t="s">
        <v>6</v>
      </c>
      <c r="C218" t="s">
        <v>9</v>
      </c>
      <c r="D218">
        <v>35</v>
      </c>
      <c r="E218">
        <v>12100</v>
      </c>
      <c r="F218">
        <v>450</v>
      </c>
    </row>
    <row r="219" spans="1:6">
      <c r="A219" t="s">
        <v>5</v>
      </c>
      <c r="B219" t="s">
        <v>6</v>
      </c>
      <c r="C219" t="s">
        <v>9</v>
      </c>
      <c r="D219">
        <v>22</v>
      </c>
      <c r="E219">
        <v>6000</v>
      </c>
      <c r="F219">
        <v>540</v>
      </c>
    </row>
    <row r="220" spans="1:6">
      <c r="A220" t="s">
        <v>5</v>
      </c>
      <c r="B220" t="s">
        <v>12</v>
      </c>
      <c r="C220" t="s">
        <v>10</v>
      </c>
      <c r="D220">
        <v>35</v>
      </c>
      <c r="E220">
        <v>7800</v>
      </c>
      <c r="F220">
        <v>220</v>
      </c>
    </row>
    <row r="221" spans="1:6">
      <c r="A221" t="s">
        <v>13</v>
      </c>
      <c r="B221" t="s">
        <v>12</v>
      </c>
      <c r="C221" t="s">
        <v>9</v>
      </c>
      <c r="D221">
        <v>47</v>
      </c>
      <c r="E221">
        <v>13600</v>
      </c>
      <c r="F221">
        <v>315</v>
      </c>
    </row>
    <row r="222" spans="1:6">
      <c r="A222" t="s">
        <v>13</v>
      </c>
      <c r="B222" t="s">
        <v>12</v>
      </c>
      <c r="C222" t="s">
        <v>7</v>
      </c>
      <c r="D222">
        <v>36</v>
      </c>
      <c r="E222">
        <v>13400</v>
      </c>
      <c r="F222">
        <v>60</v>
      </c>
    </row>
    <row r="223" spans="1:6">
      <c r="A223" t="s">
        <v>5</v>
      </c>
      <c r="B223" t="s">
        <v>6</v>
      </c>
      <c r="C223" t="s">
        <v>10</v>
      </c>
      <c r="D223">
        <v>24</v>
      </c>
      <c r="E223">
        <v>7600</v>
      </c>
      <c r="F223">
        <v>150</v>
      </c>
    </row>
    <row r="224" spans="1:6">
      <c r="A224" t="s">
        <v>13</v>
      </c>
      <c r="B224" t="s">
        <v>12</v>
      </c>
      <c r="C224" t="s">
        <v>10</v>
      </c>
      <c r="D224">
        <v>38</v>
      </c>
      <c r="E224">
        <v>17500</v>
      </c>
      <c r="F224">
        <v>180</v>
      </c>
    </row>
    <row r="225" spans="1:6">
      <c r="A225" t="s">
        <v>5</v>
      </c>
      <c r="B225" t="s">
        <v>6</v>
      </c>
      <c r="C225" t="s">
        <v>9</v>
      </c>
      <c r="D225">
        <v>31</v>
      </c>
      <c r="E225">
        <v>10000</v>
      </c>
      <c r="F225">
        <v>150</v>
      </c>
    </row>
    <row r="226" spans="1:6">
      <c r="A226" t="s">
        <v>13</v>
      </c>
      <c r="B226" t="s">
        <v>12</v>
      </c>
      <c r="C226" t="s">
        <v>7</v>
      </c>
      <c r="D226">
        <v>35</v>
      </c>
      <c r="E226">
        <v>4800</v>
      </c>
      <c r="F226">
        <v>70</v>
      </c>
    </row>
    <row r="227" spans="1:6">
      <c r="A227" t="s">
        <v>13</v>
      </c>
      <c r="B227" t="s">
        <v>12</v>
      </c>
      <c r="C227" t="s">
        <v>10</v>
      </c>
      <c r="D227">
        <v>32</v>
      </c>
      <c r="E227">
        <v>14500</v>
      </c>
      <c r="F227">
        <v>130</v>
      </c>
    </row>
    <row r="228" spans="1:6">
      <c r="A228" t="s">
        <v>11</v>
      </c>
      <c r="B228" t="s">
        <v>14</v>
      </c>
      <c r="C228" t="s">
        <v>9</v>
      </c>
      <c r="D228">
        <v>39</v>
      </c>
      <c r="E228">
        <v>16000</v>
      </c>
      <c r="F228">
        <v>325</v>
      </c>
    </row>
    <row r="229" spans="1:6">
      <c r="A229" t="s">
        <v>5</v>
      </c>
      <c r="B229" t="s">
        <v>6</v>
      </c>
      <c r="C229" t="s">
        <v>9</v>
      </c>
      <c r="D229">
        <v>20</v>
      </c>
      <c r="E229">
        <v>3300</v>
      </c>
      <c r="F229">
        <v>0</v>
      </c>
    </row>
    <row r="230" spans="1:6">
      <c r="A230" t="s">
        <v>13</v>
      </c>
      <c r="B230" t="s">
        <v>12</v>
      </c>
      <c r="C230" t="s">
        <v>10</v>
      </c>
      <c r="D230">
        <v>46</v>
      </c>
      <c r="E230">
        <v>12000</v>
      </c>
      <c r="F230">
        <v>290</v>
      </c>
    </row>
    <row r="231" spans="1:6">
      <c r="A231" t="s">
        <v>13</v>
      </c>
      <c r="B231" t="s">
        <v>12</v>
      </c>
      <c r="C231" t="s">
        <v>10</v>
      </c>
      <c r="D231">
        <v>28</v>
      </c>
      <c r="E231">
        <v>10400</v>
      </c>
      <c r="F231">
        <v>180</v>
      </c>
    </row>
    <row r="232" spans="1:6">
      <c r="A232" t="s">
        <v>8</v>
      </c>
      <c r="B232" t="s">
        <v>6</v>
      </c>
      <c r="C232" t="s">
        <v>7</v>
      </c>
      <c r="D232">
        <v>26</v>
      </c>
      <c r="E232">
        <v>10600</v>
      </c>
      <c r="F232">
        <v>20</v>
      </c>
    </row>
    <row r="233" spans="1:6">
      <c r="A233" t="s">
        <v>5</v>
      </c>
      <c r="B233" t="s">
        <v>6</v>
      </c>
      <c r="C233" t="s">
        <v>10</v>
      </c>
      <c r="D233">
        <v>31</v>
      </c>
      <c r="E233">
        <v>9400</v>
      </c>
      <c r="F233">
        <v>220</v>
      </c>
    </row>
    <row r="234" spans="1:6">
      <c r="A234" t="s">
        <v>13</v>
      </c>
      <c r="B234" t="s">
        <v>12</v>
      </c>
      <c r="C234" t="s">
        <v>7</v>
      </c>
      <c r="D234">
        <v>47</v>
      </c>
      <c r="E234">
        <v>15500</v>
      </c>
      <c r="F234">
        <v>120</v>
      </c>
    </row>
    <row r="235" spans="1:6">
      <c r="A235" t="s">
        <v>8</v>
      </c>
      <c r="B235" t="s">
        <v>6</v>
      </c>
      <c r="C235" t="s">
        <v>7</v>
      </c>
      <c r="D235">
        <v>32</v>
      </c>
      <c r="E235">
        <v>11000</v>
      </c>
      <c r="F235">
        <v>30</v>
      </c>
    </row>
    <row r="236" spans="1:6">
      <c r="A236" t="s">
        <v>5</v>
      </c>
      <c r="B236" t="s">
        <v>6</v>
      </c>
      <c r="C236" t="s">
        <v>7</v>
      </c>
      <c r="D236">
        <v>31</v>
      </c>
      <c r="E236">
        <v>5300</v>
      </c>
      <c r="F236">
        <v>50</v>
      </c>
    </row>
    <row r="237" spans="1:6">
      <c r="A237" t="s">
        <v>13</v>
      </c>
      <c r="B237" t="s">
        <v>12</v>
      </c>
      <c r="C237" t="s">
        <v>10</v>
      </c>
      <c r="D237">
        <v>38</v>
      </c>
      <c r="E237">
        <v>18300</v>
      </c>
      <c r="F237">
        <v>150</v>
      </c>
    </row>
    <row r="238" spans="1:6">
      <c r="A238" t="s">
        <v>11</v>
      </c>
      <c r="B238" t="s">
        <v>12</v>
      </c>
      <c r="C238" t="s">
        <v>10</v>
      </c>
      <c r="D238">
        <v>47</v>
      </c>
      <c r="E238">
        <v>14000</v>
      </c>
      <c r="F238">
        <v>200</v>
      </c>
    </row>
    <row r="239" spans="1:6">
      <c r="A239" t="s">
        <v>5</v>
      </c>
      <c r="B239" t="s">
        <v>6</v>
      </c>
      <c r="C239" t="s">
        <v>10</v>
      </c>
      <c r="D239">
        <v>25</v>
      </c>
      <c r="E239">
        <v>7000</v>
      </c>
      <c r="F239">
        <v>150</v>
      </c>
    </row>
    <row r="240" spans="1:6">
      <c r="A240" t="s">
        <v>11</v>
      </c>
      <c r="B240" t="s">
        <v>14</v>
      </c>
      <c r="C240" t="s">
        <v>9</v>
      </c>
      <c r="D240">
        <v>48</v>
      </c>
      <c r="E240">
        <v>18000</v>
      </c>
      <c r="F240">
        <v>320</v>
      </c>
    </row>
    <row r="241" spans="1:6">
      <c r="A241" t="s">
        <v>13</v>
      </c>
      <c r="B241" t="s">
        <v>14</v>
      </c>
      <c r="C241" t="s">
        <v>9</v>
      </c>
      <c r="D241">
        <v>57</v>
      </c>
      <c r="E241">
        <v>11600</v>
      </c>
      <c r="F241">
        <v>140</v>
      </c>
    </row>
    <row r="242" spans="1:6">
      <c r="A242" t="s">
        <v>11</v>
      </c>
      <c r="B242" t="s">
        <v>6</v>
      </c>
      <c r="C242" t="s">
        <v>7</v>
      </c>
      <c r="D242">
        <v>25</v>
      </c>
      <c r="E242">
        <v>16000</v>
      </c>
      <c r="F242">
        <v>15</v>
      </c>
    </row>
    <row r="243" spans="1:6">
      <c r="A243" t="s">
        <v>8</v>
      </c>
      <c r="B243" t="s">
        <v>6</v>
      </c>
      <c r="C243" t="s">
        <v>7</v>
      </c>
      <c r="D243">
        <v>27</v>
      </c>
      <c r="E243">
        <v>11300</v>
      </c>
      <c r="F243">
        <v>75</v>
      </c>
    </row>
    <row r="244" spans="1:6">
      <c r="A244" t="s">
        <v>11</v>
      </c>
      <c r="B244" t="s">
        <v>12</v>
      </c>
      <c r="C244" t="s">
        <v>7</v>
      </c>
      <c r="D244">
        <v>28</v>
      </c>
      <c r="E244">
        <v>15300</v>
      </c>
      <c r="F244">
        <v>55</v>
      </c>
    </row>
    <row r="245" spans="1:6">
      <c r="A245" t="s">
        <v>5</v>
      </c>
      <c r="B245" t="s">
        <v>6</v>
      </c>
      <c r="C245" t="s">
        <v>10</v>
      </c>
      <c r="D245">
        <v>20</v>
      </c>
      <c r="E245">
        <v>3200</v>
      </c>
      <c r="F245">
        <v>0</v>
      </c>
    </row>
  </sheetData>
  <mergeCells count="33">
    <mergeCell ref="M70:N70"/>
    <mergeCell ref="N122:N126"/>
    <mergeCell ref="I108:J109"/>
    <mergeCell ref="K108:K109"/>
    <mergeCell ref="I110:J110"/>
    <mergeCell ref="I111:J111"/>
    <mergeCell ref="I117:K118"/>
    <mergeCell ref="I94:J94"/>
    <mergeCell ref="I101:K102"/>
    <mergeCell ref="I104:K105"/>
    <mergeCell ref="I106:J106"/>
    <mergeCell ref="I107:J107"/>
    <mergeCell ref="I89:J89"/>
    <mergeCell ref="I90:J90"/>
    <mergeCell ref="I91:J92"/>
    <mergeCell ref="K91:K92"/>
    <mergeCell ref="I93:J93"/>
    <mergeCell ref="K74:K75"/>
    <mergeCell ref="I84:K85"/>
    <mergeCell ref="L74:L77"/>
    <mergeCell ref="L79:L82"/>
    <mergeCell ref="I87:K88"/>
    <mergeCell ref="I76:J76"/>
    <mergeCell ref="I77:J77"/>
    <mergeCell ref="I72:J72"/>
    <mergeCell ref="I73:J73"/>
    <mergeCell ref="I74:J75"/>
    <mergeCell ref="I52:L53"/>
    <mergeCell ref="I54:L55"/>
    <mergeCell ref="I49:L51"/>
    <mergeCell ref="I63:L65"/>
    <mergeCell ref="I70:K71"/>
    <mergeCell ref="I69:K69"/>
  </mergeCells>
  <pageMargins left="0.511811024" right="0.511811024" top="0.78740157499999996" bottom="0.78740157499999996" header="0.31496062000000002" footer="0.31496062000000002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Questão 1</vt:lpstr>
      <vt:lpstr>Questão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Filipe Azevedo</dc:creator>
  <cp:lastModifiedBy>BARBARA MALTA MORAES</cp:lastModifiedBy>
  <dcterms:created xsi:type="dcterms:W3CDTF">2025-05-15T02:18:31Z</dcterms:created>
  <dcterms:modified xsi:type="dcterms:W3CDTF">2025-05-27T20:02:10Z</dcterms:modified>
</cp:coreProperties>
</file>