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cenbee.DS\Dropbox\VeSV_paper_2\"/>
    </mc:Choice>
  </mc:AlternateContent>
  <bookViews>
    <workbookView xWindow="0" yWindow="0" windowWidth="30720" windowHeight="15000" tabRatio="846"/>
  </bookViews>
  <sheets>
    <sheet name="Getting Started" sheetId="7" r:id="rId1"/>
    <sheet name="RESULTS" sheetId="6" r:id="rId2"/>
    <sheet name="Input Data" sheetId="12" r:id="rId3"/>
    <sheet name="Input Data (Sanitation)" sheetId="1" r:id="rId4"/>
    <sheet name="Input Data (Emptying)" sheetId="9" r:id="rId5"/>
    <sheet name="Input Data (Transport)" sheetId="2" r:id="rId6"/>
    <sheet name="Calc. (Sanitation)" sheetId="4" r:id="rId7"/>
    <sheet name="Calc. (Empty)" sheetId="5" r:id="rId8"/>
    <sheet name="Calc. (Transport)" sheetId="13" r:id="rId9"/>
    <sheet name="Data (Census)" sheetId="10" r:id="rId10"/>
    <sheet name="Data (Transport Distance)" sheetId="8" r:id="rId1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D3" i="6" l="1"/>
  <c r="J28" i="6"/>
  <c r="L54" i="10"/>
  <c r="N54" i="10"/>
  <c r="G7" i="10"/>
  <c r="L55" i="10"/>
  <c r="N55" i="10"/>
  <c r="G8" i="10"/>
  <c r="L56" i="10"/>
  <c r="N56" i="10"/>
  <c r="G9" i="10"/>
  <c r="L57" i="10"/>
  <c r="N57" i="10"/>
  <c r="G10" i="10"/>
  <c r="L58" i="10"/>
  <c r="N58" i="10"/>
  <c r="G11" i="10"/>
  <c r="L59" i="10"/>
  <c r="N59" i="10"/>
  <c r="G12" i="10"/>
  <c r="L60" i="10"/>
  <c r="N60" i="10"/>
  <c r="G13" i="10"/>
  <c r="L61" i="10"/>
  <c r="N61" i="10"/>
  <c r="G14" i="10"/>
  <c r="L62" i="10"/>
  <c r="N62" i="10"/>
  <c r="G15" i="10"/>
  <c r="L63" i="10"/>
  <c r="N63" i="10"/>
  <c r="G16" i="10"/>
  <c r="L64" i="10"/>
  <c r="N64" i="10"/>
  <c r="G17" i="10"/>
  <c r="G18" i="10"/>
  <c r="B7" i="12"/>
  <c r="F7" i="12"/>
  <c r="B3" i="4"/>
  <c r="B2" i="4"/>
  <c r="C5" i="1"/>
  <c r="C8" i="1"/>
  <c r="B5" i="4"/>
  <c r="C6" i="1"/>
  <c r="B6" i="4"/>
  <c r="E7" i="10"/>
  <c r="D34" i="10"/>
  <c r="H23" i="10"/>
  <c r="C7" i="10"/>
  <c r="F7" i="10"/>
  <c r="E8" i="10"/>
  <c r="H24" i="10"/>
  <c r="C8" i="10"/>
  <c r="F8" i="10"/>
  <c r="E9" i="10"/>
  <c r="H25" i="10"/>
  <c r="C9" i="10"/>
  <c r="F9" i="10"/>
  <c r="E10" i="10"/>
  <c r="H26" i="10"/>
  <c r="C10" i="10"/>
  <c r="F10" i="10"/>
  <c r="E11" i="10"/>
  <c r="H27" i="10"/>
  <c r="C11" i="10"/>
  <c r="F11" i="10"/>
  <c r="E12" i="10"/>
  <c r="H28" i="10"/>
  <c r="C12" i="10"/>
  <c r="F12" i="10"/>
  <c r="E13" i="10"/>
  <c r="H29" i="10"/>
  <c r="C13" i="10"/>
  <c r="F13" i="10"/>
  <c r="E14" i="10"/>
  <c r="H30" i="10"/>
  <c r="C14" i="10"/>
  <c r="F14" i="10"/>
  <c r="E15" i="10"/>
  <c r="H31" i="10"/>
  <c r="C15" i="10"/>
  <c r="F15" i="10"/>
  <c r="E16" i="10"/>
  <c r="H32" i="10"/>
  <c r="C16" i="10"/>
  <c r="F16" i="10"/>
  <c r="E17" i="10"/>
  <c r="H33" i="10"/>
  <c r="C17" i="10"/>
  <c r="F17" i="10"/>
  <c r="F18" i="10"/>
  <c r="B10" i="12"/>
  <c r="F10" i="12"/>
  <c r="F12" i="12"/>
  <c r="B7" i="4"/>
  <c r="B10" i="4"/>
  <c r="B8" i="4"/>
  <c r="B11" i="4"/>
  <c r="B3" i="13"/>
  <c r="B30" i="13"/>
  <c r="M8" i="8"/>
  <c r="M9" i="8"/>
  <c r="M10" i="8"/>
  <c r="M11" i="8"/>
  <c r="M12" i="8"/>
  <c r="M13" i="8"/>
  <c r="M14" i="8"/>
  <c r="M15" i="8"/>
  <c r="M16" i="8"/>
  <c r="M17" i="8"/>
  <c r="M18" i="8"/>
  <c r="M20" i="8"/>
  <c r="O8" i="8"/>
  <c r="O9" i="8"/>
  <c r="O10" i="8"/>
  <c r="O11" i="8"/>
  <c r="O12" i="8"/>
  <c r="O13" i="8"/>
  <c r="O14" i="8"/>
  <c r="O15" i="8"/>
  <c r="O16" i="8"/>
  <c r="O17" i="8"/>
  <c r="O18" i="8"/>
  <c r="O20" i="8"/>
  <c r="J20" i="8"/>
  <c r="B16" i="12"/>
  <c r="F16" i="12"/>
  <c r="B34" i="13"/>
  <c r="C21" i="2"/>
  <c r="B47" i="13"/>
  <c r="C30" i="13"/>
  <c r="N8" i="8"/>
  <c r="N9" i="8"/>
  <c r="N10" i="8"/>
  <c r="N11" i="8"/>
  <c r="N12" i="8"/>
  <c r="N13" i="8"/>
  <c r="N14" i="8"/>
  <c r="N15" i="8"/>
  <c r="N16" i="8"/>
  <c r="N17" i="8"/>
  <c r="N18" i="8"/>
  <c r="N20" i="8"/>
  <c r="K20" i="8"/>
  <c r="B18" i="12"/>
  <c r="F18" i="12"/>
  <c r="C34" i="13"/>
  <c r="C42" i="2"/>
  <c r="C47" i="13"/>
  <c r="D47" i="13"/>
  <c r="J34" i="6"/>
  <c r="I21" i="6"/>
  <c r="N21" i="6"/>
  <c r="B4" i="5"/>
  <c r="B20" i="5"/>
  <c r="C36" i="9"/>
  <c r="B28" i="5"/>
  <c r="I28" i="6"/>
  <c r="B32" i="13"/>
  <c r="C4" i="2"/>
  <c r="B35" i="13"/>
  <c r="C20" i="2"/>
  <c r="B46" i="13"/>
  <c r="C32" i="13"/>
  <c r="C26" i="2"/>
  <c r="C35" i="13"/>
  <c r="C41" i="2"/>
  <c r="C46" i="13"/>
  <c r="D46" i="13"/>
  <c r="I34" i="6"/>
  <c r="H21" i="6"/>
  <c r="M21" i="6"/>
  <c r="C27" i="9"/>
  <c r="B52" i="9"/>
  <c r="B53" i="9"/>
  <c r="B54" i="9"/>
  <c r="B56" i="9"/>
  <c r="C51" i="9"/>
  <c r="C53" i="9"/>
  <c r="C54" i="9"/>
  <c r="C55" i="9"/>
  <c r="C56" i="9"/>
  <c r="D51" i="9"/>
  <c r="D53" i="9"/>
  <c r="D54" i="9"/>
  <c r="D55" i="9"/>
  <c r="D56" i="9"/>
  <c r="E51" i="9"/>
  <c r="E53" i="9"/>
  <c r="E54" i="9"/>
  <c r="E55" i="9"/>
  <c r="E56" i="9"/>
  <c r="F51" i="9"/>
  <c r="F53" i="9"/>
  <c r="F54" i="9"/>
  <c r="F55" i="9"/>
  <c r="F56" i="9"/>
  <c r="G51" i="9"/>
  <c r="G53" i="9"/>
  <c r="G54" i="9"/>
  <c r="G55" i="9"/>
  <c r="G56" i="9"/>
  <c r="H51" i="9"/>
  <c r="H53" i="9"/>
  <c r="H54" i="9"/>
  <c r="H55" i="9"/>
  <c r="H56" i="9"/>
  <c r="I51" i="9"/>
  <c r="I53" i="9"/>
  <c r="I54" i="9"/>
  <c r="I55" i="9"/>
  <c r="I56" i="9"/>
  <c r="J51" i="9"/>
  <c r="J53" i="9"/>
  <c r="J54" i="9"/>
  <c r="J55" i="9"/>
  <c r="J56" i="9"/>
  <c r="K51" i="9"/>
  <c r="K53" i="9"/>
  <c r="K54" i="9"/>
  <c r="K55" i="9"/>
  <c r="K56" i="9"/>
  <c r="L51" i="9"/>
  <c r="L53" i="9"/>
  <c r="L54" i="9"/>
  <c r="L55" i="9"/>
  <c r="L56" i="9"/>
  <c r="M51" i="9"/>
  <c r="M53" i="9"/>
  <c r="M54" i="9"/>
  <c r="M55" i="9"/>
  <c r="M56" i="9"/>
  <c r="N51" i="9"/>
  <c r="N53" i="9"/>
  <c r="N54" i="9"/>
  <c r="N55" i="9"/>
  <c r="N56" i="9"/>
  <c r="O51" i="9"/>
  <c r="O53" i="9"/>
  <c r="O54" i="9"/>
  <c r="O55" i="9"/>
  <c r="O56" i="9"/>
  <c r="P51" i="9"/>
  <c r="P53" i="9"/>
  <c r="P54" i="9"/>
  <c r="P55" i="9"/>
  <c r="P56" i="9"/>
  <c r="Q51" i="9"/>
  <c r="Q53" i="9"/>
  <c r="Q54" i="9"/>
  <c r="Q55" i="9"/>
  <c r="Q56" i="9"/>
  <c r="R51" i="9"/>
  <c r="R53" i="9"/>
  <c r="R54" i="9"/>
  <c r="R55" i="9"/>
  <c r="R56" i="9"/>
  <c r="S51" i="9"/>
  <c r="S53" i="9"/>
  <c r="S54" i="9"/>
  <c r="S55" i="9"/>
  <c r="S56" i="9"/>
  <c r="T51" i="9"/>
  <c r="T53" i="9"/>
  <c r="T54" i="9"/>
  <c r="T55" i="9"/>
  <c r="T56" i="9"/>
  <c r="U51" i="9"/>
  <c r="U53" i="9"/>
  <c r="U54" i="9"/>
  <c r="U55" i="9"/>
  <c r="U56" i="9"/>
  <c r="V51" i="9"/>
  <c r="V53" i="9"/>
  <c r="V54" i="9"/>
  <c r="V55" i="9"/>
  <c r="V56" i="9"/>
  <c r="W51" i="9"/>
  <c r="W53" i="9"/>
  <c r="W54" i="9"/>
  <c r="W55" i="9"/>
  <c r="W56" i="9"/>
  <c r="X51" i="9"/>
  <c r="X53" i="9"/>
  <c r="X54" i="9"/>
  <c r="X55" i="9"/>
  <c r="X56" i="9"/>
  <c r="Y51" i="9"/>
  <c r="Y53" i="9"/>
  <c r="Y54" i="9"/>
  <c r="Y55" i="9"/>
  <c r="Y56" i="9"/>
  <c r="Z51" i="9"/>
  <c r="Z53" i="9"/>
  <c r="Z54" i="9"/>
  <c r="Z55" i="9"/>
  <c r="Z56" i="9"/>
  <c r="AA51" i="9"/>
  <c r="AA53" i="9"/>
  <c r="AA54" i="9"/>
  <c r="AA55" i="9"/>
  <c r="AA56" i="9"/>
  <c r="B57" i="9"/>
  <c r="C31" i="9"/>
  <c r="F39" i="12"/>
  <c r="F38" i="12"/>
  <c r="F37" i="12"/>
  <c r="F40" i="12"/>
  <c r="B21" i="5"/>
  <c r="B27" i="5"/>
  <c r="H28" i="6"/>
  <c r="C10" i="2"/>
  <c r="B49" i="2"/>
  <c r="B50" i="2"/>
  <c r="B51" i="2"/>
  <c r="B53" i="2"/>
  <c r="C48" i="2"/>
  <c r="C50" i="2"/>
  <c r="C51" i="2"/>
  <c r="C52" i="2"/>
  <c r="C53" i="2"/>
  <c r="D48" i="2"/>
  <c r="D50" i="2"/>
  <c r="D51" i="2"/>
  <c r="D52" i="2"/>
  <c r="D53" i="2"/>
  <c r="E48" i="2"/>
  <c r="E50" i="2"/>
  <c r="E51" i="2"/>
  <c r="E52" i="2"/>
  <c r="E53" i="2"/>
  <c r="F48" i="2"/>
  <c r="F50" i="2"/>
  <c r="F51" i="2"/>
  <c r="F52" i="2"/>
  <c r="F53" i="2"/>
  <c r="G48" i="2"/>
  <c r="G50" i="2"/>
  <c r="G51" i="2"/>
  <c r="G52" i="2"/>
  <c r="G53" i="2"/>
  <c r="H48" i="2"/>
  <c r="H50" i="2"/>
  <c r="H51" i="2"/>
  <c r="H52" i="2"/>
  <c r="H53" i="2"/>
  <c r="I48" i="2"/>
  <c r="I50" i="2"/>
  <c r="I51" i="2"/>
  <c r="I52" i="2"/>
  <c r="I53" i="2"/>
  <c r="J48" i="2"/>
  <c r="J50" i="2"/>
  <c r="J51" i="2"/>
  <c r="J52" i="2"/>
  <c r="J53" i="2"/>
  <c r="K48" i="2"/>
  <c r="K50" i="2"/>
  <c r="K51" i="2"/>
  <c r="K52" i="2"/>
  <c r="K53" i="2"/>
  <c r="L48" i="2"/>
  <c r="L50" i="2"/>
  <c r="L51" i="2"/>
  <c r="L52" i="2"/>
  <c r="L53" i="2"/>
  <c r="M48" i="2"/>
  <c r="M50" i="2"/>
  <c r="M51" i="2"/>
  <c r="M52" i="2"/>
  <c r="M53" i="2"/>
  <c r="N48" i="2"/>
  <c r="N50" i="2"/>
  <c r="N51" i="2"/>
  <c r="N52" i="2"/>
  <c r="N53" i="2"/>
  <c r="O48" i="2"/>
  <c r="O50" i="2"/>
  <c r="O51" i="2"/>
  <c r="O52" i="2"/>
  <c r="O53" i="2"/>
  <c r="P48" i="2"/>
  <c r="P50" i="2"/>
  <c r="P51" i="2"/>
  <c r="P52" i="2"/>
  <c r="P53" i="2"/>
  <c r="Q48" i="2"/>
  <c r="Q50" i="2"/>
  <c r="Q51" i="2"/>
  <c r="Q52" i="2"/>
  <c r="Q53" i="2"/>
  <c r="R48" i="2"/>
  <c r="R50" i="2"/>
  <c r="R51" i="2"/>
  <c r="R52" i="2"/>
  <c r="R53" i="2"/>
  <c r="S48" i="2"/>
  <c r="S50" i="2"/>
  <c r="S51" i="2"/>
  <c r="S52" i="2"/>
  <c r="S53" i="2"/>
  <c r="T48" i="2"/>
  <c r="T50" i="2"/>
  <c r="T51" i="2"/>
  <c r="T52" i="2"/>
  <c r="T53" i="2"/>
  <c r="U48" i="2"/>
  <c r="U50" i="2"/>
  <c r="U51" i="2"/>
  <c r="U52" i="2"/>
  <c r="U53" i="2"/>
  <c r="V48" i="2"/>
  <c r="V50" i="2"/>
  <c r="V51" i="2"/>
  <c r="V52" i="2"/>
  <c r="V53" i="2"/>
  <c r="W48" i="2"/>
  <c r="W50" i="2"/>
  <c r="W51" i="2"/>
  <c r="W52" i="2"/>
  <c r="W53" i="2"/>
  <c r="X48" i="2"/>
  <c r="X50" i="2"/>
  <c r="X51" i="2"/>
  <c r="X52" i="2"/>
  <c r="X53" i="2"/>
  <c r="Y48" i="2"/>
  <c r="Y50" i="2"/>
  <c r="Y51" i="2"/>
  <c r="Y52" i="2"/>
  <c r="Y53" i="2"/>
  <c r="Z48" i="2"/>
  <c r="Z50" i="2"/>
  <c r="Z51" i="2"/>
  <c r="Z52" i="2"/>
  <c r="Z53" i="2"/>
  <c r="AA48" i="2"/>
  <c r="AA50" i="2"/>
  <c r="AA51" i="2"/>
  <c r="AA52" i="2"/>
  <c r="AA53" i="2"/>
  <c r="B54" i="2"/>
  <c r="C14" i="2"/>
  <c r="B37" i="13"/>
  <c r="B39" i="13"/>
  <c r="B45" i="13"/>
  <c r="C31" i="2"/>
  <c r="B59" i="2"/>
  <c r="B60" i="2"/>
  <c r="B61" i="2"/>
  <c r="B63" i="2"/>
  <c r="C58" i="2"/>
  <c r="C60" i="2"/>
  <c r="C61" i="2"/>
  <c r="C62" i="2"/>
  <c r="C63" i="2"/>
  <c r="D58" i="2"/>
  <c r="D60" i="2"/>
  <c r="D61" i="2"/>
  <c r="D62" i="2"/>
  <c r="D63" i="2"/>
  <c r="E58" i="2"/>
  <c r="E60" i="2"/>
  <c r="E61" i="2"/>
  <c r="E62" i="2"/>
  <c r="E63" i="2"/>
  <c r="F58" i="2"/>
  <c r="F60" i="2"/>
  <c r="F61" i="2"/>
  <c r="F62" i="2"/>
  <c r="F63" i="2"/>
  <c r="G58" i="2"/>
  <c r="G60" i="2"/>
  <c r="G61" i="2"/>
  <c r="G62" i="2"/>
  <c r="G63" i="2"/>
  <c r="H58" i="2"/>
  <c r="H60" i="2"/>
  <c r="H61" i="2"/>
  <c r="H62" i="2"/>
  <c r="H63" i="2"/>
  <c r="I58" i="2"/>
  <c r="I60" i="2"/>
  <c r="I61" i="2"/>
  <c r="I62" i="2"/>
  <c r="I63" i="2"/>
  <c r="J58" i="2"/>
  <c r="J60" i="2"/>
  <c r="J61" i="2"/>
  <c r="J62" i="2"/>
  <c r="J63" i="2"/>
  <c r="K58" i="2"/>
  <c r="K60" i="2"/>
  <c r="K61" i="2"/>
  <c r="K62" i="2"/>
  <c r="K63" i="2"/>
  <c r="L58" i="2"/>
  <c r="L60" i="2"/>
  <c r="L61" i="2"/>
  <c r="L62" i="2"/>
  <c r="L63" i="2"/>
  <c r="M58" i="2"/>
  <c r="M60" i="2"/>
  <c r="M61" i="2"/>
  <c r="M62" i="2"/>
  <c r="M63" i="2"/>
  <c r="N58" i="2"/>
  <c r="N60" i="2"/>
  <c r="N61" i="2"/>
  <c r="N62" i="2"/>
  <c r="N63" i="2"/>
  <c r="O58" i="2"/>
  <c r="O60" i="2"/>
  <c r="O61" i="2"/>
  <c r="O62" i="2"/>
  <c r="O63" i="2"/>
  <c r="P58" i="2"/>
  <c r="P60" i="2"/>
  <c r="P61" i="2"/>
  <c r="P62" i="2"/>
  <c r="P63" i="2"/>
  <c r="Q58" i="2"/>
  <c r="Q60" i="2"/>
  <c r="Q61" i="2"/>
  <c r="Q62" i="2"/>
  <c r="Q63" i="2"/>
  <c r="R58" i="2"/>
  <c r="R60" i="2"/>
  <c r="R61" i="2"/>
  <c r="R62" i="2"/>
  <c r="R63" i="2"/>
  <c r="S58" i="2"/>
  <c r="S60" i="2"/>
  <c r="S61" i="2"/>
  <c r="S62" i="2"/>
  <c r="S63" i="2"/>
  <c r="T58" i="2"/>
  <c r="T60" i="2"/>
  <c r="T61" i="2"/>
  <c r="T62" i="2"/>
  <c r="T63" i="2"/>
  <c r="U58" i="2"/>
  <c r="U60" i="2"/>
  <c r="U61" i="2"/>
  <c r="U62" i="2"/>
  <c r="U63" i="2"/>
  <c r="V58" i="2"/>
  <c r="V60" i="2"/>
  <c r="V61" i="2"/>
  <c r="V62" i="2"/>
  <c r="V63" i="2"/>
  <c r="W58" i="2"/>
  <c r="W60" i="2"/>
  <c r="W61" i="2"/>
  <c r="W62" i="2"/>
  <c r="W63" i="2"/>
  <c r="X58" i="2"/>
  <c r="X60" i="2"/>
  <c r="X61" i="2"/>
  <c r="X62" i="2"/>
  <c r="X63" i="2"/>
  <c r="Y58" i="2"/>
  <c r="Y60" i="2"/>
  <c r="Y61" i="2"/>
  <c r="Y62" i="2"/>
  <c r="Y63" i="2"/>
  <c r="Z58" i="2"/>
  <c r="Z60" i="2"/>
  <c r="Z61" i="2"/>
  <c r="Z62" i="2"/>
  <c r="Z63" i="2"/>
  <c r="AA58" i="2"/>
  <c r="AA60" i="2"/>
  <c r="AA61" i="2"/>
  <c r="AA62" i="2"/>
  <c r="AA63" i="2"/>
  <c r="B64" i="2"/>
  <c r="C35" i="2"/>
  <c r="C37" i="13"/>
  <c r="C39" i="13"/>
  <c r="C45" i="13"/>
  <c r="D45" i="13"/>
  <c r="H34" i="6"/>
  <c r="G21" i="6"/>
  <c r="L21" i="6"/>
  <c r="B8" i="13"/>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L8" i="8"/>
  <c r="L9" i="8"/>
  <c r="L10" i="8"/>
  <c r="L11" i="8"/>
  <c r="L12" i="8"/>
  <c r="L13" i="8"/>
  <c r="L14" i="8"/>
  <c r="L15" i="8"/>
  <c r="L16" i="8"/>
  <c r="L17" i="8"/>
  <c r="L18" i="8"/>
  <c r="L20" i="8"/>
  <c r="I20" i="8"/>
  <c r="B20" i="12"/>
  <c r="F20" i="12"/>
  <c r="B12" i="13"/>
  <c r="B25" i="13"/>
  <c r="J33" i="6"/>
  <c r="I20" i="6"/>
  <c r="N20" i="6"/>
  <c r="B10" i="13"/>
  <c r="C5" i="2"/>
  <c r="B13" i="13"/>
  <c r="B15" i="13"/>
  <c r="B24" i="13"/>
  <c r="I33" i="6"/>
  <c r="H20" i="6"/>
  <c r="M20" i="6"/>
  <c r="B17" i="13"/>
  <c r="B23" i="13"/>
  <c r="H33" i="6"/>
  <c r="G20" i="6"/>
  <c r="L20" i="6"/>
  <c r="J27" i="6"/>
  <c r="I19" i="6"/>
  <c r="N19" i="6"/>
  <c r="B7" i="5"/>
  <c r="C17" i="9"/>
  <c r="B15" i="5"/>
  <c r="I27" i="6"/>
  <c r="H19" i="6"/>
  <c r="M19" i="6"/>
  <c r="C8" i="9"/>
  <c r="B43" i="9"/>
  <c r="B44" i="9"/>
  <c r="B45" i="9"/>
  <c r="B47" i="9"/>
  <c r="C42" i="9"/>
  <c r="C44" i="9"/>
  <c r="C45" i="9"/>
  <c r="C46" i="9"/>
  <c r="C47" i="9"/>
  <c r="D42" i="9"/>
  <c r="D44" i="9"/>
  <c r="D45" i="9"/>
  <c r="D46" i="9"/>
  <c r="D47" i="9"/>
  <c r="E42" i="9"/>
  <c r="E44" i="9"/>
  <c r="E45" i="9"/>
  <c r="E46" i="9"/>
  <c r="E47" i="9"/>
  <c r="F42" i="9"/>
  <c r="F44" i="9"/>
  <c r="F45" i="9"/>
  <c r="F46" i="9"/>
  <c r="F47" i="9"/>
  <c r="G42" i="9"/>
  <c r="G44" i="9"/>
  <c r="G45" i="9"/>
  <c r="G46" i="9"/>
  <c r="G47" i="9"/>
  <c r="H42" i="9"/>
  <c r="H44" i="9"/>
  <c r="H45" i="9"/>
  <c r="H46" i="9"/>
  <c r="H47" i="9"/>
  <c r="I42" i="9"/>
  <c r="I44" i="9"/>
  <c r="I45" i="9"/>
  <c r="I46" i="9"/>
  <c r="I47" i="9"/>
  <c r="J42" i="9"/>
  <c r="J44" i="9"/>
  <c r="J45" i="9"/>
  <c r="J46" i="9"/>
  <c r="J47" i="9"/>
  <c r="K42" i="9"/>
  <c r="K44" i="9"/>
  <c r="K45" i="9"/>
  <c r="K46" i="9"/>
  <c r="K47" i="9"/>
  <c r="L42" i="9"/>
  <c r="L44" i="9"/>
  <c r="L45" i="9"/>
  <c r="L46" i="9"/>
  <c r="L47" i="9"/>
  <c r="M42" i="9"/>
  <c r="M44" i="9"/>
  <c r="M45" i="9"/>
  <c r="M46" i="9"/>
  <c r="M47" i="9"/>
  <c r="N42" i="9"/>
  <c r="N44" i="9"/>
  <c r="N45" i="9"/>
  <c r="N46" i="9"/>
  <c r="N47" i="9"/>
  <c r="O42" i="9"/>
  <c r="O44" i="9"/>
  <c r="O45" i="9"/>
  <c r="O46" i="9"/>
  <c r="O47" i="9"/>
  <c r="P42" i="9"/>
  <c r="P44" i="9"/>
  <c r="P45" i="9"/>
  <c r="P46" i="9"/>
  <c r="P47" i="9"/>
  <c r="Q42" i="9"/>
  <c r="Q44" i="9"/>
  <c r="Q45" i="9"/>
  <c r="Q46" i="9"/>
  <c r="Q47" i="9"/>
  <c r="R42" i="9"/>
  <c r="R44" i="9"/>
  <c r="R45" i="9"/>
  <c r="R46" i="9"/>
  <c r="R47" i="9"/>
  <c r="S42" i="9"/>
  <c r="S44" i="9"/>
  <c r="S45" i="9"/>
  <c r="S46" i="9"/>
  <c r="S47" i="9"/>
  <c r="T42" i="9"/>
  <c r="T44" i="9"/>
  <c r="T45" i="9"/>
  <c r="T46" i="9"/>
  <c r="T47" i="9"/>
  <c r="U42" i="9"/>
  <c r="U44" i="9"/>
  <c r="U45" i="9"/>
  <c r="U46" i="9"/>
  <c r="U47" i="9"/>
  <c r="V42" i="9"/>
  <c r="V44" i="9"/>
  <c r="V45" i="9"/>
  <c r="V46" i="9"/>
  <c r="V47" i="9"/>
  <c r="W42" i="9"/>
  <c r="W44" i="9"/>
  <c r="W45" i="9"/>
  <c r="W46" i="9"/>
  <c r="W47" i="9"/>
  <c r="X42" i="9"/>
  <c r="X44" i="9"/>
  <c r="X45" i="9"/>
  <c r="X46" i="9"/>
  <c r="X47" i="9"/>
  <c r="Y42" i="9"/>
  <c r="Y44" i="9"/>
  <c r="Y45" i="9"/>
  <c r="Y46" i="9"/>
  <c r="Y47" i="9"/>
  <c r="Z42" i="9"/>
  <c r="Z44" i="9"/>
  <c r="Z45" i="9"/>
  <c r="Z46" i="9"/>
  <c r="Z47" i="9"/>
  <c r="AA42" i="9"/>
  <c r="AA44" i="9"/>
  <c r="AA45" i="9"/>
  <c r="AA46" i="9"/>
  <c r="AA47" i="9"/>
  <c r="B48" i="9"/>
  <c r="C12" i="9"/>
  <c r="B8" i="5"/>
  <c r="B14" i="5"/>
  <c r="H27" i="6"/>
  <c r="G19" i="6"/>
  <c r="L19" i="6"/>
  <c r="I18" i="6"/>
  <c r="N18" i="6"/>
  <c r="H18" i="6"/>
  <c r="M18" i="6"/>
  <c r="G18" i="6"/>
  <c r="L18" i="6"/>
  <c r="G27" i="6"/>
  <c r="G33" i="6"/>
  <c r="F18" i="6"/>
  <c r="B14" i="6"/>
  <c r="C18" i="6"/>
  <c r="B27" i="6"/>
  <c r="L27" i="6"/>
  <c r="N27" i="6"/>
  <c r="K27" i="6"/>
  <c r="B33" i="6"/>
  <c r="M33" i="6"/>
  <c r="N33" i="6"/>
  <c r="K33" i="6"/>
  <c r="O18" i="6"/>
  <c r="C7" i="4"/>
  <c r="B4" i="13"/>
  <c r="B2" i="13"/>
  <c r="D7" i="10"/>
  <c r="D8" i="10"/>
  <c r="D9" i="10"/>
  <c r="D10" i="10"/>
  <c r="D11" i="10"/>
  <c r="D12" i="10"/>
  <c r="D13" i="10"/>
  <c r="D14" i="10"/>
  <c r="D15" i="10"/>
  <c r="D16" i="10"/>
  <c r="D17" i="10"/>
  <c r="D18" i="10"/>
  <c r="B5" i="12"/>
  <c r="B8" i="12"/>
  <c r="M64" i="10"/>
  <c r="O64" i="10"/>
  <c r="B18" i="6"/>
  <c r="F32" i="12"/>
  <c r="B7" i="6"/>
  <c r="A28" i="13"/>
  <c r="B2" i="5"/>
  <c r="A6" i="13"/>
  <c r="A19" i="5"/>
  <c r="A28" i="6"/>
  <c r="A6" i="5"/>
  <c r="A27" i="6"/>
  <c r="A18" i="6"/>
  <c r="C37" i="9"/>
  <c r="C18" i="9"/>
  <c r="F36" i="12"/>
  <c r="F35" i="12"/>
  <c r="F34" i="12"/>
  <c r="F24" i="12"/>
  <c r="F26" i="12"/>
  <c r="F22" i="12"/>
  <c r="B11" i="6"/>
  <c r="B7" i="10"/>
  <c r="B12" i="6"/>
  <c r="A57" i="2"/>
  <c r="A47" i="2"/>
  <c r="A50" i="9"/>
  <c r="A41" i="9"/>
  <c r="B21" i="6"/>
  <c r="B20" i="6"/>
  <c r="B19" i="6"/>
  <c r="A21" i="6"/>
  <c r="A20" i="6"/>
  <c r="K8" i="8"/>
  <c r="J8" i="8"/>
  <c r="F104" i="8"/>
  <c r="B8" i="10"/>
  <c r="B9" i="10"/>
  <c r="B10" i="10"/>
  <c r="B11" i="10"/>
  <c r="B12" i="10"/>
  <c r="B13" i="10"/>
  <c r="B14" i="10"/>
  <c r="B15" i="10"/>
  <c r="B16" i="10"/>
  <c r="B17" i="10"/>
  <c r="M55" i="10"/>
  <c r="O55" i="10"/>
  <c r="M56" i="10"/>
  <c r="O56" i="10"/>
  <c r="M57" i="10"/>
  <c r="O57" i="10"/>
  <c r="M58" i="10"/>
  <c r="O58" i="10"/>
  <c r="M59" i="10"/>
  <c r="O59" i="10"/>
  <c r="M60" i="10"/>
  <c r="O60" i="10"/>
  <c r="M61" i="10"/>
  <c r="O61" i="10"/>
  <c r="M62" i="10"/>
  <c r="O62" i="10"/>
  <c r="M63" i="10"/>
  <c r="O63" i="10"/>
  <c r="M54" i="10"/>
  <c r="O54" i="10"/>
  <c r="H11" i="10"/>
  <c r="J17" i="8"/>
  <c r="K10" i="8"/>
  <c r="K13" i="8"/>
  <c r="H17" i="10"/>
  <c r="H9" i="10"/>
  <c r="H13" i="10"/>
  <c r="H15" i="10"/>
  <c r="B18" i="10"/>
  <c r="H16" i="10"/>
  <c r="H14" i="10"/>
  <c r="H12" i="10"/>
  <c r="H10" i="10"/>
  <c r="H8" i="10"/>
  <c r="H7" i="10"/>
  <c r="K16" i="8"/>
  <c r="J13" i="8"/>
  <c r="J9" i="8"/>
  <c r="K17" i="8"/>
  <c r="J16" i="8"/>
  <c r="J12" i="8"/>
  <c r="J15" i="8"/>
  <c r="J11" i="8"/>
  <c r="K15" i="8"/>
  <c r="J18" i="8"/>
  <c r="J14" i="8"/>
  <c r="J10" i="8"/>
  <c r="K11" i="8"/>
  <c r="K18" i="8"/>
  <c r="K14" i="8"/>
  <c r="N65" i="10"/>
  <c r="K9" i="8"/>
  <c r="K12" i="8"/>
  <c r="F5" i="12"/>
  <c r="B3" i="12"/>
  <c r="F3" i="12"/>
  <c r="C18" i="10"/>
  <c r="A19" i="6"/>
  <c r="A55" i="9"/>
  <c r="A54" i="9"/>
  <c r="A52" i="9"/>
  <c r="A46" i="9"/>
  <c r="A45" i="9"/>
  <c r="A43" i="9"/>
  <c r="I16" i="8"/>
  <c r="A62" i="2"/>
  <c r="A61" i="2"/>
  <c r="A59" i="2"/>
  <c r="A52" i="2"/>
  <c r="A51" i="2"/>
  <c r="A49" i="2"/>
  <c r="B10" i="6"/>
  <c r="I8" i="8"/>
  <c r="I9" i="8"/>
  <c r="I12" i="8"/>
  <c r="I14" i="8"/>
  <c r="I11" i="8"/>
  <c r="I18" i="8"/>
  <c r="I15" i="8"/>
  <c r="I10" i="8"/>
  <c r="I13" i="8"/>
  <c r="I17" i="8"/>
  <c r="E104" i="8"/>
  <c r="E105" i="8"/>
  <c r="F27" i="6"/>
  <c r="F33" i="6"/>
  <c r="F28" i="6"/>
  <c r="F34" i="6"/>
  <c r="B3" i="5"/>
  <c r="B13" i="6"/>
  <c r="D30" i="13"/>
  <c r="D32" i="13"/>
  <c r="B42" i="13"/>
  <c r="B20" i="13"/>
  <c r="B29" i="5"/>
  <c r="B16" i="5"/>
  <c r="D34" i="13"/>
  <c r="B24" i="5"/>
  <c r="B11" i="5"/>
  <c r="D27" i="6"/>
  <c r="D35" i="13"/>
  <c r="B34" i="6"/>
  <c r="D28" i="6"/>
  <c r="B28" i="6"/>
  <c r="L28" i="6"/>
  <c r="D37" i="13"/>
  <c r="D33" i="6"/>
  <c r="N28" i="6"/>
  <c r="K28" i="6"/>
  <c r="C34" i="6"/>
  <c r="M34" i="6"/>
  <c r="C42" i="13"/>
  <c r="E18" i="6"/>
  <c r="J18" i="6"/>
  <c r="E20" i="6"/>
  <c r="J20" i="6"/>
  <c r="N34" i="6"/>
  <c r="K34" i="6"/>
  <c r="O21" i="6"/>
  <c r="D42" i="13"/>
  <c r="D34" i="6"/>
  <c r="O19" i="6"/>
  <c r="E19" i="6"/>
  <c r="J19" i="6"/>
  <c r="E21" i="6"/>
  <c r="J21" i="6"/>
  <c r="O20" i="6"/>
  <c r="B30" i="5"/>
  <c r="B17" i="5"/>
  <c r="C48" i="13"/>
  <c r="B48" i="13"/>
  <c r="E27" i="6"/>
  <c r="B26" i="13"/>
  <c r="G28" i="6"/>
  <c r="E28" i="6"/>
  <c r="D48" i="13"/>
  <c r="G34" i="6"/>
  <c r="E34" i="6"/>
  <c r="E33" i="6"/>
  <c r="K18" i="6"/>
  <c r="D18" i="6"/>
  <c r="F20" i="6"/>
  <c r="F21" i="6"/>
  <c r="F19" i="6"/>
  <c r="K20" i="6"/>
  <c r="D20" i="6"/>
  <c r="C20" i="6"/>
  <c r="K19" i="6"/>
  <c r="D19" i="6"/>
  <c r="C19" i="6"/>
  <c r="K21" i="6"/>
  <c r="D21" i="6"/>
  <c r="C21" i="6"/>
</calcChain>
</file>

<file path=xl/comments1.xml><?xml version="1.0" encoding="utf-8"?>
<comments xmlns="http://schemas.openxmlformats.org/spreadsheetml/2006/main">
  <authors>
    <author>Hardy, Richard (IWMI)</author>
  </authors>
  <commentList>
    <comment ref="A3" authorId="0" shapeId="0">
      <text>
        <r>
          <rPr>
            <b/>
            <sz val="9"/>
            <color indexed="81"/>
            <rFont val="Tahoma"/>
            <family val="2"/>
          </rPr>
          <t>Hardy, Richard (IWMI):</t>
        </r>
        <r>
          <rPr>
            <sz val="9"/>
            <color indexed="81"/>
            <rFont val="Tahoma"/>
            <family val="2"/>
          </rPr>
          <t xml:space="preserve">
Willingness to Pay of the community for emptying of Latrine Pits. As Per Survey Data. </t>
        </r>
      </text>
    </comment>
    <comment ref="A4" authorId="0" shapeId="0">
      <text>
        <r>
          <rPr>
            <b/>
            <sz val="9"/>
            <color indexed="81"/>
            <rFont val="Tahoma"/>
            <family val="2"/>
          </rPr>
          <t>Hardy, Richard (IWMI):</t>
        </r>
        <r>
          <rPr>
            <sz val="9"/>
            <color indexed="81"/>
            <rFont val="Tahoma"/>
            <family val="2"/>
          </rPr>
          <t xml:space="preserve">
Willingness to Pay of the Community for Latrine Pit contents removal. As per survey data. </t>
        </r>
      </text>
    </comment>
    <comment ref="A5" authorId="0" shapeId="0">
      <text>
        <r>
          <rPr>
            <b/>
            <sz val="9"/>
            <color indexed="81"/>
            <rFont val="Tahoma"/>
            <family val="2"/>
          </rPr>
          <t>Hardy, Richard (IWMI):</t>
        </r>
        <r>
          <rPr>
            <sz val="9"/>
            <color indexed="81"/>
            <rFont val="Tahoma"/>
            <family val="2"/>
          </rPr>
          <t xml:space="preserve">
The percentage of total faecal slude demand that is met by the emptying and transportation model.</t>
        </r>
      </text>
    </comment>
  </commentList>
</comments>
</file>

<file path=xl/comments2.xml><?xml version="1.0" encoding="utf-8"?>
<comments xmlns="http://schemas.openxmlformats.org/spreadsheetml/2006/main">
  <authors>
    <author>Hardy, Richard (IWMI)</author>
  </authors>
  <commentList>
    <comment ref="B2" authorId="0" shapeId="0">
      <text>
        <r>
          <rPr>
            <b/>
            <sz val="9"/>
            <color indexed="81"/>
            <rFont val="Tahoma"/>
            <family val="2"/>
          </rPr>
          <t>Hardy, Richard (IWMI):</t>
        </r>
        <r>
          <rPr>
            <sz val="9"/>
            <color indexed="81"/>
            <rFont val="Tahoma"/>
            <family val="2"/>
          </rPr>
          <t xml:space="preserve">
Population Data as per Census Data. </t>
        </r>
      </text>
    </comment>
    <comment ref="D2" authorId="0" shapeId="0">
      <text>
        <r>
          <rPr>
            <b/>
            <sz val="9"/>
            <color indexed="81"/>
            <rFont val="Tahoma"/>
            <family val="2"/>
          </rPr>
          <t>Hardy, Richard (IWMI):</t>
        </r>
        <r>
          <rPr>
            <sz val="9"/>
            <color indexed="81"/>
            <rFont val="Tahoma"/>
            <family val="2"/>
          </rPr>
          <t xml:space="preserve">
Where desired a 'Override' Value may be input to alter the value from the Census Data. </t>
        </r>
      </text>
    </comment>
    <comment ref="D3" authorId="0" shapeId="0">
      <text>
        <r>
          <rPr>
            <b/>
            <sz val="9"/>
            <color indexed="81"/>
            <rFont val="Tahoma"/>
            <family val="2"/>
          </rPr>
          <t>Hardy, Richard (IWMI):</t>
        </r>
        <r>
          <rPr>
            <sz val="9"/>
            <color indexed="81"/>
            <rFont val="Tahoma"/>
            <family val="2"/>
          </rPr>
          <t xml:space="preserve">
Override Value for Population</t>
        </r>
      </text>
    </comment>
    <comment ref="D5" authorId="0" shapeId="0">
      <text>
        <r>
          <rPr>
            <b/>
            <sz val="9"/>
            <color indexed="81"/>
            <rFont val="Tahoma"/>
            <family val="2"/>
          </rPr>
          <t>Hardy, Richard (IWMI):</t>
        </r>
        <r>
          <rPr>
            <sz val="9"/>
            <color indexed="81"/>
            <rFont val="Tahoma"/>
            <family val="2"/>
          </rPr>
          <t xml:space="preserve">
Override Value for Number of Households</t>
        </r>
      </text>
    </comment>
    <comment ref="A7" authorId="0" shapeId="0">
      <text>
        <r>
          <rPr>
            <b/>
            <sz val="9"/>
            <color indexed="81"/>
            <rFont val="Tahoma"/>
            <family val="2"/>
          </rPr>
          <t>Hardy, Richard (IWMI):</t>
        </r>
        <r>
          <rPr>
            <sz val="9"/>
            <color indexed="81"/>
            <rFont val="Tahoma"/>
            <family val="2"/>
          </rPr>
          <t xml:space="preserve">
Number of Households with Latrine Pits as per Census</t>
        </r>
      </text>
    </comment>
    <comment ref="A8" authorId="0" shapeId="0">
      <text>
        <r>
          <rPr>
            <b/>
            <sz val="9"/>
            <color indexed="81"/>
            <rFont val="Tahoma"/>
            <family val="2"/>
          </rPr>
          <t>Hardy, Richard (IWMI):</t>
        </r>
        <r>
          <rPr>
            <sz val="9"/>
            <color indexed="81"/>
            <rFont val="Tahoma"/>
            <family val="2"/>
          </rPr>
          <t xml:space="preserve">
% of Households with Latrine Pits - this value can be changed using the Override input. </t>
        </r>
      </text>
    </comment>
    <comment ref="D8" authorId="0" shapeId="0">
      <text>
        <r>
          <rPr>
            <b/>
            <sz val="9"/>
            <color indexed="81"/>
            <rFont val="Tahoma"/>
            <family val="2"/>
          </rPr>
          <t>Hardy, Richard (IWMI):</t>
        </r>
        <r>
          <rPr>
            <sz val="9"/>
            <color indexed="81"/>
            <rFont val="Tahoma"/>
            <family val="2"/>
          </rPr>
          <t xml:space="preserve">
Override value for % of households with Latrine Pits</t>
        </r>
      </text>
    </comment>
    <comment ref="B10" authorId="0" shapeId="0">
      <text>
        <r>
          <rPr>
            <b/>
            <sz val="9"/>
            <color indexed="81"/>
            <rFont val="Tahoma"/>
            <family val="2"/>
          </rPr>
          <t>Hardy, Richard (IWMI):</t>
        </r>
        <r>
          <rPr>
            <sz val="9"/>
            <color indexed="81"/>
            <rFont val="Tahoma"/>
            <family val="2"/>
          </rPr>
          <t xml:space="preserve">
Average number of household members. </t>
        </r>
      </text>
    </comment>
    <comment ref="D10" authorId="0" shapeId="0">
      <text>
        <r>
          <rPr>
            <b/>
            <sz val="9"/>
            <color indexed="81"/>
            <rFont val="Tahoma"/>
            <family val="2"/>
          </rPr>
          <t>Hardy, Richard (IWMI):</t>
        </r>
        <r>
          <rPr>
            <sz val="9"/>
            <color indexed="81"/>
            <rFont val="Tahoma"/>
            <family val="2"/>
          </rPr>
          <t xml:space="preserve">
Override value for Average Household Size</t>
        </r>
      </text>
    </comment>
    <comment ref="A12" authorId="0" shapeId="0">
      <text>
        <r>
          <rPr>
            <b/>
            <sz val="9"/>
            <color indexed="81"/>
            <rFont val="Tahoma"/>
            <family val="2"/>
          </rPr>
          <t>Hardy, Richard (IWMI):</t>
        </r>
        <r>
          <rPr>
            <sz val="9"/>
            <color indexed="81"/>
            <rFont val="Tahoma"/>
            <family val="2"/>
          </rPr>
          <t xml:space="preserve">
Adjustment Factor for the increase in number of Toilet Users per Household. </t>
        </r>
      </text>
    </comment>
    <comment ref="D12" authorId="0" shapeId="0">
      <text>
        <r>
          <rPr>
            <b/>
            <sz val="9"/>
            <color indexed="81"/>
            <rFont val="Tahoma"/>
            <family val="2"/>
          </rPr>
          <t>Hardy, Richard (IWMI):</t>
        </r>
        <r>
          <rPr>
            <sz val="9"/>
            <color indexed="81"/>
            <rFont val="Tahoma"/>
            <family val="2"/>
          </rPr>
          <t xml:space="preserve">
Override Value for Adjustment Factor of number of Toilet Users</t>
        </r>
      </text>
    </comment>
    <comment ref="A14" authorId="0" shapeId="0">
      <text>
        <r>
          <rPr>
            <b/>
            <sz val="9"/>
            <color indexed="81"/>
            <rFont val="Tahoma"/>
            <family val="2"/>
          </rPr>
          <t>Hardy, Richard (IWMI):</t>
        </r>
        <r>
          <rPr>
            <sz val="9"/>
            <color indexed="81"/>
            <rFont val="Tahoma"/>
            <family val="2"/>
          </rPr>
          <t xml:space="preserve">
</t>
        </r>
        <r>
          <rPr>
            <b/>
            <sz val="9"/>
            <color indexed="81"/>
            <rFont val="Tahoma"/>
            <family val="2"/>
          </rPr>
          <t>Average Travel Distance</t>
        </r>
        <r>
          <rPr>
            <sz val="9"/>
            <color indexed="81"/>
            <rFont val="Tahoma"/>
            <family val="2"/>
          </rPr>
          <t xml:space="preserve"> has been developed from Spatial Mapping Data for the area and has adopted a weighted average based on % of total population by Union. </t>
        </r>
        <r>
          <rPr>
            <b/>
            <sz val="9"/>
            <color indexed="81"/>
            <rFont val="Tahoma"/>
            <family val="2"/>
          </rPr>
          <t>This distance is One-Way</t>
        </r>
        <r>
          <rPr>
            <sz val="9"/>
            <color indexed="81"/>
            <rFont val="Tahoma"/>
            <family val="2"/>
          </rPr>
          <t xml:space="preserve">. 
</t>
        </r>
        <r>
          <rPr>
            <b/>
            <sz val="9"/>
            <color indexed="81"/>
            <rFont val="Tahoma"/>
            <family val="2"/>
          </rPr>
          <t xml:space="preserve">Average Travel Speed </t>
        </r>
        <r>
          <rPr>
            <sz val="9"/>
            <color indexed="81"/>
            <rFont val="Tahoma"/>
            <family val="2"/>
          </rPr>
          <t xml:space="preserve">has been defined for tracks (Village to Union) and Roads (Union to Upazila)
</t>
        </r>
      </text>
    </comment>
    <comment ref="B15" authorId="0" shapeId="0">
      <text>
        <r>
          <rPr>
            <b/>
            <sz val="9"/>
            <color indexed="81"/>
            <rFont val="Tahoma"/>
            <family val="2"/>
          </rPr>
          <t>Hardy, Richard (IWMI):</t>
        </r>
        <r>
          <rPr>
            <sz val="9"/>
            <color indexed="81"/>
            <rFont val="Tahoma"/>
            <family val="2"/>
          </rPr>
          <t xml:space="preserve">
Travel distance as per Digital Mapping Data shown in  Data (Transport Data)
</t>
        </r>
      </text>
    </comment>
    <comment ref="D15" authorId="0" shapeId="0">
      <text>
        <r>
          <rPr>
            <b/>
            <sz val="9"/>
            <color indexed="81"/>
            <rFont val="Tahoma"/>
            <family val="2"/>
          </rPr>
          <t>Hardy, Richard (IWMI):</t>
        </r>
        <r>
          <rPr>
            <sz val="9"/>
            <color indexed="81"/>
            <rFont val="Tahoma"/>
            <family val="2"/>
          </rPr>
          <t xml:space="preserve">
Where desired a 'Override' Value may be input to alter the value from the Digital Mapping Data. </t>
        </r>
      </text>
    </comment>
    <comment ref="A26" authorId="0" shapeId="0">
      <text>
        <r>
          <rPr>
            <b/>
            <sz val="9"/>
            <color indexed="81"/>
            <rFont val="Tahoma"/>
            <family val="2"/>
          </rPr>
          <t>Hardy, Richard (IWMI):</t>
        </r>
        <r>
          <rPr>
            <sz val="9"/>
            <color indexed="81"/>
            <rFont val="Tahoma"/>
            <family val="2"/>
          </rPr>
          <t xml:space="preserve">
Price from Bangladesh Petroleum</t>
        </r>
      </text>
    </comment>
    <comment ref="A31" authorId="0" shapeId="0">
      <text>
        <r>
          <rPr>
            <b/>
            <sz val="9"/>
            <color indexed="81"/>
            <rFont val="Tahoma"/>
            <family val="2"/>
          </rPr>
          <t>Hardy, Richard (IWMI):</t>
        </r>
        <r>
          <rPr>
            <sz val="9"/>
            <color indexed="81"/>
            <rFont val="Tahoma"/>
            <family val="2"/>
          </rPr>
          <t xml:space="preserve">
Total Project Lifetime for calculation of overall investment. 
This is Fixed at 25 Years.</t>
        </r>
      </text>
    </comment>
    <comment ref="A32" authorId="0" shapeId="0">
      <text>
        <r>
          <rPr>
            <b/>
            <sz val="9"/>
            <color indexed="81"/>
            <rFont val="Tahoma"/>
            <family val="2"/>
          </rPr>
          <t>Hardy, Richard (IWMI):</t>
        </r>
        <r>
          <rPr>
            <sz val="9"/>
            <color indexed="81"/>
            <rFont val="Tahoma"/>
            <family val="2"/>
          </rPr>
          <t xml:space="preserve">
Discount Rate is used to calculate the annualised
value of capital, capital maintenaince and operational costs. </t>
        </r>
      </text>
    </comment>
  </commentList>
</comments>
</file>

<file path=xl/comments3.xml><?xml version="1.0" encoding="utf-8"?>
<comments xmlns="http://schemas.openxmlformats.org/spreadsheetml/2006/main">
  <authors>
    <author>Hardy, Richard (IWMI)</author>
    <author>Staff</author>
  </authors>
  <commentList>
    <comment ref="A2" authorId="0" shapeId="0">
      <text>
        <r>
          <rPr>
            <b/>
            <sz val="9"/>
            <color indexed="81"/>
            <rFont val="Tahoma"/>
            <family val="2"/>
          </rPr>
          <t>Hardy, Richard (IWMI):</t>
        </r>
        <r>
          <rPr>
            <sz val="9"/>
            <color indexed="81"/>
            <rFont val="Tahoma"/>
            <family val="2"/>
          </rPr>
          <t xml:space="preserve">
Average Number of Latrine Pit Rings. This value has been adopted as 2.4, which was the average from survey data. </t>
        </r>
      </text>
    </comment>
    <comment ref="A3" authorId="1" shapeId="0">
      <text>
        <r>
          <rPr>
            <b/>
            <sz val="9"/>
            <color indexed="81"/>
            <rFont val="Tahoma"/>
            <family val="2"/>
          </rPr>
          <t>Hardy, Richard (IWMI):</t>
        </r>
        <r>
          <rPr>
            <sz val="9"/>
            <color indexed="81"/>
            <rFont val="Tahoma"/>
            <family val="2"/>
          </rPr>
          <t xml:space="preserve">
Typical diameter of standard rings used in pit latrines.
Used to calculate volumes of ring and slab pit latrines.
</t>
        </r>
      </text>
    </comment>
    <comment ref="A4" authorId="1" shapeId="0">
      <text>
        <r>
          <rPr>
            <b/>
            <sz val="9"/>
            <color indexed="81"/>
            <rFont val="Tahoma"/>
            <family val="2"/>
          </rPr>
          <t>Hardy, Richard (IWMI):</t>
        </r>
        <r>
          <rPr>
            <sz val="9"/>
            <color indexed="81"/>
            <rFont val="Tahoma"/>
            <family val="2"/>
          </rPr>
          <t xml:space="preserve">
Typical depth of pit latrine rings. 
Used to calculate volume of standard ring and slab latrines.
</t>
        </r>
      </text>
    </comment>
    <comment ref="A6" authorId="1" shapeId="0">
      <text>
        <r>
          <rPr>
            <b/>
            <sz val="9"/>
            <color indexed="81"/>
            <rFont val="Tahoma"/>
            <family val="2"/>
          </rPr>
          <t>Hardy, Richard (IWMI):</t>
        </r>
        <r>
          <rPr>
            <sz val="9"/>
            <color indexed="81"/>
            <rFont val="Tahoma"/>
            <family val="2"/>
          </rPr>
          <t xml:space="preserve">
The volume available (freeboard) above the 'full' level in the latrine pit. 
</t>
        </r>
      </text>
    </comment>
    <comment ref="A7" authorId="0" shapeId="0">
      <text>
        <r>
          <rPr>
            <b/>
            <sz val="9"/>
            <color indexed="81"/>
            <rFont val="Tahoma"/>
            <family val="2"/>
          </rPr>
          <t>Hardy, Richard (IWMI):</t>
        </r>
        <r>
          <rPr>
            <sz val="9"/>
            <color indexed="81"/>
            <rFont val="Tahoma"/>
            <family val="2"/>
          </rPr>
          <t xml:space="preserve">
A depth additional to the rings has been applied as it was noted that some pit depths extended beyond the depth of the rings. </t>
        </r>
      </text>
    </comment>
    <comment ref="A9" authorId="1" shapeId="0">
      <text>
        <r>
          <rPr>
            <b/>
            <sz val="9"/>
            <color indexed="81"/>
            <rFont val="Tahoma"/>
            <family val="2"/>
          </rPr>
          <t>Hardy, Richard (IWMI):</t>
        </r>
        <r>
          <rPr>
            <sz val="9"/>
            <color indexed="81"/>
            <rFont val="Tahoma"/>
            <family val="2"/>
          </rPr>
          <t xml:space="preserve">
Typical percentage of a pit latrine's contents which are removed during emptying. 
</t>
        </r>
      </text>
    </comment>
    <comment ref="A10" authorId="1" shapeId="0">
      <text>
        <r>
          <rPr>
            <b/>
            <sz val="9"/>
            <color indexed="81"/>
            <rFont val="Tahoma"/>
            <family val="2"/>
          </rPr>
          <t>Hardy, Richard (IWMI):</t>
        </r>
        <r>
          <rPr>
            <sz val="9"/>
            <color indexed="81"/>
            <rFont val="Tahoma"/>
            <family val="2"/>
          </rPr>
          <t xml:space="preserve">
Enter best available data. 0.06 has been adopted from previous studies. 
</t>
        </r>
      </text>
    </comment>
  </commentList>
</comments>
</file>

<file path=xl/comments4.xml><?xml version="1.0" encoding="utf-8"?>
<comments xmlns="http://schemas.openxmlformats.org/spreadsheetml/2006/main">
  <authors>
    <author>Staff</author>
    <author>Hardy, Richard (IWMI)</author>
  </authors>
  <commentList>
    <comment ref="A2" authorId="0" shapeId="0">
      <text>
        <r>
          <rPr>
            <sz val="9"/>
            <color indexed="81"/>
            <rFont val="Tahoma"/>
            <family val="2"/>
          </rPr>
          <t xml:space="preserve">Add name of the first preference emptying technology.
Add performance details and unit operating parameters in Column C.
</t>
        </r>
      </text>
    </comment>
    <comment ref="C3" authorId="1" shapeId="0">
      <text>
        <r>
          <rPr>
            <b/>
            <sz val="9"/>
            <color indexed="81"/>
            <rFont val="Tahoma"/>
            <family val="2"/>
          </rPr>
          <t>Hardy, Richard (IWMI):
Assumed Value</t>
        </r>
        <r>
          <rPr>
            <sz val="9"/>
            <color indexed="81"/>
            <rFont val="Tahoma"/>
            <family val="2"/>
          </rPr>
          <t xml:space="preserve">
</t>
        </r>
      </text>
    </comment>
    <comment ref="C4" authorId="1" shapeId="0">
      <text>
        <r>
          <rPr>
            <b/>
            <sz val="9"/>
            <color indexed="81"/>
            <rFont val="Tahoma"/>
            <family val="2"/>
          </rPr>
          <t xml:space="preserve">Hardy, Richard (IWMI):
</t>
        </r>
        <r>
          <rPr>
            <sz val="9"/>
            <color indexed="81"/>
            <rFont val="Tahoma"/>
            <family val="2"/>
          </rPr>
          <t xml:space="preserve">Survey Data indicates time required as 2 - 3 hours. 3 has been adopted.  
</t>
        </r>
      </text>
    </comment>
    <comment ref="A8" authorId="0" shapeId="0">
      <text>
        <r>
          <rPr>
            <sz val="9"/>
            <color indexed="81"/>
            <rFont val="Tahoma"/>
            <family val="2"/>
          </rPr>
          <t xml:space="preserve">Any Capital Costs associated with the emptying of the pits, such as buckets, ropes etc. 
</t>
        </r>
      </text>
    </comment>
    <comment ref="A9" authorId="0" shapeId="0">
      <text>
        <r>
          <rPr>
            <sz val="9"/>
            <color indexed="81"/>
            <rFont val="Tahoma"/>
            <family val="2"/>
          </rPr>
          <t xml:space="preserve">If lifetime of equipment is less than 25 years then enter the estimated life span of teh quipment and enter 100% in Cell 18.
If equipment is expected to last more than 25 years, then enter an estimated period at which point major maintenance would be needed, and estimate this cost as a percentage of capital costs in cell C17.
</t>
        </r>
      </text>
    </comment>
    <comment ref="C15" authorId="1" shapeId="0">
      <text>
        <r>
          <rPr>
            <b/>
            <sz val="9"/>
            <color indexed="81"/>
            <rFont val="Tahoma"/>
            <family val="2"/>
          </rPr>
          <t>Hardy, Richard (IWMI):</t>
        </r>
        <r>
          <rPr>
            <sz val="9"/>
            <color indexed="81"/>
            <rFont val="Tahoma"/>
            <family val="2"/>
          </rPr>
          <t xml:space="preserve">
Paper 1 states 2-3 workers are employed during emptying. 2 Skilled and 1 Unskilled labourer have been employed. </t>
        </r>
      </text>
    </comment>
    <comment ref="A20" authorId="0" shapeId="0">
      <text>
        <r>
          <rPr>
            <sz val="9"/>
            <color indexed="81"/>
            <rFont val="Tahoma"/>
            <family val="2"/>
          </rPr>
          <t xml:space="preserve">Add name of the second preference emptying technology.
Add performance details and unit operating parameters in Column C.
Leave cells in this module blank if you do not have any further options to add.
</t>
        </r>
      </text>
    </comment>
    <comment ref="C21" authorId="1" shapeId="0">
      <text>
        <r>
          <rPr>
            <b/>
            <sz val="9"/>
            <color indexed="81"/>
            <rFont val="Tahoma"/>
            <family val="2"/>
          </rPr>
          <t>Hardy, Richard (IWMI):</t>
        </r>
        <r>
          <rPr>
            <sz val="9"/>
            <color indexed="81"/>
            <rFont val="Tahoma"/>
            <family val="2"/>
          </rPr>
          <t xml:space="preserve">
Paper 1 lists times as 10 - 15 Minutes - 15 has been adopted. </t>
        </r>
      </text>
    </comment>
    <comment ref="C22" authorId="1" shapeId="0">
      <text>
        <r>
          <rPr>
            <b/>
            <sz val="9"/>
            <color indexed="81"/>
            <rFont val="Tahoma"/>
            <family val="2"/>
          </rPr>
          <t>Hardy, Richard (IWMI):</t>
        </r>
        <r>
          <rPr>
            <sz val="9"/>
            <color indexed="81"/>
            <rFont val="Tahoma"/>
            <family val="2"/>
          </rPr>
          <t xml:space="preserve">
Paper 1 lists times as 15 - 20 Minutes - 20 has been adopted. </t>
        </r>
      </text>
    </comment>
    <comment ref="C25" authorId="1" shapeId="0">
      <text>
        <r>
          <rPr>
            <b/>
            <sz val="9"/>
            <color indexed="81"/>
            <rFont val="Tahoma"/>
            <family val="2"/>
          </rPr>
          <t>Hardy, Richard (IWMI):</t>
        </r>
        <r>
          <rPr>
            <sz val="9"/>
            <color indexed="81"/>
            <rFont val="Tahoma"/>
            <family val="2"/>
          </rPr>
          <t xml:space="preserve">
Paper 1 lists this value as 25-30 K, 30 K has been adopted "conservatively" </t>
        </r>
      </text>
    </comment>
    <comment ref="A28" authorId="0" shapeId="0">
      <text>
        <r>
          <rPr>
            <sz val="9"/>
            <color indexed="81"/>
            <rFont val="Tahoma"/>
            <family val="2"/>
          </rPr>
          <t xml:space="preserve">If lifetime of equipment is less than 25 years then enter the estimated life span of teh quipment and enter 100% in Cell 18.
If equipment is expected to last more than 25 years, then enter an estimated period at which point major maintenance would be needed, and estimate this cost as a percentage of capital costs in cell C17.
</t>
        </r>
      </text>
    </comment>
    <comment ref="C28" authorId="1" shapeId="0">
      <text>
        <r>
          <rPr>
            <b/>
            <sz val="9"/>
            <color indexed="81"/>
            <rFont val="Tahoma"/>
            <family val="2"/>
          </rPr>
          <t>Hardy, Richard (IWMI):</t>
        </r>
        <r>
          <rPr>
            <sz val="9"/>
            <color indexed="81"/>
            <rFont val="Tahoma"/>
            <family val="2"/>
          </rPr>
          <t xml:space="preserve">
A lifespan of 5 years has been adopted for the Diaphragm Pump</t>
        </r>
      </text>
    </comment>
    <comment ref="C30" authorId="1" shapeId="0">
      <text>
        <r>
          <rPr>
            <b/>
            <sz val="9"/>
            <color indexed="81"/>
            <rFont val="Tahoma"/>
            <family val="2"/>
          </rPr>
          <t>Hardy, Richard (IWMI):</t>
        </r>
        <r>
          <rPr>
            <sz val="9"/>
            <color indexed="81"/>
            <rFont val="Tahoma"/>
            <family val="2"/>
          </rPr>
          <t xml:space="preserve">
Paper 1 gives values as 
1-2K (BDT), 2K has been adopted "Conservatively".</t>
        </r>
      </text>
    </comment>
    <comment ref="C34" authorId="1" shapeId="0">
      <text>
        <r>
          <rPr>
            <b/>
            <sz val="9"/>
            <color indexed="81"/>
            <rFont val="Tahoma"/>
            <family val="2"/>
          </rPr>
          <t>Hardy, Richard (IWMI):</t>
        </r>
        <r>
          <rPr>
            <sz val="9"/>
            <color indexed="81"/>
            <rFont val="Tahoma"/>
            <family val="2"/>
          </rPr>
          <t xml:space="preserve">
As Per Paper 1.</t>
        </r>
      </text>
    </comment>
  </commentList>
</comments>
</file>

<file path=xl/comments5.xml><?xml version="1.0" encoding="utf-8"?>
<comments xmlns="http://schemas.openxmlformats.org/spreadsheetml/2006/main">
  <authors>
    <author>Staff</author>
    <author>Hardy, Richard (IWMI)</author>
  </authors>
  <commentList>
    <comment ref="A2" authorId="0" shapeId="0">
      <text>
        <r>
          <rPr>
            <sz val="9"/>
            <color indexed="81"/>
            <rFont val="Tahoma"/>
            <family val="2"/>
          </rPr>
          <t xml:space="preserve">Add name of the first preference emptying technology.
Add performance details and unit operating parameters in Column C.
</t>
        </r>
      </text>
    </comment>
    <comment ref="C4" authorId="1" shapeId="0">
      <text>
        <r>
          <rPr>
            <b/>
            <sz val="9"/>
            <color indexed="81"/>
            <rFont val="Tahoma"/>
            <family val="2"/>
          </rPr>
          <t>Hardy, Richard (IWMI):</t>
        </r>
        <r>
          <rPr>
            <sz val="9"/>
            <color indexed="81"/>
            <rFont val="Tahoma"/>
            <family val="2"/>
          </rPr>
          <t xml:space="preserve">
It is assumed that a maximum speed on tracks between Village and Union will be less than between Union and Upazila. </t>
        </r>
      </text>
    </comment>
    <comment ref="C6" authorId="1" shapeId="0">
      <text>
        <r>
          <rPr>
            <b/>
            <sz val="9"/>
            <color indexed="81"/>
            <rFont val="Tahoma"/>
            <family val="2"/>
          </rPr>
          <t>Hardy, Richard (IWMI):</t>
        </r>
        <r>
          <rPr>
            <sz val="9"/>
            <color indexed="81"/>
            <rFont val="Tahoma"/>
            <family val="2"/>
          </rPr>
          <t xml:space="preserve">
As Per B.Evans. </t>
        </r>
      </text>
    </comment>
    <comment ref="C9" authorId="1" shapeId="0">
      <text>
        <r>
          <rPr>
            <b/>
            <sz val="9"/>
            <color indexed="81"/>
            <rFont val="Tahoma"/>
            <family val="2"/>
          </rPr>
          <t>Hardy, Richard (IWMI):</t>
        </r>
        <r>
          <rPr>
            <sz val="9"/>
            <color indexed="81"/>
            <rFont val="Tahoma"/>
            <family val="2"/>
          </rPr>
          <t xml:space="preserve">
As Per B.Evans.</t>
        </r>
      </text>
    </comment>
    <comment ref="A11" authorId="0" shapeId="0">
      <text>
        <r>
          <rPr>
            <sz val="9"/>
            <color indexed="81"/>
            <rFont val="Tahoma"/>
            <family val="2"/>
          </rPr>
          <t xml:space="preserve">If lifetime of equipment is less than 25 years then enter the estimated life span of the quipment and enter 100% in Cell 18.
If equipment is expected to last more than 25 years, then enter an estimated period at which point major maintenance would be needed, and estimate this cost as a percentage of capital costs in cell C18.
</t>
        </r>
      </text>
    </comment>
    <comment ref="C11" authorId="1" shapeId="0">
      <text>
        <r>
          <rPr>
            <b/>
            <sz val="9"/>
            <color indexed="81"/>
            <rFont val="Tahoma"/>
            <family val="2"/>
          </rPr>
          <t>Hardy, Richard (IWMI):</t>
        </r>
        <r>
          <rPr>
            <sz val="9"/>
            <color indexed="81"/>
            <rFont val="Tahoma"/>
            <family val="2"/>
          </rPr>
          <t xml:space="preserve">
As Per B.Evans.</t>
        </r>
      </text>
    </comment>
    <comment ref="C12" authorId="1" shapeId="0">
      <text>
        <r>
          <rPr>
            <b/>
            <sz val="9"/>
            <color indexed="81"/>
            <rFont val="Tahoma"/>
            <family val="2"/>
          </rPr>
          <t>Hardy, Richard (IWMI):</t>
        </r>
        <r>
          <rPr>
            <sz val="9"/>
            <color indexed="81"/>
            <rFont val="Tahoma"/>
            <family val="2"/>
          </rPr>
          <t xml:space="preserve">
As Per B.Evans.</t>
        </r>
      </text>
    </comment>
    <comment ref="C13" authorId="1" shapeId="0">
      <text>
        <r>
          <rPr>
            <b/>
            <sz val="9"/>
            <color indexed="81"/>
            <rFont val="Tahoma"/>
            <family val="2"/>
          </rPr>
          <t>Hardy, Richard (IWMI):</t>
        </r>
        <r>
          <rPr>
            <sz val="9"/>
            <color indexed="81"/>
            <rFont val="Tahoma"/>
            <family val="2"/>
          </rPr>
          <t xml:space="preserve">
As Per B.Evans.</t>
        </r>
      </text>
    </comment>
    <comment ref="C16" authorId="1" shapeId="0">
      <text>
        <r>
          <rPr>
            <b/>
            <sz val="9"/>
            <color indexed="81"/>
            <rFont val="Tahoma"/>
            <family val="2"/>
          </rPr>
          <t>Hardy, Richard (IWMI):</t>
        </r>
        <r>
          <rPr>
            <sz val="9"/>
            <color indexed="81"/>
            <rFont val="Tahoma"/>
            <family val="2"/>
          </rPr>
          <t xml:space="preserve">
As Per B.Evans.</t>
        </r>
      </text>
    </comment>
    <comment ref="C17" authorId="1" shapeId="0">
      <text>
        <r>
          <rPr>
            <b/>
            <sz val="9"/>
            <color indexed="81"/>
            <rFont val="Tahoma"/>
            <family val="2"/>
          </rPr>
          <t>Hardy, Richard (IWMI):</t>
        </r>
        <r>
          <rPr>
            <sz val="9"/>
            <color indexed="81"/>
            <rFont val="Tahoma"/>
            <family val="2"/>
          </rPr>
          <t xml:space="preserve">
As Per B.Evans.</t>
        </r>
      </text>
    </comment>
    <comment ref="C18" authorId="1" shapeId="0">
      <text>
        <r>
          <rPr>
            <b/>
            <sz val="9"/>
            <color indexed="81"/>
            <rFont val="Tahoma"/>
            <family val="2"/>
          </rPr>
          <t>Hardy, Richard (IWMI):</t>
        </r>
        <r>
          <rPr>
            <sz val="9"/>
            <color indexed="81"/>
            <rFont val="Tahoma"/>
            <family val="2"/>
          </rPr>
          <t xml:space="preserve">
As Per B.Evans.</t>
        </r>
      </text>
    </comment>
    <comment ref="C19" authorId="1" shapeId="0">
      <text>
        <r>
          <rPr>
            <b/>
            <sz val="9"/>
            <color indexed="81"/>
            <rFont val="Tahoma"/>
            <family val="2"/>
          </rPr>
          <t>Hardy, Richard (IWMI):</t>
        </r>
        <r>
          <rPr>
            <sz val="9"/>
            <color indexed="81"/>
            <rFont val="Tahoma"/>
            <family val="2"/>
          </rPr>
          <t xml:space="preserve">
As Per B.Evans.</t>
        </r>
      </text>
    </comment>
    <comment ref="A23" authorId="0" shapeId="0">
      <text>
        <r>
          <rPr>
            <sz val="9"/>
            <color indexed="81"/>
            <rFont val="Tahoma"/>
            <family val="2"/>
          </rPr>
          <t xml:space="preserve">Add name of the second preference emptying technology.
Add performance details and unit operating parameters in Column C.
Leave cells in this module blank if you do not have any further options to add.
</t>
        </r>
      </text>
    </comment>
    <comment ref="C26" authorId="1" shapeId="0">
      <text>
        <r>
          <rPr>
            <b/>
            <sz val="9"/>
            <color indexed="81"/>
            <rFont val="Tahoma"/>
            <family val="2"/>
          </rPr>
          <t>Hardy, Richard (IWMI):</t>
        </r>
        <r>
          <rPr>
            <sz val="9"/>
            <color indexed="81"/>
            <rFont val="Tahoma"/>
            <family val="2"/>
          </rPr>
          <t xml:space="preserve">
Tankers have been assumed to only be able to travel between Union and Upazila. 
This assumption is based on the larger Tanker not being able to use the smaller tracks between Village and Union. 
Note that using a tanker will require the use of a truck to transport sludge between Village and Union. 
This method will require a transfer station, to transfer from truck to tanker. 
</t>
        </r>
      </text>
    </comment>
    <comment ref="A32" authorId="0" shapeId="0">
      <text>
        <r>
          <rPr>
            <sz val="9"/>
            <color indexed="81"/>
            <rFont val="Tahoma"/>
            <family val="2"/>
          </rPr>
          <t xml:space="preserve">If lifetime of equipment is less than 25 years then enter the estimated life span of the quipment and enter 100% in Cell 18.
If equipment is expected to last more than 25 years, then enter an estimated period at which point major maintenance would be needed, and estimate this cost as a percentage of capital costs in cell C18.
</t>
        </r>
      </text>
    </comment>
  </commentList>
</comments>
</file>

<file path=xl/sharedStrings.xml><?xml version="1.0" encoding="utf-8"?>
<sst xmlns="http://schemas.openxmlformats.org/spreadsheetml/2006/main" count="658" uniqueCount="318">
  <si>
    <t>Capital cost</t>
  </si>
  <si>
    <t>Capital maintenance period</t>
  </si>
  <si>
    <t>Years</t>
  </si>
  <si>
    <t>Capital maintenance cost</t>
  </si>
  <si>
    <t>Operational wear and tear</t>
  </si>
  <si>
    <t>% capital cost/yr</t>
  </si>
  <si>
    <t>Fuel consumption</t>
  </si>
  <si>
    <t>l/km</t>
  </si>
  <si>
    <t>Other consumables</t>
  </si>
  <si>
    <t>Operational costs (excluding labour)</t>
  </si>
  <si>
    <t>Annualised capital  costs (excluding operation)</t>
  </si>
  <si>
    <t>CAPITAL</t>
  </si>
  <si>
    <t>OPERATIONS</t>
  </si>
  <si>
    <t>% capital costs</t>
  </si>
  <si>
    <t>Total cost</t>
  </si>
  <si>
    <t>NPV Calculator Module</t>
  </si>
  <si>
    <t>Year</t>
  </si>
  <si>
    <t>Labour costs</t>
  </si>
  <si>
    <t>Nr of skilled operators</t>
  </si>
  <si>
    <t>Nr unskilled operators</t>
  </si>
  <si>
    <t>pit latrine ring diameter (m)</t>
  </si>
  <si>
    <t>pit latrine ring depth (m)</t>
  </si>
  <si>
    <t>volume per latrine ring (l)</t>
  </si>
  <si>
    <t>km/hr</t>
  </si>
  <si>
    <t>OPERATIONS COSTS</t>
  </si>
  <si>
    <t>CAPITAL COSTS</t>
  </si>
  <si>
    <t>Capacity</t>
  </si>
  <si>
    <t>sludge/pit volume ratio</t>
  </si>
  <si>
    <t>Nr of emptying events per year</t>
  </si>
  <si>
    <t>Time spent emptying (hrs)</t>
  </si>
  <si>
    <t>Total time (hrs)</t>
  </si>
  <si>
    <t>Volume of sludge being removed (m3)</t>
  </si>
  <si>
    <t>Total</t>
  </si>
  <si>
    <t>Labour</t>
  </si>
  <si>
    <t>NPV (Tk)</t>
  </si>
  <si>
    <t xml:space="preserve"> </t>
  </si>
  <si>
    <t>freeboard volume in pits (l)</t>
  </si>
  <si>
    <t>Capital maintenance/ replacement period</t>
  </si>
  <si>
    <t>Capital</t>
  </si>
  <si>
    <t>Bhaluka Upazila</t>
  </si>
  <si>
    <t>Tanker</t>
  </si>
  <si>
    <t>Village</t>
  </si>
  <si>
    <t>Union</t>
  </si>
  <si>
    <t>Road type (B)</t>
  </si>
  <si>
    <t>Road type (A)</t>
  </si>
  <si>
    <t>Aska</t>
  </si>
  <si>
    <t>Bhaluka</t>
  </si>
  <si>
    <t>Basil</t>
  </si>
  <si>
    <t>Mirka</t>
  </si>
  <si>
    <t>Nishaigonj</t>
  </si>
  <si>
    <t>Kharuali</t>
  </si>
  <si>
    <t xml:space="preserve">Bakshbari </t>
  </si>
  <si>
    <t>Birunia</t>
  </si>
  <si>
    <t>Goari</t>
  </si>
  <si>
    <t>Vauwalaibazu</t>
  </si>
  <si>
    <t>Baksibari</t>
  </si>
  <si>
    <t>Baowa</t>
  </si>
  <si>
    <t>Kaichan</t>
  </si>
  <si>
    <t>Kathuli</t>
  </si>
  <si>
    <t>Medila</t>
  </si>
  <si>
    <t>Meherabari</t>
  </si>
  <si>
    <t>Nandibari</t>
  </si>
  <si>
    <t>Panchgaon</t>
  </si>
  <si>
    <t>Tarabo</t>
  </si>
  <si>
    <t>Binnaripara</t>
  </si>
  <si>
    <t>Dakatia</t>
  </si>
  <si>
    <t>Daloapara</t>
  </si>
  <si>
    <t>Domnigat</t>
  </si>
  <si>
    <t>Pasgaon</t>
  </si>
  <si>
    <t>Silepara</t>
  </si>
  <si>
    <t>Sonakhali</t>
  </si>
  <si>
    <t>Angargara</t>
  </si>
  <si>
    <t>Chandpur</t>
  </si>
  <si>
    <t>Hossainpur</t>
  </si>
  <si>
    <t>Badepurura</t>
  </si>
  <si>
    <t>Dhitpur</t>
  </si>
  <si>
    <t>Randia</t>
  </si>
  <si>
    <t>Shantigonj</t>
  </si>
  <si>
    <t>Panihadi</t>
  </si>
  <si>
    <t>Awolatoly</t>
  </si>
  <si>
    <t>Hobirbari</t>
  </si>
  <si>
    <t>Gangatia</t>
  </si>
  <si>
    <t>Gouripur</t>
  </si>
  <si>
    <t>Kasoar</t>
  </si>
  <si>
    <t>Lobonkotha</t>
  </si>
  <si>
    <t>Noluakuri</t>
  </si>
  <si>
    <t>Batajor</t>
  </si>
  <si>
    <t>Kachina</t>
  </si>
  <si>
    <t>Jeraniya</t>
  </si>
  <si>
    <t>Manikdara</t>
  </si>
  <si>
    <t>Palgaon</t>
  </si>
  <si>
    <t>Tamat</t>
  </si>
  <si>
    <t>Dhakuria</t>
  </si>
  <si>
    <t>Harishwar</t>
  </si>
  <si>
    <t>Kadigar</t>
  </si>
  <si>
    <t>Nisinda</t>
  </si>
  <si>
    <t>Talabo</t>
  </si>
  <si>
    <t>Bankua</t>
  </si>
  <si>
    <t>Meduari</t>
  </si>
  <si>
    <t>Nijhuri</t>
  </si>
  <si>
    <t>Bandia</t>
  </si>
  <si>
    <t>Bogajan</t>
  </si>
  <si>
    <t>Boraid</t>
  </si>
  <si>
    <t>Dhulia</t>
  </si>
  <si>
    <t>Lohabhai</t>
  </si>
  <si>
    <t>Panibandha</t>
  </si>
  <si>
    <t>Rampur</t>
  </si>
  <si>
    <t xml:space="preserve">Soail </t>
  </si>
  <si>
    <t>Bhayabah</t>
  </si>
  <si>
    <t>Mullikbari</t>
  </si>
  <si>
    <t>Borta</t>
  </si>
  <si>
    <t>Damshur</t>
  </si>
  <si>
    <t>Gadomia</t>
  </si>
  <si>
    <t>Akhalia</t>
  </si>
  <si>
    <t>Bhandabo</t>
  </si>
  <si>
    <t>Dhayrapara</t>
  </si>
  <si>
    <t>Mallikbari</t>
  </si>
  <si>
    <t>Mamarishpur</t>
  </si>
  <si>
    <t>Nayanpur</t>
  </si>
  <si>
    <t>Satenga</t>
  </si>
  <si>
    <t>Khurdo</t>
  </si>
  <si>
    <t>Rajoi</t>
  </si>
  <si>
    <t>Kullabo</t>
  </si>
  <si>
    <t>Pailabo</t>
  </si>
  <si>
    <t>Paruldia</t>
  </si>
  <si>
    <t>Chandabo</t>
  </si>
  <si>
    <t>Mohona</t>
  </si>
  <si>
    <t>Ponashail</t>
  </si>
  <si>
    <t>Sajangaon</t>
  </si>
  <si>
    <t>Urahati</t>
  </si>
  <si>
    <t>Jatia</t>
  </si>
  <si>
    <t>Uthura</t>
  </si>
  <si>
    <t xml:space="preserve">Bangaon </t>
  </si>
  <si>
    <t>Dhalikuri</t>
  </si>
  <si>
    <t>Menjena</t>
  </si>
  <si>
    <t>Narangi</t>
  </si>
  <si>
    <t>Talutdia</t>
  </si>
  <si>
    <t>Uthara</t>
  </si>
  <si>
    <t>Chaparbari</t>
  </si>
  <si>
    <t>Varaduba</t>
  </si>
  <si>
    <t>Purura</t>
  </si>
  <si>
    <t>Rangchapra</t>
  </si>
  <si>
    <t>Vatgaon</t>
  </si>
  <si>
    <t>No. of Villages</t>
  </si>
  <si>
    <t>*Road type (B)</t>
  </si>
  <si>
    <t>Diaphragm Pump</t>
  </si>
  <si>
    <t>emptying time</t>
  </si>
  <si>
    <t>mins</t>
  </si>
  <si>
    <t>Population</t>
  </si>
  <si>
    <t>Population Data</t>
  </si>
  <si>
    <t>Average Household Size</t>
  </si>
  <si>
    <t>Number of Households</t>
  </si>
  <si>
    <t>Average Hours worked per Day</t>
  </si>
  <si>
    <t>Average Days Worked Per Week</t>
  </si>
  <si>
    <t>Average Operational Weeks Per Year</t>
  </si>
  <si>
    <t>Average Operational Hours per Year</t>
  </si>
  <si>
    <t xml:space="preserve">Cost Analysis </t>
  </si>
  <si>
    <t>Capital Costs</t>
  </si>
  <si>
    <t>Truck</t>
  </si>
  <si>
    <t>Loading/Emptying Time</t>
  </si>
  <si>
    <t>Administrative Unit Residence Community</t>
  </si>
  <si>
    <t>Area in Acres</t>
  </si>
  <si>
    <t>Total Households</t>
  </si>
  <si>
    <t>Population density[sq. km]</t>
  </si>
  <si>
    <t>General Households</t>
  </si>
  <si>
    <t>Percentage of Households comprising</t>
  </si>
  <si>
    <t>Average size of Household</t>
  </si>
  <si>
    <t>Type of Structure (%)</t>
  </si>
  <si>
    <t>Toilet Facility (%)</t>
  </si>
  <si>
    <t>In Households</t>
  </si>
  <si>
    <t>Floating</t>
  </si>
  <si>
    <t>1 person</t>
  </si>
  <si>
    <t>2 persons</t>
  </si>
  <si>
    <t>3 persons</t>
  </si>
  <si>
    <t>4 persons</t>
  </si>
  <si>
    <t>5 persons</t>
  </si>
  <si>
    <t>6 persons</t>
  </si>
  <si>
    <t>7 persons</t>
  </si>
  <si>
    <t>8+ persons</t>
  </si>
  <si>
    <t>Pucka</t>
  </si>
  <si>
    <t>Semi-pucka</t>
  </si>
  <si>
    <t>Kutcha</t>
  </si>
  <si>
    <t>Jhupri</t>
  </si>
  <si>
    <t>Sanitary (water-sealed)</t>
  </si>
  <si>
    <t>Sanitary (non water-sealed)</t>
  </si>
  <si>
    <t>Non-sanitary</t>
  </si>
  <si>
    <t>None</t>
  </si>
  <si>
    <t>Bhaluka Union Total</t>
  </si>
  <si>
    <t>Bharadoba Union Total</t>
  </si>
  <si>
    <t>Birunia Union Total</t>
  </si>
  <si>
    <t>Dakatia Union Total</t>
  </si>
  <si>
    <t>Dhitpur Union Total</t>
  </si>
  <si>
    <t>Habirbari Union Total</t>
  </si>
  <si>
    <t>Kachina Union Total</t>
  </si>
  <si>
    <t>Mallikbari Union Total</t>
  </si>
  <si>
    <t>Meduary Union Total</t>
  </si>
  <si>
    <t>Rajai Union Total</t>
  </si>
  <si>
    <t>Uthura Union Total</t>
  </si>
  <si>
    <t>Sanitary and Non-Sanitary</t>
  </si>
  <si>
    <t>Toilet Facility (Number of Households)</t>
  </si>
  <si>
    <t>Population (%)</t>
  </si>
  <si>
    <t>Table C-03: Percentage Distribution of General Households by Size, Average size, Residence and Community</t>
  </si>
  <si>
    <t>Bangladesh Population and Housing Census 2011 Community Report Mymensingh</t>
  </si>
  <si>
    <t>http://www.bbs.gov.bd/WebTestApplication/userfiles/Image/PopCen2011/Com_Mymensingh.pdf</t>
  </si>
  <si>
    <t>Table C-01 : Area, Households, Population, Density by Residence and Community</t>
  </si>
  <si>
    <t>Table C-14: Percentage Distribution of General Households by Type of Structure,Toilet Facility, Residence and Community</t>
  </si>
  <si>
    <t xml:space="preserve">Union </t>
  </si>
  <si>
    <t>Village to Upazila</t>
  </si>
  <si>
    <t>Village to Union</t>
  </si>
  <si>
    <t>Union to Upazila</t>
  </si>
  <si>
    <t>Preparation time</t>
  </si>
  <si>
    <t>Average Number of Latrine Pit Rings</t>
  </si>
  <si>
    <t>Depth Additional To Rings (m)</t>
  </si>
  <si>
    <t>Additional Volume (L)</t>
  </si>
  <si>
    <t>Number of Households with Latrine Pit</t>
  </si>
  <si>
    <t>Emptying</t>
  </si>
  <si>
    <t>Units Required</t>
  </si>
  <si>
    <t>Annualised Costs</t>
  </si>
  <si>
    <t>Operating Costs</t>
  </si>
  <si>
    <t>Unskilled</t>
  </si>
  <si>
    <t>Skilled (Emptying)</t>
  </si>
  <si>
    <t>Skilled (Transport)</t>
  </si>
  <si>
    <t>Summary</t>
  </si>
  <si>
    <t>Dhaka Division</t>
  </si>
  <si>
    <t>Average Size of Household weighted by Population %</t>
  </si>
  <si>
    <t>Sanitation</t>
  </si>
  <si>
    <t>Number of Households with Latrine Pits</t>
  </si>
  <si>
    <t>Average number of household residents</t>
  </si>
  <si>
    <t>Transportation</t>
  </si>
  <si>
    <t>-</t>
  </si>
  <si>
    <t>Method</t>
  </si>
  <si>
    <t xml:space="preserve">Labour </t>
  </si>
  <si>
    <t>RAW DATA</t>
  </si>
  <si>
    <t>PROCESSED DATA</t>
  </si>
  <si>
    <t>Name</t>
  </si>
  <si>
    <t>Average  Travel Distance by Union (km)</t>
  </si>
  <si>
    <t>Total Travel Distance by Union (km)</t>
  </si>
  <si>
    <t>Distance from Village to Union to Upazila by Village (km)</t>
  </si>
  <si>
    <t>Override</t>
  </si>
  <si>
    <t>Transport Data</t>
  </si>
  <si>
    <t>Adopted Value</t>
  </si>
  <si>
    <t>Travel speed (Tracks)</t>
  </si>
  <si>
    <t>Travel speed (Roads)</t>
  </si>
  <si>
    <t>Travel Speed (Roads)</t>
  </si>
  <si>
    <t>L</t>
  </si>
  <si>
    <t>USD</t>
  </si>
  <si>
    <t>BDT</t>
  </si>
  <si>
    <t>BDT/Pit</t>
  </si>
  <si>
    <t>BDT/hour</t>
  </si>
  <si>
    <t>Operational Costs</t>
  </si>
  <si>
    <t>Emptying time</t>
  </si>
  <si>
    <t>Average Travel Speed (Tracks) (km/hr)</t>
  </si>
  <si>
    <t>Average Travel Speed (Roads) (km/hr)</t>
  </si>
  <si>
    <t>Fuel Costs (BDT/L)</t>
  </si>
  <si>
    <t>Discount rate (capital) (%)</t>
  </si>
  <si>
    <t>Skilled Labour (Pit Emptying) (BDT/hr)</t>
  </si>
  <si>
    <t>Skilled Labour (Transportation)  (BDT/hr)</t>
  </si>
  <si>
    <t>Unskilled Labour  (BDT/hr)</t>
  </si>
  <si>
    <t>Economic  Data</t>
  </si>
  <si>
    <t>Average Distance (Union to Upazila)</t>
  </si>
  <si>
    <t>Average Distance (Village to Upazila)</t>
  </si>
  <si>
    <t>Average Distance (Village to Union)</t>
  </si>
  <si>
    <t>(% of Households with Latrine Pit)</t>
  </si>
  <si>
    <t>Number of Toilet Users Adjustment Factor</t>
  </si>
  <si>
    <t>BDT/km</t>
  </si>
  <si>
    <t>BDT/year</t>
  </si>
  <si>
    <t>Hand Emptying</t>
  </si>
  <si>
    <t>Capital Costs (BDT)</t>
  </si>
  <si>
    <t>Cost of capital investment (BDT)</t>
  </si>
  <si>
    <t>Labour costs (BDT)</t>
  </si>
  <si>
    <t>Units required</t>
  </si>
  <si>
    <t>Feacal Sludge Volume (m3)</t>
  </si>
  <si>
    <t>Emptying events per year</t>
  </si>
  <si>
    <t>Demand Met</t>
  </si>
  <si>
    <t>Capital Cost</t>
  </si>
  <si>
    <t>Travel time (hrs)</t>
  </si>
  <si>
    <t>Loading time (hrs)</t>
  </si>
  <si>
    <t>Trips</t>
  </si>
  <si>
    <t>Distance travelled (km)</t>
  </si>
  <si>
    <t>Operational costs (BDT)</t>
  </si>
  <si>
    <t xml:space="preserve">Truck </t>
  </si>
  <si>
    <t>Number of Latrine Pits</t>
  </si>
  <si>
    <t>Average number of Latrine Pit Rings</t>
  </si>
  <si>
    <t>Region</t>
  </si>
  <si>
    <t>Exchange rate (BDT/USD)</t>
  </si>
  <si>
    <t>Labour Requirements</t>
  </si>
  <si>
    <t>Percentage of Latrine Pit emptying demand met</t>
  </si>
  <si>
    <t>Average Latrine Pit free volume (l)</t>
  </si>
  <si>
    <t>Average Latrine Pit Accumulation Volume  (l)</t>
  </si>
  <si>
    <t>Accumulation time (days)</t>
  </si>
  <si>
    <t>Average volume of sludge removed (l)</t>
  </si>
  <si>
    <t>Faecal Sludge Volume (l)</t>
  </si>
  <si>
    <t>Transport</t>
  </si>
  <si>
    <t>Capital investment (BDT)</t>
  </si>
  <si>
    <t>Bhaluka Upazila Spatial Mapping Information</t>
  </si>
  <si>
    <t>Mymensingh Zila</t>
  </si>
  <si>
    <t>Data</t>
  </si>
  <si>
    <t>Project lifetime fixed at 25 Years</t>
  </si>
  <si>
    <t>Discount Rate</t>
  </si>
  <si>
    <t>Project Lifetime (Years)</t>
  </si>
  <si>
    <t>NPV (BDT)</t>
  </si>
  <si>
    <t>Sludge accumulation rate (l/person/day)</t>
  </si>
  <si>
    <t>Trucks</t>
  </si>
  <si>
    <t>Tankers</t>
  </si>
  <si>
    <t>Average number of Toilet Users</t>
  </si>
  <si>
    <t>Weighting for Average size of Household</t>
  </si>
  <si>
    <t>WTP - Emptying</t>
  </si>
  <si>
    <t xml:space="preserve">WTP - Removal </t>
  </si>
  <si>
    <t>Subsidy</t>
  </si>
  <si>
    <t>Community WTP (BDT)</t>
  </si>
  <si>
    <t>Trucks only</t>
  </si>
  <si>
    <t>Tanker (With trucks)</t>
  </si>
  <si>
    <t xml:space="preserve"> Subsidy </t>
  </si>
  <si>
    <t>Bhaluka Upazila Average</t>
  </si>
  <si>
    <t>Annual labour</t>
  </si>
  <si>
    <t>Annual operation</t>
  </si>
  <si>
    <t>Annualised capital</t>
  </si>
  <si>
    <t>TOTAL annualised Costs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</si>
</sst>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64" formatCode="_(* #,##0_);_(* \(#,##0\);_(* &quot;-&quot;_);_(@_)"/>
    <numFmt numFmtId="165" formatCode="_(* #,##0.00_);_(* \(#,##0.00\);_(* &quot;-&quot;??_);_(@_)"/>
    <numFmt numFmtId="166" formatCode="0.0%"/>
    <numFmt numFmtId="167" formatCode="_-* #,##0_-;\-* #,##0_-;_-* &quot;-&quot;??_-;_-@_-"/>
    <numFmt numFmtId="168" formatCode="0.000"/>
    <numFmt numFmtId="169" formatCode="0.0"/>
    <numFmt numFmtId="170" formatCode="#,##0.0"/>
  </numFmts>
  <fonts count="28">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u/>
      <sz val="11"/>
      <color theme="11"/>
      <name val="Calibri"/>
      <family val="2"/>
      <scheme val="minor"/>
    </font>
    <font>
      <u/>
      <sz val="11"/>
      <color theme="10"/>
      <name val="Calibri"/>
      <family val="2"/>
      <scheme val="minor"/>
    </font>
    <font>
      <sz val="8"/>
      <name val="Calibri"/>
      <family val="2"/>
      <scheme val="minor"/>
    </font>
    <font>
      <sz val="12"/>
      <color theme="1"/>
      <name val="Calibri"/>
      <family val="2"/>
      <charset val="128"/>
      <scheme val="minor"/>
    </font>
    <font>
      <b/>
      <i/>
      <sz val="14"/>
      <color rgb="FF0070C0"/>
      <name val="Calibri"/>
      <family val="2"/>
      <scheme val="minor"/>
    </font>
    <font>
      <sz val="14"/>
      <color theme="5"/>
      <name val="Calibri"/>
      <family val="2"/>
      <scheme val="minor"/>
    </font>
    <font>
      <b/>
      <sz val="12"/>
      <color theme="6" tint="-0.499984740745262"/>
      <name val="Calibri"/>
      <family val="2"/>
      <scheme val="minor"/>
    </font>
    <font>
      <b/>
      <sz val="12"/>
      <color theme="1"/>
      <name val="Calibri"/>
      <family val="2"/>
      <scheme val="minor"/>
    </font>
    <font>
      <b/>
      <sz val="12"/>
      <color rgb="FFFF3399"/>
      <name val="Calibri"/>
      <family val="2"/>
      <scheme val="minor"/>
    </font>
    <font>
      <b/>
      <sz val="12"/>
      <color rgb="FF0070C0"/>
      <name val="Calibri"/>
      <family val="2"/>
      <scheme val="minor"/>
    </font>
    <font>
      <b/>
      <sz val="11"/>
      <color theme="6" tint="-0.499984740745262"/>
      <name val="Calibri"/>
      <family val="2"/>
      <scheme val="minor"/>
    </font>
    <font>
      <b/>
      <sz val="11"/>
      <color rgb="FFFF3399"/>
      <name val="Calibri"/>
      <family val="2"/>
      <scheme val="minor"/>
    </font>
    <font>
      <sz val="12"/>
      <color rgb="FF0070C0"/>
      <name val="Calibri"/>
      <family val="2"/>
      <scheme val="minor"/>
    </font>
    <font>
      <b/>
      <sz val="9"/>
      <color indexed="81"/>
      <name val="Tahoma"/>
      <family val="2"/>
    </font>
    <font>
      <b/>
      <sz val="36"/>
      <color theme="1"/>
      <name val="Calibri"/>
      <family val="2"/>
      <scheme val="minor"/>
    </font>
    <font>
      <i/>
      <sz val="12"/>
      <color rgb="FF0070C0"/>
      <name val="Calibri"/>
      <family val="2"/>
      <scheme val="minor"/>
    </font>
    <font>
      <b/>
      <i/>
      <sz val="14"/>
      <name val="Calibri"/>
      <family val="2"/>
      <scheme val="minor"/>
    </font>
    <font>
      <i/>
      <sz val="12"/>
      <name val="Calibri"/>
      <family val="2"/>
      <scheme val="minor"/>
    </font>
    <font>
      <b/>
      <sz val="12"/>
      <name val="Calibri"/>
      <family val="2"/>
      <scheme val="minor"/>
    </font>
    <font>
      <b/>
      <i/>
      <sz val="14"/>
      <color theme="5"/>
      <name val="Calibri"/>
      <family val="2"/>
      <scheme val="minor"/>
    </font>
    <font>
      <b/>
      <sz val="14"/>
      <color theme="1"/>
      <name val="Calibri"/>
      <family val="2"/>
      <scheme val="minor"/>
    </font>
    <font>
      <sz val="14"/>
      <color theme="1"/>
      <name val="Calibri"/>
      <family val="2"/>
      <scheme val="minor"/>
    </font>
    <font>
      <b/>
      <sz val="12"/>
      <color rgb="FFFF0000"/>
      <name val="Calibri"/>
      <family val="2"/>
      <scheme val="minor"/>
    </font>
    <font>
      <sz val="11"/>
      <color theme="0"/>
      <name val="Calibri"/>
      <family val="2"/>
      <scheme val="minor"/>
    </font>
  </fonts>
  <fills count="14">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rgb="FF92D050"/>
        <bgColor indexed="64"/>
      </patternFill>
    </fill>
    <fill>
      <patternFill patternType="solid">
        <fgColor theme="2"/>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7" fillId="0" borderId="0"/>
  </cellStyleXfs>
  <cellXfs count="341">
    <xf numFmtId="0" fontId="0" fillId="0" borderId="0" xfId="0"/>
    <xf numFmtId="167" fontId="0" fillId="0" borderId="0" xfId="1" applyNumberFormat="1" applyFont="1"/>
    <xf numFmtId="167" fontId="0" fillId="0" borderId="0" xfId="0" applyNumberFormat="1"/>
    <xf numFmtId="0" fontId="0" fillId="6" borderId="7" xfId="0" applyFill="1" applyBorder="1"/>
    <xf numFmtId="0" fontId="0" fillId="2" borderId="7" xfId="0" applyFill="1" applyBorder="1"/>
    <xf numFmtId="0" fontId="0" fillId="2" borderId="6" xfId="0" applyFill="1" applyBorder="1"/>
    <xf numFmtId="167" fontId="0" fillId="2" borderId="7" xfId="1" applyNumberFormat="1" applyFont="1" applyFill="1" applyBorder="1"/>
    <xf numFmtId="0" fontId="0" fillId="6" borderId="5" xfId="0" applyFill="1" applyBorder="1"/>
    <xf numFmtId="0" fontId="0" fillId="6" borderId="6" xfId="0" applyFill="1" applyBorder="1"/>
    <xf numFmtId="167" fontId="0" fillId="6" borderId="7" xfId="1" applyNumberFormat="1" applyFont="1" applyFill="1" applyBorder="1"/>
    <xf numFmtId="167" fontId="0" fillId="6" borderId="7" xfId="0" applyNumberFormat="1" applyFill="1" applyBorder="1"/>
    <xf numFmtId="0" fontId="0" fillId="0" borderId="0" xfId="0" applyProtection="1"/>
    <xf numFmtId="2" fontId="0" fillId="0" borderId="1" xfId="2" applyNumberFormat="1" applyFont="1" applyFill="1" applyBorder="1" applyProtection="1">
      <protection locked="0"/>
    </xf>
    <xf numFmtId="9" fontId="0" fillId="0" borderId="1" xfId="2" applyFont="1" applyFill="1" applyBorder="1" applyProtection="1">
      <protection locked="0"/>
    </xf>
    <xf numFmtId="168" fontId="0" fillId="0" borderId="1" xfId="2" applyNumberFormat="1" applyFont="1" applyFill="1" applyBorder="1" applyProtection="1">
      <protection locked="0"/>
    </xf>
    <xf numFmtId="0" fontId="0" fillId="0" borderId="1" xfId="0" applyFill="1" applyBorder="1" applyProtection="1">
      <protection locked="0"/>
    </xf>
    <xf numFmtId="167" fontId="0" fillId="0" borderId="1" xfId="1" applyNumberFormat="1" applyFont="1" applyFill="1" applyBorder="1" applyProtection="1">
      <protection locked="0"/>
    </xf>
    <xf numFmtId="0" fontId="0" fillId="0" borderId="1" xfId="0" applyBorder="1" applyProtection="1"/>
    <xf numFmtId="167" fontId="0" fillId="0" borderId="1" xfId="0" applyNumberFormat="1" applyBorder="1" applyProtection="1"/>
    <xf numFmtId="167" fontId="0" fillId="0" borderId="0" xfId="0" applyNumberFormat="1" applyProtection="1"/>
    <xf numFmtId="167" fontId="0" fillId="0" borderId="1" xfId="1" applyNumberFormat="1" applyFont="1" applyBorder="1" applyProtection="1"/>
    <xf numFmtId="167" fontId="0" fillId="6" borderId="0" xfId="0" applyNumberFormat="1" applyFill="1" applyBorder="1" applyProtection="1"/>
    <xf numFmtId="167" fontId="0" fillId="4" borderId="0" xfId="0" applyNumberFormat="1" applyFill="1" applyBorder="1" applyProtection="1"/>
    <xf numFmtId="0" fontId="0" fillId="7" borderId="0" xfId="0" applyFill="1"/>
    <xf numFmtId="0" fontId="0" fillId="0" borderId="0" xfId="0" applyAlignment="1">
      <alignment horizontal="center"/>
    </xf>
    <xf numFmtId="0" fontId="10" fillId="0" borderId="1" xfId="10" applyFont="1" applyFill="1" applyBorder="1"/>
    <xf numFmtId="169" fontId="11" fillId="0" borderId="1" xfId="10" applyNumberFormat="1" applyFont="1" applyBorder="1" applyAlignment="1">
      <alignment horizontal="center"/>
    </xf>
    <xf numFmtId="0" fontId="12" fillId="0" borderId="1" xfId="10" applyFont="1" applyBorder="1"/>
    <xf numFmtId="169" fontId="11" fillId="0" borderId="1" xfId="10" applyNumberFormat="1" applyFont="1" applyFill="1" applyBorder="1" applyAlignment="1">
      <alignment horizontal="center"/>
    </xf>
    <xf numFmtId="0" fontId="12" fillId="0" borderId="1" xfId="10" applyFont="1" applyFill="1" applyBorder="1"/>
    <xf numFmtId="0" fontId="14" fillId="0" borderId="1" xfId="0" applyFont="1" applyFill="1" applyBorder="1"/>
    <xf numFmtId="169" fontId="2" fillId="0" borderId="1" xfId="0" applyNumberFormat="1" applyFont="1" applyBorder="1" applyAlignment="1">
      <alignment horizontal="center"/>
    </xf>
    <xf numFmtId="0" fontId="15" fillId="0" borderId="1" xfId="0" applyFont="1" applyFill="1" applyBorder="1"/>
    <xf numFmtId="169" fontId="2" fillId="0" borderId="1" xfId="0" applyNumberFormat="1" applyFont="1" applyFill="1" applyBorder="1" applyAlignment="1">
      <alignment horizontal="center"/>
    </xf>
    <xf numFmtId="0" fontId="15" fillId="0" borderId="1" xfId="0" applyFont="1" applyBorder="1"/>
    <xf numFmtId="0" fontId="13" fillId="0" borderId="0" xfId="10" applyFont="1" applyBorder="1"/>
    <xf numFmtId="0" fontId="13" fillId="0" borderId="0" xfId="10" applyFont="1" applyFill="1" applyBorder="1"/>
    <xf numFmtId="169" fontId="2" fillId="0" borderId="0" xfId="0" applyNumberFormat="1" applyFont="1"/>
    <xf numFmtId="0" fontId="2" fillId="0" borderId="0" xfId="0" applyFont="1"/>
    <xf numFmtId="0" fontId="0" fillId="0" borderId="0" xfId="0" applyBorder="1"/>
    <xf numFmtId="0" fontId="2" fillId="0" borderId="1" xfId="0" applyFont="1" applyBorder="1" applyAlignment="1">
      <alignment horizontal="center"/>
    </xf>
    <xf numFmtId="0" fontId="2" fillId="6" borderId="6" xfId="0" applyFont="1" applyFill="1" applyBorder="1"/>
    <xf numFmtId="0" fontId="2" fillId="6" borderId="3" xfId="0" applyFont="1" applyFill="1" applyBorder="1"/>
    <xf numFmtId="0" fontId="2" fillId="2" borderId="6" xfId="0" applyFont="1" applyFill="1" applyBorder="1"/>
    <xf numFmtId="0" fontId="2" fillId="0" borderId="1" xfId="0" applyFont="1" applyBorder="1"/>
    <xf numFmtId="0" fontId="2" fillId="0" borderId="1" xfId="0" applyFont="1" applyBorder="1" applyAlignment="1">
      <alignment horizontal="center" vertical="center"/>
    </xf>
    <xf numFmtId="0" fontId="0" fillId="0" borderId="1" xfId="0" applyFont="1" applyBorder="1" applyAlignment="1">
      <alignment horizontal="center"/>
    </xf>
    <xf numFmtId="0" fontId="0" fillId="8" borderId="1" xfId="0" applyFont="1" applyFill="1" applyBorder="1" applyAlignment="1">
      <alignment horizontal="center"/>
    </xf>
    <xf numFmtId="0" fontId="2" fillId="8" borderId="1" xfId="0" applyFont="1" applyFill="1" applyBorder="1" applyAlignment="1">
      <alignment horizontal="center" vertical="center"/>
    </xf>
    <xf numFmtId="0" fontId="2" fillId="0" borderId="1" xfId="0" applyFont="1" applyFill="1" applyBorder="1"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0" fontId="2" fillId="8" borderId="1" xfId="0" applyFont="1" applyFill="1" applyBorder="1" applyAlignment="1">
      <alignment horizontal="center"/>
    </xf>
    <xf numFmtId="1" fontId="2" fillId="8" borderId="1" xfId="0" applyNumberFormat="1" applyFont="1" applyFill="1" applyBorder="1" applyAlignment="1">
      <alignment horizontal="center"/>
    </xf>
    <xf numFmtId="0" fontId="2" fillId="0" borderId="0" xfId="0" applyFont="1" applyBorder="1" applyAlignment="1">
      <alignment vertical="center"/>
    </xf>
    <xf numFmtId="166" fontId="0" fillId="0" borderId="1" xfId="0" applyNumberFormat="1" applyBorder="1" applyAlignment="1">
      <alignment horizontal="center"/>
    </xf>
    <xf numFmtId="0" fontId="0" fillId="0" borderId="6" xfId="0" applyFont="1" applyFill="1" applyBorder="1" applyAlignment="1">
      <alignment horizontal="center"/>
    </xf>
    <xf numFmtId="166" fontId="0" fillId="8" borderId="1" xfId="0" applyNumberFormat="1" applyFill="1" applyBorder="1" applyAlignment="1">
      <alignment horizontal="center"/>
    </xf>
    <xf numFmtId="1" fontId="0" fillId="8" borderId="1" xfId="0" applyNumberFormat="1" applyFill="1" applyBorder="1" applyAlignment="1">
      <alignment horizontal="center"/>
    </xf>
    <xf numFmtId="0" fontId="0" fillId="8" borderId="1" xfId="0" applyFill="1" applyBorder="1" applyAlignment="1">
      <alignment horizontal="center"/>
    </xf>
    <xf numFmtId="0" fontId="2" fillId="0" borderId="0" xfId="0" applyFont="1" applyBorder="1" applyAlignment="1">
      <alignment horizontal="center"/>
    </xf>
    <xf numFmtId="3" fontId="0" fillId="0" borderId="1" xfId="0" applyNumberFormat="1" applyBorder="1" applyAlignment="1">
      <alignment horizontal="center"/>
    </xf>
    <xf numFmtId="0" fontId="9" fillId="0" borderId="1" xfId="10" applyFont="1" applyBorder="1" applyAlignment="1">
      <alignment horizontal="center" wrapText="1"/>
    </xf>
    <xf numFmtId="3" fontId="0" fillId="0" borderId="0" xfId="0" applyNumberFormat="1"/>
    <xf numFmtId="169" fontId="0" fillId="0" borderId="0" xfId="0" applyNumberFormat="1"/>
    <xf numFmtId="0" fontId="2" fillId="0" borderId="13" xfId="0" applyFont="1" applyBorder="1" applyAlignment="1">
      <alignment horizontal="center" vertical="center"/>
    </xf>
    <xf numFmtId="0" fontId="0" fillId="0" borderId="13" xfId="0" applyBorder="1"/>
    <xf numFmtId="0" fontId="0" fillId="0" borderId="14" xfId="0" applyBorder="1"/>
    <xf numFmtId="0" fontId="0" fillId="0" borderId="15" xfId="0" applyBorder="1"/>
    <xf numFmtId="0" fontId="2" fillId="0" borderId="0" xfId="0" applyFont="1" applyProtection="1"/>
    <xf numFmtId="0" fontId="0" fillId="0" borderId="0" xfId="0" applyFill="1" applyProtection="1"/>
    <xf numFmtId="0" fontId="0" fillId="0" borderId="0" xfId="0" applyFill="1" applyBorder="1" applyAlignment="1" applyProtection="1">
      <alignment horizontal="right"/>
    </xf>
    <xf numFmtId="0" fontId="0" fillId="0" borderId="0" xfId="0" applyFill="1" applyBorder="1" applyProtection="1"/>
    <xf numFmtId="0" fontId="0" fillId="0" borderId="7" xfId="0" applyFill="1" applyBorder="1" applyProtection="1"/>
    <xf numFmtId="9" fontId="0" fillId="0" borderId="0" xfId="0" applyNumberFormat="1" applyFill="1" applyBorder="1" applyProtection="1"/>
    <xf numFmtId="167" fontId="0" fillId="0" borderId="0" xfId="1" applyNumberFormat="1" applyFont="1" applyFill="1" applyBorder="1" applyProtection="1"/>
    <xf numFmtId="9" fontId="0" fillId="0" borderId="0" xfId="2" applyFont="1" applyFill="1" applyBorder="1" applyProtection="1">
      <protection locked="0"/>
    </xf>
    <xf numFmtId="0" fontId="0" fillId="0" borderId="0" xfId="0" applyFill="1" applyBorder="1" applyAlignment="1" applyProtection="1">
      <alignment horizontal="center"/>
      <protection locked="0"/>
    </xf>
    <xf numFmtId="0" fontId="0" fillId="0" borderId="0" xfId="0" applyFill="1" applyBorder="1" applyAlignment="1" applyProtection="1">
      <alignment horizontal="center"/>
    </xf>
    <xf numFmtId="9" fontId="0" fillId="0" borderId="6" xfId="2" applyFont="1" applyFill="1" applyBorder="1" applyProtection="1">
      <protection locked="0"/>
    </xf>
    <xf numFmtId="167" fontId="0" fillId="0" borderId="6" xfId="1" applyNumberFormat="1" applyFont="1" applyFill="1" applyBorder="1" applyProtection="1"/>
    <xf numFmtId="0" fontId="0" fillId="0" borderId="4" xfId="0" applyFill="1" applyBorder="1" applyProtection="1"/>
    <xf numFmtId="167" fontId="0" fillId="0" borderId="4" xfId="0" applyNumberFormat="1" applyFill="1" applyBorder="1" applyProtection="1"/>
    <xf numFmtId="0" fontId="0" fillId="0" borderId="9" xfId="0" applyFill="1" applyBorder="1" applyProtection="1"/>
    <xf numFmtId="167" fontId="0" fillId="0" borderId="9" xfId="0" applyNumberFormat="1" applyFill="1" applyBorder="1" applyProtection="1"/>
    <xf numFmtId="0" fontId="2" fillId="0" borderId="9" xfId="0" applyFont="1" applyFill="1" applyBorder="1" applyProtection="1"/>
    <xf numFmtId="167" fontId="0" fillId="0" borderId="0" xfId="0" applyNumberFormat="1" applyBorder="1" applyProtection="1"/>
    <xf numFmtId="0" fontId="0" fillId="0" borderId="4" xfId="0" applyBorder="1" applyProtection="1"/>
    <xf numFmtId="167" fontId="0" fillId="0" borderId="4" xfId="0" applyNumberFormat="1" applyBorder="1" applyProtection="1"/>
    <xf numFmtId="0" fontId="0" fillId="0" borderId="0" xfId="0" applyBorder="1" applyProtection="1"/>
    <xf numFmtId="0" fontId="0" fillId="0" borderId="1" xfId="0" applyFill="1" applyBorder="1"/>
    <xf numFmtId="3" fontId="0" fillId="0" borderId="0" xfId="0" applyNumberFormat="1" applyBorder="1" applyAlignment="1">
      <alignment horizontal="center"/>
    </xf>
    <xf numFmtId="43" fontId="0" fillId="0" borderId="0" xfId="0" applyNumberFormat="1" applyFill="1" applyProtection="1"/>
    <xf numFmtId="3" fontId="0" fillId="8" borderId="1" xfId="0" applyNumberFormat="1" applyFill="1" applyBorder="1" applyAlignment="1">
      <alignment horizontal="center"/>
    </xf>
    <xf numFmtId="0" fontId="19" fillId="0" borderId="1" xfId="10" applyFont="1" applyFill="1" applyBorder="1" applyAlignment="1">
      <alignment horizontal="center" wrapText="1"/>
    </xf>
    <xf numFmtId="169" fontId="13" fillId="0" borderId="1" xfId="10" applyNumberFormat="1" applyFont="1" applyBorder="1" applyAlignment="1">
      <alignment horizontal="center"/>
    </xf>
    <xf numFmtId="0" fontId="0" fillId="0" borderId="0" xfId="0" applyFill="1"/>
    <xf numFmtId="0" fontId="21" fillId="0" borderId="1" xfId="10" applyFont="1" applyFill="1" applyBorder="1" applyAlignment="1">
      <alignment horizontal="center" wrapText="1"/>
    </xf>
    <xf numFmtId="169" fontId="22" fillId="0" borderId="1" xfId="10" applyNumberFormat="1" applyFont="1" applyBorder="1" applyAlignment="1">
      <alignment horizontal="center"/>
    </xf>
    <xf numFmtId="1" fontId="13" fillId="0" borderId="1" xfId="10" applyNumberFormat="1" applyFont="1" applyBorder="1" applyAlignment="1">
      <alignment horizontal="center"/>
    </xf>
    <xf numFmtId="169" fontId="16" fillId="0" borderId="4" xfId="10" applyNumberFormat="1" applyFont="1" applyFill="1" applyBorder="1" applyAlignment="1">
      <alignment horizontal="center"/>
    </xf>
    <xf numFmtId="0" fontId="0" fillId="0" borderId="4" xfId="0" applyFill="1" applyBorder="1"/>
    <xf numFmtId="0" fontId="9" fillId="5" borderId="1" xfId="10" applyFont="1" applyFill="1" applyBorder="1" applyAlignment="1">
      <alignment horizontal="center"/>
    </xf>
    <xf numFmtId="169" fontId="2" fillId="0" borderId="0" xfId="0" applyNumberFormat="1" applyFont="1" applyAlignment="1">
      <alignment horizontal="center"/>
    </xf>
    <xf numFmtId="0" fontId="2" fillId="0" borderId="0" xfId="0" applyFont="1" applyAlignment="1">
      <alignment horizontal="center"/>
    </xf>
    <xf numFmtId="3" fontId="2" fillId="8" borderId="1" xfId="0" applyNumberFormat="1" applyFont="1" applyFill="1" applyBorder="1" applyAlignment="1">
      <alignment horizontal="center"/>
    </xf>
    <xf numFmtId="3" fontId="0" fillId="0" borderId="4" xfId="0" applyNumberFormat="1" applyBorder="1" applyAlignment="1">
      <alignment horizontal="center"/>
    </xf>
    <xf numFmtId="169" fontId="0" fillId="0" borderId="1" xfId="0" applyNumberFormat="1" applyBorder="1" applyAlignment="1">
      <alignment horizontal="center"/>
    </xf>
    <xf numFmtId="3" fontId="2" fillId="0" borderId="0" xfId="0" applyNumberFormat="1" applyFont="1" applyBorder="1" applyAlignment="1">
      <alignment horizontal="center"/>
    </xf>
    <xf numFmtId="3" fontId="0" fillId="0" borderId="0" xfId="0" applyNumberFormat="1" applyFill="1" applyBorder="1" applyAlignment="1">
      <alignment horizontal="center"/>
    </xf>
    <xf numFmtId="166" fontId="0" fillId="0" borderId="0" xfId="0" applyNumberFormat="1" applyFill="1" applyBorder="1" applyAlignment="1">
      <alignment horizontal="center"/>
    </xf>
    <xf numFmtId="3" fontId="2" fillId="0" borderId="0" xfId="0" applyNumberFormat="1" applyFont="1" applyFill="1" applyBorder="1" applyAlignment="1">
      <alignment horizontal="center"/>
    </xf>
    <xf numFmtId="166" fontId="2" fillId="0" borderId="0" xfId="0" applyNumberFormat="1" applyFont="1" applyFill="1" applyBorder="1" applyAlignment="1">
      <alignment horizontal="center"/>
    </xf>
    <xf numFmtId="0" fontId="0" fillId="0" borderId="0" xfId="0" applyFill="1" applyBorder="1"/>
    <xf numFmtId="0" fontId="2" fillId="0" borderId="0" xfId="0" applyFont="1" applyFill="1" applyBorder="1" applyAlignment="1">
      <alignment vertical="center" wrapText="1"/>
    </xf>
    <xf numFmtId="0" fontId="2" fillId="0" borderId="0" xfId="0" applyFont="1" applyBorder="1" applyAlignment="1">
      <alignment vertical="center" wrapText="1"/>
    </xf>
    <xf numFmtId="0" fontId="0" fillId="0" borderId="0" xfId="0" applyBorder="1" applyAlignment="1">
      <alignment horizontal="center"/>
    </xf>
    <xf numFmtId="1" fontId="0" fillId="0" borderId="1" xfId="2" applyNumberFormat="1" applyFont="1" applyFill="1" applyBorder="1" applyProtection="1">
      <protection locked="0"/>
    </xf>
    <xf numFmtId="10" fontId="0" fillId="0" borderId="0" xfId="0" applyNumberFormat="1" applyFill="1" applyBorder="1" applyAlignment="1">
      <alignment horizontal="center"/>
    </xf>
    <xf numFmtId="0" fontId="0" fillId="0" borderId="0" xfId="0" applyNumberFormat="1" applyFill="1" applyBorder="1" applyAlignment="1">
      <alignment horizontal="center"/>
    </xf>
    <xf numFmtId="0" fontId="0" fillId="0" borderId="0" xfId="0" applyFill="1" applyBorder="1" applyProtection="1">
      <protection locked="0"/>
    </xf>
    <xf numFmtId="0" fontId="0" fillId="0" borderId="4" xfId="0" applyBorder="1" applyAlignment="1" applyProtection="1">
      <protection locked="0"/>
    </xf>
    <xf numFmtId="0" fontId="2" fillId="9" borderId="1" xfId="0" applyFont="1" applyFill="1" applyBorder="1" applyAlignment="1">
      <alignment horizontal="center"/>
    </xf>
    <xf numFmtId="0" fontId="2" fillId="9" borderId="1" xfId="0" applyFont="1" applyFill="1" applyBorder="1"/>
    <xf numFmtId="0" fontId="0" fillId="9" borderId="1" xfId="0" applyFill="1" applyBorder="1"/>
    <xf numFmtId="3" fontId="0" fillId="9" borderId="1" xfId="0" applyNumberFormat="1" applyFill="1" applyBorder="1" applyAlignment="1">
      <alignment horizontal="center"/>
    </xf>
    <xf numFmtId="169" fontId="0" fillId="9" borderId="1" xfId="0" applyNumberFormat="1" applyFill="1" applyBorder="1"/>
    <xf numFmtId="10" fontId="0" fillId="9" borderId="1" xfId="0" applyNumberFormat="1" applyFill="1" applyBorder="1" applyAlignment="1">
      <alignment horizontal="center"/>
    </xf>
    <xf numFmtId="169" fontId="0" fillId="9" borderId="1" xfId="0" applyNumberFormat="1" applyFill="1" applyBorder="1" applyAlignment="1">
      <alignment horizontal="center"/>
    </xf>
    <xf numFmtId="3" fontId="0" fillId="9" borderId="1" xfId="0" applyNumberFormat="1" applyFill="1" applyBorder="1"/>
    <xf numFmtId="0" fontId="0" fillId="9" borderId="1" xfId="0" applyNumberFormat="1" applyFill="1" applyBorder="1" applyAlignment="1">
      <alignment horizontal="center"/>
    </xf>
    <xf numFmtId="10" fontId="0" fillId="0" borderId="1" xfId="0" applyNumberFormat="1" applyFill="1" applyBorder="1"/>
    <xf numFmtId="9" fontId="0" fillId="0" borderId="1" xfId="0" applyNumberFormat="1" applyFill="1" applyBorder="1"/>
    <xf numFmtId="9" fontId="0" fillId="9" borderId="1" xfId="0" applyNumberFormat="1" applyFill="1" applyBorder="1" applyAlignment="1">
      <alignment horizontal="center"/>
    </xf>
    <xf numFmtId="0" fontId="0" fillId="9" borderId="1" xfId="0" applyFill="1" applyBorder="1" applyProtection="1"/>
    <xf numFmtId="9" fontId="2" fillId="9" borderId="1" xfId="0" applyNumberFormat="1" applyFont="1" applyFill="1" applyBorder="1" applyAlignment="1"/>
    <xf numFmtId="0" fontId="0" fillId="9" borderId="1" xfId="0" applyFill="1" applyBorder="1" applyAlignment="1"/>
    <xf numFmtId="0" fontId="0" fillId="0" borderId="1" xfId="0" applyNumberFormat="1" applyFill="1" applyBorder="1"/>
    <xf numFmtId="1" fontId="0" fillId="9" borderId="1" xfId="0" applyNumberFormat="1" applyFill="1" applyBorder="1"/>
    <xf numFmtId="1" fontId="0" fillId="9" borderId="1" xfId="0" applyNumberFormat="1" applyFill="1" applyBorder="1" applyAlignment="1">
      <alignment horizontal="center" vertical="center"/>
    </xf>
    <xf numFmtId="1" fontId="0" fillId="9" borderId="1" xfId="0" applyNumberFormat="1" applyFill="1" applyBorder="1" applyAlignment="1">
      <alignment horizontal="right"/>
    </xf>
    <xf numFmtId="9" fontId="0" fillId="9" borderId="1" xfId="0" applyNumberFormat="1" applyFill="1" applyBorder="1"/>
    <xf numFmtId="0" fontId="0" fillId="9" borderId="13" xfId="0" applyFill="1" applyBorder="1" applyAlignment="1"/>
    <xf numFmtId="0" fontId="0" fillId="9" borderId="14" xfId="0" applyFill="1" applyBorder="1" applyAlignment="1"/>
    <xf numFmtId="0" fontId="0" fillId="9" borderId="15" xfId="0" applyFill="1" applyBorder="1" applyAlignment="1"/>
    <xf numFmtId="3" fontId="0" fillId="0" borderId="1" xfId="1" applyNumberFormat="1" applyFont="1" applyFill="1" applyBorder="1" applyProtection="1">
      <protection locked="0"/>
    </xf>
    <xf numFmtId="167" fontId="0" fillId="0" borderId="0" xfId="1" applyNumberFormat="1" applyFont="1" applyFill="1" applyProtection="1"/>
    <xf numFmtId="167" fontId="0" fillId="0" borderId="0" xfId="0" applyNumberFormat="1" applyFill="1" applyProtection="1"/>
    <xf numFmtId="167" fontId="0" fillId="0" borderId="6" xfId="1" applyNumberFormat="1" applyFont="1" applyFill="1" applyBorder="1" applyProtection="1">
      <protection locked="0"/>
    </xf>
    <xf numFmtId="167" fontId="0" fillId="0" borderId="0" xfId="1" applyNumberFormat="1" applyFont="1" applyFill="1" applyBorder="1" applyProtection="1">
      <protection locked="0"/>
    </xf>
    <xf numFmtId="0" fontId="0" fillId="6" borderId="6" xfId="0" applyFill="1" applyBorder="1" applyProtection="1"/>
    <xf numFmtId="0" fontId="0" fillId="6" borderId="0" xfId="0" applyFill="1" applyBorder="1" applyProtection="1"/>
    <xf numFmtId="167" fontId="0" fillId="6" borderId="7" xfId="0" applyNumberFormat="1" applyFill="1" applyBorder="1" applyProtection="1"/>
    <xf numFmtId="0" fontId="2" fillId="6" borderId="6" xfId="0" applyFont="1" applyFill="1" applyBorder="1" applyProtection="1"/>
    <xf numFmtId="0" fontId="0" fillId="6" borderId="7" xfId="0" applyFill="1" applyBorder="1" applyProtection="1"/>
    <xf numFmtId="167" fontId="0" fillId="6" borderId="7" xfId="1" applyNumberFormat="1" applyFont="1" applyFill="1" applyBorder="1" applyProtection="1"/>
    <xf numFmtId="0" fontId="0" fillId="6" borderId="8" xfId="0" applyFill="1" applyBorder="1" applyProtection="1"/>
    <xf numFmtId="0" fontId="0" fillId="6" borderId="9" xfId="0" applyFill="1" applyBorder="1" applyProtection="1"/>
    <xf numFmtId="0" fontId="0" fillId="4" borderId="6" xfId="0" applyFill="1" applyBorder="1" applyProtection="1"/>
    <xf numFmtId="0" fontId="0" fillId="4" borderId="0" xfId="0" applyFill="1" applyBorder="1" applyProtection="1"/>
    <xf numFmtId="167" fontId="0" fillId="4" borderId="7" xfId="0" applyNumberFormat="1" applyFill="1" applyBorder="1" applyProtection="1"/>
    <xf numFmtId="0" fontId="0" fillId="4" borderId="7" xfId="0" applyFill="1" applyBorder="1" applyProtection="1"/>
    <xf numFmtId="0" fontId="2" fillId="4" borderId="6" xfId="0" applyFont="1" applyFill="1" applyBorder="1" applyProtection="1"/>
    <xf numFmtId="167" fontId="0" fillId="4" borderId="7" xfId="1" applyNumberFormat="1" applyFont="1" applyFill="1" applyBorder="1" applyProtection="1"/>
    <xf numFmtId="0" fontId="0" fillId="4" borderId="8" xfId="0" applyFill="1" applyBorder="1" applyProtection="1"/>
    <xf numFmtId="0" fontId="0" fillId="4" borderId="9" xfId="0" applyFill="1" applyBorder="1" applyProtection="1"/>
    <xf numFmtId="3" fontId="0" fillId="6" borderId="7" xfId="0" applyNumberFormat="1" applyFill="1" applyBorder="1" applyProtection="1"/>
    <xf numFmtId="3" fontId="0" fillId="4" borderId="7" xfId="0" applyNumberFormat="1" applyFill="1" applyBorder="1" applyProtection="1"/>
    <xf numFmtId="170" fontId="0" fillId="4" borderId="10" xfId="0" applyNumberFormat="1" applyFill="1" applyBorder="1" applyProtection="1"/>
    <xf numFmtId="169" fontId="0" fillId="6" borderId="10" xfId="0" applyNumberFormat="1" applyFill="1" applyBorder="1" applyProtection="1"/>
    <xf numFmtId="167" fontId="0" fillId="0" borderId="0" xfId="0" applyNumberFormat="1" applyFill="1" applyBorder="1" applyProtection="1"/>
    <xf numFmtId="167" fontId="0" fillId="6" borderId="10" xfId="0" applyNumberFormat="1" applyFill="1" applyBorder="1" applyProtection="1"/>
    <xf numFmtId="0" fontId="0" fillId="4" borderId="10" xfId="0" applyFill="1" applyBorder="1" applyProtection="1"/>
    <xf numFmtId="0" fontId="0" fillId="0" borderId="6" xfId="0" applyFill="1" applyBorder="1" applyProtection="1"/>
    <xf numFmtId="167" fontId="0" fillId="6" borderId="15" xfId="1" applyNumberFormat="1" applyFont="1" applyFill="1" applyBorder="1" applyProtection="1"/>
    <xf numFmtId="0" fontId="0" fillId="4" borderId="5" xfId="0" applyFill="1" applyBorder="1" applyProtection="1"/>
    <xf numFmtId="167" fontId="0" fillId="4" borderId="10" xfId="0" applyNumberFormat="1" applyFill="1" applyBorder="1" applyProtection="1"/>
    <xf numFmtId="0" fontId="0" fillId="3" borderId="6" xfId="0" applyFill="1" applyBorder="1" applyProtection="1"/>
    <xf numFmtId="0" fontId="0" fillId="3" borderId="0" xfId="0" applyFill="1" applyBorder="1" applyProtection="1"/>
    <xf numFmtId="3" fontId="0" fillId="3" borderId="7" xfId="1" applyNumberFormat="1" applyFont="1" applyFill="1" applyBorder="1" applyProtection="1"/>
    <xf numFmtId="3" fontId="0" fillId="3" borderId="7" xfId="0" applyNumberFormat="1" applyFill="1" applyBorder="1" applyProtection="1"/>
    <xf numFmtId="0" fontId="0" fillId="3" borderId="8" xfId="0" applyFill="1" applyBorder="1" applyProtection="1"/>
    <xf numFmtId="0" fontId="0" fillId="3" borderId="9" xfId="0" applyFill="1" applyBorder="1" applyProtection="1"/>
    <xf numFmtId="0" fontId="0" fillId="0" borderId="6" xfId="0" applyFill="1" applyBorder="1"/>
    <xf numFmtId="167" fontId="0" fillId="0" borderId="0" xfId="1" applyNumberFormat="1" applyFont="1" applyFill="1" applyBorder="1"/>
    <xf numFmtId="0" fontId="2" fillId="0" borderId="0" xfId="0" applyFont="1" applyFill="1" applyBorder="1"/>
    <xf numFmtId="167" fontId="0" fillId="6" borderId="10" xfId="1" applyNumberFormat="1" applyFont="1" applyFill="1" applyBorder="1"/>
    <xf numFmtId="0" fontId="0" fillId="6" borderId="6" xfId="0" applyFill="1" applyBorder="1" applyAlignment="1">
      <alignment horizontal="left"/>
    </xf>
    <xf numFmtId="0" fontId="2" fillId="6" borderId="6" xfId="0" applyFont="1" applyFill="1" applyBorder="1" applyAlignment="1">
      <alignment horizontal="left"/>
    </xf>
    <xf numFmtId="0" fontId="2" fillId="6" borderId="8" xfId="0" applyFont="1" applyFill="1" applyBorder="1" applyAlignment="1">
      <alignment horizontal="left"/>
    </xf>
    <xf numFmtId="164" fontId="0" fillId="6" borderId="7" xfId="1" applyNumberFormat="1" applyFont="1" applyFill="1" applyBorder="1"/>
    <xf numFmtId="167" fontId="0" fillId="2" borderId="10" xfId="1" applyNumberFormat="1" applyFont="1" applyFill="1" applyBorder="1"/>
    <xf numFmtId="1" fontId="0" fillId="0" borderId="0" xfId="0" applyNumberFormat="1" applyFill="1" applyBorder="1"/>
    <xf numFmtId="0" fontId="2" fillId="0" borderId="0" xfId="0" applyFont="1" applyFill="1" applyBorder="1" applyAlignment="1"/>
    <xf numFmtId="167" fontId="0" fillId="0" borderId="0" xfId="0" applyNumberFormat="1" applyFill="1" applyBorder="1"/>
    <xf numFmtId="0" fontId="2" fillId="2" borderId="5" xfId="0" applyFont="1" applyFill="1" applyBorder="1" applyAlignment="1"/>
    <xf numFmtId="0" fontId="2" fillId="2" borderId="3" xfId="0" applyFont="1" applyFill="1" applyBorder="1" applyAlignment="1"/>
    <xf numFmtId="164" fontId="0" fillId="2" borderId="7" xfId="1" applyNumberFormat="1" applyFont="1" applyFill="1" applyBorder="1"/>
    <xf numFmtId="167" fontId="0" fillId="0" borderId="4" xfId="1" applyNumberFormat="1" applyFont="1" applyFill="1" applyBorder="1"/>
    <xf numFmtId="0" fontId="0" fillId="9" borderId="3" xfId="0" applyFill="1" applyBorder="1" applyAlignment="1"/>
    <xf numFmtId="9" fontId="0" fillId="9" borderId="5" xfId="1" applyNumberFormat="1" applyFont="1" applyFill="1" applyBorder="1"/>
    <xf numFmtId="0" fontId="0" fillId="9" borderId="6" xfId="0" applyFill="1" applyBorder="1"/>
    <xf numFmtId="167" fontId="0" fillId="9" borderId="7" xfId="1" applyNumberFormat="1" applyFont="1" applyFill="1" applyBorder="1"/>
    <xf numFmtId="0" fontId="0" fillId="9" borderId="8" xfId="0" applyFill="1" applyBorder="1"/>
    <xf numFmtId="167" fontId="0" fillId="9" borderId="10" xfId="1" applyNumberFormat="1" applyFont="1" applyFill="1" applyBorder="1"/>
    <xf numFmtId="0" fontId="2" fillId="2" borderId="8" xfId="0" applyFont="1" applyFill="1" applyBorder="1"/>
    <xf numFmtId="167" fontId="0" fillId="0" borderId="9" xfId="1" applyNumberFormat="1" applyFont="1" applyFill="1" applyBorder="1"/>
    <xf numFmtId="0" fontId="0" fillId="0" borderId="6" xfId="0" applyFill="1" applyBorder="1" applyAlignment="1">
      <alignment horizontal="right"/>
    </xf>
    <xf numFmtId="167" fontId="0" fillId="0" borderId="6" xfId="1" applyNumberFormat="1" applyFont="1" applyFill="1" applyBorder="1"/>
    <xf numFmtId="0" fontId="0" fillId="0" borderId="14" xfId="0" applyFill="1" applyBorder="1"/>
    <xf numFmtId="167" fontId="0" fillId="2" borderId="11" xfId="1" applyNumberFormat="1" applyFont="1" applyFill="1" applyBorder="1" applyAlignment="1">
      <alignment horizontal="right"/>
    </xf>
    <xf numFmtId="167" fontId="2" fillId="2" borderId="11" xfId="1" applyNumberFormat="1" applyFont="1" applyFill="1" applyBorder="1" applyAlignment="1">
      <alignment horizontal="right"/>
    </xf>
    <xf numFmtId="3" fontId="0" fillId="2" borderId="11" xfId="0" applyNumberFormat="1" applyFill="1" applyBorder="1" applyAlignment="1">
      <alignment horizontal="right"/>
    </xf>
    <xf numFmtId="0" fontId="0" fillId="2" borderId="11" xfId="0" applyFill="1" applyBorder="1" applyAlignment="1">
      <alignment horizontal="right"/>
    </xf>
    <xf numFmtId="0" fontId="2" fillId="2" borderId="11" xfId="0" applyFont="1" applyFill="1" applyBorder="1" applyAlignment="1">
      <alignment horizontal="right"/>
    </xf>
    <xf numFmtId="167" fontId="0" fillId="2" borderId="11" xfId="0" applyNumberFormat="1" applyFill="1" applyBorder="1" applyAlignment="1">
      <alignment horizontal="right"/>
    </xf>
    <xf numFmtId="165" fontId="0" fillId="2" borderId="11" xfId="1" applyNumberFormat="1" applyFont="1" applyFill="1" applyBorder="1" applyAlignment="1">
      <alignment horizontal="right"/>
    </xf>
    <xf numFmtId="167" fontId="0" fillId="2" borderId="12" xfId="1" applyNumberFormat="1" applyFont="1" applyFill="1" applyBorder="1" applyAlignment="1">
      <alignment horizontal="right"/>
    </xf>
    <xf numFmtId="167" fontId="2" fillId="2" borderId="12" xfId="1" applyNumberFormat="1" applyFont="1" applyFill="1" applyBorder="1" applyAlignment="1">
      <alignment horizontal="right"/>
    </xf>
    <xf numFmtId="0" fontId="2" fillId="2" borderId="11" xfId="0" applyFont="1" applyFill="1" applyBorder="1" applyAlignment="1">
      <alignment horizontal="center"/>
    </xf>
    <xf numFmtId="3" fontId="0" fillId="6" borderId="7" xfId="0" applyNumberFormat="1" applyFill="1" applyBorder="1"/>
    <xf numFmtId="167" fontId="0" fillId="0" borderId="6" xfId="0" applyNumberFormat="1" applyFill="1" applyBorder="1"/>
    <xf numFmtId="167" fontId="2" fillId="6" borderId="7" xfId="1" applyNumberFormat="1" applyFont="1" applyFill="1" applyBorder="1"/>
    <xf numFmtId="0" fontId="2" fillId="0" borderId="14" xfId="0" applyFont="1" applyFill="1" applyBorder="1"/>
    <xf numFmtId="167" fontId="2" fillId="0" borderId="14" xfId="1" applyNumberFormat="1" applyFont="1" applyFill="1" applyBorder="1"/>
    <xf numFmtId="9" fontId="2" fillId="10" borderId="1" xfId="2" applyFont="1" applyFill="1" applyBorder="1" applyProtection="1">
      <protection locked="0"/>
    </xf>
    <xf numFmtId="0" fontId="0" fillId="3" borderId="11" xfId="0" applyFont="1" applyFill="1" applyBorder="1" applyProtection="1"/>
    <xf numFmtId="169" fontId="0" fillId="3" borderId="11" xfId="0" applyNumberFormat="1" applyFont="1" applyFill="1" applyBorder="1" applyProtection="1"/>
    <xf numFmtId="0" fontId="0" fillId="3" borderId="12" xfId="0" applyFont="1" applyFill="1" applyBorder="1" applyProtection="1"/>
    <xf numFmtId="0" fontId="2" fillId="10" borderId="1" xfId="2" applyNumberFormat="1" applyFont="1" applyFill="1" applyBorder="1" applyProtection="1">
      <protection locked="0"/>
    </xf>
    <xf numFmtId="0" fontId="0" fillId="0" borderId="0" xfId="0" applyAlignment="1"/>
    <xf numFmtId="0" fontId="0" fillId="3" borderId="6" xfId="0" applyFill="1" applyBorder="1" applyAlignment="1" applyProtection="1"/>
    <xf numFmtId="0" fontId="0" fillId="3" borderId="7" xfId="0" applyFill="1" applyBorder="1" applyProtection="1"/>
    <xf numFmtId="0" fontId="0" fillId="3" borderId="8" xfId="0" applyFill="1" applyBorder="1" applyAlignment="1" applyProtection="1"/>
    <xf numFmtId="3" fontId="0" fillId="3" borderId="10" xfId="0" applyNumberFormat="1" applyFill="1" applyBorder="1" applyProtection="1"/>
    <xf numFmtId="0" fontId="24" fillId="0" borderId="6" xfId="0" applyFont="1" applyFill="1" applyBorder="1" applyAlignment="1" applyProtection="1"/>
    <xf numFmtId="0" fontId="24" fillId="0" borderId="9" xfId="0" applyFont="1" applyFill="1" applyBorder="1" applyAlignment="1" applyProtection="1"/>
    <xf numFmtId="0" fontId="24" fillId="11" borderId="0" xfId="0" applyFont="1" applyFill="1"/>
    <xf numFmtId="0" fontId="25" fillId="11" borderId="0" xfId="0" applyFont="1" applyFill="1"/>
    <xf numFmtId="0" fontId="26" fillId="0" borderId="0" xfId="0" applyFont="1"/>
    <xf numFmtId="0" fontId="0" fillId="0" borderId="0" xfId="0" applyFont="1" applyFill="1" applyBorder="1" applyAlignment="1">
      <alignment horizontal="center"/>
    </xf>
    <xf numFmtId="0" fontId="2" fillId="9" borderId="3" xfId="0" applyFont="1" applyFill="1" applyBorder="1" applyAlignment="1" applyProtection="1">
      <alignment horizontal="center"/>
    </xf>
    <xf numFmtId="0" fontId="2" fillId="9" borderId="11" xfId="0" applyFont="1" applyFill="1" applyBorder="1" applyAlignment="1" applyProtection="1">
      <alignment horizontal="center"/>
    </xf>
    <xf numFmtId="0" fontId="2" fillId="9" borderId="1" xfId="0" applyFont="1" applyFill="1" applyBorder="1" applyAlignment="1" applyProtection="1">
      <alignment horizontal="center"/>
    </xf>
    <xf numFmtId="0" fontId="0" fillId="9" borderId="1" xfId="0" applyFill="1" applyBorder="1" applyAlignment="1" applyProtection="1">
      <alignment horizontal="center"/>
    </xf>
    <xf numFmtId="167" fontId="2" fillId="9" borderId="2" xfId="0" applyNumberFormat="1" applyFont="1" applyFill="1" applyBorder="1" applyAlignment="1" applyProtection="1"/>
    <xf numFmtId="167" fontId="2" fillId="9" borderId="2" xfId="0" applyNumberFormat="1" applyFont="1" applyFill="1" applyBorder="1" applyAlignment="1" applyProtection="1">
      <alignment wrapText="1"/>
    </xf>
    <xf numFmtId="167" fontId="0" fillId="9" borderId="1" xfId="0" applyNumberFormat="1" applyFill="1" applyBorder="1" applyAlignment="1" applyProtection="1"/>
    <xf numFmtId="167" fontId="0" fillId="9" borderId="1" xfId="0" applyNumberFormat="1" applyFill="1" applyBorder="1" applyAlignment="1" applyProtection="1">
      <alignment horizontal="center"/>
    </xf>
    <xf numFmtId="167" fontId="2" fillId="9" borderId="1" xfId="0" applyNumberFormat="1" applyFont="1" applyFill="1" applyBorder="1" applyAlignment="1" applyProtection="1"/>
    <xf numFmtId="167" fontId="2" fillId="9" borderId="1" xfId="0" applyNumberFormat="1" applyFont="1" applyFill="1" applyBorder="1" applyAlignment="1" applyProtection="1">
      <alignment horizontal="center"/>
    </xf>
    <xf numFmtId="9" fontId="0" fillId="9" borderId="1" xfId="0" applyNumberFormat="1" applyFill="1" applyBorder="1" applyProtection="1"/>
    <xf numFmtId="3" fontId="0" fillId="3" borderId="11" xfId="0" applyNumberFormat="1" applyFont="1" applyFill="1" applyBorder="1" applyProtection="1"/>
    <xf numFmtId="3" fontId="0" fillId="3" borderId="2" xfId="0" applyNumberFormat="1" applyFont="1" applyFill="1" applyBorder="1" applyProtection="1"/>
    <xf numFmtId="3" fontId="0" fillId="3" borderId="12" xfId="0" applyNumberFormat="1" applyFont="1" applyFill="1" applyBorder="1" applyProtection="1"/>
    <xf numFmtId="0" fontId="2" fillId="5" borderId="1" xfId="0" applyFont="1" applyFill="1" applyBorder="1" applyProtection="1"/>
    <xf numFmtId="0" fontId="2" fillId="5" borderId="1" xfId="0" applyFont="1" applyFill="1" applyBorder="1" applyAlignment="1" applyProtection="1">
      <protection locked="0"/>
    </xf>
    <xf numFmtId="0" fontId="2" fillId="9" borderId="1" xfId="0" applyFont="1" applyFill="1" applyBorder="1" applyAlignment="1" applyProtection="1"/>
    <xf numFmtId="37" fontId="0" fillId="9" borderId="1" xfId="0" applyNumberFormat="1" applyFill="1" applyBorder="1" applyAlignment="1" applyProtection="1">
      <alignment horizontal="center"/>
    </xf>
    <xf numFmtId="0" fontId="2" fillId="9" borderId="10" xfId="0" applyFont="1" applyFill="1" applyBorder="1" applyAlignment="1" applyProtection="1">
      <alignment horizontal="center" vertical="top"/>
    </xf>
    <xf numFmtId="3" fontId="0" fillId="4" borderId="0" xfId="0" applyNumberFormat="1" applyFill="1" applyBorder="1" applyProtection="1"/>
    <xf numFmtId="0" fontId="27" fillId="0" borderId="0" xfId="0" applyFont="1" applyFill="1" applyProtection="1"/>
    <xf numFmtId="3" fontId="0" fillId="0" borderId="0" xfId="2" applyNumberFormat="1" applyFont="1" applyFill="1" applyBorder="1" applyProtection="1">
      <protection locked="0"/>
    </xf>
    <xf numFmtId="3" fontId="0" fillId="0" borderId="0" xfId="0" applyNumberFormat="1" applyFill="1" applyBorder="1" applyAlignment="1" applyProtection="1">
      <alignment horizontal="right"/>
    </xf>
    <xf numFmtId="165" fontId="0" fillId="0" borderId="0" xfId="1" applyNumberFormat="1" applyFont="1" applyFill="1" applyBorder="1" applyProtection="1"/>
    <xf numFmtId="3" fontId="0" fillId="9" borderId="1" xfId="0" applyNumberFormat="1" applyFill="1" applyBorder="1" applyAlignment="1" applyProtection="1">
      <alignment horizontal="center"/>
    </xf>
    <xf numFmtId="3" fontId="2" fillId="12" borderId="1" xfId="0" applyNumberFormat="1" applyFont="1" applyFill="1" applyBorder="1" applyAlignment="1">
      <alignment horizontal="center"/>
    </xf>
    <xf numFmtId="169" fontId="2" fillId="12" borderId="1" xfId="0" applyNumberFormat="1" applyFont="1" applyFill="1" applyBorder="1" applyAlignment="1">
      <alignment horizontal="center"/>
    </xf>
    <xf numFmtId="0" fontId="2" fillId="0" borderId="13" xfId="0" applyFont="1" applyFill="1" applyBorder="1" applyAlignment="1">
      <alignment horizontal="right" wrapText="1"/>
    </xf>
    <xf numFmtId="0" fontId="2" fillId="9" borderId="1" xfId="0" applyFont="1" applyFill="1" applyBorder="1" applyAlignment="1" applyProtection="1">
      <alignment horizontal="center" wrapText="1"/>
    </xf>
    <xf numFmtId="167" fontId="2" fillId="9" borderId="1" xfId="0" applyNumberFormat="1" applyFont="1" applyFill="1" applyBorder="1" applyAlignment="1" applyProtection="1">
      <alignment horizontal="center"/>
    </xf>
    <xf numFmtId="0" fontId="2" fillId="9" borderId="2" xfId="0" applyFont="1" applyFill="1" applyBorder="1" applyAlignment="1" applyProtection="1">
      <alignment horizontal="center"/>
    </xf>
    <xf numFmtId="0" fontId="2" fillId="9" borderId="11" xfId="0" applyFont="1" applyFill="1" applyBorder="1" applyAlignment="1" applyProtection="1">
      <alignment horizontal="center"/>
    </xf>
    <xf numFmtId="0" fontId="0" fillId="9" borderId="13" xfId="0" applyFill="1" applyBorder="1" applyAlignment="1" applyProtection="1">
      <alignment horizontal="center"/>
    </xf>
    <xf numFmtId="0" fontId="0" fillId="9" borderId="15" xfId="0" applyFill="1" applyBorder="1" applyAlignment="1" applyProtection="1">
      <alignment horizontal="center"/>
    </xf>
    <xf numFmtId="0" fontId="2" fillId="9" borderId="3" xfId="0" applyFont="1" applyFill="1" applyBorder="1" applyAlignment="1" applyProtection="1">
      <alignment horizontal="center"/>
    </xf>
    <xf numFmtId="0" fontId="2" fillId="9" borderId="5" xfId="0" applyFont="1" applyFill="1" applyBorder="1" applyAlignment="1" applyProtection="1">
      <alignment horizontal="center"/>
    </xf>
    <xf numFmtId="0" fontId="2" fillId="9" borderId="6" xfId="0" applyFont="1" applyFill="1" applyBorder="1" applyAlignment="1" applyProtection="1">
      <alignment horizontal="center"/>
    </xf>
    <xf numFmtId="0" fontId="2" fillId="9" borderId="7" xfId="0" applyFont="1" applyFill="1" applyBorder="1" applyAlignment="1" applyProtection="1">
      <alignment horizontal="center"/>
    </xf>
    <xf numFmtId="0" fontId="2" fillId="9" borderId="2" xfId="0" applyFont="1" applyFill="1" applyBorder="1" applyAlignment="1" applyProtection="1">
      <alignment horizontal="center" wrapText="1"/>
    </xf>
    <xf numFmtId="0" fontId="2" fillId="9" borderId="12" xfId="0" applyFont="1" applyFill="1" applyBorder="1" applyAlignment="1" applyProtection="1">
      <alignment horizontal="center" wrapText="1"/>
    </xf>
    <xf numFmtId="0" fontId="11" fillId="9" borderId="13" xfId="0" applyFont="1" applyFill="1" applyBorder="1" applyAlignment="1" applyProtection="1">
      <alignment horizontal="center" vertical="top"/>
    </xf>
    <xf numFmtId="0" fontId="11" fillId="9" borderId="14" xfId="0" applyFont="1" applyFill="1" applyBorder="1" applyAlignment="1" applyProtection="1">
      <alignment horizontal="center" vertical="top"/>
    </xf>
    <xf numFmtId="0" fontId="11" fillId="9" borderId="15" xfId="0" applyFont="1" applyFill="1" applyBorder="1" applyAlignment="1" applyProtection="1">
      <alignment horizontal="center" vertical="top"/>
    </xf>
    <xf numFmtId="0" fontId="2" fillId="9" borderId="2" xfId="0" applyFont="1" applyFill="1" applyBorder="1" applyAlignment="1" applyProtection="1">
      <alignment horizontal="center" vertical="top" wrapText="1"/>
    </xf>
    <xf numFmtId="0" fontId="2" fillId="9" borderId="12" xfId="0" applyFont="1" applyFill="1" applyBorder="1" applyAlignment="1" applyProtection="1">
      <alignment horizontal="center" vertical="top" wrapText="1"/>
    </xf>
    <xf numFmtId="0" fontId="2" fillId="9" borderId="2" xfId="0" applyFont="1" applyFill="1" applyBorder="1" applyAlignment="1" applyProtection="1">
      <alignment horizontal="center" vertical="top"/>
    </xf>
    <xf numFmtId="0" fontId="2" fillId="9" borderId="11" xfId="0" applyFont="1" applyFill="1" applyBorder="1" applyAlignment="1" applyProtection="1">
      <alignment horizontal="center" vertical="top"/>
    </xf>
    <xf numFmtId="167" fontId="2" fillId="9" borderId="13" xfId="1" applyNumberFormat="1" applyFont="1" applyFill="1" applyBorder="1" applyAlignment="1" applyProtection="1">
      <alignment horizontal="center"/>
    </xf>
    <xf numFmtId="167" fontId="2" fillId="9" borderId="15" xfId="1" applyNumberFormat="1" applyFont="1" applyFill="1" applyBorder="1" applyAlignment="1" applyProtection="1">
      <alignment horizontal="center"/>
    </xf>
    <xf numFmtId="0" fontId="2" fillId="3" borderId="13" xfId="0" applyFont="1" applyFill="1" applyBorder="1" applyAlignment="1" applyProtection="1"/>
    <xf numFmtId="0" fontId="2" fillId="3" borderId="15" xfId="0" applyFont="1" applyFill="1" applyBorder="1" applyAlignment="1" applyProtection="1"/>
    <xf numFmtId="0" fontId="2" fillId="9" borderId="13" xfId="0" applyFont="1" applyFill="1" applyBorder="1" applyAlignment="1" applyProtection="1">
      <alignment horizontal="center"/>
    </xf>
    <xf numFmtId="0" fontId="2" fillId="9" borderId="15" xfId="0" applyFont="1" applyFill="1" applyBorder="1" applyAlignment="1" applyProtection="1">
      <alignment horizontal="center"/>
    </xf>
    <xf numFmtId="0" fontId="2" fillId="9" borderId="3" xfId="0" applyFont="1" applyFill="1" applyBorder="1" applyAlignment="1" applyProtection="1">
      <alignment horizontal="center" vertical="top"/>
    </xf>
    <xf numFmtId="0" fontId="2" fillId="9" borderId="5" xfId="0" applyFont="1" applyFill="1" applyBorder="1" applyAlignment="1" applyProtection="1">
      <alignment horizontal="center" vertical="top"/>
    </xf>
    <xf numFmtId="0" fontId="2" fillId="9" borderId="8" xfId="0" applyFont="1" applyFill="1" applyBorder="1" applyAlignment="1" applyProtection="1">
      <alignment horizontal="center" vertical="top"/>
    </xf>
    <xf numFmtId="0" fontId="2" fillId="9" borderId="10" xfId="0" applyFont="1" applyFill="1" applyBorder="1" applyAlignment="1" applyProtection="1">
      <alignment horizontal="center" vertical="top"/>
    </xf>
    <xf numFmtId="167" fontId="2" fillId="9" borderId="14" xfId="1" applyNumberFormat="1" applyFont="1" applyFill="1" applyBorder="1" applyAlignment="1" applyProtection="1">
      <alignment horizontal="center"/>
    </xf>
    <xf numFmtId="0" fontId="24" fillId="9" borderId="8" xfId="0" applyFont="1" applyFill="1" applyBorder="1" applyAlignment="1">
      <alignment horizontal="center"/>
    </xf>
    <xf numFmtId="0" fontId="24" fillId="9" borderId="9" xfId="0" applyFont="1" applyFill="1" applyBorder="1" applyAlignment="1">
      <alignment horizontal="center"/>
    </xf>
    <xf numFmtId="0" fontId="24" fillId="9" borderId="13" xfId="0" applyFont="1" applyFill="1" applyBorder="1" applyAlignment="1">
      <alignment horizontal="center"/>
    </xf>
    <xf numFmtId="0" fontId="24" fillId="9" borderId="14" xfId="0" applyFont="1" applyFill="1" applyBorder="1" applyAlignment="1">
      <alignment horizontal="center"/>
    </xf>
    <xf numFmtId="0" fontId="24" fillId="9" borderId="15" xfId="0" applyFont="1" applyFill="1" applyBorder="1" applyAlignment="1">
      <alignment horizontal="center"/>
    </xf>
    <xf numFmtId="0" fontId="2" fillId="9" borderId="13" xfId="0" applyFont="1" applyFill="1" applyBorder="1" applyAlignment="1">
      <alignment horizontal="left"/>
    </xf>
    <xf numFmtId="0" fontId="2" fillId="9" borderId="14" xfId="0" applyFont="1" applyFill="1" applyBorder="1" applyAlignment="1">
      <alignment horizontal="left"/>
    </xf>
    <xf numFmtId="0" fontId="2" fillId="9" borderId="15" xfId="0" applyFont="1" applyFill="1" applyBorder="1" applyAlignment="1">
      <alignment horizontal="left"/>
    </xf>
    <xf numFmtId="0" fontId="24" fillId="12" borderId="3" xfId="0" applyFont="1" applyFill="1" applyBorder="1" applyAlignment="1" applyProtection="1">
      <alignment horizontal="center"/>
    </xf>
    <xf numFmtId="0" fontId="24" fillId="12" borderId="4" xfId="0" applyFont="1" applyFill="1" applyBorder="1" applyAlignment="1" applyProtection="1">
      <alignment horizontal="center"/>
    </xf>
    <xf numFmtId="0" fontId="24" fillId="12" borderId="5" xfId="0" applyFont="1" applyFill="1" applyBorder="1" applyAlignment="1" applyProtection="1">
      <alignment horizontal="center"/>
    </xf>
    <xf numFmtId="0" fontId="11" fillId="0" borderId="3" xfId="0" applyFont="1" applyFill="1" applyBorder="1" applyAlignment="1" applyProtection="1">
      <alignment horizontal="center"/>
      <protection locked="0"/>
    </xf>
    <xf numFmtId="0" fontId="11" fillId="0" borderId="4" xfId="0" applyFont="1" applyFill="1" applyBorder="1" applyAlignment="1" applyProtection="1">
      <alignment horizontal="center"/>
      <protection locked="0"/>
    </xf>
    <xf numFmtId="0" fontId="11" fillId="0" borderId="5" xfId="0" applyFont="1" applyFill="1" applyBorder="1" applyAlignment="1" applyProtection="1">
      <alignment horizontal="center"/>
      <protection locked="0"/>
    </xf>
    <xf numFmtId="0" fontId="24" fillId="12" borderId="9" xfId="0" applyFont="1" applyFill="1" applyBorder="1" applyAlignment="1" applyProtection="1">
      <alignment horizontal="center"/>
    </xf>
    <xf numFmtId="0" fontId="24" fillId="13" borderId="3" xfId="0" applyFont="1" applyFill="1" applyBorder="1" applyAlignment="1" applyProtection="1">
      <alignment horizontal="center"/>
    </xf>
    <xf numFmtId="0" fontId="24" fillId="13" borderId="5" xfId="0" applyFont="1" applyFill="1" applyBorder="1" applyAlignment="1" applyProtection="1">
      <alignment horizontal="center"/>
    </xf>
    <xf numFmtId="0" fontId="24" fillId="13" borderId="13" xfId="0" applyFont="1" applyFill="1" applyBorder="1" applyAlignment="1" applyProtection="1">
      <alignment horizontal="center"/>
    </xf>
    <xf numFmtId="0" fontId="24" fillId="13" borderId="15" xfId="0" applyFont="1" applyFill="1" applyBorder="1" applyAlignment="1" applyProtection="1">
      <alignment horizontal="center"/>
    </xf>
    <xf numFmtId="0" fontId="2" fillId="0" borderId="1" xfId="0" applyFont="1" applyBorder="1" applyAlignment="1">
      <alignment horizontal="center" vertical="center"/>
    </xf>
    <xf numFmtId="0" fontId="2" fillId="8"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8" borderId="2" xfId="0" applyFont="1" applyFill="1" applyBorder="1" applyAlignment="1">
      <alignment horizontal="center"/>
    </xf>
    <xf numFmtId="0" fontId="2" fillId="8" borderId="12" xfId="0" applyFont="1" applyFill="1" applyBorder="1" applyAlignment="1">
      <alignment horizontal="center"/>
    </xf>
    <xf numFmtId="0" fontId="2" fillId="0" borderId="13" xfId="0" applyFont="1" applyBorder="1" applyAlignment="1">
      <alignment horizontal="center" vertical="center"/>
    </xf>
    <xf numFmtId="0" fontId="2" fillId="0" borderId="15" xfId="0" applyFont="1" applyBorder="1" applyAlignment="1">
      <alignment horizontal="center" vertical="center"/>
    </xf>
    <xf numFmtId="0" fontId="24" fillId="11" borderId="0" xfId="0" applyFont="1" applyFill="1" applyAlignment="1">
      <alignment horizontal="left"/>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6" xfId="0" applyFont="1" applyBorder="1" applyAlignment="1">
      <alignment horizontal="center"/>
    </xf>
    <xf numFmtId="0" fontId="18" fillId="0" borderId="0" xfId="0" applyFont="1" applyBorder="1" applyAlignment="1">
      <alignment horizontal="center"/>
    </xf>
    <xf numFmtId="0" fontId="18" fillId="0" borderId="7" xfId="0" applyFont="1" applyBorder="1" applyAlignment="1">
      <alignment horizontal="center"/>
    </xf>
    <xf numFmtId="0" fontId="18" fillId="0" borderId="8" xfId="0" applyFont="1" applyBorder="1" applyAlignment="1">
      <alignment horizontal="center"/>
    </xf>
    <xf numFmtId="0" fontId="18" fillId="0" borderId="9" xfId="0" applyFont="1" applyBorder="1" applyAlignment="1">
      <alignment horizontal="center"/>
    </xf>
    <xf numFmtId="0" fontId="18" fillId="0" borderId="10" xfId="0" applyFont="1" applyBorder="1" applyAlignment="1">
      <alignment horizontal="center"/>
    </xf>
    <xf numFmtId="0" fontId="8" fillId="0" borderId="1" xfId="10" applyFont="1" applyFill="1" applyBorder="1" applyAlignment="1">
      <alignment horizontal="center"/>
    </xf>
    <xf numFmtId="0" fontId="20" fillId="0" borderId="1" xfId="10" applyFont="1" applyFill="1" applyBorder="1" applyAlignment="1">
      <alignment horizontal="center"/>
    </xf>
    <xf numFmtId="0" fontId="19" fillId="0" borderId="1" xfId="10" applyFont="1" applyFill="1" applyBorder="1" applyAlignment="1">
      <alignment horizontal="center" wrapText="1"/>
    </xf>
    <xf numFmtId="0" fontId="23" fillId="0" borderId="1" xfId="10" applyFont="1" applyBorder="1" applyAlignment="1">
      <alignment horizontal="center"/>
    </xf>
  </cellXfs>
  <cellStyles count="1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9" builtinId="9" hidden="1"/>
    <cellStyle name="Hyperlink" xfId="8" builtinId="8" hidden="1"/>
    <cellStyle name="Normal" xfId="0" builtinId="0"/>
    <cellStyle name="Normal 2" xfId="10"/>
    <cellStyle name="Percent" xfId="2" builtinId="5"/>
  </cellStyles>
  <dxfs count="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FFCC66"/>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123824</xdr:colOff>
      <xdr:row>0</xdr:row>
      <xdr:rowOff>161925</xdr:rowOff>
    </xdr:from>
    <xdr:to>
      <xdr:col>9</xdr:col>
      <xdr:colOff>69850</xdr:colOff>
      <xdr:row>36</xdr:row>
      <xdr:rowOff>158750</xdr:rowOff>
    </xdr:to>
    <xdr:sp macro="" textlink="">
      <xdr:nvSpPr>
        <xdr:cNvPr id="2" name="TextBox 1"/>
        <xdr:cNvSpPr txBox="1"/>
      </xdr:nvSpPr>
      <xdr:spPr>
        <a:xfrm>
          <a:off x="123824" y="161925"/>
          <a:ext cx="11452226" cy="6854825"/>
        </a:xfrm>
        <a:prstGeom prst="rect">
          <a:avLst/>
        </a:prstGeom>
        <a:solidFill>
          <a:schemeClr val="bg2">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100" b="1">
              <a:solidFill>
                <a:schemeClr val="dk1"/>
              </a:solidFill>
              <a:effectLst/>
              <a:latin typeface="+mn-lt"/>
              <a:ea typeface="+mn-ea"/>
              <a:cs typeface="+mn-cs"/>
            </a:rPr>
            <a:t>Faecal Sludge Emptying and Transportation Modelling</a:t>
          </a:r>
          <a:r>
            <a:rPr lang="en-GB" sz="1100" b="1" baseline="0">
              <a:solidFill>
                <a:schemeClr val="dk1"/>
              </a:solidFill>
              <a:effectLst/>
              <a:latin typeface="+mn-lt"/>
              <a:ea typeface="+mn-ea"/>
              <a:cs typeface="+mn-cs"/>
            </a:rPr>
            <a:t> Tool</a:t>
          </a:r>
          <a:endParaRPr lang="en-US">
            <a:effectLst/>
          </a:endParaRPr>
        </a:p>
        <a:p>
          <a:r>
            <a:rPr lang="en-GB" sz="1100">
              <a:solidFill>
                <a:schemeClr val="dk1"/>
              </a:solidFill>
              <a:effectLst/>
              <a:latin typeface="+mn-lt"/>
              <a:ea typeface="+mn-ea"/>
              <a:cs typeface="+mn-cs"/>
            </a:rPr>
            <a:t>UNIT: CALCULATION OF EMPTYING AND TRANSPORT COSTS FOR PIT LATRINES </a:t>
          </a:r>
        </a:p>
        <a:p>
          <a:r>
            <a:rPr lang="en-GB" sz="1100">
              <a:solidFill>
                <a:schemeClr val="dk1"/>
              </a:solidFill>
              <a:effectLst/>
              <a:latin typeface="+mn-lt"/>
              <a:ea typeface="+mn-ea"/>
              <a:cs typeface="+mn-cs"/>
            </a:rPr>
            <a:t>Bhaluka Upazila, Mymensingh</a:t>
          </a:r>
          <a:r>
            <a:rPr lang="en-GB" sz="1100" baseline="0">
              <a:solidFill>
                <a:schemeClr val="dk1"/>
              </a:solidFill>
              <a:effectLst/>
              <a:latin typeface="+mn-lt"/>
              <a:ea typeface="+mn-ea"/>
              <a:cs typeface="+mn-cs"/>
            </a:rPr>
            <a:t> Zila, Dhaka Division, Bangladesh</a:t>
          </a:r>
          <a:endParaRPr lang="en-US">
            <a:effectLst/>
          </a:endParaRPr>
        </a:p>
        <a:p>
          <a:r>
            <a:rPr lang="en-GB" sz="1100" b="1">
              <a:solidFill>
                <a:schemeClr val="dk1"/>
              </a:solidFill>
              <a:effectLst/>
              <a:latin typeface="+mn-lt"/>
              <a:ea typeface="+mn-ea"/>
              <a:cs typeface="+mn-cs"/>
            </a:rPr>
            <a:t>© University of Leeds, IWMI. </a:t>
          </a:r>
          <a:endParaRPr lang="en-US">
            <a:effectLst/>
          </a:endParaRPr>
        </a:p>
        <a:p>
          <a:r>
            <a:rPr lang="en-GB" sz="1100" b="1">
              <a:solidFill>
                <a:schemeClr val="dk1"/>
              </a:solidFill>
              <a:effectLst/>
              <a:latin typeface="+mn-lt"/>
              <a:ea typeface="+mn-ea"/>
              <a:cs typeface="+mn-cs"/>
            </a:rPr>
            <a:t>Authors:</a:t>
          </a:r>
          <a:r>
            <a:rPr lang="en-GB" sz="1100" b="1" baseline="0">
              <a:solidFill>
                <a:schemeClr val="dk1"/>
              </a:solidFill>
              <a:effectLst/>
              <a:latin typeface="+mn-lt"/>
              <a:ea typeface="+mn-ea"/>
              <a:cs typeface="+mn-cs"/>
            </a:rPr>
            <a:t> Barbara Evans, Soumya Balasubramanya and Richard Hardy</a:t>
          </a:r>
          <a:endParaRPr lang="en-US">
            <a:effectLst/>
          </a:endParaRPr>
        </a:p>
        <a:p>
          <a:r>
            <a:rPr lang="en-GB" sz="1100">
              <a:solidFill>
                <a:schemeClr val="dk1"/>
              </a:solidFill>
              <a:effectLst/>
              <a:latin typeface="+mn-lt"/>
              <a:ea typeface="+mn-ea"/>
              <a:cs typeface="+mn-cs"/>
            </a:rPr>
            <a:t> </a:t>
          </a:r>
          <a:endParaRPr lang="en-US">
            <a:effectLst/>
          </a:endParaRPr>
        </a:p>
        <a:p>
          <a:r>
            <a:rPr lang="en-GB" sz="1100">
              <a:solidFill>
                <a:schemeClr val="dk1"/>
              </a:solidFill>
              <a:effectLst/>
              <a:latin typeface="+mn-lt"/>
              <a:ea typeface="+mn-ea"/>
              <a:cs typeface="+mn-cs"/>
            </a:rPr>
            <a:t>The purpose of this tool is to enable city planners to select appropriate equipment to service the pit latrines in their city or town.  The module estimates the numbers of units of various types that would be needed to cover the total demand for pit emptying and transportation.</a:t>
          </a:r>
          <a:endParaRPr lang="en-US">
            <a:effectLst/>
          </a:endParaRP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model assesses two forms of Emptying</a:t>
          </a:r>
          <a:r>
            <a:rPr lang="en-GB" sz="1100" baseline="0">
              <a:solidFill>
                <a:schemeClr val="dk1"/>
              </a:solidFill>
              <a:effectLst/>
              <a:latin typeface="+mn-lt"/>
              <a:ea typeface="+mn-ea"/>
              <a:cs typeface="+mn-cs"/>
            </a:rPr>
            <a:t>, (by hand and by using a diaphragm pump) and Transportation (using trucks and using trucks and tankers combined).  </a:t>
          </a:r>
          <a:endParaRPr lang="en-GB" sz="1100">
            <a:solidFill>
              <a:schemeClr val="dk1"/>
            </a:solidFill>
            <a:effectLst/>
            <a:latin typeface="+mn-lt"/>
            <a:ea typeface="+mn-ea"/>
            <a:cs typeface="+mn-cs"/>
          </a:endParaRPr>
        </a:p>
        <a:p>
          <a:endParaRPr lang="en-US">
            <a:effectLst/>
          </a:endParaRPr>
        </a:p>
        <a:p>
          <a:r>
            <a:rPr lang="en-GB" sz="1100">
              <a:solidFill>
                <a:schemeClr val="dk1"/>
              </a:solidFill>
              <a:effectLst/>
              <a:latin typeface="+mn-lt"/>
              <a:ea typeface="+mn-ea"/>
              <a:cs typeface="+mn-cs"/>
            </a:rPr>
            <a:t>PLEASE NOTE:  </a:t>
          </a:r>
          <a:r>
            <a:rPr lang="en-GB" sz="1100" b="1">
              <a:solidFill>
                <a:schemeClr val="dk1"/>
              </a:solidFill>
              <a:effectLst/>
              <a:latin typeface="+mn-lt"/>
              <a:ea typeface="+mn-ea"/>
              <a:cs typeface="+mn-cs"/>
            </a:rPr>
            <a:t>This planning tool should NOT be used for detailed costing and design purposes.  It provides estimates of the types and numbers of units required and the annual capital and operational costs associated with each option.  Users may need to estimate some key data required by the tool and should be aware that the results are only indicative and dependent on the quality of the data input.</a:t>
          </a:r>
          <a:endParaRPr lang="en-US">
            <a:effectLst/>
          </a:endParaRPr>
        </a:p>
        <a:p>
          <a:r>
            <a:rPr lang="en-GB" sz="1100" b="1">
              <a:solidFill>
                <a:schemeClr val="dk1"/>
              </a:solidFill>
              <a:effectLst/>
              <a:latin typeface="+mn-lt"/>
              <a:ea typeface="+mn-ea"/>
              <a:cs typeface="+mn-cs"/>
            </a:rPr>
            <a:t> </a:t>
          </a:r>
          <a:endParaRPr lang="en-US">
            <a:effectLst/>
          </a:endParaRPr>
        </a:p>
        <a:p>
          <a:r>
            <a:rPr lang="en-GB" sz="1100" b="1">
              <a:solidFill>
                <a:schemeClr val="dk1"/>
              </a:solidFill>
              <a:effectLst/>
              <a:latin typeface="+mn-lt"/>
              <a:ea typeface="+mn-ea"/>
              <a:cs typeface="+mn-cs"/>
            </a:rPr>
            <a:t>GETTING</a:t>
          </a:r>
          <a:r>
            <a:rPr lang="en-GB" sz="1100" b="1" baseline="0">
              <a:solidFill>
                <a:schemeClr val="dk1"/>
              </a:solidFill>
              <a:effectLst/>
              <a:latin typeface="+mn-lt"/>
              <a:ea typeface="+mn-ea"/>
              <a:cs typeface="+mn-cs"/>
            </a:rPr>
            <a:t> STARTED:  </a:t>
          </a:r>
          <a:r>
            <a:rPr lang="en-GB" sz="1100" b="0" baseline="0">
              <a:solidFill>
                <a:schemeClr val="dk1"/>
              </a:solidFill>
              <a:effectLst/>
              <a:latin typeface="+mn-lt"/>
              <a:ea typeface="+mn-ea"/>
              <a:cs typeface="+mn-cs"/>
            </a:rPr>
            <a:t> this tool is divided into 4 sections, </a:t>
          </a:r>
          <a:r>
            <a:rPr lang="en-GB" sz="1100" b="1">
              <a:solidFill>
                <a:srgbClr val="FFC000"/>
              </a:solidFill>
              <a:effectLst/>
              <a:latin typeface="+mn-lt"/>
              <a:ea typeface="+mn-ea"/>
              <a:cs typeface="+mn-cs"/>
            </a:rPr>
            <a:t>Results, </a:t>
          </a:r>
          <a:r>
            <a:rPr lang="en-GB" sz="1100" b="1">
              <a:solidFill>
                <a:srgbClr val="00B0F0"/>
              </a:solidFill>
              <a:effectLst/>
              <a:latin typeface="+mn-lt"/>
              <a:ea typeface="+mn-ea"/>
              <a:cs typeface="+mn-cs"/>
            </a:rPr>
            <a:t>Input Data, </a:t>
          </a:r>
          <a:r>
            <a:rPr lang="en-GB" sz="1100" b="1">
              <a:solidFill>
                <a:srgbClr val="FFFF00"/>
              </a:solidFill>
              <a:effectLst/>
              <a:latin typeface="+mn-lt"/>
              <a:ea typeface="+mn-ea"/>
              <a:cs typeface="+mn-cs"/>
            </a:rPr>
            <a:t>Calculations,</a:t>
          </a:r>
          <a:r>
            <a:rPr lang="en-GB" sz="1100" b="1" baseline="0">
              <a:solidFill>
                <a:srgbClr val="FFFF00"/>
              </a:solidFill>
              <a:effectLst/>
              <a:latin typeface="+mn-lt"/>
              <a:ea typeface="+mn-ea"/>
              <a:cs typeface="+mn-cs"/>
            </a:rPr>
            <a:t> </a:t>
          </a:r>
          <a:r>
            <a:rPr lang="en-GB" sz="1100" b="1">
              <a:solidFill>
                <a:srgbClr val="00B050"/>
              </a:solidFill>
              <a:effectLst/>
              <a:latin typeface="+mn-lt"/>
              <a:ea typeface="+mn-ea"/>
              <a:cs typeface="+mn-cs"/>
            </a:rPr>
            <a:t>Data,</a:t>
          </a:r>
          <a:r>
            <a:rPr lang="en-GB" sz="1100" b="1" baseline="0">
              <a:solidFill>
                <a:srgbClr val="00B050"/>
              </a:solidFill>
              <a:effectLst/>
              <a:latin typeface="+mn-lt"/>
              <a:ea typeface="+mn-ea"/>
              <a:cs typeface="+mn-cs"/>
            </a:rPr>
            <a:t> </a:t>
          </a:r>
          <a:r>
            <a:rPr lang="en-GB" sz="1100" b="0" baseline="0">
              <a:solidFill>
                <a:schemeClr val="dk1"/>
              </a:solidFill>
              <a:effectLst/>
              <a:latin typeface="+mn-lt"/>
              <a:ea typeface="+mn-ea"/>
              <a:cs typeface="+mn-cs"/>
            </a:rPr>
            <a:t>which should be addressed in the following order: </a:t>
          </a:r>
        </a:p>
        <a:p>
          <a:pPr marL="0" marR="0" indent="0" defTabSz="914400" eaLnBrk="1" fontAlgn="auto" latinLnBrk="0" hangingPunct="1">
            <a:lnSpc>
              <a:spcPct val="100000"/>
            </a:lnSpc>
            <a:spcBef>
              <a:spcPts val="0"/>
            </a:spcBef>
            <a:spcAft>
              <a:spcPts val="0"/>
            </a:spcAft>
            <a:buClrTx/>
            <a:buSzTx/>
            <a:buFontTx/>
            <a:buNone/>
            <a:tabLst/>
            <a:defRPr/>
          </a:pPr>
          <a:r>
            <a:rPr lang="en-GB" sz="1100">
              <a:solidFill>
                <a:srgbClr val="00B050"/>
              </a:solidFill>
              <a:effectLst/>
              <a:latin typeface="+mn-lt"/>
              <a:ea typeface="+mn-ea"/>
              <a:cs typeface="+mn-cs"/>
            </a:rPr>
            <a:t>Data </a:t>
          </a:r>
          <a:endParaRPr lang="en-US">
            <a:solidFill>
              <a:srgbClr val="00B050"/>
            </a:solidFill>
            <a:effectLst/>
          </a:endParaRPr>
        </a:p>
        <a:p>
          <a:r>
            <a:rPr lang="en-GB" sz="1100" b="0" baseline="0">
              <a:solidFill>
                <a:schemeClr val="dk1"/>
              </a:solidFill>
              <a:effectLst/>
              <a:latin typeface="+mn-lt"/>
              <a:ea typeface="+mn-ea"/>
              <a:cs typeface="+mn-cs"/>
            </a:rPr>
            <a:t>Relevent Census Data and Transport Distance Data (from digitial mapping data) are input for the region as shown in the respective sheet. This data inlcudes: Travel Distance, Population, Households, Household Size and Toilet Facility. This data is processed into averages for use in the tool. Where preferred this data can be input in </a:t>
          </a:r>
          <a:r>
            <a:rPr lang="en-GB" sz="1100" b="1" baseline="0">
              <a:solidFill>
                <a:srgbClr val="00B0F0"/>
              </a:solidFill>
              <a:effectLst/>
              <a:latin typeface="+mn-lt"/>
              <a:ea typeface="+mn-ea"/>
              <a:cs typeface="+mn-cs"/>
            </a:rPr>
            <a:t>Input Data </a:t>
          </a:r>
          <a:r>
            <a:rPr lang="en-GB" sz="1100" b="0" baseline="0">
              <a:solidFill>
                <a:schemeClr val="dk1"/>
              </a:solidFill>
              <a:effectLst/>
              <a:latin typeface="+mn-lt"/>
              <a:ea typeface="+mn-ea"/>
              <a:cs typeface="+mn-cs"/>
            </a:rPr>
            <a:t>via the Override tabs. </a:t>
          </a:r>
        </a:p>
        <a:p>
          <a:endParaRPr lang="en-GB" sz="1100" b="1" baseline="0">
            <a:solidFill>
              <a:srgbClr val="00B0F0"/>
            </a:solidFill>
            <a:effectLst/>
            <a:latin typeface="+mn-lt"/>
            <a:ea typeface="+mn-ea"/>
            <a:cs typeface="+mn-cs"/>
          </a:endParaRPr>
        </a:p>
        <a:p>
          <a:r>
            <a:rPr lang="en-GB" sz="1100" b="1" baseline="0">
              <a:solidFill>
                <a:srgbClr val="00B0F0"/>
              </a:solidFill>
              <a:effectLst/>
              <a:latin typeface="+mn-lt"/>
              <a:ea typeface="+mn-ea"/>
              <a:cs typeface="+mn-cs"/>
            </a:rPr>
            <a:t>Input Data</a:t>
          </a:r>
          <a:r>
            <a:rPr lang="en-GB" sz="1100" b="1" baseline="0">
              <a:solidFill>
                <a:schemeClr val="dk1"/>
              </a:solidFill>
              <a:effectLst/>
              <a:latin typeface="+mn-lt"/>
              <a:ea typeface="+mn-ea"/>
              <a:cs typeface="+mn-cs"/>
            </a:rPr>
            <a:t> </a:t>
          </a:r>
        </a:p>
        <a:p>
          <a:r>
            <a:rPr lang="en-GB" sz="1100" b="0" baseline="0">
              <a:solidFill>
                <a:schemeClr val="dk1"/>
              </a:solidFill>
              <a:effectLst/>
              <a:latin typeface="+mn-lt"/>
              <a:ea typeface="+mn-ea"/>
              <a:cs typeface="+mn-cs"/>
            </a:rPr>
            <a:t>Summarises key input data from the Census and Transport information. The user may change any of these values using the "Override" tab. Key Economic data has been defined based on assumptions for the region, however these values may also be changed using the "Override" tab. N.B. Should the user wish to remove the "Override" value this can simply be deleted from the tab and the tool will revert back to it's original value.</a:t>
          </a:r>
        </a:p>
        <a:p>
          <a:pPr marL="0" marR="0" indent="0" defTabSz="914400" eaLnBrk="1" fontAlgn="auto" latinLnBrk="0" hangingPunct="1">
            <a:lnSpc>
              <a:spcPct val="100000"/>
            </a:lnSpc>
            <a:spcBef>
              <a:spcPts val="0"/>
            </a:spcBef>
            <a:spcAft>
              <a:spcPts val="0"/>
            </a:spcAft>
            <a:buClrTx/>
            <a:buSzTx/>
            <a:buFontTx/>
            <a:buNone/>
            <a:tabLst/>
            <a:defRPr/>
          </a:pPr>
          <a:r>
            <a:rPr lang="en-GB" sz="1100" b="1" baseline="0">
              <a:solidFill>
                <a:srgbClr val="00B0F0"/>
              </a:solidFill>
              <a:effectLst/>
              <a:latin typeface="+mn-lt"/>
              <a:ea typeface="+mn-ea"/>
              <a:cs typeface="+mn-cs"/>
            </a:rPr>
            <a:t>Input Data </a:t>
          </a:r>
          <a:r>
            <a:rPr lang="en-GB" sz="1100" b="0" baseline="0">
              <a:solidFill>
                <a:schemeClr val="dk1"/>
              </a:solidFill>
              <a:effectLst/>
              <a:latin typeface="+mn-lt"/>
              <a:ea typeface="+mn-ea"/>
              <a:cs typeface="+mn-cs"/>
            </a:rPr>
            <a:t>A summary of data from the Census and Travel Distance inputs. Should the use wish these values can be overriden in this tab. </a:t>
          </a:r>
        </a:p>
        <a:p>
          <a:pPr marL="0" marR="0" indent="0" defTabSz="914400" eaLnBrk="1" fontAlgn="auto" latinLnBrk="0" hangingPunct="1">
            <a:lnSpc>
              <a:spcPct val="100000"/>
            </a:lnSpc>
            <a:spcBef>
              <a:spcPts val="0"/>
            </a:spcBef>
            <a:spcAft>
              <a:spcPts val="0"/>
            </a:spcAft>
            <a:buClrTx/>
            <a:buSzTx/>
            <a:buFontTx/>
            <a:buNone/>
            <a:tabLst/>
            <a:defRPr/>
          </a:pPr>
          <a:r>
            <a:rPr lang="en-GB" sz="1100" b="1" baseline="0">
              <a:solidFill>
                <a:srgbClr val="00B0F0"/>
              </a:solidFill>
              <a:effectLst/>
              <a:latin typeface="+mn-lt"/>
              <a:ea typeface="+mn-ea"/>
              <a:cs typeface="+mn-cs"/>
            </a:rPr>
            <a:t>(Sanitation) </a:t>
          </a:r>
          <a:r>
            <a:rPr lang="en-GB" sz="1100" b="0" baseline="0">
              <a:solidFill>
                <a:schemeClr val="dk1"/>
              </a:solidFill>
              <a:effectLst/>
              <a:latin typeface="+mn-lt"/>
              <a:ea typeface="+mn-ea"/>
              <a:cs typeface="+mn-cs"/>
            </a:rPr>
            <a:t>Key input data for Sanitation, this information is based on survey undertaken in the study area and estimates based on previous studies. The user may enter desired values in this section. </a:t>
          </a:r>
        </a:p>
        <a:p>
          <a:pPr marL="0" marR="0" indent="0" defTabSz="914400" eaLnBrk="1" fontAlgn="auto" latinLnBrk="0" hangingPunct="1">
            <a:lnSpc>
              <a:spcPct val="100000"/>
            </a:lnSpc>
            <a:spcBef>
              <a:spcPts val="0"/>
            </a:spcBef>
            <a:spcAft>
              <a:spcPts val="0"/>
            </a:spcAft>
            <a:buClrTx/>
            <a:buSzTx/>
            <a:buFontTx/>
            <a:buNone/>
            <a:tabLst/>
            <a:defRPr/>
          </a:pPr>
          <a:r>
            <a:rPr lang="en-GB" sz="1100" b="1" baseline="0">
              <a:solidFill>
                <a:srgbClr val="00B0F0"/>
              </a:solidFill>
              <a:effectLst/>
              <a:latin typeface="+mn-lt"/>
              <a:ea typeface="+mn-ea"/>
              <a:cs typeface="+mn-cs"/>
            </a:rPr>
            <a:t>(Emptying) </a:t>
          </a:r>
          <a:r>
            <a:rPr lang="en-GB" sz="1100" b="0" baseline="0">
              <a:solidFill>
                <a:schemeClr val="dk1"/>
              </a:solidFill>
              <a:effectLst/>
              <a:latin typeface="+mn-lt"/>
              <a:ea typeface="+mn-ea"/>
              <a:cs typeface="+mn-cs"/>
            </a:rPr>
            <a:t>Key input data for Emptying, this information is based on survey undertaken in the study area and estimates based on previous studies. The user may enter desired values in this section. </a:t>
          </a:r>
        </a:p>
        <a:p>
          <a:pPr marL="0" marR="0" indent="0" defTabSz="914400" eaLnBrk="1" fontAlgn="auto" latinLnBrk="0" hangingPunct="1">
            <a:lnSpc>
              <a:spcPct val="100000"/>
            </a:lnSpc>
            <a:spcBef>
              <a:spcPts val="0"/>
            </a:spcBef>
            <a:spcAft>
              <a:spcPts val="0"/>
            </a:spcAft>
            <a:buClrTx/>
            <a:buSzTx/>
            <a:buFontTx/>
            <a:buNone/>
            <a:tabLst/>
            <a:defRPr/>
          </a:pPr>
          <a:r>
            <a:rPr lang="en-GB" sz="1100" b="1" baseline="0">
              <a:solidFill>
                <a:srgbClr val="00B0F0"/>
              </a:solidFill>
              <a:effectLst/>
              <a:latin typeface="+mn-lt"/>
              <a:ea typeface="+mn-ea"/>
              <a:cs typeface="+mn-cs"/>
            </a:rPr>
            <a:t>(Transport) </a:t>
          </a:r>
          <a:r>
            <a:rPr lang="en-GB" sz="1100" b="0" baseline="0">
              <a:solidFill>
                <a:schemeClr val="dk1"/>
              </a:solidFill>
              <a:effectLst/>
              <a:latin typeface="+mn-lt"/>
              <a:ea typeface="+mn-ea"/>
              <a:cs typeface="+mn-cs"/>
            </a:rPr>
            <a:t>Key input data for Transport, this information is based on survey undertaken in the study area and estimates based on previous studies. The user may enter desired values in this section. </a:t>
          </a:r>
          <a:endParaRPr lang="en-US">
            <a:effectLst/>
          </a:endParaRPr>
        </a:p>
        <a:p>
          <a:endParaRPr lang="en-GB" sz="1100" b="1">
            <a:solidFill>
              <a:srgbClr val="FFFF00"/>
            </a:solidFill>
            <a:effectLst/>
            <a:latin typeface="+mn-lt"/>
            <a:ea typeface="+mn-ea"/>
            <a:cs typeface="+mn-cs"/>
          </a:endParaRPr>
        </a:p>
        <a:p>
          <a:r>
            <a:rPr lang="en-GB" sz="1100" b="1">
              <a:solidFill>
                <a:srgbClr val="FFFF00"/>
              </a:solidFill>
              <a:effectLst/>
              <a:latin typeface="+mn-lt"/>
              <a:ea typeface="+mn-ea"/>
              <a:cs typeface="+mn-cs"/>
            </a:rPr>
            <a:t>Calculations </a:t>
          </a:r>
          <a:endParaRPr lang="en-US">
            <a:solidFill>
              <a:srgbClr val="FFFF00"/>
            </a:solidFill>
            <a:effectLst/>
          </a:endParaRPr>
        </a:p>
        <a:p>
          <a:r>
            <a:rPr lang="en-GB" sz="1100">
              <a:solidFill>
                <a:schemeClr val="dk1"/>
              </a:solidFill>
              <a:effectLst/>
              <a:latin typeface="+mn-lt"/>
              <a:ea typeface="+mn-ea"/>
              <a:cs typeface="+mn-cs"/>
            </a:rPr>
            <a:t>Information from the </a:t>
          </a:r>
          <a:r>
            <a:rPr lang="en-GB" sz="1100" b="1">
              <a:solidFill>
                <a:schemeClr val="dk1"/>
              </a:solidFill>
              <a:effectLst/>
              <a:latin typeface="+mn-lt"/>
              <a:ea typeface="+mn-ea"/>
              <a:cs typeface="+mn-cs"/>
            </a:rPr>
            <a:t>Data </a:t>
          </a:r>
          <a:r>
            <a:rPr lang="en-GB" sz="1100" b="0">
              <a:solidFill>
                <a:schemeClr val="dk1"/>
              </a:solidFill>
              <a:effectLst/>
              <a:latin typeface="+mn-lt"/>
              <a:ea typeface="+mn-ea"/>
              <a:cs typeface="+mn-cs"/>
            </a:rPr>
            <a:t>and </a:t>
          </a:r>
          <a:r>
            <a:rPr lang="en-GB" sz="1100" b="1" baseline="0">
              <a:solidFill>
                <a:schemeClr val="dk1"/>
              </a:solidFill>
              <a:effectLst/>
              <a:latin typeface="+mn-lt"/>
              <a:ea typeface="+mn-ea"/>
              <a:cs typeface="+mn-cs"/>
            </a:rPr>
            <a:t> Input Data </a:t>
          </a:r>
          <a:r>
            <a:rPr lang="en-GB" sz="1100" b="0" baseline="0">
              <a:solidFill>
                <a:schemeClr val="dk1"/>
              </a:solidFill>
              <a:effectLst/>
              <a:latin typeface="+mn-lt"/>
              <a:ea typeface="+mn-ea"/>
              <a:cs typeface="+mn-cs"/>
            </a:rPr>
            <a:t>sections are used to calculate the relevent values for Sanitation, Emptying  and Transportation which are summarised in the </a:t>
          </a:r>
          <a:r>
            <a:rPr lang="en-GB" sz="1100" b="1" baseline="0">
              <a:solidFill>
                <a:srgbClr val="FFFF00"/>
              </a:solidFill>
              <a:effectLst/>
              <a:latin typeface="+mn-lt"/>
              <a:ea typeface="+mn-ea"/>
              <a:cs typeface="+mn-cs"/>
            </a:rPr>
            <a:t>Calulcations</a:t>
          </a:r>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section. These sheets are summaries only and can not be edited. </a:t>
          </a:r>
        </a:p>
        <a:p>
          <a:endParaRPr lang="en-GB" sz="1100" b="1">
            <a:solidFill>
              <a:srgbClr val="FFC000"/>
            </a:solidFill>
            <a:effectLst/>
            <a:latin typeface="+mn-lt"/>
            <a:ea typeface="+mn-ea"/>
            <a:cs typeface="+mn-cs"/>
          </a:endParaRPr>
        </a:p>
        <a:p>
          <a:r>
            <a:rPr lang="en-GB" sz="1100" b="1">
              <a:solidFill>
                <a:srgbClr val="FFC000"/>
              </a:solidFill>
              <a:effectLst/>
              <a:latin typeface="+mn-lt"/>
              <a:ea typeface="+mn-ea"/>
              <a:cs typeface="+mn-cs"/>
            </a:rPr>
            <a:t>RESULTS</a:t>
          </a:r>
          <a:r>
            <a:rPr lang="en-GB" sz="1100" b="1">
              <a:solidFill>
                <a:schemeClr val="dk1"/>
              </a:solidFill>
              <a:effectLst/>
              <a:latin typeface="+mn-lt"/>
              <a:ea typeface="+mn-ea"/>
              <a:cs typeface="+mn-cs"/>
            </a:rPr>
            <a:t>   </a:t>
          </a:r>
          <a:endParaRPr lang="en-US" b="1">
            <a:effectLst/>
          </a:endParaRPr>
        </a:p>
        <a:p>
          <a:r>
            <a:rPr lang="en-GB" sz="1100">
              <a:solidFill>
                <a:schemeClr val="dk1"/>
              </a:solidFill>
              <a:effectLst/>
              <a:latin typeface="+mn-lt"/>
              <a:ea typeface="+mn-ea"/>
              <a:cs typeface="+mn-cs"/>
            </a:rPr>
            <a:t>The costs, equipment</a:t>
          </a:r>
          <a:r>
            <a:rPr lang="en-GB" sz="1100" baseline="0">
              <a:solidFill>
                <a:schemeClr val="dk1"/>
              </a:solidFill>
              <a:effectLst/>
              <a:latin typeface="+mn-lt"/>
              <a:ea typeface="+mn-ea"/>
              <a:cs typeface="+mn-cs"/>
            </a:rPr>
            <a:t> requirments and labour requirements are summurised with a summary of each combined empyting and transportation method shown. In </a:t>
          </a:r>
          <a:r>
            <a:rPr lang="en-GB" sz="1100" b="1" baseline="0">
              <a:solidFill>
                <a:srgbClr val="FFC000"/>
              </a:solidFill>
              <a:effectLst/>
              <a:latin typeface="+mn-lt"/>
              <a:ea typeface="+mn-ea"/>
              <a:cs typeface="+mn-cs"/>
            </a:rPr>
            <a:t>Results</a:t>
          </a:r>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the user can enter the exchange rate and the % of demand met by this tool. </a:t>
          </a:r>
          <a:endParaRPr lang="en-GB" sz="1100">
            <a:solidFill>
              <a:schemeClr val="dk1"/>
            </a:solidFill>
            <a:effectLst/>
            <a:latin typeface="+mn-lt"/>
            <a:ea typeface="+mn-ea"/>
            <a:cs typeface="+mn-cs"/>
          </a:endParaRPr>
        </a:p>
        <a:p>
          <a:endParaRPr lang="en-GB" sz="1100" b="1">
            <a:solidFill>
              <a:schemeClr val="dk1"/>
            </a:solidFill>
            <a:latin typeface="+mn-lt"/>
            <a:ea typeface="+mn-ea"/>
            <a:cs typeface="+mn-cs"/>
          </a:endParaRPr>
        </a:p>
        <a:p>
          <a:endParaRPr lang="en-GB" sz="1100" b="1">
            <a:solidFill>
              <a:schemeClr val="dk1"/>
            </a:solidFill>
            <a:latin typeface="+mn-lt"/>
            <a:ea typeface="+mn-ea"/>
            <a:cs typeface="+mn-cs"/>
          </a:endParaRPr>
        </a:p>
        <a:p>
          <a:endParaRPr lang="en-GB" sz="1100">
            <a:solidFill>
              <a:schemeClr val="dk1"/>
            </a:solidFill>
            <a:latin typeface="+mn-lt"/>
            <a:ea typeface="+mn-ea"/>
            <a:cs typeface="+mn-cs"/>
          </a:endParaRPr>
        </a:p>
        <a:p>
          <a:endParaRPr lang="en-GB" sz="1100" b="1">
            <a:solidFill>
              <a:schemeClr val="dk1"/>
            </a:solidFill>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zoomScale="150" zoomScaleNormal="150" zoomScalePageLayoutView="150" workbookViewId="0">
      <selection activeCell="J16" sqref="J16"/>
    </sheetView>
  </sheetViews>
  <sheetFormatPr defaultColWidth="8.88671875" defaultRowHeight="14.4"/>
  <cols>
    <col min="1" max="1" width="101.6640625" style="23" customWidth="1"/>
    <col min="2" max="10" width="8.88671875" style="23"/>
  </cols>
  <sheetData/>
  <pageMargins left="0.7" right="0.7" top="0.75" bottom="0.75" header="0.3" footer="0.3"/>
  <pageSetup paperSize="9"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P34"/>
  <sheetViews>
    <sheetView zoomScale="115" zoomScaleNormal="115" zoomScalePageLayoutView="150" workbookViewId="0">
      <pane ySplit="1" topLeftCell="A2" activePane="bottomLeft" state="frozen"/>
      <selection pane="bottomLeft" activeCell="D19" sqref="D19"/>
    </sheetView>
  </sheetViews>
  <sheetFormatPr defaultColWidth="8.88671875" defaultRowHeight="14.4"/>
  <cols>
    <col min="1" max="1" width="42" style="11" customWidth="1"/>
    <col min="2" max="2" width="23.6640625" style="11" bestFit="1" customWidth="1"/>
    <col min="3" max="3" width="13.6640625" style="11" customWidth="1"/>
    <col min="4" max="4" width="16.33203125" style="11" bestFit="1" customWidth="1"/>
    <col min="5" max="5" width="15.44140625" style="11" customWidth="1"/>
    <col min="6" max="6" width="16" style="11" customWidth="1"/>
    <col min="7" max="7" width="20.33203125" style="11" bestFit="1" customWidth="1"/>
    <col min="8" max="8" width="16" style="11" customWidth="1"/>
    <col min="9" max="9" width="14.109375" style="11" customWidth="1"/>
    <col min="10" max="10" width="15" style="11" customWidth="1"/>
    <col min="11" max="11" width="13.33203125" style="11" customWidth="1"/>
    <col min="12" max="12" width="14" style="11" customWidth="1"/>
    <col min="13" max="13" width="8.88671875" style="11"/>
    <col min="14" max="14" width="10.88671875" style="11" customWidth="1"/>
    <col min="15" max="16384" width="8.88671875" style="11"/>
  </cols>
  <sheetData>
    <row r="1" spans="1:15">
      <c r="A1" s="255" t="s">
        <v>283</v>
      </c>
      <c r="B1" s="256" t="s">
        <v>39</v>
      </c>
      <c r="C1" s="121"/>
      <c r="D1" s="121"/>
      <c r="E1" s="121"/>
      <c r="F1" s="121"/>
      <c r="G1" s="77"/>
      <c r="H1" s="77"/>
      <c r="I1" s="78"/>
      <c r="J1" s="72"/>
      <c r="K1" s="72"/>
      <c r="L1" s="72"/>
    </row>
    <row r="2" spans="1:15">
      <c r="A2" s="134" t="s">
        <v>284</v>
      </c>
      <c r="B2" s="229">
        <v>78</v>
      </c>
      <c r="C2" s="120"/>
      <c r="D2" s="120"/>
      <c r="E2" s="120"/>
      <c r="F2" s="78"/>
      <c r="G2" s="78"/>
      <c r="H2" s="78"/>
      <c r="I2" s="78"/>
      <c r="J2" s="72"/>
      <c r="K2" s="72"/>
      <c r="L2" s="72"/>
    </row>
    <row r="3" spans="1:15">
      <c r="A3" s="134" t="s">
        <v>306</v>
      </c>
      <c r="B3" s="229">
        <v>322</v>
      </c>
      <c r="C3" s="120"/>
      <c r="D3" s="120">
        <f>+B3+B4</f>
        <v>428</v>
      </c>
      <c r="E3" s="120"/>
      <c r="F3" s="78"/>
      <c r="G3" s="78"/>
      <c r="H3" s="78"/>
      <c r="I3" s="78"/>
      <c r="J3" s="72"/>
      <c r="K3" s="72"/>
      <c r="L3" s="72"/>
    </row>
    <row r="4" spans="1:15">
      <c r="A4" s="134" t="s">
        <v>307</v>
      </c>
      <c r="B4" s="229">
        <v>106</v>
      </c>
      <c r="C4" s="120"/>
      <c r="D4" s="120"/>
      <c r="E4" s="120"/>
      <c r="F4" s="78"/>
      <c r="G4" s="78"/>
      <c r="H4" s="78"/>
      <c r="I4" s="78"/>
      <c r="J4" s="72"/>
      <c r="K4" s="72"/>
      <c r="L4" s="72"/>
    </row>
    <row r="5" spans="1:15">
      <c r="A5" s="134" t="s">
        <v>286</v>
      </c>
      <c r="B5" s="225">
        <v>1</v>
      </c>
      <c r="C5" s="76"/>
      <c r="D5" s="76"/>
      <c r="E5" s="76"/>
      <c r="F5" s="74"/>
      <c r="G5" s="74"/>
      <c r="H5" s="74"/>
      <c r="I5" s="72"/>
      <c r="J5" s="72"/>
      <c r="K5" s="72"/>
      <c r="L5" s="72"/>
    </row>
    <row r="6" spans="1:15">
      <c r="A6" s="134" t="s">
        <v>299</v>
      </c>
      <c r="B6" s="134">
        <v>25</v>
      </c>
      <c r="C6" s="76"/>
      <c r="D6" s="76"/>
      <c r="E6" s="76"/>
      <c r="F6" s="74"/>
      <c r="G6" s="74"/>
      <c r="H6" s="74"/>
      <c r="I6" s="72"/>
      <c r="J6" s="72"/>
      <c r="K6" s="72"/>
      <c r="L6" s="72"/>
    </row>
    <row r="7" spans="1:15">
      <c r="A7" s="134" t="s">
        <v>298</v>
      </c>
      <c r="B7" s="251">
        <f>'Input Data'!F32</f>
        <v>0.11</v>
      </c>
      <c r="C7" s="76"/>
      <c r="D7" s="76"/>
      <c r="E7" s="76"/>
      <c r="F7" s="74"/>
      <c r="G7" s="74"/>
      <c r="H7" s="74"/>
      <c r="I7" s="72"/>
      <c r="J7" s="72"/>
      <c r="K7" s="72"/>
      <c r="L7" s="72"/>
    </row>
    <row r="8" spans="1:15">
      <c r="A8" s="70"/>
      <c r="B8" s="79"/>
      <c r="C8" s="76"/>
      <c r="D8" s="71"/>
      <c r="E8" s="262"/>
      <c r="F8" s="74"/>
      <c r="G8" s="74"/>
      <c r="H8" s="74"/>
      <c r="I8" s="72"/>
      <c r="J8" s="72"/>
      <c r="K8" s="72"/>
      <c r="L8" s="72"/>
    </row>
    <row r="9" spans="1:15">
      <c r="A9" s="290" t="s">
        <v>222</v>
      </c>
      <c r="B9" s="291"/>
      <c r="C9" s="71"/>
      <c r="D9" s="71"/>
      <c r="E9" s="262"/>
      <c r="F9" s="71"/>
      <c r="G9" s="71"/>
      <c r="H9" s="71"/>
      <c r="I9" s="71"/>
      <c r="J9" s="72"/>
      <c r="K9" s="72"/>
      <c r="L9" s="72"/>
    </row>
    <row r="10" spans="1:15">
      <c r="A10" s="226" t="s">
        <v>226</v>
      </c>
      <c r="B10" s="253">
        <f>'Calc. (Sanitation)'!B3</f>
        <v>77413.172999999995</v>
      </c>
      <c r="C10" s="71"/>
      <c r="D10" s="71"/>
      <c r="E10" s="263"/>
      <c r="F10" s="71"/>
      <c r="G10" s="71"/>
      <c r="H10" s="71"/>
      <c r="I10" s="71"/>
      <c r="J10" s="72"/>
      <c r="K10" s="72"/>
      <c r="L10" s="72"/>
    </row>
    <row r="11" spans="1:15">
      <c r="A11" s="226" t="s">
        <v>227</v>
      </c>
      <c r="B11" s="227">
        <f>'Input Data'!F10</f>
        <v>3.9718308959866788</v>
      </c>
      <c r="C11" s="71"/>
      <c r="D11" s="71"/>
      <c r="E11" s="263"/>
      <c r="F11" s="71"/>
      <c r="G11" s="71"/>
      <c r="H11" s="71"/>
      <c r="I11" s="71"/>
      <c r="J11" s="72"/>
      <c r="K11" s="72"/>
      <c r="L11" s="72"/>
    </row>
    <row r="12" spans="1:15">
      <c r="A12" s="226" t="s">
        <v>304</v>
      </c>
      <c r="B12" s="227">
        <f>'Input Data'!F12</f>
        <v>4.9647886199833486</v>
      </c>
      <c r="C12" s="75"/>
      <c r="D12" s="75"/>
      <c r="E12" s="75"/>
      <c r="F12" s="75"/>
      <c r="G12" s="264"/>
      <c r="H12" s="75"/>
      <c r="I12" s="75"/>
      <c r="J12" s="72"/>
      <c r="K12" s="72"/>
      <c r="L12" s="72"/>
    </row>
    <row r="13" spans="1:15">
      <c r="A13" s="226" t="s">
        <v>31</v>
      </c>
      <c r="B13" s="252">
        <f>+'Calc. (Empty)'!B3</f>
        <v>15219.865597749207</v>
      </c>
      <c r="C13" s="75"/>
      <c r="D13" s="75"/>
      <c r="E13" s="75"/>
      <c r="F13" s="75"/>
      <c r="G13" s="264"/>
      <c r="H13" s="75"/>
      <c r="I13" s="75"/>
      <c r="J13" s="72"/>
      <c r="K13" s="72"/>
      <c r="L13" s="72"/>
    </row>
    <row r="14" spans="1:15">
      <c r="A14" s="228" t="s">
        <v>28</v>
      </c>
      <c r="B14" s="254">
        <f>+'Calc. (Empty)'!B4</f>
        <v>20759.92703804552</v>
      </c>
      <c r="C14" s="75"/>
      <c r="D14" s="75"/>
      <c r="E14" s="75"/>
      <c r="F14" s="75"/>
      <c r="G14" s="264"/>
      <c r="H14" s="75"/>
      <c r="I14" s="75"/>
      <c r="J14" s="72"/>
      <c r="K14" s="72" t="s">
        <v>35</v>
      </c>
      <c r="L14" s="72"/>
    </row>
    <row r="15" spans="1:15">
      <c r="A15" s="73"/>
      <c r="B15" s="80"/>
      <c r="C15" s="75"/>
      <c r="D15" s="75"/>
      <c r="E15" s="75"/>
      <c r="F15" s="75"/>
      <c r="G15" s="264"/>
      <c r="H15" s="75"/>
      <c r="I15" s="75"/>
      <c r="J15" s="72"/>
      <c r="K15" s="72"/>
      <c r="L15" s="72"/>
    </row>
    <row r="16" spans="1:15">
      <c r="A16" s="294" t="s">
        <v>230</v>
      </c>
      <c r="B16" s="295"/>
      <c r="C16" s="288" t="s">
        <v>308</v>
      </c>
      <c r="D16" s="289"/>
      <c r="E16" s="288" t="s">
        <v>246</v>
      </c>
      <c r="F16" s="298"/>
      <c r="G16" s="298"/>
      <c r="H16" s="298"/>
      <c r="I16" s="289"/>
      <c r="J16" s="288" t="s">
        <v>245</v>
      </c>
      <c r="K16" s="298"/>
      <c r="L16" s="298"/>
      <c r="M16" s="298"/>
      <c r="N16" s="289"/>
      <c r="O16" s="284" t="s">
        <v>285</v>
      </c>
    </row>
    <row r="17" spans="1:16" ht="43.2">
      <c r="A17" s="296"/>
      <c r="B17" s="297"/>
      <c r="C17" s="259" t="s">
        <v>246</v>
      </c>
      <c r="D17" s="259" t="s">
        <v>245</v>
      </c>
      <c r="E17" s="243" t="s">
        <v>157</v>
      </c>
      <c r="F17" s="269" t="s">
        <v>317</v>
      </c>
      <c r="G17" s="269" t="s">
        <v>316</v>
      </c>
      <c r="H17" s="269" t="s">
        <v>314</v>
      </c>
      <c r="I17" s="269" t="s">
        <v>315</v>
      </c>
      <c r="J17" s="243" t="s">
        <v>157</v>
      </c>
      <c r="K17" s="269" t="s">
        <v>317</v>
      </c>
      <c r="L17" s="269" t="s">
        <v>316</v>
      </c>
      <c r="M17" s="269" t="s">
        <v>314</v>
      </c>
      <c r="N17" s="269" t="s">
        <v>315</v>
      </c>
      <c r="O17" s="285"/>
      <c r="P17" s="72"/>
    </row>
    <row r="18" spans="1:16">
      <c r="A18" s="134" t="str">
        <f>A27</f>
        <v>Hand Emptying</v>
      </c>
      <c r="B18" s="134" t="str">
        <f>A33</f>
        <v>Trucks only</v>
      </c>
      <c r="C18" s="265">
        <f>F18-(($B$3+$B$4)*$B$14)</f>
        <v>36888694.602169707</v>
      </c>
      <c r="D18" s="265">
        <f>K18-((($B$3+$B$4)*$B$14)/$B$2)</f>
        <v>472931.98207909876</v>
      </c>
      <c r="E18" s="265">
        <f>D27+D33</f>
        <v>142321000</v>
      </c>
      <c r="F18" s="265">
        <f>G27+G33</f>
        <v>45773943.374453187</v>
      </c>
      <c r="G18" s="265">
        <f>+H27+H33</f>
        <v>10523890.96777023</v>
      </c>
      <c r="H18" s="265">
        <f>+I27+I33</f>
        <v>13595855.005075788</v>
      </c>
      <c r="I18" s="265">
        <f>+J27+J33</f>
        <v>21654197.401607174</v>
      </c>
      <c r="J18" s="258">
        <f t="shared" ref="J18:K21" si="0">E18/$B$2</f>
        <v>1824628.2051282052</v>
      </c>
      <c r="K18" s="258">
        <f t="shared" si="0"/>
        <v>586845.42787760496</v>
      </c>
      <c r="L18" s="258">
        <f t="shared" ref="L18:L21" si="1">G18/$B$2</f>
        <v>134921.67907397731</v>
      </c>
      <c r="M18" s="258">
        <f t="shared" ref="M18:M21" si="2">H18/$B$2</f>
        <v>174305.83339840753</v>
      </c>
      <c r="N18" s="258">
        <f t="shared" ref="N18:N21" si="3">I18/$B$2</f>
        <v>277617.91540522018</v>
      </c>
      <c r="O18" s="248">
        <f>K27+K33</f>
        <v>603</v>
      </c>
      <c r="P18" s="72"/>
    </row>
    <row r="19" spans="1:16">
      <c r="A19" s="134" t="str">
        <f>A27</f>
        <v>Hand Emptying</v>
      </c>
      <c r="B19" s="134" t="str">
        <f>A34</f>
        <v>Tanker (With trucks)</v>
      </c>
      <c r="C19" s="265">
        <f>F19-(($B$3+$B$4)*$B$14)</f>
        <v>16843136.468032468</v>
      </c>
      <c r="D19" s="265">
        <f>K19-((($B$3+$B$4)*$B$14)/$B$2)</f>
        <v>215937.6470260573</v>
      </c>
      <c r="E19" s="265">
        <f>D27+D34</f>
        <v>110185000</v>
      </c>
      <c r="F19" s="265">
        <f>G27+G34</f>
        <v>25728385.240315951</v>
      </c>
      <c r="G19" s="265">
        <f>+H27+H34</f>
        <v>8264596.1071116505</v>
      </c>
      <c r="H19" s="265">
        <f>+I27+I34</f>
        <v>11061554.940449618</v>
      </c>
      <c r="I19" s="265">
        <f>+J27+J34</f>
        <v>6402234.1927546822</v>
      </c>
      <c r="J19" s="258">
        <f t="shared" si="0"/>
        <v>1412628.2051282052</v>
      </c>
      <c r="K19" s="258">
        <f t="shared" si="0"/>
        <v>329851.0928245635</v>
      </c>
      <c r="L19" s="258">
        <f t="shared" si="1"/>
        <v>105956.36034758526</v>
      </c>
      <c r="M19" s="258">
        <f t="shared" si="2"/>
        <v>141814.80692884125</v>
      </c>
      <c r="N19" s="258">
        <f t="shared" si="3"/>
        <v>82079.925548136947</v>
      </c>
      <c r="O19" s="248">
        <f>K27+K34</f>
        <v>491</v>
      </c>
      <c r="P19" s="72"/>
    </row>
    <row r="20" spans="1:16">
      <c r="A20" s="134" t="str">
        <f>A28</f>
        <v>Diaphragm Pump</v>
      </c>
      <c r="B20" s="134" t="str">
        <f>A33</f>
        <v>Trucks only</v>
      </c>
      <c r="C20" s="265">
        <f>F20-(($B$3+$B$4)*$B$14)</f>
        <v>33736929.245464236</v>
      </c>
      <c r="D20" s="265">
        <f>K20-((($B$3+$B$4)*$B$14)/$B$2)</f>
        <v>432524.73391620821</v>
      </c>
      <c r="E20" s="265">
        <f>D28+D33</f>
        <v>142572000</v>
      </c>
      <c r="F20" s="265">
        <f>G28+G33</f>
        <v>42622178.017747723</v>
      </c>
      <c r="G20" s="265">
        <f>+H28+H33</f>
        <v>10555314.423565079</v>
      </c>
      <c r="H20" s="265">
        <f>+I28+I33</f>
        <v>10412666.192575475</v>
      </c>
      <c r="I20" s="265">
        <f>+J28+J33</f>
        <v>21654197.401607174</v>
      </c>
      <c r="J20" s="258">
        <f t="shared" si="0"/>
        <v>1827846.1538461538</v>
      </c>
      <c r="K20" s="258">
        <f t="shared" si="0"/>
        <v>546438.17971471441</v>
      </c>
      <c r="L20" s="258">
        <f t="shared" si="1"/>
        <v>135324.54389185997</v>
      </c>
      <c r="M20" s="258">
        <f t="shared" si="2"/>
        <v>133495.72041763429</v>
      </c>
      <c r="N20" s="258">
        <f t="shared" si="3"/>
        <v>277617.91540522018</v>
      </c>
      <c r="O20" s="248">
        <f>K28+K33</f>
        <v>466</v>
      </c>
      <c r="P20" s="72"/>
    </row>
    <row r="21" spans="1:16">
      <c r="A21" s="134" t="str">
        <f>A28</f>
        <v>Diaphragm Pump</v>
      </c>
      <c r="B21" s="134" t="str">
        <f>A34</f>
        <v>Tanker (With trucks)</v>
      </c>
      <c r="C21" s="265">
        <f>F21-(($B$3+$B$4)*$B$14)</f>
        <v>13691371.111327</v>
      </c>
      <c r="D21" s="265">
        <f>K21-((($B$3+$B$4)*$B$14)/$B$2)</f>
        <v>175530.39886316669</v>
      </c>
      <c r="E21" s="265">
        <f>D28+D34</f>
        <v>110436000</v>
      </c>
      <c r="F21" s="265">
        <f>G28+G34</f>
        <v>22576619.883610483</v>
      </c>
      <c r="G21" s="265">
        <f>+H28+H34</f>
        <v>8296019.5629064981</v>
      </c>
      <c r="H21" s="265">
        <f>+I28+I34</f>
        <v>7878366.1279493039</v>
      </c>
      <c r="I21" s="265">
        <f>+J28+J34</f>
        <v>6402234.1927546822</v>
      </c>
      <c r="J21" s="258">
        <f t="shared" si="0"/>
        <v>1415846.1538461538</v>
      </c>
      <c r="K21" s="258">
        <f t="shared" si="0"/>
        <v>289443.84466167289</v>
      </c>
      <c r="L21" s="258">
        <f t="shared" si="1"/>
        <v>106359.22516546793</v>
      </c>
      <c r="M21" s="258">
        <f t="shared" si="2"/>
        <v>101004.693948068</v>
      </c>
      <c r="N21" s="258">
        <f t="shared" si="3"/>
        <v>82079.925548136947</v>
      </c>
      <c r="O21" s="248">
        <f>K28+K34</f>
        <v>354</v>
      </c>
      <c r="P21" s="72"/>
    </row>
    <row r="22" spans="1:16">
      <c r="A22" s="87"/>
      <c r="B22" s="87"/>
      <c r="C22" s="88"/>
      <c r="D22" s="88"/>
      <c r="E22" s="88"/>
      <c r="F22" s="75"/>
      <c r="G22" s="75"/>
      <c r="H22" s="75"/>
      <c r="I22" s="75"/>
      <c r="J22" s="72"/>
      <c r="K22" s="72"/>
      <c r="L22" s="72"/>
    </row>
    <row r="23" spans="1:16">
      <c r="A23" s="89"/>
      <c r="B23" s="89"/>
      <c r="C23" s="86"/>
      <c r="D23" s="86"/>
      <c r="E23" s="86"/>
      <c r="F23" s="75"/>
      <c r="G23" s="75"/>
      <c r="H23" s="75"/>
      <c r="I23" s="75"/>
      <c r="J23" s="72"/>
      <c r="K23" s="72"/>
      <c r="L23" s="72"/>
    </row>
    <row r="24" spans="1:16">
      <c r="A24" s="85" t="s">
        <v>215</v>
      </c>
      <c r="B24" s="75"/>
      <c r="C24" s="75"/>
      <c r="D24" s="75"/>
      <c r="E24" s="75"/>
      <c r="F24" s="75"/>
      <c r="G24" s="75"/>
      <c r="H24" s="75"/>
      <c r="I24" s="75"/>
      <c r="J24" s="72"/>
      <c r="K24" s="72"/>
      <c r="L24" s="72"/>
    </row>
    <row r="25" spans="1:16" ht="15.6">
      <c r="A25" s="286" t="s">
        <v>230</v>
      </c>
      <c r="B25" s="275" t="s">
        <v>216</v>
      </c>
      <c r="C25" s="276"/>
      <c r="D25" s="271" t="s">
        <v>274</v>
      </c>
      <c r="E25" s="241"/>
      <c r="F25" s="279" t="s">
        <v>309</v>
      </c>
      <c r="G25" s="281" t="s">
        <v>217</v>
      </c>
      <c r="H25" s="282"/>
      <c r="I25" s="282"/>
      <c r="J25" s="283"/>
      <c r="K25" s="270" t="s">
        <v>33</v>
      </c>
      <c r="L25" s="270"/>
      <c r="M25" s="270"/>
      <c r="N25" s="270"/>
    </row>
    <row r="26" spans="1:16" ht="15" customHeight="1">
      <c r="A26" s="287"/>
      <c r="B26" s="277"/>
      <c r="C26" s="278"/>
      <c r="D26" s="272"/>
      <c r="E26" s="242" t="s">
        <v>312</v>
      </c>
      <c r="F26" s="280"/>
      <c r="G26" s="243" t="s">
        <v>32</v>
      </c>
      <c r="H26" s="244" t="s">
        <v>38</v>
      </c>
      <c r="I26" s="244" t="s">
        <v>33</v>
      </c>
      <c r="J26" s="244" t="s">
        <v>218</v>
      </c>
      <c r="K26" s="245" t="s">
        <v>32</v>
      </c>
      <c r="L26" s="246" t="s">
        <v>220</v>
      </c>
      <c r="M26" s="246" t="s">
        <v>221</v>
      </c>
      <c r="N26" s="245" t="s">
        <v>219</v>
      </c>
    </row>
    <row r="27" spans="1:16">
      <c r="A27" s="134" t="str">
        <f>'Calc. (Empty)'!A6</f>
        <v>Hand Emptying</v>
      </c>
      <c r="B27" s="273">
        <f>+'Calc. (Empty)'!B8</f>
        <v>49</v>
      </c>
      <c r="C27" s="274"/>
      <c r="D27" s="247">
        <f>'Calc. (Empty)'!B11</f>
        <v>49000</v>
      </c>
      <c r="E27" s="247">
        <f>G27-F27</f>
        <v>-3251645.0402581599</v>
      </c>
      <c r="F27" s="247">
        <f>$B$14*$B$3</f>
        <v>6684696.5062506571</v>
      </c>
      <c r="G27" s="248">
        <f>SUM(H27:J27)</f>
        <v>3433051.4659924973</v>
      </c>
      <c r="H27" s="248">
        <f>'Calc. (Empty)'!B14</f>
        <v>7663.5047149862958</v>
      </c>
      <c r="I27" s="248">
        <f>'Calc. (Empty)'!B15</f>
        <v>3425387.961277511</v>
      </c>
      <c r="J27" s="248">
        <f>'Calc. (Empty)'!G14</f>
        <v>0</v>
      </c>
      <c r="K27" s="249">
        <f>SUM(L27:N27)</f>
        <v>147</v>
      </c>
      <c r="L27" s="248">
        <f>+B27*('Input Data (Emptying)'!C15)</f>
        <v>98</v>
      </c>
      <c r="M27" s="248" t="s">
        <v>229</v>
      </c>
      <c r="N27" s="248">
        <f>+B27*('Input Data (Emptying)'!C16)</f>
        <v>49</v>
      </c>
    </row>
    <row r="28" spans="1:16">
      <c r="A28" s="134" t="str">
        <f>'Calc. (Empty)'!A19</f>
        <v>Diaphragm Pump</v>
      </c>
      <c r="B28" s="273">
        <f>+'Calc. (Empty)'!B21</f>
        <v>10</v>
      </c>
      <c r="C28" s="274"/>
      <c r="D28" s="247">
        <f>'Calc. (Empty)'!B24</f>
        <v>300000</v>
      </c>
      <c r="E28" s="247">
        <f>G28-F28</f>
        <v>-6403410.3969636252</v>
      </c>
      <c r="F28" s="247">
        <f>$B$14*$B$3</f>
        <v>6684696.5062506571</v>
      </c>
      <c r="G28" s="248">
        <f>SUM(H28:J28)</f>
        <v>281286.10928703193</v>
      </c>
      <c r="H28" s="248">
        <f>'Calc. (Empty)'!B27</f>
        <v>39086.960509834185</v>
      </c>
      <c r="I28" s="248">
        <f>'Calc. (Empty)'!B28</f>
        <v>242199.14877719773</v>
      </c>
      <c r="J28" s="248">
        <f>'Calc. (Empty)'!G27</f>
        <v>0</v>
      </c>
      <c r="K28" s="250">
        <f>SUM(L28:N28)</f>
        <v>10</v>
      </c>
      <c r="L28" s="248">
        <f>+B28*('Input Data (Emptying)'!C34)</f>
        <v>10</v>
      </c>
      <c r="M28" s="248" t="s">
        <v>229</v>
      </c>
      <c r="N28" s="248">
        <f>+B28*('Input Data (Emptying)'!C35)</f>
        <v>0</v>
      </c>
    </row>
    <row r="29" spans="1:16">
      <c r="A29" s="81"/>
      <c r="B29" s="81"/>
      <c r="C29" s="81"/>
      <c r="D29" s="81"/>
      <c r="E29" s="81"/>
      <c r="F29" s="82"/>
      <c r="G29" s="82"/>
      <c r="H29" s="82"/>
      <c r="I29" s="82"/>
      <c r="J29" s="82"/>
      <c r="K29" s="82"/>
      <c r="L29" s="82"/>
      <c r="M29" s="70"/>
    </row>
    <row r="30" spans="1:16">
      <c r="A30" s="85" t="s">
        <v>228</v>
      </c>
      <c r="B30" s="83"/>
      <c r="C30" s="83"/>
      <c r="D30" s="83"/>
      <c r="E30" s="83"/>
      <c r="F30" s="84"/>
      <c r="G30" s="84"/>
      <c r="H30" s="84"/>
      <c r="I30" s="84"/>
      <c r="J30" s="84"/>
      <c r="K30" s="84"/>
      <c r="L30" s="84"/>
      <c r="M30" s="70"/>
    </row>
    <row r="31" spans="1:16" ht="15.6">
      <c r="A31" s="286" t="s">
        <v>230</v>
      </c>
      <c r="B31" s="292" t="s">
        <v>216</v>
      </c>
      <c r="C31" s="293"/>
      <c r="D31" s="271" t="s">
        <v>274</v>
      </c>
      <c r="E31" s="241"/>
      <c r="F31" s="279" t="s">
        <v>309</v>
      </c>
      <c r="G31" s="281" t="s">
        <v>217</v>
      </c>
      <c r="H31" s="282"/>
      <c r="I31" s="282"/>
      <c r="J31" s="283"/>
      <c r="K31" s="270" t="s">
        <v>33</v>
      </c>
      <c r="L31" s="270"/>
      <c r="M31" s="270"/>
      <c r="N31" s="270"/>
    </row>
    <row r="32" spans="1:16" ht="15" customHeight="1">
      <c r="A32" s="287"/>
      <c r="B32" s="257" t="s">
        <v>302</v>
      </c>
      <c r="C32" s="257" t="s">
        <v>303</v>
      </c>
      <c r="D32" s="272"/>
      <c r="E32" s="242" t="s">
        <v>308</v>
      </c>
      <c r="F32" s="280"/>
      <c r="G32" s="243" t="s">
        <v>32</v>
      </c>
      <c r="H32" s="244" t="s">
        <v>38</v>
      </c>
      <c r="I32" s="244" t="s">
        <v>33</v>
      </c>
      <c r="J32" s="244" t="s">
        <v>218</v>
      </c>
      <c r="K32" s="245" t="s">
        <v>32</v>
      </c>
      <c r="L32" s="246" t="s">
        <v>220</v>
      </c>
      <c r="M32" s="246" t="s">
        <v>221</v>
      </c>
      <c r="N32" s="245" t="s">
        <v>219</v>
      </c>
    </row>
    <row r="33" spans="1:14">
      <c r="A33" s="134" t="s">
        <v>310</v>
      </c>
      <c r="B33" s="244">
        <f>'Calc. (Transport)'!B17</f>
        <v>228</v>
      </c>
      <c r="C33" s="244"/>
      <c r="D33" s="247">
        <f>'Calc. (Transport)'!B20</f>
        <v>142272000</v>
      </c>
      <c r="E33" s="247">
        <f>G33-F33</f>
        <v>40140339.642427869</v>
      </c>
      <c r="F33" s="247">
        <f>$B$14*$B$4</f>
        <v>2200552.2660328252</v>
      </c>
      <c r="G33" s="248">
        <f>SUM(H33:J33)</f>
        <v>42340891.908460692</v>
      </c>
      <c r="H33" s="248">
        <f>'Calc. (Transport)'!B23</f>
        <v>10516227.463055244</v>
      </c>
      <c r="I33" s="248">
        <f>'Calc. (Transport)'!B24</f>
        <v>10170467.043798277</v>
      </c>
      <c r="J33" s="248">
        <f>'Calc. (Transport)'!B25</f>
        <v>21654197.401607174</v>
      </c>
      <c r="K33" s="249">
        <f>SUM(L33:N33)</f>
        <v>456</v>
      </c>
      <c r="L33" s="248" t="s">
        <v>229</v>
      </c>
      <c r="M33" s="248">
        <f>+B33*('Input Data (Transport)'!$C$18)</f>
        <v>228</v>
      </c>
      <c r="N33" s="248">
        <f>+B33*('Input Data (Transport)'!$C$19)</f>
        <v>228</v>
      </c>
    </row>
    <row r="34" spans="1:14">
      <c r="A34" s="134" t="s">
        <v>311</v>
      </c>
      <c r="B34" s="244">
        <f>'Calc. (Transport)'!B39</f>
        <v>169</v>
      </c>
      <c r="C34" s="244">
        <f>'Calc. (Transport)'!C39</f>
        <v>3</v>
      </c>
      <c r="D34" s="247">
        <f>'Calc. (Transport)'!D42</f>
        <v>110136000</v>
      </c>
      <c r="E34" s="247">
        <f>G34-F34</f>
        <v>20094781.508290626</v>
      </c>
      <c r="F34" s="247">
        <f>$B$14*$B$4</f>
        <v>2200552.2660328252</v>
      </c>
      <c r="G34" s="248">
        <f>SUM(H34:J34)</f>
        <v>22295333.774323452</v>
      </c>
      <c r="H34" s="248">
        <f>'Calc. (Transport)'!D45</f>
        <v>8256932.6023966642</v>
      </c>
      <c r="I34" s="248">
        <f>'Calc. (Transport)'!D46</f>
        <v>7636166.9791721059</v>
      </c>
      <c r="J34" s="248">
        <f>'Calc. (Transport)'!D47</f>
        <v>6402234.1927546822</v>
      </c>
      <c r="K34" s="250">
        <f>SUM(L34:N34)</f>
        <v>344</v>
      </c>
      <c r="L34" s="248" t="s">
        <v>229</v>
      </c>
      <c r="M34" s="248">
        <f>+B34*('Input Data (Transport)'!$C$18)+C34*'Input Data (Transport)'!C39</f>
        <v>172</v>
      </c>
      <c r="N34" s="248">
        <f>+B34*('Input Data (Transport)'!$C$19)+C34*'Input Data (Transport)'!C40</f>
        <v>172</v>
      </c>
    </row>
  </sheetData>
  <mergeCells count="20">
    <mergeCell ref="O16:O17"/>
    <mergeCell ref="A25:A26"/>
    <mergeCell ref="C16:D16"/>
    <mergeCell ref="A31:A32"/>
    <mergeCell ref="A9:B9"/>
    <mergeCell ref="B31:C31"/>
    <mergeCell ref="A16:B17"/>
    <mergeCell ref="E16:I16"/>
    <mergeCell ref="J16:N16"/>
    <mergeCell ref="K25:N25"/>
    <mergeCell ref="K31:N31"/>
    <mergeCell ref="D31:D32"/>
    <mergeCell ref="B27:C27"/>
    <mergeCell ref="B28:C28"/>
    <mergeCell ref="D25:D26"/>
    <mergeCell ref="B25:C26"/>
    <mergeCell ref="F31:F32"/>
    <mergeCell ref="F25:F26"/>
    <mergeCell ref="G25:J25"/>
    <mergeCell ref="G31:J31"/>
  </mergeCells>
  <conditionalFormatting sqref="E27">
    <cfRule type="cellIs" dxfId="4" priority="3" operator="greaterThan">
      <formula>0</formula>
    </cfRule>
    <cfRule type="cellIs" dxfId="3" priority="5" operator="lessThan">
      <formula>0</formula>
    </cfRule>
  </conditionalFormatting>
  <conditionalFormatting sqref="E28">
    <cfRule type="cellIs" dxfId="2" priority="4" operator="lessThan">
      <formula>0</formula>
    </cfRule>
  </conditionalFormatting>
  <conditionalFormatting sqref="E33:E34">
    <cfRule type="cellIs" dxfId="1" priority="1" operator="greaterThan">
      <formula>0</formula>
    </cfRule>
    <cfRule type="cellIs" dxfId="0" priority="2" operator="lessThan">
      <formula>0</formula>
    </cfRule>
  </conditionalFormatting>
  <pageMargins left="0.7" right="0.7" top="0.75" bottom="0.75" header="0.3" footer="0.3"/>
  <pageSetup paperSize="9" orientation="portrait"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M45"/>
  <sheetViews>
    <sheetView workbookViewId="0">
      <selection activeCell="B3" sqref="B3"/>
    </sheetView>
  </sheetViews>
  <sheetFormatPr defaultRowHeight="14.4"/>
  <cols>
    <col min="1" max="1" width="47.5546875" customWidth="1"/>
    <col min="2" max="2" width="23.5546875" style="24" bestFit="1" customWidth="1"/>
    <col min="3" max="3" width="1.6640625" style="24" customWidth="1"/>
    <col min="4" max="4" width="14.44140625" customWidth="1"/>
    <col min="5" max="5" width="1.6640625" customWidth="1"/>
    <col min="6" max="6" width="14.44140625" bestFit="1" customWidth="1"/>
    <col min="8" max="8" width="25.5546875" customWidth="1"/>
    <col min="9" max="9" width="24" customWidth="1"/>
    <col min="10" max="10" width="16" customWidth="1"/>
    <col min="11" max="11" width="21.88671875" bestFit="1" customWidth="1"/>
    <col min="12" max="12" width="21.44140625" customWidth="1"/>
    <col min="13" max="13" width="22.6640625" customWidth="1"/>
    <col min="14" max="14" width="16.44140625" bestFit="1" customWidth="1"/>
  </cols>
  <sheetData>
    <row r="1" spans="1:7" ht="18">
      <c r="A1" s="299" t="s">
        <v>149</v>
      </c>
      <c r="B1" s="300"/>
      <c r="C1" s="300"/>
      <c r="D1" s="300"/>
      <c r="E1" s="300"/>
      <c r="F1" s="300"/>
    </row>
    <row r="2" spans="1:7">
      <c r="A2" s="122"/>
      <c r="B2" s="122" t="s">
        <v>296</v>
      </c>
      <c r="C2" s="122"/>
      <c r="D2" s="122" t="s">
        <v>238</v>
      </c>
      <c r="E2" s="123"/>
      <c r="F2" s="124" t="s">
        <v>240</v>
      </c>
    </row>
    <row r="3" spans="1:7">
      <c r="A3" s="124" t="s">
        <v>148</v>
      </c>
      <c r="B3" s="125">
        <f>'Data (Census)'!B18</f>
        <v>391546</v>
      </c>
      <c r="C3" s="125"/>
      <c r="D3" s="90"/>
      <c r="E3" s="124"/>
      <c r="F3" s="129">
        <f>IF(D3&gt;0,D3,B3)</f>
        <v>391546</v>
      </c>
    </row>
    <row r="4" spans="1:7" ht="9" customHeight="1">
      <c r="A4" s="124"/>
      <c r="B4" s="125"/>
      <c r="C4" s="125"/>
      <c r="D4" s="124"/>
      <c r="E4" s="124"/>
      <c r="F4" s="126"/>
    </row>
    <row r="5" spans="1:7">
      <c r="A5" s="124" t="s">
        <v>151</v>
      </c>
      <c r="B5" s="125">
        <f>'Data (Census)'!D18</f>
        <v>95900</v>
      </c>
      <c r="C5" s="125"/>
      <c r="D5" s="90"/>
      <c r="E5" s="124"/>
      <c r="F5" s="129">
        <f>IF(D5&gt;0,D5,B5)</f>
        <v>95900</v>
      </c>
    </row>
    <row r="6" spans="1:7">
      <c r="A6" s="124"/>
      <c r="B6" s="125"/>
      <c r="C6" s="125"/>
      <c r="D6" s="124"/>
      <c r="E6" s="124"/>
      <c r="F6" s="126"/>
    </row>
    <row r="7" spans="1:7">
      <c r="A7" s="124" t="s">
        <v>214</v>
      </c>
      <c r="B7" s="125">
        <f>'Data (Census)'!G18</f>
        <v>77413.172999999995</v>
      </c>
      <c r="C7" s="125"/>
      <c r="D7" s="124"/>
      <c r="E7" s="124"/>
      <c r="F7" s="129">
        <f>IF(D8&gt;0,D8*B5,B7)</f>
        <v>77413.172999999995</v>
      </c>
    </row>
    <row r="8" spans="1:7">
      <c r="A8" s="124" t="s">
        <v>262</v>
      </c>
      <c r="B8" s="133">
        <f>B7/B5</f>
        <v>0.80722808133472357</v>
      </c>
      <c r="C8" s="125"/>
      <c r="D8" s="132"/>
      <c r="E8" s="124"/>
      <c r="F8" s="126"/>
    </row>
    <row r="9" spans="1:7">
      <c r="A9" s="124"/>
      <c r="B9" s="127"/>
      <c r="C9" s="125"/>
      <c r="D9" s="127"/>
      <c r="E9" s="124"/>
      <c r="F9" s="126"/>
    </row>
    <row r="10" spans="1:7">
      <c r="A10" s="124" t="s">
        <v>150</v>
      </c>
      <c r="B10" s="125">
        <f>'Data (Census)'!F18</f>
        <v>3.9718308959866788</v>
      </c>
      <c r="C10" s="125"/>
      <c r="D10" s="137"/>
      <c r="E10" s="124"/>
      <c r="F10" s="126">
        <f>IF(D10&gt;0,D10,B10)</f>
        <v>3.9718308959866788</v>
      </c>
    </row>
    <row r="11" spans="1:7">
      <c r="A11" s="124"/>
      <c r="B11" s="125"/>
      <c r="C11" s="125"/>
      <c r="D11" s="124"/>
      <c r="E11" s="124"/>
      <c r="F11" s="126"/>
    </row>
    <row r="12" spans="1:7">
      <c r="A12" s="124" t="s">
        <v>263</v>
      </c>
      <c r="B12" s="133">
        <v>0.25</v>
      </c>
      <c r="C12" s="127"/>
      <c r="D12" s="131"/>
      <c r="E12" s="124"/>
      <c r="F12" s="126">
        <f>IF(D12&gt;0,F10+(F10*D12),F10+(F10*B12))</f>
        <v>4.9647886199833486</v>
      </c>
    </row>
    <row r="13" spans="1:7">
      <c r="A13" s="39"/>
      <c r="B13" s="118"/>
      <c r="C13" s="118"/>
      <c r="D13" s="39"/>
      <c r="E13" s="39"/>
      <c r="F13" s="39"/>
      <c r="G13" s="96"/>
    </row>
    <row r="14" spans="1:7" ht="18">
      <c r="A14" s="301" t="s">
        <v>239</v>
      </c>
      <c r="B14" s="302"/>
      <c r="C14" s="302"/>
      <c r="D14" s="302"/>
      <c r="E14" s="302"/>
      <c r="F14" s="303"/>
      <c r="G14" s="96"/>
    </row>
    <row r="15" spans="1:7">
      <c r="A15" s="122"/>
      <c r="B15" s="122" t="s">
        <v>296</v>
      </c>
      <c r="C15" s="122"/>
      <c r="D15" s="122" t="s">
        <v>238</v>
      </c>
      <c r="E15" s="123"/>
      <c r="F15" s="124" t="s">
        <v>240</v>
      </c>
      <c r="G15" s="96"/>
    </row>
    <row r="16" spans="1:7">
      <c r="A16" s="124" t="s">
        <v>261</v>
      </c>
      <c r="B16" s="128">
        <f>'Data (Transport Distance)'!J20</f>
        <v>3.4973120315789479</v>
      </c>
      <c r="C16" s="128"/>
      <c r="D16" s="137"/>
      <c r="E16" s="124"/>
      <c r="F16" s="126">
        <f>IF(D16&gt;0,D16,B16)</f>
        <v>3.4973120315789479</v>
      </c>
      <c r="G16" s="96"/>
    </row>
    <row r="17" spans="1:7">
      <c r="A17" s="124"/>
      <c r="B17" s="128"/>
      <c r="C17" s="128"/>
      <c r="D17" s="124"/>
      <c r="E17" s="124"/>
      <c r="F17" s="129"/>
      <c r="G17" s="96"/>
    </row>
    <row r="18" spans="1:7">
      <c r="A18" s="124" t="s">
        <v>259</v>
      </c>
      <c r="B18" s="128">
        <f>'Data (Transport Distance)'!K20</f>
        <v>8.8745034421052633</v>
      </c>
      <c r="C18" s="128"/>
      <c r="D18" s="137"/>
      <c r="E18" s="124"/>
      <c r="F18" s="126">
        <f>IF(D18&gt;0,D18,B18)</f>
        <v>8.8745034421052633</v>
      </c>
      <c r="G18" s="96"/>
    </row>
    <row r="19" spans="1:7">
      <c r="A19" s="124"/>
      <c r="B19" s="128"/>
      <c r="C19" s="128"/>
      <c r="D19" s="124"/>
      <c r="E19" s="124"/>
      <c r="F19" s="129"/>
      <c r="G19" s="96"/>
    </row>
    <row r="20" spans="1:7">
      <c r="A20" s="124" t="s">
        <v>260</v>
      </c>
      <c r="B20" s="128">
        <f>'Data (Transport Distance)'!I20</f>
        <v>12.371815473684208</v>
      </c>
      <c r="C20" s="128"/>
      <c r="D20" s="137"/>
      <c r="E20" s="124"/>
      <c r="F20" s="126">
        <f>IF(D20&gt;0,D20,B20)</f>
        <v>12.371815473684208</v>
      </c>
      <c r="G20" s="96"/>
    </row>
    <row r="21" spans="1:7">
      <c r="A21" s="124"/>
      <c r="B21" s="127"/>
      <c r="C21" s="127"/>
      <c r="D21" s="124"/>
      <c r="E21" s="124"/>
      <c r="F21" s="124"/>
      <c r="G21" s="96"/>
    </row>
    <row r="22" spans="1:7">
      <c r="A22" s="124" t="s">
        <v>251</v>
      </c>
      <c r="B22" s="128">
        <v>10</v>
      </c>
      <c r="C22" s="130"/>
      <c r="D22" s="137"/>
      <c r="E22" s="124"/>
      <c r="F22" s="126">
        <f>IF(D22&gt;0,D22,B22)</f>
        <v>10</v>
      </c>
      <c r="G22" s="96"/>
    </row>
    <row r="23" spans="1:7">
      <c r="A23" s="124"/>
      <c r="B23" s="130"/>
      <c r="C23" s="130"/>
      <c r="D23" s="124"/>
      <c r="E23" s="124"/>
      <c r="F23" s="124"/>
      <c r="G23" s="96"/>
    </row>
    <row r="24" spans="1:7">
      <c r="A24" s="124" t="s">
        <v>252</v>
      </c>
      <c r="B24" s="128">
        <v>30</v>
      </c>
      <c r="C24" s="130"/>
      <c r="D24" s="137"/>
      <c r="E24" s="124"/>
      <c r="F24" s="126">
        <f>IF(D24&gt;0,D24,B24)</f>
        <v>30</v>
      </c>
      <c r="G24" s="96"/>
    </row>
    <row r="25" spans="1:7">
      <c r="A25" s="124"/>
      <c r="B25" s="130"/>
      <c r="C25" s="130"/>
      <c r="D25" s="124"/>
      <c r="E25" s="124"/>
      <c r="F25" s="124"/>
      <c r="G25" s="96"/>
    </row>
    <row r="26" spans="1:7">
      <c r="A26" s="124" t="s">
        <v>253</v>
      </c>
      <c r="B26" s="139">
        <v>68</v>
      </c>
      <c r="C26" s="130"/>
      <c r="D26" s="137"/>
      <c r="E26" s="124"/>
      <c r="F26" s="140">
        <f>IF(D26&gt;0,D26,B26)</f>
        <v>68</v>
      </c>
      <c r="G26" s="96"/>
    </row>
    <row r="27" spans="1:7">
      <c r="A27" s="39"/>
      <c r="B27" s="119"/>
      <c r="C27" s="119"/>
      <c r="D27" s="39"/>
      <c r="E27" s="39"/>
      <c r="F27" s="39"/>
      <c r="G27" s="96"/>
    </row>
    <row r="28" spans="1:7">
      <c r="A28" s="39"/>
      <c r="B28" s="119"/>
      <c r="C28" s="119"/>
      <c r="D28" s="39"/>
      <c r="E28" s="39"/>
      <c r="F28" s="39"/>
      <c r="G28" s="96"/>
    </row>
    <row r="29" spans="1:7" ht="18">
      <c r="A29" s="301" t="s">
        <v>258</v>
      </c>
      <c r="B29" s="302"/>
      <c r="C29" s="302"/>
      <c r="D29" s="302"/>
      <c r="E29" s="302"/>
      <c r="F29" s="303"/>
      <c r="G29" s="96"/>
    </row>
    <row r="30" spans="1:7">
      <c r="A30" s="304" t="s">
        <v>156</v>
      </c>
      <c r="B30" s="305"/>
      <c r="C30" s="305"/>
      <c r="D30" s="305"/>
      <c r="E30" s="305"/>
      <c r="F30" s="306"/>
      <c r="G30" s="96"/>
    </row>
    <row r="31" spans="1:7">
      <c r="A31" s="134" t="s">
        <v>297</v>
      </c>
      <c r="B31" s="122" t="s">
        <v>296</v>
      </c>
      <c r="C31" s="122"/>
      <c r="D31" s="122" t="s">
        <v>238</v>
      </c>
      <c r="E31" s="123"/>
      <c r="F31" s="124" t="s">
        <v>240</v>
      </c>
      <c r="G31" s="96"/>
    </row>
    <row r="32" spans="1:7">
      <c r="A32" s="134" t="s">
        <v>254</v>
      </c>
      <c r="B32" s="135">
        <v>0.11</v>
      </c>
      <c r="C32" s="135"/>
      <c r="D32" s="132"/>
      <c r="E32" s="135"/>
      <c r="F32" s="141">
        <f>IF(D32&gt;0,D32,B32)</f>
        <v>0.11</v>
      </c>
      <c r="G32" s="96"/>
    </row>
    <row r="33" spans="1:13">
      <c r="A33" s="304" t="s">
        <v>231</v>
      </c>
      <c r="B33" s="305"/>
      <c r="C33" s="305"/>
      <c r="D33" s="305"/>
      <c r="E33" s="305"/>
      <c r="F33" s="306"/>
      <c r="G33" s="96"/>
    </row>
    <row r="34" spans="1:13">
      <c r="A34" s="124" t="s">
        <v>255</v>
      </c>
      <c r="B34" s="136">
        <v>20</v>
      </c>
      <c r="C34" s="136"/>
      <c r="D34" s="137"/>
      <c r="E34" s="136"/>
      <c r="F34" s="138">
        <f t="shared" ref="F34:F39" si="0">IF(D34&gt;0,D34,B34)</f>
        <v>20</v>
      </c>
      <c r="G34" s="96"/>
    </row>
    <row r="35" spans="1:13">
      <c r="A35" s="124" t="s">
        <v>256</v>
      </c>
      <c r="B35" s="136">
        <v>20</v>
      </c>
      <c r="C35" s="136"/>
      <c r="D35" s="137"/>
      <c r="E35" s="136"/>
      <c r="F35" s="138">
        <f t="shared" si="0"/>
        <v>20</v>
      </c>
      <c r="G35" s="96"/>
      <c r="L35" s="64"/>
      <c r="M35" s="63"/>
    </row>
    <row r="36" spans="1:13">
      <c r="A36" s="124" t="s">
        <v>257</v>
      </c>
      <c r="B36" s="136">
        <v>15</v>
      </c>
      <c r="C36" s="136"/>
      <c r="D36" s="137"/>
      <c r="E36" s="136"/>
      <c r="F36" s="138">
        <f t="shared" si="0"/>
        <v>15</v>
      </c>
      <c r="G36" s="96"/>
    </row>
    <row r="37" spans="1:13">
      <c r="A37" s="124" t="s">
        <v>152</v>
      </c>
      <c r="B37" s="136">
        <v>8</v>
      </c>
      <c r="C37" s="136"/>
      <c r="D37" s="137"/>
      <c r="E37" s="136"/>
      <c r="F37" s="138">
        <f t="shared" si="0"/>
        <v>8</v>
      </c>
      <c r="G37" s="96"/>
    </row>
    <row r="38" spans="1:13">
      <c r="A38" s="124" t="s">
        <v>153</v>
      </c>
      <c r="B38" s="136">
        <v>4</v>
      </c>
      <c r="C38" s="136"/>
      <c r="D38" s="137"/>
      <c r="E38" s="136"/>
      <c r="F38" s="138">
        <f t="shared" si="0"/>
        <v>4</v>
      </c>
    </row>
    <row r="39" spans="1:13">
      <c r="A39" s="124" t="s">
        <v>154</v>
      </c>
      <c r="B39" s="136">
        <v>40</v>
      </c>
      <c r="C39" s="136"/>
      <c r="D39" s="137"/>
      <c r="E39" s="136"/>
      <c r="F39" s="138">
        <f t="shared" si="0"/>
        <v>40</v>
      </c>
    </row>
    <row r="40" spans="1:13">
      <c r="A40" s="124" t="s">
        <v>155</v>
      </c>
      <c r="B40" s="142"/>
      <c r="C40" s="143"/>
      <c r="D40" s="143"/>
      <c r="E40" s="143"/>
      <c r="F40" s="144">
        <f>F39*F38*F37</f>
        <v>1280</v>
      </c>
    </row>
    <row r="41" spans="1:13">
      <c r="A41" s="39"/>
      <c r="B41" s="116"/>
      <c r="C41" s="116"/>
      <c r="D41" s="39"/>
      <c r="E41" s="39"/>
      <c r="F41" s="39"/>
    </row>
    <row r="42" spans="1:13">
      <c r="A42" s="39"/>
      <c r="B42" s="116"/>
      <c r="C42" s="116"/>
      <c r="D42" s="39"/>
      <c r="E42" s="39"/>
      <c r="F42" s="39"/>
    </row>
    <row r="43" spans="1:13">
      <c r="A43" s="60"/>
      <c r="B43" s="116"/>
      <c r="C43" s="116"/>
      <c r="D43" s="39"/>
      <c r="E43" s="39"/>
      <c r="F43" s="39"/>
    </row>
    <row r="44" spans="1:13">
      <c r="A44" s="39"/>
      <c r="B44" s="116"/>
      <c r="C44" s="116"/>
      <c r="D44" s="39"/>
      <c r="E44" s="39"/>
      <c r="F44" s="39"/>
    </row>
    <row r="45" spans="1:13">
      <c r="A45" s="39"/>
      <c r="B45" s="116"/>
      <c r="C45" s="116"/>
      <c r="D45" s="39"/>
      <c r="E45" s="39"/>
      <c r="F45" s="39"/>
    </row>
  </sheetData>
  <sortState ref="H16:N26">
    <sortCondition descending="1" ref="I16:I26"/>
  </sortState>
  <mergeCells count="5">
    <mergeCell ref="A1:F1"/>
    <mergeCell ref="A14:F14"/>
    <mergeCell ref="A29:F29"/>
    <mergeCell ref="A30:F30"/>
    <mergeCell ref="A33:F3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F31"/>
  <sheetViews>
    <sheetView zoomScale="150" zoomScaleNormal="150" zoomScalePageLayoutView="150" workbookViewId="0">
      <pane ySplit="1" topLeftCell="A2" activePane="bottomLeft" state="frozen"/>
      <selection pane="bottomLeft" activeCell="C5" sqref="C5"/>
    </sheetView>
  </sheetViews>
  <sheetFormatPr defaultColWidth="8.88671875" defaultRowHeight="14.4"/>
  <cols>
    <col min="1" max="1" width="38.33203125" style="11" customWidth="1"/>
    <col min="2" max="2" width="10.6640625" style="11" bestFit="1" customWidth="1"/>
    <col min="3" max="3" width="14.33203125" style="11" bestFit="1" customWidth="1"/>
    <col min="4" max="4" width="36" style="11" bestFit="1" customWidth="1"/>
    <col min="5" max="5" width="16.44140625" style="11" bestFit="1" customWidth="1"/>
    <col min="6" max="16384" width="8.88671875" style="11"/>
  </cols>
  <sheetData>
    <row r="1" spans="1:6" ht="18">
      <c r="A1" s="307" t="s">
        <v>225</v>
      </c>
      <c r="B1" s="308"/>
      <c r="C1" s="309"/>
    </row>
    <row r="2" spans="1:6">
      <c r="A2" s="177" t="s">
        <v>211</v>
      </c>
      <c r="B2" s="178"/>
      <c r="C2" s="12">
        <v>2.4</v>
      </c>
    </row>
    <row r="3" spans="1:6">
      <c r="A3" s="177" t="s">
        <v>20</v>
      </c>
      <c r="B3" s="178"/>
      <c r="C3" s="12">
        <v>0.83</v>
      </c>
    </row>
    <row r="4" spans="1:6">
      <c r="A4" s="177" t="s">
        <v>21</v>
      </c>
      <c r="B4" s="178"/>
      <c r="C4" s="12">
        <v>0.45</v>
      </c>
    </row>
    <row r="5" spans="1:6">
      <c r="A5" s="177" t="s">
        <v>22</v>
      </c>
      <c r="B5" s="178"/>
      <c r="C5" s="179">
        <f>+((C3/2)*(C3/2))*3.14159*C4*1000</f>
        <v>243.47715198749998</v>
      </c>
    </row>
    <row r="6" spans="1:6">
      <c r="A6" s="177" t="s">
        <v>36</v>
      </c>
      <c r="B6" s="178"/>
      <c r="C6" s="117">
        <f>+C5/2</f>
        <v>121.73857599374999</v>
      </c>
    </row>
    <row r="7" spans="1:6">
      <c r="A7" s="177" t="s">
        <v>212</v>
      </c>
      <c r="B7" s="178"/>
      <c r="C7" s="12">
        <v>0.5</v>
      </c>
    </row>
    <row r="8" spans="1:6">
      <c r="A8" s="177" t="s">
        <v>213</v>
      </c>
      <c r="B8" s="178"/>
      <c r="C8" s="180">
        <f>+((C3/2)*(C3/2))*3.14159*C7*1000</f>
        <v>270.53016887499996</v>
      </c>
    </row>
    <row r="9" spans="1:6">
      <c r="A9" s="177" t="s">
        <v>27</v>
      </c>
      <c r="B9" s="178"/>
      <c r="C9" s="13">
        <v>1</v>
      </c>
    </row>
    <row r="10" spans="1:6">
      <c r="A10" s="181" t="s">
        <v>301</v>
      </c>
      <c r="B10" s="182"/>
      <c r="C10" s="14">
        <v>0.11</v>
      </c>
    </row>
    <row r="13" spans="1:6" ht="15" customHeight="1">
      <c r="A13" s="114"/>
      <c r="B13" s="114"/>
      <c r="C13" s="114"/>
      <c r="D13" s="114"/>
      <c r="E13" s="115"/>
      <c r="F13" s="89"/>
    </row>
    <row r="14" spans="1:6">
      <c r="A14" s="114"/>
      <c r="B14" s="114"/>
      <c r="C14" s="114"/>
      <c r="D14" s="114"/>
      <c r="E14" s="115"/>
      <c r="F14" s="89"/>
    </row>
    <row r="15" spans="1:6">
      <c r="A15" s="109"/>
      <c r="B15" s="109"/>
      <c r="C15" s="110"/>
      <c r="D15" s="109"/>
      <c r="E15" s="91"/>
      <c r="F15" s="89"/>
    </row>
    <row r="16" spans="1:6">
      <c r="A16" s="109"/>
      <c r="B16" s="109"/>
      <c r="C16" s="110"/>
      <c r="D16" s="109"/>
      <c r="E16" s="91"/>
      <c r="F16" s="89"/>
    </row>
    <row r="17" spans="1:6">
      <c r="A17" s="109"/>
      <c r="B17" s="109"/>
      <c r="C17" s="110"/>
      <c r="D17" s="109"/>
      <c r="E17" s="91"/>
      <c r="F17" s="89"/>
    </row>
    <row r="18" spans="1:6">
      <c r="A18" s="109"/>
      <c r="B18" s="109"/>
      <c r="C18" s="110"/>
      <c r="D18" s="109"/>
      <c r="E18" s="91"/>
      <c r="F18" s="89"/>
    </row>
    <row r="19" spans="1:6">
      <c r="A19" s="109"/>
      <c r="B19" s="109"/>
      <c r="C19" s="110"/>
      <c r="D19" s="109"/>
      <c r="E19" s="91"/>
      <c r="F19" s="89"/>
    </row>
    <row r="20" spans="1:6">
      <c r="A20" s="109"/>
      <c r="B20" s="109"/>
      <c r="C20" s="110"/>
      <c r="D20" s="109"/>
      <c r="E20" s="91"/>
      <c r="F20" s="89"/>
    </row>
    <row r="21" spans="1:6">
      <c r="A21" s="109"/>
      <c r="B21" s="109"/>
      <c r="C21" s="110"/>
      <c r="D21" s="109"/>
      <c r="E21" s="91"/>
      <c r="F21" s="89"/>
    </row>
    <row r="22" spans="1:6">
      <c r="A22" s="109"/>
      <c r="B22" s="109"/>
      <c r="C22" s="110"/>
      <c r="D22" s="109"/>
      <c r="E22" s="91"/>
      <c r="F22" s="89"/>
    </row>
    <row r="23" spans="1:6">
      <c r="A23" s="109"/>
      <c r="B23" s="109"/>
      <c r="C23" s="110"/>
      <c r="D23" s="109"/>
      <c r="E23" s="91"/>
      <c r="F23" s="89"/>
    </row>
    <row r="24" spans="1:6">
      <c r="A24" s="109"/>
      <c r="B24" s="109"/>
      <c r="C24" s="110"/>
      <c r="D24" s="109"/>
      <c r="E24" s="91"/>
      <c r="F24" s="89"/>
    </row>
    <row r="25" spans="1:6">
      <c r="A25" s="109"/>
      <c r="B25" s="109"/>
      <c r="C25" s="110"/>
      <c r="D25" s="109"/>
      <c r="E25" s="91"/>
      <c r="F25" s="89"/>
    </row>
    <row r="26" spans="1:6">
      <c r="A26" s="111"/>
      <c r="B26" s="111"/>
      <c r="C26" s="112"/>
      <c r="D26" s="111"/>
      <c r="E26" s="108"/>
      <c r="F26" s="89"/>
    </row>
    <row r="27" spans="1:6">
      <c r="A27" s="113"/>
      <c r="B27" s="113"/>
      <c r="C27" s="113"/>
      <c r="D27" s="113"/>
      <c r="E27" s="39"/>
      <c r="F27" s="89"/>
    </row>
    <row r="28" spans="1:6">
      <c r="A28" s="70"/>
      <c r="B28" s="70"/>
      <c r="C28" s="70"/>
      <c r="D28" s="70"/>
    </row>
    <row r="29" spans="1:6">
      <c r="A29" s="70"/>
      <c r="B29" s="70"/>
      <c r="C29" s="70"/>
      <c r="D29" s="70"/>
    </row>
    <row r="30" spans="1:6">
      <c r="A30" s="70"/>
      <c r="B30" s="70"/>
      <c r="C30" s="70"/>
      <c r="D30" s="70"/>
    </row>
    <row r="31" spans="1:6">
      <c r="A31" s="70"/>
      <c r="B31" s="70"/>
      <c r="C31" s="70"/>
      <c r="D31" s="70"/>
    </row>
  </sheetData>
  <mergeCells count="1">
    <mergeCell ref="A1:C1"/>
  </mergeCells>
  <phoneticPr fontId="6" type="noConversion"/>
  <dataValidations count="1">
    <dataValidation allowBlank="1" showInputMessage="1" showErrorMessage="1" promptTitle="Sludge acc'n rate override" prompt="Please check in cells C40-49 and C52-56 to see if the sludge accumulation rate has been overridden by typical pit and ST emptying rates " sqref="C10"/>
  </dataValidations>
  <pageMargins left="0.7" right="0.7" top="0.75" bottom="0.75" header="0.3" footer="0.3"/>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AF57"/>
  <sheetViews>
    <sheetView workbookViewId="0">
      <pane ySplit="1" topLeftCell="A2" activePane="bottomLeft" state="frozen"/>
      <selection pane="bottomLeft" activeCell="H19" sqref="H18:H19"/>
    </sheetView>
  </sheetViews>
  <sheetFormatPr defaultRowHeight="14.4"/>
  <cols>
    <col min="1" max="1" width="42.109375" style="11" customWidth="1"/>
    <col min="2" max="2" width="16.44140625" style="11" customWidth="1"/>
    <col min="3" max="3" width="15.109375" style="11" customWidth="1"/>
    <col min="4" max="5" width="8.88671875" style="11"/>
    <col min="6" max="6" width="19.33203125" style="11" customWidth="1"/>
    <col min="7" max="7" width="12.44140625" style="11" bestFit="1" customWidth="1"/>
    <col min="8" max="32" width="9.109375" style="11"/>
  </cols>
  <sheetData>
    <row r="1" spans="1:5" ht="18">
      <c r="A1" s="313" t="s">
        <v>215</v>
      </c>
      <c r="B1" s="313"/>
      <c r="C1" s="313"/>
    </row>
    <row r="2" spans="1:5" ht="15.6">
      <c r="A2" s="310" t="s">
        <v>266</v>
      </c>
      <c r="B2" s="311"/>
      <c r="C2" s="312"/>
    </row>
    <row r="3" spans="1:5">
      <c r="A3" s="150" t="s">
        <v>210</v>
      </c>
      <c r="B3" s="151" t="s">
        <v>147</v>
      </c>
      <c r="C3" s="145">
        <v>30</v>
      </c>
    </row>
    <row r="4" spans="1:5">
      <c r="A4" s="150" t="s">
        <v>146</v>
      </c>
      <c r="B4" s="151" t="s">
        <v>147</v>
      </c>
      <c r="C4" s="145">
        <v>150</v>
      </c>
      <c r="E4" s="70"/>
    </row>
    <row r="5" spans="1:5">
      <c r="A5" s="150"/>
      <c r="B5" s="151"/>
      <c r="C5" s="174"/>
      <c r="E5" s="70"/>
    </row>
    <row r="6" spans="1:5">
      <c r="A6" s="153" t="s">
        <v>25</v>
      </c>
      <c r="B6" s="151" t="s">
        <v>246</v>
      </c>
      <c r="C6" s="16">
        <v>1000</v>
      </c>
      <c r="D6" s="80"/>
      <c r="E6" s="261"/>
    </row>
    <row r="7" spans="1:5">
      <c r="A7" s="150" t="s">
        <v>0</v>
      </c>
      <c r="B7" s="151" t="s">
        <v>245</v>
      </c>
      <c r="C7" s="16"/>
      <c r="D7" s="148"/>
      <c r="E7" s="70"/>
    </row>
    <row r="8" spans="1:5">
      <c r="A8" s="150" t="s">
        <v>157</v>
      </c>
      <c r="B8" s="151" t="s">
        <v>246</v>
      </c>
      <c r="C8" s="166">
        <f>IF(C7&gt;0,C7*RESULTS!B2,C6)</f>
        <v>1000</v>
      </c>
      <c r="E8" s="70"/>
    </row>
    <row r="9" spans="1:5">
      <c r="A9" s="150" t="s">
        <v>37</v>
      </c>
      <c r="B9" s="151" t="s">
        <v>2</v>
      </c>
      <c r="C9" s="16">
        <v>3</v>
      </c>
      <c r="E9" s="70"/>
    </row>
    <row r="10" spans="1:5">
      <c r="A10" s="150" t="s">
        <v>3</v>
      </c>
      <c r="B10" s="151" t="s">
        <v>13</v>
      </c>
      <c r="C10" s="13">
        <v>1</v>
      </c>
      <c r="D10" s="19"/>
      <c r="E10" s="70"/>
    </row>
    <row r="11" spans="1:5">
      <c r="A11" s="150" t="s">
        <v>4</v>
      </c>
      <c r="B11" s="151" t="s">
        <v>5</v>
      </c>
      <c r="C11" s="13">
        <v>0.1</v>
      </c>
      <c r="D11" s="19"/>
      <c r="E11" s="70"/>
    </row>
    <row r="12" spans="1:5">
      <c r="A12" s="150" t="s">
        <v>10</v>
      </c>
      <c r="B12" s="151" t="s">
        <v>265</v>
      </c>
      <c r="C12" s="155">
        <f>+B48/RESULTS!B6</f>
        <v>156.39805540788359</v>
      </c>
      <c r="E12" s="70"/>
    </row>
    <row r="13" spans="1:5">
      <c r="A13" s="153" t="s">
        <v>24</v>
      </c>
      <c r="B13" s="151"/>
      <c r="C13" s="154"/>
      <c r="E13" s="70"/>
    </row>
    <row r="14" spans="1:5">
      <c r="A14" s="150" t="s">
        <v>8</v>
      </c>
      <c r="B14" s="151" t="s">
        <v>247</v>
      </c>
      <c r="C14" s="15"/>
      <c r="E14" s="70"/>
    </row>
    <row r="15" spans="1:5">
      <c r="A15" s="150" t="s">
        <v>18</v>
      </c>
      <c r="B15" s="151"/>
      <c r="C15" s="15">
        <v>2</v>
      </c>
      <c r="E15" s="70"/>
    </row>
    <row r="16" spans="1:5">
      <c r="A16" s="150" t="s">
        <v>19</v>
      </c>
      <c r="B16" s="151"/>
      <c r="C16" s="15">
        <v>1</v>
      </c>
      <c r="E16" s="70"/>
    </row>
    <row r="17" spans="1:5">
      <c r="A17" s="150" t="s">
        <v>17</v>
      </c>
      <c r="B17" s="151" t="s">
        <v>248</v>
      </c>
      <c r="C17" s="152">
        <f>+(C15*'Input Data'!B34)+(C16*'Input Data'!B36)</f>
        <v>55</v>
      </c>
      <c r="E17" s="70"/>
    </row>
    <row r="18" spans="1:5">
      <c r="A18" s="156" t="s">
        <v>9</v>
      </c>
      <c r="B18" s="157" t="s">
        <v>247</v>
      </c>
      <c r="C18" s="171">
        <f>C14</f>
        <v>0</v>
      </c>
      <c r="E18" s="70"/>
    </row>
    <row r="19" spans="1:5">
      <c r="A19" s="70"/>
      <c r="B19" s="70"/>
      <c r="C19" s="170"/>
      <c r="E19" s="70"/>
    </row>
    <row r="20" spans="1:5" ht="15.6">
      <c r="A20" s="310" t="s">
        <v>145</v>
      </c>
      <c r="B20" s="311"/>
      <c r="C20" s="312"/>
      <c r="E20" s="70"/>
    </row>
    <row r="21" spans="1:5">
      <c r="A21" s="158" t="s">
        <v>210</v>
      </c>
      <c r="B21" s="22" t="s">
        <v>147</v>
      </c>
      <c r="C21" s="145">
        <v>15</v>
      </c>
      <c r="E21" s="70"/>
    </row>
    <row r="22" spans="1:5">
      <c r="A22" s="158" t="s">
        <v>250</v>
      </c>
      <c r="B22" s="22" t="s">
        <v>147</v>
      </c>
      <c r="C22" s="145">
        <v>20</v>
      </c>
      <c r="E22" s="70"/>
    </row>
    <row r="23" spans="1:5">
      <c r="A23" s="158"/>
      <c r="B23" s="159"/>
      <c r="C23" s="175"/>
      <c r="E23" s="70"/>
    </row>
    <row r="24" spans="1:5">
      <c r="A24" s="162" t="s">
        <v>25</v>
      </c>
      <c r="B24" s="159"/>
      <c r="C24" s="172"/>
      <c r="E24" s="70"/>
    </row>
    <row r="25" spans="1:5">
      <c r="A25" s="158" t="s">
        <v>0</v>
      </c>
      <c r="B25" s="159" t="s">
        <v>246</v>
      </c>
      <c r="C25" s="16">
        <v>30000</v>
      </c>
      <c r="D25" s="173"/>
      <c r="E25" s="70"/>
    </row>
    <row r="26" spans="1:5">
      <c r="A26" s="158" t="s">
        <v>0</v>
      </c>
      <c r="B26" s="159" t="s">
        <v>245</v>
      </c>
      <c r="C26" s="16"/>
      <c r="D26" s="148"/>
      <c r="E26" s="70"/>
    </row>
    <row r="27" spans="1:5">
      <c r="A27" s="158" t="s">
        <v>0</v>
      </c>
      <c r="B27" s="159" t="s">
        <v>246</v>
      </c>
      <c r="C27" s="260">
        <f>IF(C26&gt;0,C26*RESULTS!B2,C25)</f>
        <v>30000</v>
      </c>
      <c r="E27" s="70"/>
    </row>
    <row r="28" spans="1:5">
      <c r="A28" s="158" t="s">
        <v>1</v>
      </c>
      <c r="B28" s="159" t="s">
        <v>2</v>
      </c>
      <c r="C28" s="16">
        <v>5</v>
      </c>
      <c r="E28" s="70"/>
    </row>
    <row r="29" spans="1:5">
      <c r="A29" s="158" t="s">
        <v>3</v>
      </c>
      <c r="B29" s="159" t="s">
        <v>13</v>
      </c>
      <c r="C29" s="13">
        <v>1</v>
      </c>
      <c r="E29" s="70"/>
    </row>
    <row r="30" spans="1:5">
      <c r="A30" s="158" t="s">
        <v>4</v>
      </c>
      <c r="B30" s="159" t="s">
        <v>5</v>
      </c>
      <c r="C30" s="13">
        <v>0.15</v>
      </c>
      <c r="E30" s="70"/>
    </row>
    <row r="31" spans="1:5">
      <c r="A31" s="158" t="s">
        <v>10</v>
      </c>
      <c r="B31" s="159" t="s">
        <v>265</v>
      </c>
      <c r="C31" s="163">
        <f>+B57/RESULTS!B6</f>
        <v>3908.6960509834189</v>
      </c>
      <c r="D31" s="19"/>
      <c r="E31" s="70"/>
    </row>
    <row r="32" spans="1:5">
      <c r="A32" s="162" t="s">
        <v>24</v>
      </c>
      <c r="B32" s="159"/>
      <c r="C32" s="161"/>
      <c r="E32" s="70"/>
    </row>
    <row r="33" spans="1:27">
      <c r="A33" s="158" t="s">
        <v>8</v>
      </c>
      <c r="B33" s="159" t="s">
        <v>247</v>
      </c>
      <c r="C33" s="15"/>
    </row>
    <row r="34" spans="1:27">
      <c r="A34" s="158" t="s">
        <v>18</v>
      </c>
      <c r="B34" s="159"/>
      <c r="C34" s="15">
        <v>1</v>
      </c>
    </row>
    <row r="35" spans="1:27">
      <c r="A35" s="158" t="s">
        <v>19</v>
      </c>
      <c r="B35" s="159"/>
      <c r="C35" s="15"/>
    </row>
    <row r="36" spans="1:27">
      <c r="A36" s="158" t="s">
        <v>17</v>
      </c>
      <c r="B36" s="159" t="s">
        <v>248</v>
      </c>
      <c r="C36" s="160">
        <f>+(C34*'Input Data'!B34)+(C35*'Input Data'!B36)</f>
        <v>20</v>
      </c>
    </row>
    <row r="37" spans="1:27">
      <c r="A37" s="164" t="s">
        <v>9</v>
      </c>
      <c r="B37" s="165" t="s">
        <v>247</v>
      </c>
      <c r="C37" s="176">
        <f>C33</f>
        <v>0</v>
      </c>
    </row>
    <row r="38" spans="1:27">
      <c r="A38" s="70"/>
      <c r="B38" s="70"/>
      <c r="C38" s="92"/>
    </row>
    <row r="39" spans="1:27">
      <c r="A39" s="69" t="s">
        <v>15</v>
      </c>
    </row>
    <row r="41" spans="1:27">
      <c r="A41" s="69" t="str">
        <f>A2</f>
        <v>Hand Emptying</v>
      </c>
    </row>
    <row r="42" spans="1:27">
      <c r="A42" s="17" t="s">
        <v>16</v>
      </c>
      <c r="B42" s="17">
        <v>0</v>
      </c>
      <c r="C42" s="17">
        <f t="shared" ref="C42:AA42" si="0">+B42+1</f>
        <v>1</v>
      </c>
      <c r="D42" s="17">
        <f t="shared" si="0"/>
        <v>2</v>
      </c>
      <c r="E42" s="17">
        <f t="shared" si="0"/>
        <v>3</v>
      </c>
      <c r="F42" s="17">
        <f t="shared" si="0"/>
        <v>4</v>
      </c>
      <c r="G42" s="17">
        <f t="shared" si="0"/>
        <v>5</v>
      </c>
      <c r="H42" s="17">
        <f t="shared" si="0"/>
        <v>6</v>
      </c>
      <c r="I42" s="17">
        <f t="shared" si="0"/>
        <v>7</v>
      </c>
      <c r="J42" s="17">
        <f t="shared" si="0"/>
        <v>8</v>
      </c>
      <c r="K42" s="17">
        <f t="shared" si="0"/>
        <v>9</v>
      </c>
      <c r="L42" s="17">
        <f t="shared" si="0"/>
        <v>10</v>
      </c>
      <c r="M42" s="17">
        <f t="shared" si="0"/>
        <v>11</v>
      </c>
      <c r="N42" s="17">
        <f t="shared" si="0"/>
        <v>12</v>
      </c>
      <c r="O42" s="17">
        <f t="shared" si="0"/>
        <v>13</v>
      </c>
      <c r="P42" s="17">
        <f t="shared" si="0"/>
        <v>14</v>
      </c>
      <c r="Q42" s="17">
        <f t="shared" si="0"/>
        <v>15</v>
      </c>
      <c r="R42" s="17">
        <f t="shared" si="0"/>
        <v>16</v>
      </c>
      <c r="S42" s="17">
        <f t="shared" si="0"/>
        <v>17</v>
      </c>
      <c r="T42" s="17">
        <f t="shared" si="0"/>
        <v>18</v>
      </c>
      <c r="U42" s="17">
        <f t="shared" si="0"/>
        <v>19</v>
      </c>
      <c r="V42" s="17">
        <f t="shared" si="0"/>
        <v>20</v>
      </c>
      <c r="W42" s="17">
        <f t="shared" si="0"/>
        <v>21</v>
      </c>
      <c r="X42" s="17">
        <f t="shared" si="0"/>
        <v>22</v>
      </c>
      <c r="Y42" s="17">
        <f t="shared" si="0"/>
        <v>23</v>
      </c>
      <c r="Z42" s="17">
        <f t="shared" si="0"/>
        <v>24</v>
      </c>
      <c r="AA42" s="17">
        <f t="shared" si="0"/>
        <v>25</v>
      </c>
    </row>
    <row r="43" spans="1:27">
      <c r="A43" s="17" t="str">
        <f>+A8</f>
        <v>Capital Costs</v>
      </c>
      <c r="B43" s="18">
        <f>+C8</f>
        <v>1000</v>
      </c>
      <c r="C43" s="17">
        <v>0</v>
      </c>
      <c r="D43" s="17">
        <v>0</v>
      </c>
      <c r="E43" s="17">
        <v>0</v>
      </c>
      <c r="F43" s="17">
        <v>0</v>
      </c>
      <c r="G43" s="17">
        <v>0</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0</v>
      </c>
      <c r="Z43" s="17">
        <v>0</v>
      </c>
      <c r="AA43" s="17">
        <v>0</v>
      </c>
    </row>
    <row r="44" spans="1:27">
      <c r="A44" s="17"/>
      <c r="B44" s="17" t="b">
        <f t="shared" ref="B44:AA44" si="1">+OR($C9=B42,2*$C9=B42,3*$C9=B42,4*$C9=B42,5*$C9=B42,6*$C9=B42,7*$C9=B42,8*$C9=B42,9*$C9=B42,10*$C9=B42)</f>
        <v>0</v>
      </c>
      <c r="C44" s="17" t="b">
        <f t="shared" si="1"/>
        <v>0</v>
      </c>
      <c r="D44" s="17" t="b">
        <f t="shared" si="1"/>
        <v>0</v>
      </c>
      <c r="E44" s="17" t="b">
        <f t="shared" si="1"/>
        <v>1</v>
      </c>
      <c r="F44" s="17" t="b">
        <f t="shared" si="1"/>
        <v>0</v>
      </c>
      <c r="G44" s="17" t="b">
        <f t="shared" si="1"/>
        <v>0</v>
      </c>
      <c r="H44" s="17" t="b">
        <f t="shared" si="1"/>
        <v>1</v>
      </c>
      <c r="I44" s="17" t="b">
        <f t="shared" si="1"/>
        <v>0</v>
      </c>
      <c r="J44" s="17" t="b">
        <f t="shared" si="1"/>
        <v>0</v>
      </c>
      <c r="K44" s="17" t="b">
        <f t="shared" si="1"/>
        <v>1</v>
      </c>
      <c r="L44" s="17" t="b">
        <f t="shared" si="1"/>
        <v>0</v>
      </c>
      <c r="M44" s="17" t="b">
        <f t="shared" si="1"/>
        <v>0</v>
      </c>
      <c r="N44" s="17" t="b">
        <f t="shared" si="1"/>
        <v>1</v>
      </c>
      <c r="O44" s="17" t="b">
        <f t="shared" si="1"/>
        <v>0</v>
      </c>
      <c r="P44" s="17" t="b">
        <f t="shared" si="1"/>
        <v>0</v>
      </c>
      <c r="Q44" s="17" t="b">
        <f t="shared" si="1"/>
        <v>1</v>
      </c>
      <c r="R44" s="17" t="b">
        <f t="shared" si="1"/>
        <v>0</v>
      </c>
      <c r="S44" s="17" t="b">
        <f t="shared" si="1"/>
        <v>0</v>
      </c>
      <c r="T44" s="17" t="b">
        <f t="shared" si="1"/>
        <v>1</v>
      </c>
      <c r="U44" s="17" t="b">
        <f t="shared" si="1"/>
        <v>0</v>
      </c>
      <c r="V44" s="17" t="b">
        <f t="shared" si="1"/>
        <v>0</v>
      </c>
      <c r="W44" s="17" t="b">
        <f t="shared" si="1"/>
        <v>1</v>
      </c>
      <c r="X44" s="17" t="b">
        <f t="shared" si="1"/>
        <v>0</v>
      </c>
      <c r="Y44" s="17" t="b">
        <f t="shared" si="1"/>
        <v>0</v>
      </c>
      <c r="Z44" s="17" t="b">
        <f t="shared" si="1"/>
        <v>1</v>
      </c>
      <c r="AA44" s="17" t="b">
        <f t="shared" si="1"/>
        <v>0</v>
      </c>
    </row>
    <row r="45" spans="1:27">
      <c r="A45" s="17" t="str">
        <f>+A10</f>
        <v>Capital maintenance cost</v>
      </c>
      <c r="B45" s="17">
        <f>IF(B44=TRUE,+$C10*$C8,0)</f>
        <v>0</v>
      </c>
      <c r="C45" s="17">
        <f t="shared" ref="C45:AA45" si="2">IF(C44=TRUE,+$C10*$C8,0)</f>
        <v>0</v>
      </c>
      <c r="D45" s="17">
        <f t="shared" si="2"/>
        <v>0</v>
      </c>
      <c r="E45" s="17">
        <f t="shared" si="2"/>
        <v>1000</v>
      </c>
      <c r="F45" s="17">
        <f t="shared" si="2"/>
        <v>0</v>
      </c>
      <c r="G45" s="17">
        <f t="shared" si="2"/>
        <v>0</v>
      </c>
      <c r="H45" s="17">
        <f t="shared" si="2"/>
        <v>1000</v>
      </c>
      <c r="I45" s="17">
        <f t="shared" si="2"/>
        <v>0</v>
      </c>
      <c r="J45" s="17">
        <f t="shared" si="2"/>
        <v>0</v>
      </c>
      <c r="K45" s="17">
        <f t="shared" si="2"/>
        <v>1000</v>
      </c>
      <c r="L45" s="17">
        <f t="shared" si="2"/>
        <v>0</v>
      </c>
      <c r="M45" s="17">
        <f t="shared" si="2"/>
        <v>0</v>
      </c>
      <c r="N45" s="17">
        <f t="shared" si="2"/>
        <v>1000</v>
      </c>
      <c r="O45" s="17">
        <f t="shared" si="2"/>
        <v>0</v>
      </c>
      <c r="P45" s="17">
        <f t="shared" si="2"/>
        <v>0</v>
      </c>
      <c r="Q45" s="17">
        <f t="shared" si="2"/>
        <v>1000</v>
      </c>
      <c r="R45" s="17">
        <f t="shared" si="2"/>
        <v>0</v>
      </c>
      <c r="S45" s="17">
        <f t="shared" si="2"/>
        <v>0</v>
      </c>
      <c r="T45" s="17">
        <f t="shared" si="2"/>
        <v>1000</v>
      </c>
      <c r="U45" s="17">
        <f t="shared" si="2"/>
        <v>0</v>
      </c>
      <c r="V45" s="17">
        <f t="shared" si="2"/>
        <v>0</v>
      </c>
      <c r="W45" s="17">
        <f t="shared" si="2"/>
        <v>1000</v>
      </c>
      <c r="X45" s="17">
        <f t="shared" si="2"/>
        <v>0</v>
      </c>
      <c r="Y45" s="17">
        <f t="shared" si="2"/>
        <v>0</v>
      </c>
      <c r="Z45" s="17">
        <f t="shared" si="2"/>
        <v>1000</v>
      </c>
      <c r="AA45" s="17">
        <f t="shared" si="2"/>
        <v>0</v>
      </c>
    </row>
    <row r="46" spans="1:27">
      <c r="A46" s="17" t="str">
        <f>+A11</f>
        <v>Operational wear and tear</v>
      </c>
      <c r="B46" s="17">
        <v>0</v>
      </c>
      <c r="C46" s="20">
        <f>+$C$11*$C$8</f>
        <v>100</v>
      </c>
      <c r="D46" s="20">
        <f t="shared" ref="D46:AA46" si="3">+$C$11*$C$8</f>
        <v>100</v>
      </c>
      <c r="E46" s="20">
        <f t="shared" si="3"/>
        <v>100</v>
      </c>
      <c r="F46" s="20">
        <f t="shared" si="3"/>
        <v>100</v>
      </c>
      <c r="G46" s="20">
        <f t="shared" si="3"/>
        <v>100</v>
      </c>
      <c r="H46" s="20">
        <f t="shared" si="3"/>
        <v>100</v>
      </c>
      <c r="I46" s="20">
        <f t="shared" si="3"/>
        <v>100</v>
      </c>
      <c r="J46" s="20">
        <f t="shared" si="3"/>
        <v>100</v>
      </c>
      <c r="K46" s="20">
        <f t="shared" si="3"/>
        <v>100</v>
      </c>
      <c r="L46" s="20">
        <f t="shared" si="3"/>
        <v>100</v>
      </c>
      <c r="M46" s="20">
        <f t="shared" si="3"/>
        <v>100</v>
      </c>
      <c r="N46" s="20">
        <f t="shared" si="3"/>
        <v>100</v>
      </c>
      <c r="O46" s="20">
        <f t="shared" si="3"/>
        <v>100</v>
      </c>
      <c r="P46" s="20">
        <f t="shared" si="3"/>
        <v>100</v>
      </c>
      <c r="Q46" s="20">
        <f t="shared" si="3"/>
        <v>100</v>
      </c>
      <c r="R46" s="20">
        <f t="shared" si="3"/>
        <v>100</v>
      </c>
      <c r="S46" s="20">
        <f t="shared" si="3"/>
        <v>100</v>
      </c>
      <c r="T46" s="20">
        <f t="shared" si="3"/>
        <v>100</v>
      </c>
      <c r="U46" s="20">
        <f t="shared" si="3"/>
        <v>100</v>
      </c>
      <c r="V46" s="20">
        <f t="shared" si="3"/>
        <v>100</v>
      </c>
      <c r="W46" s="20">
        <f t="shared" si="3"/>
        <v>100</v>
      </c>
      <c r="X46" s="20">
        <f t="shared" si="3"/>
        <v>100</v>
      </c>
      <c r="Y46" s="20">
        <f t="shared" si="3"/>
        <v>100</v>
      </c>
      <c r="Z46" s="20">
        <f t="shared" si="3"/>
        <v>100</v>
      </c>
      <c r="AA46" s="20">
        <f t="shared" si="3"/>
        <v>100</v>
      </c>
    </row>
    <row r="47" spans="1:27">
      <c r="A47" s="17" t="s">
        <v>14</v>
      </c>
      <c r="B47" s="18">
        <f>SUM(B43:B46)</f>
        <v>1000</v>
      </c>
      <c r="C47" s="18">
        <f>SUM(C43:C46)</f>
        <v>100</v>
      </c>
      <c r="D47" s="18">
        <f t="shared" ref="D47:AA47" si="4">SUM(D43:D46)</f>
        <v>100</v>
      </c>
      <c r="E47" s="18">
        <f t="shared" si="4"/>
        <v>1100</v>
      </c>
      <c r="F47" s="18">
        <f t="shared" si="4"/>
        <v>100</v>
      </c>
      <c r="G47" s="18">
        <f t="shared" si="4"/>
        <v>100</v>
      </c>
      <c r="H47" s="18">
        <f t="shared" si="4"/>
        <v>1100</v>
      </c>
      <c r="I47" s="18">
        <f t="shared" si="4"/>
        <v>100</v>
      </c>
      <c r="J47" s="18">
        <f t="shared" si="4"/>
        <v>100</v>
      </c>
      <c r="K47" s="18">
        <f t="shared" si="4"/>
        <v>1100</v>
      </c>
      <c r="L47" s="18">
        <f t="shared" si="4"/>
        <v>100</v>
      </c>
      <c r="M47" s="18">
        <f t="shared" si="4"/>
        <v>100</v>
      </c>
      <c r="N47" s="18">
        <f t="shared" si="4"/>
        <v>1100</v>
      </c>
      <c r="O47" s="18">
        <f t="shared" si="4"/>
        <v>100</v>
      </c>
      <c r="P47" s="18">
        <f t="shared" si="4"/>
        <v>100</v>
      </c>
      <c r="Q47" s="18">
        <f t="shared" si="4"/>
        <v>1100</v>
      </c>
      <c r="R47" s="18">
        <f t="shared" si="4"/>
        <v>100</v>
      </c>
      <c r="S47" s="18">
        <f t="shared" si="4"/>
        <v>100</v>
      </c>
      <c r="T47" s="18">
        <f t="shared" si="4"/>
        <v>1100</v>
      </c>
      <c r="U47" s="18">
        <f t="shared" si="4"/>
        <v>100</v>
      </c>
      <c r="V47" s="18">
        <f t="shared" si="4"/>
        <v>100</v>
      </c>
      <c r="W47" s="18">
        <f t="shared" si="4"/>
        <v>1100</v>
      </c>
      <c r="X47" s="18">
        <f t="shared" si="4"/>
        <v>100</v>
      </c>
      <c r="Y47" s="18">
        <f t="shared" si="4"/>
        <v>100</v>
      </c>
      <c r="Z47" s="18">
        <f t="shared" si="4"/>
        <v>1100</v>
      </c>
      <c r="AA47" s="18">
        <f t="shared" si="4"/>
        <v>100</v>
      </c>
    </row>
    <row r="48" spans="1:27">
      <c r="A48" s="17" t="s">
        <v>300</v>
      </c>
      <c r="B48" s="20">
        <f>NPV('Input Data'!B32,B47:AA47)</f>
        <v>3909.9513851970896</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50" spans="1:27">
      <c r="A50" s="69" t="str">
        <f>A20</f>
        <v>Diaphragm Pump</v>
      </c>
    </row>
    <row r="51" spans="1:27">
      <c r="A51" s="17" t="s">
        <v>16</v>
      </c>
      <c r="B51" s="17">
        <v>0</v>
      </c>
      <c r="C51" s="17">
        <f t="shared" ref="C51:Z51" si="5">+B51+1</f>
        <v>1</v>
      </c>
      <c r="D51" s="17">
        <f t="shared" si="5"/>
        <v>2</v>
      </c>
      <c r="E51" s="17">
        <f t="shared" si="5"/>
        <v>3</v>
      </c>
      <c r="F51" s="17">
        <f t="shared" si="5"/>
        <v>4</v>
      </c>
      <c r="G51" s="17">
        <f t="shared" si="5"/>
        <v>5</v>
      </c>
      <c r="H51" s="17">
        <f t="shared" si="5"/>
        <v>6</v>
      </c>
      <c r="I51" s="17">
        <f t="shared" si="5"/>
        <v>7</v>
      </c>
      <c r="J51" s="17">
        <f t="shared" si="5"/>
        <v>8</v>
      </c>
      <c r="K51" s="17">
        <f t="shared" si="5"/>
        <v>9</v>
      </c>
      <c r="L51" s="17">
        <f t="shared" si="5"/>
        <v>10</v>
      </c>
      <c r="M51" s="17">
        <f t="shared" si="5"/>
        <v>11</v>
      </c>
      <c r="N51" s="17">
        <f t="shared" si="5"/>
        <v>12</v>
      </c>
      <c r="O51" s="17">
        <f t="shared" si="5"/>
        <v>13</v>
      </c>
      <c r="P51" s="17">
        <f t="shared" si="5"/>
        <v>14</v>
      </c>
      <c r="Q51" s="17">
        <f t="shared" si="5"/>
        <v>15</v>
      </c>
      <c r="R51" s="17">
        <f t="shared" si="5"/>
        <v>16</v>
      </c>
      <c r="S51" s="17">
        <f t="shared" si="5"/>
        <v>17</v>
      </c>
      <c r="T51" s="17">
        <f t="shared" si="5"/>
        <v>18</v>
      </c>
      <c r="U51" s="17">
        <f t="shared" si="5"/>
        <v>19</v>
      </c>
      <c r="V51" s="17">
        <f t="shared" si="5"/>
        <v>20</v>
      </c>
      <c r="W51" s="17">
        <f t="shared" si="5"/>
        <v>21</v>
      </c>
      <c r="X51" s="17">
        <f t="shared" si="5"/>
        <v>22</v>
      </c>
      <c r="Y51" s="17">
        <f t="shared" si="5"/>
        <v>23</v>
      </c>
      <c r="Z51" s="17">
        <f t="shared" si="5"/>
        <v>24</v>
      </c>
      <c r="AA51" s="17">
        <f>+Z51+1</f>
        <v>25</v>
      </c>
    </row>
    <row r="52" spans="1:27">
      <c r="A52" s="17" t="str">
        <f>+A27</f>
        <v>Capital cost</v>
      </c>
      <c r="B52" s="18">
        <f>+C27</f>
        <v>30000</v>
      </c>
      <c r="C52" s="17">
        <v>0</v>
      </c>
      <c r="D52" s="17">
        <v>0</v>
      </c>
      <c r="E52" s="17">
        <v>0</v>
      </c>
      <c r="F52" s="17">
        <v>0</v>
      </c>
      <c r="G52" s="17">
        <v>0</v>
      </c>
      <c r="H52" s="17">
        <v>0</v>
      </c>
      <c r="I52" s="17">
        <v>0</v>
      </c>
      <c r="J52" s="17">
        <v>0</v>
      </c>
      <c r="K52" s="17">
        <v>0</v>
      </c>
      <c r="L52" s="17">
        <v>0</v>
      </c>
      <c r="M52" s="17">
        <v>0</v>
      </c>
      <c r="N52" s="17">
        <v>0</v>
      </c>
      <c r="O52" s="17">
        <v>0</v>
      </c>
      <c r="P52" s="17">
        <v>0</v>
      </c>
      <c r="Q52" s="17">
        <v>0</v>
      </c>
      <c r="R52" s="17">
        <v>0</v>
      </c>
      <c r="S52" s="17">
        <v>0</v>
      </c>
      <c r="T52" s="17">
        <v>0</v>
      </c>
      <c r="U52" s="17">
        <v>0</v>
      </c>
      <c r="V52" s="17">
        <v>0</v>
      </c>
      <c r="W52" s="17">
        <v>0</v>
      </c>
      <c r="X52" s="17">
        <v>0</v>
      </c>
      <c r="Y52" s="17">
        <v>0</v>
      </c>
      <c r="Z52" s="17">
        <v>0</v>
      </c>
      <c r="AA52" s="17">
        <v>0</v>
      </c>
    </row>
    <row r="53" spans="1:27">
      <c r="A53" s="17"/>
      <c r="B53" s="17" t="b">
        <f t="shared" ref="B53:AA53" si="6">+OR($C28=B51,2*$C28=B51,3*$C28=B51,4*$C28=B51,5*$C28=B51,6*$C28=B51,7*$C28=B51,8*$C28=B51,9*$C28=B51,10*$C28=B51)</f>
        <v>0</v>
      </c>
      <c r="C53" s="17" t="b">
        <f>+OR($C28=C51,2*$C28=C51,3*$C28=C51,4*$C28=C51,5*$C28=C51,6*$C28=C51,7*$C28=C51,8*$C28=C51,9*$C28=C51,10*$C28=C51)</f>
        <v>0</v>
      </c>
      <c r="D53" s="17" t="b">
        <f t="shared" si="6"/>
        <v>0</v>
      </c>
      <c r="E53" s="17" t="b">
        <f t="shared" si="6"/>
        <v>0</v>
      </c>
      <c r="F53" s="17" t="b">
        <f t="shared" si="6"/>
        <v>0</v>
      </c>
      <c r="G53" s="17" t="b">
        <f t="shared" si="6"/>
        <v>1</v>
      </c>
      <c r="H53" s="17" t="b">
        <f t="shared" si="6"/>
        <v>0</v>
      </c>
      <c r="I53" s="17" t="b">
        <f t="shared" si="6"/>
        <v>0</v>
      </c>
      <c r="J53" s="17" t="b">
        <f t="shared" si="6"/>
        <v>0</v>
      </c>
      <c r="K53" s="17" t="b">
        <f t="shared" si="6"/>
        <v>0</v>
      </c>
      <c r="L53" s="17" t="b">
        <f t="shared" si="6"/>
        <v>1</v>
      </c>
      <c r="M53" s="17" t="b">
        <f t="shared" si="6"/>
        <v>0</v>
      </c>
      <c r="N53" s="17" t="b">
        <f t="shared" si="6"/>
        <v>0</v>
      </c>
      <c r="O53" s="17" t="b">
        <f t="shared" si="6"/>
        <v>0</v>
      </c>
      <c r="P53" s="17" t="b">
        <f t="shared" si="6"/>
        <v>0</v>
      </c>
      <c r="Q53" s="17" t="b">
        <f t="shared" si="6"/>
        <v>1</v>
      </c>
      <c r="R53" s="17" t="b">
        <f t="shared" si="6"/>
        <v>0</v>
      </c>
      <c r="S53" s="17" t="b">
        <f t="shared" si="6"/>
        <v>0</v>
      </c>
      <c r="T53" s="17" t="b">
        <f t="shared" si="6"/>
        <v>0</v>
      </c>
      <c r="U53" s="17" t="b">
        <f t="shared" si="6"/>
        <v>0</v>
      </c>
      <c r="V53" s="17" t="b">
        <f t="shared" si="6"/>
        <v>1</v>
      </c>
      <c r="W53" s="17" t="b">
        <f t="shared" si="6"/>
        <v>0</v>
      </c>
      <c r="X53" s="17" t="b">
        <f t="shared" si="6"/>
        <v>0</v>
      </c>
      <c r="Y53" s="17" t="b">
        <f t="shared" si="6"/>
        <v>0</v>
      </c>
      <c r="Z53" s="17" t="b">
        <f t="shared" si="6"/>
        <v>0</v>
      </c>
      <c r="AA53" s="17" t="b">
        <f t="shared" si="6"/>
        <v>1</v>
      </c>
    </row>
    <row r="54" spans="1:27">
      <c r="A54" s="17" t="str">
        <f>+A29</f>
        <v>Capital maintenance cost</v>
      </c>
      <c r="B54" s="17">
        <f>IF(B53=TRUE,+$C29*$C27,0)</f>
        <v>0</v>
      </c>
      <c r="C54" s="17">
        <f t="shared" ref="C54:AA54" si="7">IF(C53=TRUE,+$C29*$C27,0)</f>
        <v>0</v>
      </c>
      <c r="D54" s="17">
        <f t="shared" si="7"/>
        <v>0</v>
      </c>
      <c r="E54" s="17">
        <f t="shared" si="7"/>
        <v>0</v>
      </c>
      <c r="F54" s="17">
        <f t="shared" si="7"/>
        <v>0</v>
      </c>
      <c r="G54" s="17">
        <f t="shared" si="7"/>
        <v>30000</v>
      </c>
      <c r="H54" s="17">
        <f t="shared" si="7"/>
        <v>0</v>
      </c>
      <c r="I54" s="17">
        <f t="shared" si="7"/>
        <v>0</v>
      </c>
      <c r="J54" s="17">
        <f t="shared" si="7"/>
        <v>0</v>
      </c>
      <c r="K54" s="17">
        <f t="shared" si="7"/>
        <v>0</v>
      </c>
      <c r="L54" s="17">
        <f t="shared" si="7"/>
        <v>30000</v>
      </c>
      <c r="M54" s="17">
        <f t="shared" si="7"/>
        <v>0</v>
      </c>
      <c r="N54" s="17">
        <f t="shared" si="7"/>
        <v>0</v>
      </c>
      <c r="O54" s="17">
        <f t="shared" si="7"/>
        <v>0</v>
      </c>
      <c r="P54" s="17">
        <f t="shared" si="7"/>
        <v>0</v>
      </c>
      <c r="Q54" s="17">
        <f t="shared" si="7"/>
        <v>30000</v>
      </c>
      <c r="R54" s="17">
        <f t="shared" si="7"/>
        <v>0</v>
      </c>
      <c r="S54" s="17">
        <f t="shared" si="7"/>
        <v>0</v>
      </c>
      <c r="T54" s="17">
        <f t="shared" si="7"/>
        <v>0</v>
      </c>
      <c r="U54" s="17">
        <f t="shared" si="7"/>
        <v>0</v>
      </c>
      <c r="V54" s="17">
        <f t="shared" si="7"/>
        <v>30000</v>
      </c>
      <c r="W54" s="17">
        <f t="shared" si="7"/>
        <v>0</v>
      </c>
      <c r="X54" s="17">
        <f t="shared" si="7"/>
        <v>0</v>
      </c>
      <c r="Y54" s="17">
        <f t="shared" si="7"/>
        <v>0</v>
      </c>
      <c r="Z54" s="17">
        <f t="shared" si="7"/>
        <v>0</v>
      </c>
      <c r="AA54" s="17">
        <f t="shared" si="7"/>
        <v>30000</v>
      </c>
    </row>
    <row r="55" spans="1:27">
      <c r="A55" s="17" t="str">
        <f>+A30</f>
        <v>Operational wear and tear</v>
      </c>
      <c r="B55" s="17">
        <v>0</v>
      </c>
      <c r="C55" s="20">
        <f>+$C$27*$C$30</f>
        <v>4500</v>
      </c>
      <c r="D55" s="20">
        <f t="shared" ref="D55:AA55" si="8">+$C$27*$C$30</f>
        <v>4500</v>
      </c>
      <c r="E55" s="20">
        <f t="shared" si="8"/>
        <v>4500</v>
      </c>
      <c r="F55" s="20">
        <f t="shared" si="8"/>
        <v>4500</v>
      </c>
      <c r="G55" s="20">
        <f t="shared" si="8"/>
        <v>4500</v>
      </c>
      <c r="H55" s="20">
        <f t="shared" si="8"/>
        <v>4500</v>
      </c>
      <c r="I55" s="20">
        <f t="shared" si="8"/>
        <v>4500</v>
      </c>
      <c r="J55" s="20">
        <f t="shared" si="8"/>
        <v>4500</v>
      </c>
      <c r="K55" s="20">
        <f t="shared" si="8"/>
        <v>4500</v>
      </c>
      <c r="L55" s="20">
        <f t="shared" si="8"/>
        <v>4500</v>
      </c>
      <c r="M55" s="20">
        <f t="shared" si="8"/>
        <v>4500</v>
      </c>
      <c r="N55" s="20">
        <f t="shared" si="8"/>
        <v>4500</v>
      </c>
      <c r="O55" s="20">
        <f t="shared" si="8"/>
        <v>4500</v>
      </c>
      <c r="P55" s="20">
        <f t="shared" si="8"/>
        <v>4500</v>
      </c>
      <c r="Q55" s="20">
        <f t="shared" si="8"/>
        <v>4500</v>
      </c>
      <c r="R55" s="20">
        <f t="shared" si="8"/>
        <v>4500</v>
      </c>
      <c r="S55" s="20">
        <f t="shared" si="8"/>
        <v>4500</v>
      </c>
      <c r="T55" s="20">
        <f t="shared" si="8"/>
        <v>4500</v>
      </c>
      <c r="U55" s="20">
        <f t="shared" si="8"/>
        <v>4500</v>
      </c>
      <c r="V55" s="20">
        <f t="shared" si="8"/>
        <v>4500</v>
      </c>
      <c r="W55" s="20">
        <f t="shared" si="8"/>
        <v>4500</v>
      </c>
      <c r="X55" s="20">
        <f t="shared" si="8"/>
        <v>4500</v>
      </c>
      <c r="Y55" s="20">
        <f t="shared" si="8"/>
        <v>4500</v>
      </c>
      <c r="Z55" s="20">
        <f t="shared" si="8"/>
        <v>4500</v>
      </c>
      <c r="AA55" s="20">
        <f t="shared" si="8"/>
        <v>4500</v>
      </c>
    </row>
    <row r="56" spans="1:27">
      <c r="A56" s="17" t="s">
        <v>14</v>
      </c>
      <c r="B56" s="18">
        <f>SUM(B52:B55)</f>
        <v>30000</v>
      </c>
      <c r="C56" s="18">
        <f>SUM(C52:C55)</f>
        <v>4500</v>
      </c>
      <c r="D56" s="18">
        <f t="shared" ref="D56:AA56" si="9">SUM(D52:D55)</f>
        <v>4500</v>
      </c>
      <c r="E56" s="18">
        <f t="shared" si="9"/>
        <v>4500</v>
      </c>
      <c r="F56" s="18">
        <f t="shared" si="9"/>
        <v>4500</v>
      </c>
      <c r="G56" s="18">
        <f t="shared" si="9"/>
        <v>34500</v>
      </c>
      <c r="H56" s="18">
        <f t="shared" si="9"/>
        <v>4500</v>
      </c>
      <c r="I56" s="18">
        <f t="shared" si="9"/>
        <v>4500</v>
      </c>
      <c r="J56" s="18">
        <f t="shared" si="9"/>
        <v>4500</v>
      </c>
      <c r="K56" s="18">
        <f t="shared" si="9"/>
        <v>4500</v>
      </c>
      <c r="L56" s="18">
        <f t="shared" si="9"/>
        <v>34500</v>
      </c>
      <c r="M56" s="18">
        <f t="shared" si="9"/>
        <v>4500</v>
      </c>
      <c r="N56" s="18">
        <f t="shared" si="9"/>
        <v>4500</v>
      </c>
      <c r="O56" s="18">
        <f t="shared" si="9"/>
        <v>4500</v>
      </c>
      <c r="P56" s="18">
        <f t="shared" si="9"/>
        <v>4500</v>
      </c>
      <c r="Q56" s="18">
        <f t="shared" si="9"/>
        <v>34500</v>
      </c>
      <c r="R56" s="18">
        <f t="shared" si="9"/>
        <v>4500</v>
      </c>
      <c r="S56" s="18">
        <f t="shared" si="9"/>
        <v>4500</v>
      </c>
      <c r="T56" s="18">
        <f t="shared" si="9"/>
        <v>4500</v>
      </c>
      <c r="U56" s="18">
        <f t="shared" si="9"/>
        <v>4500</v>
      </c>
      <c r="V56" s="18">
        <f t="shared" si="9"/>
        <v>34500</v>
      </c>
      <c r="W56" s="18">
        <f t="shared" si="9"/>
        <v>4500</v>
      </c>
      <c r="X56" s="18">
        <f t="shared" si="9"/>
        <v>4500</v>
      </c>
      <c r="Y56" s="18">
        <f t="shared" si="9"/>
        <v>4500</v>
      </c>
      <c r="Z56" s="18">
        <f t="shared" si="9"/>
        <v>4500</v>
      </c>
      <c r="AA56" s="18">
        <f t="shared" si="9"/>
        <v>34500</v>
      </c>
    </row>
    <row r="57" spans="1:27">
      <c r="A57" s="17" t="s">
        <v>300</v>
      </c>
      <c r="B57" s="20">
        <f>NPV('Input Data'!B32,B56:AA56)</f>
        <v>97717.401274585471</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sheetData>
  <mergeCells count="3">
    <mergeCell ref="A2:C2"/>
    <mergeCell ref="A20:C20"/>
    <mergeCell ref="A1:C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AF64"/>
  <sheetViews>
    <sheetView zoomScaleNormal="100" zoomScalePageLayoutView="150" workbookViewId="0">
      <pane ySplit="1" topLeftCell="A15" activePane="bottomLeft" state="frozen"/>
      <selection pane="bottomLeft" activeCell="D36" sqref="D36"/>
    </sheetView>
  </sheetViews>
  <sheetFormatPr defaultColWidth="8.88671875" defaultRowHeight="14.4"/>
  <cols>
    <col min="1" max="1" width="42.109375" style="11" customWidth="1"/>
    <col min="2" max="2" width="16.44140625" style="11" customWidth="1"/>
    <col min="3" max="3" width="15.109375" style="11" customWidth="1"/>
    <col min="4" max="4" width="20.5546875" style="11" bestFit="1" customWidth="1"/>
    <col min="5" max="5" width="14.109375" style="11" customWidth="1"/>
    <col min="6" max="7" width="8.88671875" style="11"/>
    <col min="8" max="8" width="40.88671875" style="11" customWidth="1"/>
    <col min="9" max="9" width="14.33203125" style="11" bestFit="1" customWidth="1"/>
    <col min="10" max="10" width="15.44140625" style="11" bestFit="1" customWidth="1"/>
    <col min="11" max="11" width="14.33203125" style="11" bestFit="1" customWidth="1"/>
    <col min="12" max="12" width="14.6640625" style="11" bestFit="1" customWidth="1"/>
    <col min="13" max="16384" width="8.88671875" style="11"/>
  </cols>
  <sheetData>
    <row r="1" spans="1:32" customFormat="1" ht="18">
      <c r="A1" s="313" t="s">
        <v>292</v>
      </c>
      <c r="B1" s="313"/>
      <c r="C1" s="313"/>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row>
    <row r="2" spans="1:32" ht="15.6">
      <c r="A2" s="310" t="s">
        <v>280</v>
      </c>
      <c r="B2" s="311"/>
      <c r="C2" s="312"/>
    </row>
    <row r="3" spans="1:32">
      <c r="A3" s="150" t="s">
        <v>159</v>
      </c>
      <c r="B3" s="151" t="s">
        <v>147</v>
      </c>
      <c r="C3" s="16">
        <v>30</v>
      </c>
    </row>
    <row r="4" spans="1:32">
      <c r="A4" s="150" t="s">
        <v>241</v>
      </c>
      <c r="B4" s="21" t="s">
        <v>23</v>
      </c>
      <c r="C4" s="152">
        <f>'Input Data'!B22</f>
        <v>10</v>
      </c>
    </row>
    <row r="5" spans="1:32">
      <c r="A5" s="150" t="s">
        <v>243</v>
      </c>
      <c r="B5" s="21" t="s">
        <v>23</v>
      </c>
      <c r="C5" s="152">
        <f>'Input Data'!B24</f>
        <v>30</v>
      </c>
    </row>
    <row r="6" spans="1:32">
      <c r="A6" s="150" t="s">
        <v>26</v>
      </c>
      <c r="B6" s="21" t="s">
        <v>244</v>
      </c>
      <c r="C6" s="145">
        <v>120</v>
      </c>
    </row>
    <row r="7" spans="1:32">
      <c r="A7" s="150"/>
      <c r="B7" s="21"/>
      <c r="C7" s="152"/>
      <c r="D7" s="70"/>
    </row>
    <row r="8" spans="1:32">
      <c r="A8" s="153" t="s">
        <v>25</v>
      </c>
      <c r="B8" s="151" t="s">
        <v>246</v>
      </c>
      <c r="C8" s="16"/>
      <c r="D8" s="146"/>
    </row>
    <row r="9" spans="1:32">
      <c r="A9" s="150"/>
      <c r="B9" s="151" t="s">
        <v>245</v>
      </c>
      <c r="C9" s="16">
        <v>8000</v>
      </c>
      <c r="D9" s="149"/>
    </row>
    <row r="10" spans="1:32">
      <c r="A10" s="150" t="s">
        <v>0</v>
      </c>
      <c r="B10" s="151" t="s">
        <v>246</v>
      </c>
      <c r="C10" s="166">
        <f>IF(C9&gt;0,C9*RESULTS!B2,C8)</f>
        <v>624000</v>
      </c>
      <c r="D10" s="147"/>
    </row>
    <row r="11" spans="1:32">
      <c r="A11" s="150" t="s">
        <v>37</v>
      </c>
      <c r="B11" s="151" t="s">
        <v>2</v>
      </c>
      <c r="C11" s="16">
        <v>7.5</v>
      </c>
      <c r="D11" s="19"/>
    </row>
    <row r="12" spans="1:32">
      <c r="A12" s="150" t="s">
        <v>3</v>
      </c>
      <c r="B12" s="151" t="s">
        <v>13</v>
      </c>
      <c r="C12" s="13">
        <v>1</v>
      </c>
    </row>
    <row r="13" spans="1:32">
      <c r="A13" s="150" t="s">
        <v>4</v>
      </c>
      <c r="B13" s="151" t="s">
        <v>5</v>
      </c>
      <c r="C13" s="13">
        <v>0.1</v>
      </c>
    </row>
    <row r="14" spans="1:32">
      <c r="A14" s="150" t="s">
        <v>10</v>
      </c>
      <c r="B14" s="151" t="s">
        <v>265</v>
      </c>
      <c r="C14" s="155">
        <f>+B54/RESULTS!B6</f>
        <v>46123.804662522998</v>
      </c>
    </row>
    <row r="15" spans="1:32">
      <c r="A15" s="153" t="s">
        <v>24</v>
      </c>
      <c r="B15" s="151"/>
      <c r="C15" s="154"/>
    </row>
    <row r="16" spans="1:32">
      <c r="A16" s="150" t="s">
        <v>6</v>
      </c>
      <c r="B16" s="151" t="s">
        <v>7</v>
      </c>
      <c r="C16" s="15">
        <v>0.1</v>
      </c>
    </row>
    <row r="17" spans="1:6">
      <c r="A17" s="150" t="s">
        <v>8</v>
      </c>
      <c r="B17" s="151" t="s">
        <v>264</v>
      </c>
      <c r="C17" s="15">
        <v>0.1</v>
      </c>
    </row>
    <row r="18" spans="1:6">
      <c r="A18" s="150" t="s">
        <v>18</v>
      </c>
      <c r="B18" s="151"/>
      <c r="C18" s="15">
        <v>1</v>
      </c>
    </row>
    <row r="19" spans="1:6">
      <c r="A19" s="150" t="s">
        <v>19</v>
      </c>
      <c r="B19" s="151"/>
      <c r="C19" s="15">
        <v>1</v>
      </c>
    </row>
    <row r="20" spans="1:6">
      <c r="A20" s="150" t="s">
        <v>17</v>
      </c>
      <c r="B20" s="151" t="s">
        <v>248</v>
      </c>
      <c r="C20" s="154">
        <f>+(C18*'Input Data'!B35)+(C19*'Input Data'!B36)</f>
        <v>35</v>
      </c>
      <c r="D20" s="70"/>
    </row>
    <row r="21" spans="1:6">
      <c r="A21" s="156" t="s">
        <v>9</v>
      </c>
      <c r="B21" s="157" t="s">
        <v>264</v>
      </c>
      <c r="C21" s="169">
        <f>+C17+(C16*'Input Data'!B26)</f>
        <v>6.9</v>
      </c>
      <c r="D21" s="70"/>
    </row>
    <row r="22" spans="1:6">
      <c r="D22" s="70"/>
    </row>
    <row r="23" spans="1:6" ht="15.6">
      <c r="A23" s="310" t="s">
        <v>40</v>
      </c>
      <c r="B23" s="311"/>
      <c r="C23" s="312"/>
      <c r="D23" s="70"/>
    </row>
    <row r="24" spans="1:6">
      <c r="A24" s="158" t="s">
        <v>159</v>
      </c>
      <c r="B24" s="159" t="s">
        <v>147</v>
      </c>
      <c r="C24" s="16">
        <v>60</v>
      </c>
      <c r="D24" s="70"/>
    </row>
    <row r="25" spans="1:6">
      <c r="A25" s="158"/>
      <c r="B25" s="22"/>
      <c r="C25" s="160"/>
      <c r="D25" s="70"/>
    </row>
    <row r="26" spans="1:6">
      <c r="A26" s="158" t="s">
        <v>242</v>
      </c>
      <c r="B26" s="22" t="s">
        <v>23</v>
      </c>
      <c r="C26" s="160">
        <f>'Input Data'!B24</f>
        <v>30</v>
      </c>
      <c r="D26" s="70"/>
    </row>
    <row r="27" spans="1:6">
      <c r="A27" s="158" t="s">
        <v>26</v>
      </c>
      <c r="B27" s="22" t="s">
        <v>244</v>
      </c>
      <c r="C27" s="145">
        <v>15000</v>
      </c>
      <c r="D27" s="70"/>
    </row>
    <row r="28" spans="1:6">
      <c r="A28" s="158"/>
      <c r="B28" s="22"/>
      <c r="C28" s="161"/>
      <c r="D28" s="70"/>
      <c r="E28" s="70"/>
      <c r="F28" s="70"/>
    </row>
    <row r="29" spans="1:6">
      <c r="A29" s="162" t="s">
        <v>11</v>
      </c>
      <c r="B29" s="159" t="s">
        <v>246</v>
      </c>
      <c r="C29" s="16">
        <v>1560000</v>
      </c>
      <c r="D29" s="146"/>
      <c r="E29" s="70"/>
      <c r="F29" s="70"/>
    </row>
    <row r="30" spans="1:6">
      <c r="A30" s="158"/>
      <c r="B30" s="159" t="s">
        <v>245</v>
      </c>
      <c r="C30" s="16"/>
      <c r="D30" s="149"/>
      <c r="E30" s="70"/>
      <c r="F30" s="70"/>
    </row>
    <row r="31" spans="1:6">
      <c r="A31" s="158" t="s">
        <v>0</v>
      </c>
      <c r="B31" s="159" t="s">
        <v>246</v>
      </c>
      <c r="C31" s="167">
        <f>IF(C30&gt;0,C30*RESULTS!B2,C29)</f>
        <v>1560000</v>
      </c>
      <c r="D31" s="147"/>
      <c r="E31" s="70"/>
      <c r="F31" s="70"/>
    </row>
    <row r="32" spans="1:6">
      <c r="A32" s="158" t="s">
        <v>1</v>
      </c>
      <c r="B32" s="159" t="s">
        <v>2</v>
      </c>
      <c r="C32" s="16">
        <v>10</v>
      </c>
      <c r="D32" s="70"/>
      <c r="E32" s="70"/>
      <c r="F32" s="70"/>
    </row>
    <row r="33" spans="1:27">
      <c r="A33" s="158" t="s">
        <v>3</v>
      </c>
      <c r="B33" s="159" t="s">
        <v>13</v>
      </c>
      <c r="C33" s="13">
        <v>1</v>
      </c>
      <c r="D33" s="70"/>
      <c r="E33" s="70"/>
      <c r="F33" s="70"/>
    </row>
    <row r="34" spans="1:27">
      <c r="A34" s="158" t="s">
        <v>4</v>
      </c>
      <c r="B34" s="159" t="s">
        <v>5</v>
      </c>
      <c r="C34" s="13">
        <v>0.15</v>
      </c>
      <c r="D34" s="70"/>
      <c r="E34" s="70"/>
      <c r="F34" s="70"/>
    </row>
    <row r="35" spans="1:27">
      <c r="A35" s="158" t="s">
        <v>10</v>
      </c>
      <c r="B35" s="159" t="s">
        <v>265</v>
      </c>
      <c r="C35" s="163">
        <f>+B64/RESULTS!B6</f>
        <v>154003.20481009246</v>
      </c>
      <c r="D35" s="70"/>
      <c r="E35" s="70"/>
      <c r="F35" s="70"/>
    </row>
    <row r="36" spans="1:27">
      <c r="A36" s="162" t="s">
        <v>12</v>
      </c>
      <c r="B36" s="159"/>
      <c r="C36" s="161"/>
      <c r="D36" s="70"/>
    </row>
    <row r="37" spans="1:27">
      <c r="A37" s="158" t="s">
        <v>6</v>
      </c>
      <c r="B37" s="159" t="s">
        <v>7</v>
      </c>
      <c r="C37" s="15">
        <v>0.2</v>
      </c>
      <c r="D37" s="70"/>
    </row>
    <row r="38" spans="1:27">
      <c r="A38" s="158" t="s">
        <v>8</v>
      </c>
      <c r="B38" s="159" t="s">
        <v>264</v>
      </c>
      <c r="C38" s="15">
        <v>2</v>
      </c>
      <c r="D38" s="70"/>
    </row>
    <row r="39" spans="1:27">
      <c r="A39" s="158" t="s">
        <v>18</v>
      </c>
      <c r="B39" s="159"/>
      <c r="C39" s="15">
        <v>1</v>
      </c>
      <c r="D39" s="70"/>
    </row>
    <row r="40" spans="1:27">
      <c r="A40" s="158" t="s">
        <v>19</v>
      </c>
      <c r="B40" s="159"/>
      <c r="C40" s="15">
        <v>1</v>
      </c>
      <c r="D40" s="70"/>
    </row>
    <row r="41" spans="1:27">
      <c r="A41" s="158" t="s">
        <v>17</v>
      </c>
      <c r="B41" s="159" t="s">
        <v>248</v>
      </c>
      <c r="C41" s="160">
        <f>+(C39*'Input Data'!B35)+(C40*'Input Data'!B36)</f>
        <v>35</v>
      </c>
      <c r="D41" s="70"/>
    </row>
    <row r="42" spans="1:27">
      <c r="A42" s="164" t="s">
        <v>9</v>
      </c>
      <c r="B42" s="165" t="s">
        <v>264</v>
      </c>
      <c r="C42" s="168">
        <f>+C38+(C37*'Input Data'!B26)</f>
        <v>15.600000000000001</v>
      </c>
      <c r="D42" s="70"/>
    </row>
    <row r="43" spans="1:27">
      <c r="D43" s="70"/>
    </row>
    <row r="45" spans="1:27">
      <c r="A45" s="69" t="s">
        <v>15</v>
      </c>
    </row>
    <row r="47" spans="1:27">
      <c r="A47" s="69" t="str">
        <f>A2</f>
        <v xml:space="preserve">Truck </v>
      </c>
    </row>
    <row r="48" spans="1:27">
      <c r="A48" s="17" t="s">
        <v>16</v>
      </c>
      <c r="B48" s="17">
        <v>0</v>
      </c>
      <c r="C48" s="17">
        <f t="shared" ref="C48:P48" si="0">+B48+1</f>
        <v>1</v>
      </c>
      <c r="D48" s="17">
        <f t="shared" si="0"/>
        <v>2</v>
      </c>
      <c r="E48" s="17">
        <f t="shared" si="0"/>
        <v>3</v>
      </c>
      <c r="F48" s="17">
        <f>+E48+1</f>
        <v>4</v>
      </c>
      <c r="G48" s="17">
        <f t="shared" si="0"/>
        <v>5</v>
      </c>
      <c r="H48" s="17">
        <f t="shared" si="0"/>
        <v>6</v>
      </c>
      <c r="I48" s="17">
        <f t="shared" si="0"/>
        <v>7</v>
      </c>
      <c r="J48" s="17">
        <f t="shared" si="0"/>
        <v>8</v>
      </c>
      <c r="K48" s="17">
        <f t="shared" si="0"/>
        <v>9</v>
      </c>
      <c r="L48" s="17">
        <f t="shared" si="0"/>
        <v>10</v>
      </c>
      <c r="M48" s="17">
        <f>+L48+1</f>
        <v>11</v>
      </c>
      <c r="N48" s="17">
        <f t="shared" si="0"/>
        <v>12</v>
      </c>
      <c r="O48" s="17">
        <f t="shared" si="0"/>
        <v>13</v>
      </c>
      <c r="P48" s="17">
        <f t="shared" si="0"/>
        <v>14</v>
      </c>
      <c r="Q48" s="17">
        <f t="shared" ref="Q48" si="1">+P48+1</f>
        <v>15</v>
      </c>
      <c r="R48" s="17">
        <f t="shared" ref="R48" si="2">+Q48+1</f>
        <v>16</v>
      </c>
      <c r="S48" s="17">
        <f t="shared" ref="S48" si="3">+R48+1</f>
        <v>17</v>
      </c>
      <c r="T48" s="17">
        <f t="shared" ref="T48" si="4">+S48+1</f>
        <v>18</v>
      </c>
      <c r="U48" s="17">
        <f t="shared" ref="U48" si="5">+T48+1</f>
        <v>19</v>
      </c>
      <c r="V48" s="17">
        <f t="shared" ref="V48" si="6">+U48+1</f>
        <v>20</v>
      </c>
      <c r="W48" s="17">
        <f t="shared" ref="W48" si="7">+V48+1</f>
        <v>21</v>
      </c>
      <c r="X48" s="17">
        <f t="shared" ref="X48" si="8">+W48+1</f>
        <v>22</v>
      </c>
      <c r="Y48" s="17">
        <f t="shared" ref="Y48" si="9">+X48+1</f>
        <v>23</v>
      </c>
      <c r="Z48" s="17">
        <f t="shared" ref="Z48:AA48" si="10">+Y48+1</f>
        <v>24</v>
      </c>
      <c r="AA48" s="17">
        <f t="shared" si="10"/>
        <v>25</v>
      </c>
    </row>
    <row r="49" spans="1:27">
      <c r="A49" s="17" t="str">
        <f>+A10</f>
        <v>Capital cost</v>
      </c>
      <c r="B49" s="18">
        <f>+C10</f>
        <v>624000</v>
      </c>
      <c r="C49" s="17">
        <v>0</v>
      </c>
      <c r="D49" s="17">
        <v>0</v>
      </c>
      <c r="E49" s="17">
        <v>0</v>
      </c>
      <c r="F49" s="17">
        <v>0</v>
      </c>
      <c r="G49" s="17">
        <v>0</v>
      </c>
      <c r="H49" s="17">
        <v>0</v>
      </c>
      <c r="I49" s="17">
        <v>0</v>
      </c>
      <c r="J49" s="17">
        <v>0</v>
      </c>
      <c r="K49" s="17">
        <v>0</v>
      </c>
      <c r="L49" s="17">
        <v>0</v>
      </c>
      <c r="M49" s="17">
        <v>0</v>
      </c>
      <c r="N49" s="17">
        <v>0</v>
      </c>
      <c r="O49" s="17">
        <v>0</v>
      </c>
      <c r="P49" s="17">
        <v>0</v>
      </c>
      <c r="Q49" s="17">
        <v>0</v>
      </c>
      <c r="R49" s="17">
        <v>0</v>
      </c>
      <c r="S49" s="17">
        <v>0</v>
      </c>
      <c r="T49" s="17">
        <v>0</v>
      </c>
      <c r="U49" s="17">
        <v>0</v>
      </c>
      <c r="V49" s="17">
        <v>0</v>
      </c>
      <c r="W49" s="17">
        <v>0</v>
      </c>
      <c r="X49" s="17">
        <v>0</v>
      </c>
      <c r="Y49" s="17">
        <v>0</v>
      </c>
      <c r="Z49" s="17">
        <v>0</v>
      </c>
      <c r="AA49" s="17">
        <v>0</v>
      </c>
    </row>
    <row r="50" spans="1:27">
      <c r="A50" s="17"/>
      <c r="B50" s="17" t="b">
        <f t="shared" ref="B50:AA50" si="11">+OR($C11=B48,2*$C11=B48,3*$C11=B48,4*$C11=B48,5*$C11=B48,6*$C11=B48,7*$C11=B48,8*$C11=B48,9*$C11=B48,10*$C11=B48)</f>
        <v>0</v>
      </c>
      <c r="C50" s="17" t="b">
        <f t="shared" si="11"/>
        <v>0</v>
      </c>
      <c r="D50" s="17" t="b">
        <f t="shared" si="11"/>
        <v>0</v>
      </c>
      <c r="E50" s="17" t="b">
        <f t="shared" si="11"/>
        <v>0</v>
      </c>
      <c r="F50" s="17" t="b">
        <f t="shared" si="11"/>
        <v>0</v>
      </c>
      <c r="G50" s="17" t="b">
        <f t="shared" si="11"/>
        <v>0</v>
      </c>
      <c r="H50" s="17" t="b">
        <f t="shared" si="11"/>
        <v>0</v>
      </c>
      <c r="I50" s="17" t="b">
        <f t="shared" si="11"/>
        <v>0</v>
      </c>
      <c r="J50" s="17" t="b">
        <f t="shared" si="11"/>
        <v>0</v>
      </c>
      <c r="K50" s="17" t="b">
        <f t="shared" si="11"/>
        <v>0</v>
      </c>
      <c r="L50" s="17" t="b">
        <f t="shared" si="11"/>
        <v>0</v>
      </c>
      <c r="M50" s="17" t="b">
        <f t="shared" si="11"/>
        <v>0</v>
      </c>
      <c r="N50" s="17" t="b">
        <f t="shared" si="11"/>
        <v>0</v>
      </c>
      <c r="O50" s="17" t="b">
        <f t="shared" si="11"/>
        <v>0</v>
      </c>
      <c r="P50" s="17" t="b">
        <f t="shared" si="11"/>
        <v>0</v>
      </c>
      <c r="Q50" s="17" t="b">
        <f t="shared" si="11"/>
        <v>1</v>
      </c>
      <c r="R50" s="17" t="b">
        <f t="shared" si="11"/>
        <v>0</v>
      </c>
      <c r="S50" s="17" t="b">
        <f t="shared" si="11"/>
        <v>0</v>
      </c>
      <c r="T50" s="17" t="b">
        <f t="shared" si="11"/>
        <v>0</v>
      </c>
      <c r="U50" s="17" t="b">
        <f t="shared" si="11"/>
        <v>0</v>
      </c>
      <c r="V50" s="17" t="b">
        <f t="shared" si="11"/>
        <v>0</v>
      </c>
      <c r="W50" s="17" t="b">
        <f t="shared" si="11"/>
        <v>0</v>
      </c>
      <c r="X50" s="17" t="b">
        <f t="shared" si="11"/>
        <v>0</v>
      </c>
      <c r="Y50" s="17" t="b">
        <f t="shared" si="11"/>
        <v>0</v>
      </c>
      <c r="Z50" s="17" t="b">
        <f t="shared" si="11"/>
        <v>0</v>
      </c>
      <c r="AA50" s="17" t="b">
        <f t="shared" si="11"/>
        <v>0</v>
      </c>
    </row>
    <row r="51" spans="1:27">
      <c r="A51" s="17" t="str">
        <f>+A12</f>
        <v>Capital maintenance cost</v>
      </c>
      <c r="B51" s="17">
        <f t="shared" ref="B51:AA51" si="12">IF(B50=TRUE,+$C12*$C10,0)</f>
        <v>0</v>
      </c>
      <c r="C51" s="17">
        <f t="shared" si="12"/>
        <v>0</v>
      </c>
      <c r="D51" s="17">
        <f t="shared" si="12"/>
        <v>0</v>
      </c>
      <c r="E51" s="17">
        <f t="shared" si="12"/>
        <v>0</v>
      </c>
      <c r="F51" s="17">
        <f t="shared" si="12"/>
        <v>0</v>
      </c>
      <c r="G51" s="17">
        <f t="shared" si="12"/>
        <v>0</v>
      </c>
      <c r="H51" s="17">
        <f t="shared" si="12"/>
        <v>0</v>
      </c>
      <c r="I51" s="17">
        <f t="shared" si="12"/>
        <v>0</v>
      </c>
      <c r="J51" s="17">
        <f t="shared" si="12"/>
        <v>0</v>
      </c>
      <c r="K51" s="17">
        <f t="shared" si="12"/>
        <v>0</v>
      </c>
      <c r="L51" s="17">
        <f t="shared" si="12"/>
        <v>0</v>
      </c>
      <c r="M51" s="17">
        <f t="shared" si="12"/>
        <v>0</v>
      </c>
      <c r="N51" s="17">
        <f t="shared" si="12"/>
        <v>0</v>
      </c>
      <c r="O51" s="17">
        <f t="shared" si="12"/>
        <v>0</v>
      </c>
      <c r="P51" s="17">
        <f t="shared" si="12"/>
        <v>0</v>
      </c>
      <c r="Q51" s="17">
        <f t="shared" si="12"/>
        <v>624000</v>
      </c>
      <c r="R51" s="17">
        <f t="shared" si="12"/>
        <v>0</v>
      </c>
      <c r="S51" s="17">
        <f t="shared" si="12"/>
        <v>0</v>
      </c>
      <c r="T51" s="17">
        <f t="shared" si="12"/>
        <v>0</v>
      </c>
      <c r="U51" s="17">
        <f t="shared" si="12"/>
        <v>0</v>
      </c>
      <c r="V51" s="17">
        <f t="shared" si="12"/>
        <v>0</v>
      </c>
      <c r="W51" s="17">
        <f t="shared" si="12"/>
        <v>0</v>
      </c>
      <c r="X51" s="17">
        <f t="shared" si="12"/>
        <v>0</v>
      </c>
      <c r="Y51" s="17">
        <f t="shared" si="12"/>
        <v>0</v>
      </c>
      <c r="Z51" s="17">
        <f t="shared" si="12"/>
        <v>0</v>
      </c>
      <c r="AA51" s="17">
        <f t="shared" si="12"/>
        <v>0</v>
      </c>
    </row>
    <row r="52" spans="1:27">
      <c r="A52" s="17" t="str">
        <f>+A13</f>
        <v>Operational wear and tear</v>
      </c>
      <c r="B52" s="17">
        <v>0</v>
      </c>
      <c r="C52" s="20">
        <f t="shared" ref="C52:AA52" si="13">+$C$13*$C$10</f>
        <v>62400</v>
      </c>
      <c r="D52" s="20">
        <f t="shared" si="13"/>
        <v>62400</v>
      </c>
      <c r="E52" s="20">
        <f t="shared" si="13"/>
        <v>62400</v>
      </c>
      <c r="F52" s="20">
        <f t="shared" si="13"/>
        <v>62400</v>
      </c>
      <c r="G52" s="20">
        <f t="shared" si="13"/>
        <v>62400</v>
      </c>
      <c r="H52" s="20">
        <f t="shared" si="13"/>
        <v>62400</v>
      </c>
      <c r="I52" s="20">
        <f t="shared" si="13"/>
        <v>62400</v>
      </c>
      <c r="J52" s="20">
        <f t="shared" si="13"/>
        <v>62400</v>
      </c>
      <c r="K52" s="20">
        <f t="shared" si="13"/>
        <v>62400</v>
      </c>
      <c r="L52" s="20">
        <f t="shared" si="13"/>
        <v>62400</v>
      </c>
      <c r="M52" s="20">
        <f t="shared" si="13"/>
        <v>62400</v>
      </c>
      <c r="N52" s="20">
        <f t="shared" si="13"/>
        <v>62400</v>
      </c>
      <c r="O52" s="20">
        <f t="shared" si="13"/>
        <v>62400</v>
      </c>
      <c r="P52" s="20">
        <f t="shared" si="13"/>
        <v>62400</v>
      </c>
      <c r="Q52" s="20">
        <f t="shared" si="13"/>
        <v>62400</v>
      </c>
      <c r="R52" s="20">
        <f t="shared" si="13"/>
        <v>62400</v>
      </c>
      <c r="S52" s="20">
        <f t="shared" si="13"/>
        <v>62400</v>
      </c>
      <c r="T52" s="20">
        <f t="shared" si="13"/>
        <v>62400</v>
      </c>
      <c r="U52" s="20">
        <f t="shared" si="13"/>
        <v>62400</v>
      </c>
      <c r="V52" s="20">
        <f t="shared" si="13"/>
        <v>62400</v>
      </c>
      <c r="W52" s="20">
        <f t="shared" si="13"/>
        <v>62400</v>
      </c>
      <c r="X52" s="20">
        <f t="shared" si="13"/>
        <v>62400</v>
      </c>
      <c r="Y52" s="20">
        <f t="shared" si="13"/>
        <v>62400</v>
      </c>
      <c r="Z52" s="20">
        <f t="shared" si="13"/>
        <v>62400</v>
      </c>
      <c r="AA52" s="20">
        <f t="shared" si="13"/>
        <v>62400</v>
      </c>
    </row>
    <row r="53" spans="1:27">
      <c r="A53" s="17" t="s">
        <v>14</v>
      </c>
      <c r="B53" s="18">
        <f t="shared" ref="B53:P53" si="14">SUM(B49:B52)</f>
        <v>624000</v>
      </c>
      <c r="C53" s="18">
        <f t="shared" si="14"/>
        <v>62400</v>
      </c>
      <c r="D53" s="18">
        <f t="shared" si="14"/>
        <v>62400</v>
      </c>
      <c r="E53" s="18">
        <f t="shared" si="14"/>
        <v>62400</v>
      </c>
      <c r="F53" s="18">
        <f t="shared" si="14"/>
        <v>62400</v>
      </c>
      <c r="G53" s="18">
        <f t="shared" si="14"/>
        <v>62400</v>
      </c>
      <c r="H53" s="18">
        <f t="shared" si="14"/>
        <v>62400</v>
      </c>
      <c r="I53" s="18">
        <f t="shared" si="14"/>
        <v>62400</v>
      </c>
      <c r="J53" s="18">
        <f t="shared" si="14"/>
        <v>62400</v>
      </c>
      <c r="K53" s="18">
        <f t="shared" si="14"/>
        <v>62400</v>
      </c>
      <c r="L53" s="18">
        <f t="shared" si="14"/>
        <v>62400</v>
      </c>
      <c r="M53" s="18">
        <f t="shared" si="14"/>
        <v>62400</v>
      </c>
      <c r="N53" s="18">
        <f t="shared" si="14"/>
        <v>62400</v>
      </c>
      <c r="O53" s="18">
        <f t="shared" si="14"/>
        <v>62400</v>
      </c>
      <c r="P53" s="18">
        <f t="shared" si="14"/>
        <v>62400</v>
      </c>
      <c r="Q53" s="18">
        <f t="shared" ref="Q53:Z53" si="15">SUM(Q49:Q52)</f>
        <v>686400</v>
      </c>
      <c r="R53" s="18">
        <f t="shared" si="15"/>
        <v>62400</v>
      </c>
      <c r="S53" s="18">
        <f t="shared" si="15"/>
        <v>62400</v>
      </c>
      <c r="T53" s="18">
        <f t="shared" si="15"/>
        <v>62400</v>
      </c>
      <c r="U53" s="18">
        <f t="shared" si="15"/>
        <v>62400</v>
      </c>
      <c r="V53" s="18">
        <f t="shared" si="15"/>
        <v>62400</v>
      </c>
      <c r="W53" s="18">
        <f t="shared" si="15"/>
        <v>62400</v>
      </c>
      <c r="X53" s="18">
        <f t="shared" si="15"/>
        <v>62400</v>
      </c>
      <c r="Y53" s="18">
        <f t="shared" si="15"/>
        <v>62400</v>
      </c>
      <c r="Z53" s="18">
        <f t="shared" si="15"/>
        <v>62400</v>
      </c>
      <c r="AA53" s="18">
        <f t="shared" ref="AA53" si="16">SUM(AA49:AA52)</f>
        <v>62400</v>
      </c>
    </row>
    <row r="54" spans="1:27">
      <c r="A54" s="17" t="s">
        <v>34</v>
      </c>
      <c r="B54" s="20">
        <f>NPV('Input Data'!B32,B53:AA53)</f>
        <v>1153095.116563075</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7" spans="1:27">
      <c r="A57" s="69" t="str">
        <f>A23</f>
        <v>Tanker</v>
      </c>
    </row>
    <row r="58" spans="1:27">
      <c r="A58" s="17" t="s">
        <v>16</v>
      </c>
      <c r="B58" s="17">
        <v>0</v>
      </c>
      <c r="C58" s="17">
        <f t="shared" ref="C58" si="17">+B58+1</f>
        <v>1</v>
      </c>
      <c r="D58" s="17">
        <f t="shared" ref="D58" si="18">+C58+1</f>
        <v>2</v>
      </c>
      <c r="E58" s="17">
        <f t="shared" ref="E58" si="19">+D58+1</f>
        <v>3</v>
      </c>
      <c r="F58" s="17">
        <f>+E58+1</f>
        <v>4</v>
      </c>
      <c r="G58" s="17">
        <f t="shared" ref="G58" si="20">+F58+1</f>
        <v>5</v>
      </c>
      <c r="H58" s="17">
        <f t="shared" ref="H58" si="21">+G58+1</f>
        <v>6</v>
      </c>
      <c r="I58" s="17">
        <f t="shared" ref="I58" si="22">+H58+1</f>
        <v>7</v>
      </c>
      <c r="J58" s="17">
        <f t="shared" ref="J58" si="23">+I58+1</f>
        <v>8</v>
      </c>
      <c r="K58" s="17">
        <f t="shared" ref="K58" si="24">+J58+1</f>
        <v>9</v>
      </c>
      <c r="L58" s="17">
        <f t="shared" ref="L58" si="25">+K58+1</f>
        <v>10</v>
      </c>
      <c r="M58" s="17">
        <f>+L58+1</f>
        <v>11</v>
      </c>
      <c r="N58" s="17">
        <f t="shared" ref="N58" si="26">+M58+1</f>
        <v>12</v>
      </c>
      <c r="O58" s="17">
        <f t="shared" ref="O58" si="27">+N58+1</f>
        <v>13</v>
      </c>
      <c r="P58" s="17">
        <f t="shared" ref="P58" si="28">+O58+1</f>
        <v>14</v>
      </c>
      <c r="Q58" s="17">
        <f t="shared" ref="Q58" si="29">+P58+1</f>
        <v>15</v>
      </c>
      <c r="R58" s="17">
        <f t="shared" ref="R58" si="30">+Q58+1</f>
        <v>16</v>
      </c>
      <c r="S58" s="17">
        <f t="shared" ref="S58" si="31">+R58+1</f>
        <v>17</v>
      </c>
      <c r="T58" s="17">
        <f t="shared" ref="T58" si="32">+S58+1</f>
        <v>18</v>
      </c>
      <c r="U58" s="17">
        <f t="shared" ref="U58" si="33">+T58+1</f>
        <v>19</v>
      </c>
      <c r="V58" s="17">
        <f t="shared" ref="V58" si="34">+U58+1</f>
        <v>20</v>
      </c>
      <c r="W58" s="17">
        <f t="shared" ref="W58" si="35">+V58+1</f>
        <v>21</v>
      </c>
      <c r="X58" s="17">
        <f t="shared" ref="X58" si="36">+W58+1</f>
        <v>22</v>
      </c>
      <c r="Y58" s="17">
        <f t="shared" ref="Y58" si="37">+X58+1</f>
        <v>23</v>
      </c>
      <c r="Z58" s="17">
        <f t="shared" ref="Z58" si="38">+Y58+1</f>
        <v>24</v>
      </c>
      <c r="AA58" s="17">
        <f t="shared" ref="AA58" si="39">+Z58+1</f>
        <v>25</v>
      </c>
    </row>
    <row r="59" spans="1:27">
      <c r="A59" s="17" t="str">
        <f>+A31</f>
        <v>Capital cost</v>
      </c>
      <c r="B59" s="18">
        <f>+C31</f>
        <v>1560000</v>
      </c>
      <c r="C59" s="17">
        <v>0</v>
      </c>
      <c r="D59" s="17">
        <v>0</v>
      </c>
      <c r="E59" s="17">
        <v>0</v>
      </c>
      <c r="F59" s="17">
        <v>0</v>
      </c>
      <c r="G59" s="17">
        <v>0</v>
      </c>
      <c r="H59" s="17">
        <v>0</v>
      </c>
      <c r="I59" s="17">
        <v>0</v>
      </c>
      <c r="J59" s="17">
        <v>0</v>
      </c>
      <c r="K59" s="17">
        <v>0</v>
      </c>
      <c r="L59" s="17">
        <v>0</v>
      </c>
      <c r="M59" s="17">
        <v>0</v>
      </c>
      <c r="N59" s="17">
        <v>0</v>
      </c>
      <c r="O59" s="17">
        <v>0</v>
      </c>
      <c r="P59" s="17">
        <v>0</v>
      </c>
      <c r="Q59" s="17">
        <v>0</v>
      </c>
      <c r="R59" s="17">
        <v>0</v>
      </c>
      <c r="S59" s="17">
        <v>0</v>
      </c>
      <c r="T59" s="17">
        <v>0</v>
      </c>
      <c r="U59" s="17">
        <v>0</v>
      </c>
      <c r="V59" s="17">
        <v>0</v>
      </c>
      <c r="W59" s="17">
        <v>0</v>
      </c>
      <c r="X59" s="17">
        <v>0</v>
      </c>
      <c r="Y59" s="17">
        <v>0</v>
      </c>
      <c r="Z59" s="17">
        <v>0</v>
      </c>
      <c r="AA59" s="17">
        <v>0</v>
      </c>
    </row>
    <row r="60" spans="1:27">
      <c r="A60" s="17"/>
      <c r="B60" s="17" t="b">
        <f t="shared" ref="B60:AA60" si="40">+OR($C32=B58,2*$C32=B58,3*$C32=B58,4*$C32=B58,5*$C32=B58,6*$C32=B58,7*$C32=B58,8*$C32=B58,9*$C32=B58,10*$C32=B58)</f>
        <v>0</v>
      </c>
      <c r="C60" s="17" t="b">
        <f t="shared" si="40"/>
        <v>0</v>
      </c>
      <c r="D60" s="17" t="b">
        <f t="shared" si="40"/>
        <v>0</v>
      </c>
      <c r="E60" s="17" t="b">
        <f t="shared" si="40"/>
        <v>0</v>
      </c>
      <c r="F60" s="17" t="b">
        <f t="shared" si="40"/>
        <v>0</v>
      </c>
      <c r="G60" s="17" t="b">
        <f t="shared" si="40"/>
        <v>0</v>
      </c>
      <c r="H60" s="17" t="b">
        <f t="shared" si="40"/>
        <v>0</v>
      </c>
      <c r="I60" s="17" t="b">
        <f t="shared" si="40"/>
        <v>0</v>
      </c>
      <c r="J60" s="17" t="b">
        <f t="shared" si="40"/>
        <v>0</v>
      </c>
      <c r="K60" s="17" t="b">
        <f t="shared" si="40"/>
        <v>0</v>
      </c>
      <c r="L60" s="17" t="b">
        <f t="shared" si="40"/>
        <v>1</v>
      </c>
      <c r="M60" s="17" t="b">
        <f t="shared" si="40"/>
        <v>0</v>
      </c>
      <c r="N60" s="17" t="b">
        <f t="shared" si="40"/>
        <v>0</v>
      </c>
      <c r="O60" s="17" t="b">
        <f t="shared" si="40"/>
        <v>0</v>
      </c>
      <c r="P60" s="17" t="b">
        <f t="shared" si="40"/>
        <v>0</v>
      </c>
      <c r="Q60" s="17" t="b">
        <f t="shared" si="40"/>
        <v>0</v>
      </c>
      <c r="R60" s="17" t="b">
        <f t="shared" si="40"/>
        <v>0</v>
      </c>
      <c r="S60" s="17" t="b">
        <f t="shared" si="40"/>
        <v>0</v>
      </c>
      <c r="T60" s="17" t="b">
        <f t="shared" si="40"/>
        <v>0</v>
      </c>
      <c r="U60" s="17" t="b">
        <f t="shared" si="40"/>
        <v>0</v>
      </c>
      <c r="V60" s="17" t="b">
        <f t="shared" si="40"/>
        <v>1</v>
      </c>
      <c r="W60" s="17" t="b">
        <f t="shared" si="40"/>
        <v>0</v>
      </c>
      <c r="X60" s="17" t="b">
        <f t="shared" si="40"/>
        <v>0</v>
      </c>
      <c r="Y60" s="17" t="b">
        <f t="shared" si="40"/>
        <v>0</v>
      </c>
      <c r="Z60" s="17" t="b">
        <f t="shared" si="40"/>
        <v>0</v>
      </c>
      <c r="AA60" s="17" t="b">
        <f t="shared" si="40"/>
        <v>0</v>
      </c>
    </row>
    <row r="61" spans="1:27">
      <c r="A61" s="17" t="str">
        <f>+A33</f>
        <v>Capital maintenance cost</v>
      </c>
      <c r="B61" s="17">
        <f t="shared" ref="B61:AA61" si="41">IF(B60=TRUE,+$C33*$C31,0)</f>
        <v>0</v>
      </c>
      <c r="C61" s="17">
        <f t="shared" si="41"/>
        <v>0</v>
      </c>
      <c r="D61" s="17">
        <f t="shared" si="41"/>
        <v>0</v>
      </c>
      <c r="E61" s="17">
        <f t="shared" si="41"/>
        <v>0</v>
      </c>
      <c r="F61" s="17">
        <f t="shared" si="41"/>
        <v>0</v>
      </c>
      <c r="G61" s="17">
        <f t="shared" si="41"/>
        <v>0</v>
      </c>
      <c r="H61" s="17">
        <f t="shared" si="41"/>
        <v>0</v>
      </c>
      <c r="I61" s="17">
        <f t="shared" si="41"/>
        <v>0</v>
      </c>
      <c r="J61" s="17">
        <f t="shared" si="41"/>
        <v>0</v>
      </c>
      <c r="K61" s="17">
        <f t="shared" si="41"/>
        <v>0</v>
      </c>
      <c r="L61" s="17">
        <f t="shared" si="41"/>
        <v>1560000</v>
      </c>
      <c r="M61" s="17">
        <f t="shared" si="41"/>
        <v>0</v>
      </c>
      <c r="N61" s="17">
        <f t="shared" si="41"/>
        <v>0</v>
      </c>
      <c r="O61" s="17">
        <f t="shared" si="41"/>
        <v>0</v>
      </c>
      <c r="P61" s="17">
        <f t="shared" si="41"/>
        <v>0</v>
      </c>
      <c r="Q61" s="17">
        <f t="shared" si="41"/>
        <v>0</v>
      </c>
      <c r="R61" s="17">
        <f t="shared" si="41"/>
        <v>0</v>
      </c>
      <c r="S61" s="17">
        <f t="shared" si="41"/>
        <v>0</v>
      </c>
      <c r="T61" s="17">
        <f t="shared" si="41"/>
        <v>0</v>
      </c>
      <c r="U61" s="17">
        <f t="shared" si="41"/>
        <v>0</v>
      </c>
      <c r="V61" s="17">
        <f t="shared" si="41"/>
        <v>1560000</v>
      </c>
      <c r="W61" s="17">
        <f t="shared" si="41"/>
        <v>0</v>
      </c>
      <c r="X61" s="17">
        <f t="shared" si="41"/>
        <v>0</v>
      </c>
      <c r="Y61" s="17">
        <f t="shared" si="41"/>
        <v>0</v>
      </c>
      <c r="Z61" s="17">
        <f t="shared" si="41"/>
        <v>0</v>
      </c>
      <c r="AA61" s="17">
        <f t="shared" si="41"/>
        <v>0</v>
      </c>
    </row>
    <row r="62" spans="1:27">
      <c r="A62" s="17" t="str">
        <f>+A34</f>
        <v>Operational wear and tear</v>
      </c>
      <c r="B62" s="17">
        <v>0</v>
      </c>
      <c r="C62" s="20">
        <f>+$C$31*$C$34</f>
        <v>234000</v>
      </c>
      <c r="D62" s="20">
        <f t="shared" ref="D62:AA62" si="42">+$C$31*$C$34</f>
        <v>234000</v>
      </c>
      <c r="E62" s="20">
        <f t="shared" si="42"/>
        <v>234000</v>
      </c>
      <c r="F62" s="20">
        <f t="shared" si="42"/>
        <v>234000</v>
      </c>
      <c r="G62" s="20">
        <f t="shared" si="42"/>
        <v>234000</v>
      </c>
      <c r="H62" s="20">
        <f t="shared" si="42"/>
        <v>234000</v>
      </c>
      <c r="I62" s="20">
        <f t="shared" si="42"/>
        <v>234000</v>
      </c>
      <c r="J62" s="20">
        <f t="shared" si="42"/>
        <v>234000</v>
      </c>
      <c r="K62" s="20">
        <f t="shared" si="42"/>
        <v>234000</v>
      </c>
      <c r="L62" s="20">
        <f t="shared" si="42"/>
        <v>234000</v>
      </c>
      <c r="M62" s="20">
        <f t="shared" si="42"/>
        <v>234000</v>
      </c>
      <c r="N62" s="20">
        <f t="shared" si="42"/>
        <v>234000</v>
      </c>
      <c r="O62" s="20">
        <f t="shared" si="42"/>
        <v>234000</v>
      </c>
      <c r="P62" s="20">
        <f t="shared" si="42"/>
        <v>234000</v>
      </c>
      <c r="Q62" s="20">
        <f t="shared" si="42"/>
        <v>234000</v>
      </c>
      <c r="R62" s="20">
        <f t="shared" si="42"/>
        <v>234000</v>
      </c>
      <c r="S62" s="20">
        <f t="shared" si="42"/>
        <v>234000</v>
      </c>
      <c r="T62" s="20">
        <f t="shared" si="42"/>
        <v>234000</v>
      </c>
      <c r="U62" s="20">
        <f t="shared" si="42"/>
        <v>234000</v>
      </c>
      <c r="V62" s="20">
        <f t="shared" si="42"/>
        <v>234000</v>
      </c>
      <c r="W62" s="20">
        <f t="shared" si="42"/>
        <v>234000</v>
      </c>
      <c r="X62" s="20">
        <f t="shared" si="42"/>
        <v>234000</v>
      </c>
      <c r="Y62" s="20">
        <f t="shared" si="42"/>
        <v>234000</v>
      </c>
      <c r="Z62" s="20">
        <f t="shared" si="42"/>
        <v>234000</v>
      </c>
      <c r="AA62" s="20">
        <f t="shared" si="42"/>
        <v>234000</v>
      </c>
    </row>
    <row r="63" spans="1:27">
      <c r="A63" s="17" t="s">
        <v>14</v>
      </c>
      <c r="B63" s="18">
        <f>SUM(B59:B62)</f>
        <v>1560000</v>
      </c>
      <c r="C63" s="18">
        <f>SUM(C59:C62)</f>
        <v>234000</v>
      </c>
      <c r="D63" s="18">
        <f t="shared" ref="D63:P63" si="43">SUM(D59:D62)</f>
        <v>234000</v>
      </c>
      <c r="E63" s="18">
        <f t="shared" si="43"/>
        <v>234000</v>
      </c>
      <c r="F63" s="18">
        <f t="shared" si="43"/>
        <v>234000</v>
      </c>
      <c r="G63" s="18">
        <f t="shared" si="43"/>
        <v>234000</v>
      </c>
      <c r="H63" s="18">
        <f t="shared" si="43"/>
        <v>234000</v>
      </c>
      <c r="I63" s="18">
        <f t="shared" si="43"/>
        <v>234000</v>
      </c>
      <c r="J63" s="18">
        <f t="shared" si="43"/>
        <v>234000</v>
      </c>
      <c r="K63" s="18">
        <f t="shared" si="43"/>
        <v>234000</v>
      </c>
      <c r="L63" s="18">
        <f t="shared" si="43"/>
        <v>1794000</v>
      </c>
      <c r="M63" s="18">
        <f t="shared" si="43"/>
        <v>234000</v>
      </c>
      <c r="N63" s="18">
        <f t="shared" si="43"/>
        <v>234000</v>
      </c>
      <c r="O63" s="18">
        <f t="shared" si="43"/>
        <v>234000</v>
      </c>
      <c r="P63" s="18">
        <f t="shared" si="43"/>
        <v>234000</v>
      </c>
      <c r="Q63" s="18">
        <f t="shared" ref="Q63:AA63" si="44">SUM(Q59:Q62)</f>
        <v>234000</v>
      </c>
      <c r="R63" s="18">
        <f t="shared" si="44"/>
        <v>234000</v>
      </c>
      <c r="S63" s="18">
        <f t="shared" si="44"/>
        <v>234000</v>
      </c>
      <c r="T63" s="18">
        <f t="shared" si="44"/>
        <v>234000</v>
      </c>
      <c r="U63" s="18">
        <f t="shared" si="44"/>
        <v>234000</v>
      </c>
      <c r="V63" s="18">
        <f t="shared" si="44"/>
        <v>1794000</v>
      </c>
      <c r="W63" s="18">
        <f t="shared" si="44"/>
        <v>234000</v>
      </c>
      <c r="X63" s="18">
        <f t="shared" si="44"/>
        <v>234000</v>
      </c>
      <c r="Y63" s="18">
        <f t="shared" si="44"/>
        <v>234000</v>
      </c>
      <c r="Z63" s="18">
        <f t="shared" si="44"/>
        <v>234000</v>
      </c>
      <c r="AA63" s="18">
        <f t="shared" si="44"/>
        <v>234000</v>
      </c>
    </row>
    <row r="64" spans="1:27">
      <c r="A64" s="17" t="s">
        <v>34</v>
      </c>
      <c r="B64" s="20">
        <f>NPV('Input Data'!B32,B63:AA63)</f>
        <v>3850080.1202523117</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sheetData>
  <mergeCells count="3">
    <mergeCell ref="A2:C2"/>
    <mergeCell ref="A23:C23"/>
    <mergeCell ref="A1:C1"/>
  </mergeCells>
  <pageMargins left="0.7" right="0.7" top="0.75" bottom="0.75" header="0.3" footer="0.3"/>
  <pageSetup paperSize="0"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K11"/>
  <sheetViews>
    <sheetView zoomScale="150" zoomScaleNormal="150" zoomScalePageLayoutView="150" workbookViewId="0">
      <pane ySplit="1" topLeftCell="A2" activePane="bottomLeft" state="frozen"/>
      <selection pane="bottomLeft" activeCell="B10" sqref="B10"/>
    </sheetView>
  </sheetViews>
  <sheetFormatPr defaultColWidth="8.88671875" defaultRowHeight="14.4"/>
  <cols>
    <col min="1" max="1" width="41.5546875" style="230" bestFit="1" customWidth="1"/>
    <col min="2" max="8" width="18.6640625" customWidth="1"/>
    <col min="9" max="9" width="9.44140625" bestFit="1" customWidth="1"/>
    <col min="10" max="15" width="9.44140625" customWidth="1"/>
    <col min="16" max="16" width="9.44140625" bestFit="1" customWidth="1"/>
    <col min="17" max="18" width="9.33203125" bestFit="1" customWidth="1"/>
    <col min="24" max="27" width="10.44140625" customWidth="1"/>
    <col min="28" max="28" width="11.44140625" bestFit="1" customWidth="1"/>
    <col min="29" max="32" width="10.44140625" customWidth="1"/>
    <col min="36" max="36" width="13.44140625" customWidth="1"/>
  </cols>
  <sheetData>
    <row r="1" spans="1:37" ht="18">
      <c r="A1" s="314" t="s">
        <v>225</v>
      </c>
      <c r="B1" s="315"/>
      <c r="C1" s="235"/>
      <c r="D1" s="39"/>
    </row>
    <row r="2" spans="1:37">
      <c r="A2" s="231" t="s">
        <v>282</v>
      </c>
      <c r="B2" s="232">
        <f>'Input Data (Sanitation)'!C2</f>
        <v>2.4</v>
      </c>
      <c r="J2" s="1"/>
      <c r="K2" s="1"/>
      <c r="L2" s="1"/>
      <c r="M2" s="1"/>
      <c r="N2" s="1"/>
      <c r="O2" s="1"/>
      <c r="P2" s="1"/>
      <c r="Q2" s="1"/>
      <c r="R2" s="1"/>
      <c r="S2" s="1"/>
      <c r="U2" s="1"/>
      <c r="V2" s="1"/>
      <c r="W2" s="1"/>
      <c r="Y2" s="2"/>
      <c r="Z2" s="2"/>
      <c r="AA2" s="2"/>
      <c r="AB2" s="2"/>
      <c r="AC2" s="1"/>
      <c r="AD2" s="1"/>
      <c r="AE2" s="1"/>
      <c r="AF2" s="1"/>
      <c r="AG2" s="2"/>
      <c r="AK2" s="2"/>
    </row>
    <row r="3" spans="1:37">
      <c r="A3" s="231" t="s">
        <v>281</v>
      </c>
      <c r="B3" s="180">
        <f>'Input Data'!F7</f>
        <v>77413.172999999995</v>
      </c>
    </row>
    <row r="4" spans="1:37">
      <c r="A4" s="231"/>
      <c r="B4" s="180"/>
    </row>
    <row r="5" spans="1:37">
      <c r="A5" s="231" t="s">
        <v>287</v>
      </c>
      <c r="B5" s="180">
        <f>B2*'Input Data (Sanitation)'!C5+'Input Data (Sanitation)'!C8</f>
        <v>854.87533364499984</v>
      </c>
    </row>
    <row r="6" spans="1:37">
      <c r="A6" s="231" t="s">
        <v>288</v>
      </c>
      <c r="B6" s="180">
        <f>IF(B5&gt;0,(B5-'Input Data (Sanitation)'!C6),0)</f>
        <v>733.13675765124981</v>
      </c>
    </row>
    <row r="7" spans="1:37">
      <c r="A7" s="231" t="s">
        <v>289</v>
      </c>
      <c r="B7" s="180">
        <f>B6/('Input Data (Sanitation)'!$C$10*'Input Data'!F12)</f>
        <v>1342.4296833474687</v>
      </c>
      <c r="C7">
        <f>+B7/365</f>
        <v>3.6778895434177223</v>
      </c>
    </row>
    <row r="8" spans="1:37">
      <c r="A8" s="231" t="s">
        <v>290</v>
      </c>
      <c r="B8" s="180">
        <f>+B6*'Input Data (Sanitation)'!$C$9</f>
        <v>733.13675765124981</v>
      </c>
    </row>
    <row r="9" spans="1:37">
      <c r="A9" s="231"/>
      <c r="B9" s="180"/>
    </row>
    <row r="10" spans="1:37">
      <c r="A10" s="231" t="s">
        <v>272</v>
      </c>
      <c r="B10" s="180">
        <f>IF(B3&gt;0,(360/B7)*B3,0)</f>
        <v>20759.92703804552</v>
      </c>
    </row>
    <row r="11" spans="1:37">
      <c r="A11" s="233" t="s">
        <v>291</v>
      </c>
      <c r="B11" s="234">
        <f>B10*B8</f>
        <v>15219865.597749207</v>
      </c>
    </row>
  </sheetData>
  <mergeCells count="1">
    <mergeCell ref="A1:B1"/>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30"/>
  <sheetViews>
    <sheetView zoomScale="120" zoomScaleNormal="120" zoomScalePageLayoutView="150" workbookViewId="0">
      <pane ySplit="1" topLeftCell="A2" activePane="bottomLeft" state="frozen"/>
      <selection pane="bottomLeft" activeCell="B8" sqref="B8"/>
    </sheetView>
  </sheetViews>
  <sheetFormatPr defaultColWidth="8.88671875" defaultRowHeight="14.4"/>
  <cols>
    <col min="1" max="1" width="31.33203125" customWidth="1"/>
    <col min="2" max="2" width="24.6640625" bestFit="1" customWidth="1"/>
    <col min="3" max="3" width="18.33203125" style="1" bestFit="1" customWidth="1"/>
    <col min="4" max="4" width="28.44140625" customWidth="1"/>
    <col min="5" max="5" width="14.109375" bestFit="1" customWidth="1"/>
    <col min="8" max="8" width="8.88671875" style="96"/>
  </cols>
  <sheetData>
    <row r="1" spans="1:8" ht="18">
      <c r="A1" s="316" t="s">
        <v>215</v>
      </c>
      <c r="B1" s="317"/>
      <c r="C1"/>
    </row>
    <row r="2" spans="1:8">
      <c r="A2" s="199" t="s">
        <v>273</v>
      </c>
      <c r="B2" s="200">
        <f>+RESULTS!B5</f>
        <v>1</v>
      </c>
      <c r="C2" s="113"/>
      <c r="D2" s="113"/>
      <c r="E2" s="96"/>
      <c r="G2" s="96"/>
      <c r="H2"/>
    </row>
    <row r="3" spans="1:8">
      <c r="A3" s="201" t="s">
        <v>271</v>
      </c>
      <c r="B3" s="202">
        <f>+'Calc. (Sanitation)'!B11/1000*RESULTS!B5</f>
        <v>15219.865597749207</v>
      </c>
      <c r="C3" s="113"/>
      <c r="D3" s="113"/>
      <c r="E3" s="96"/>
      <c r="H3"/>
    </row>
    <row r="4" spans="1:8">
      <c r="A4" s="203" t="s">
        <v>272</v>
      </c>
      <c r="B4" s="204">
        <f>+'Calc. (Sanitation)'!B10*RESULTS!B5</f>
        <v>20759.92703804552</v>
      </c>
      <c r="C4" s="113"/>
      <c r="D4" s="113"/>
      <c r="E4" s="96"/>
      <c r="H4"/>
    </row>
    <row r="5" spans="1:8">
      <c r="A5" s="101"/>
      <c r="B5" s="198"/>
      <c r="C5" s="184"/>
      <c r="D5" s="113"/>
      <c r="E5" s="184"/>
      <c r="F5" s="96"/>
    </row>
    <row r="6" spans="1:8">
      <c r="A6" s="42" t="str">
        <f>'Input Data (Emptying)'!A2</f>
        <v>Hand Emptying</v>
      </c>
      <c r="B6" s="7"/>
      <c r="C6" s="185"/>
      <c r="D6" s="113"/>
      <c r="E6" s="184"/>
    </row>
    <row r="7" spans="1:8">
      <c r="A7" s="187" t="s">
        <v>29</v>
      </c>
      <c r="B7" s="190">
        <f>+B$4*('Input Data (Emptying)'!C3+'Input Data (Emptying)'!C4)/60</f>
        <v>62279.78111413656</v>
      </c>
      <c r="C7" s="113"/>
      <c r="D7" s="113"/>
      <c r="E7" s="184"/>
    </row>
    <row r="8" spans="1:8">
      <c r="A8" s="187" t="s">
        <v>270</v>
      </c>
      <c r="B8" s="3">
        <f>ROUNDUP(B7/'Input Data'!F40,0)</f>
        <v>49</v>
      </c>
      <c r="C8" s="113"/>
      <c r="D8" s="113"/>
      <c r="E8" s="184"/>
    </row>
    <row r="9" spans="1:8">
      <c r="A9" s="187"/>
      <c r="B9" s="3"/>
      <c r="C9" s="113"/>
      <c r="D9" s="113"/>
      <c r="E9" s="184"/>
    </row>
    <row r="10" spans="1:8">
      <c r="A10" s="188" t="s">
        <v>274</v>
      </c>
      <c r="B10" s="3"/>
      <c r="C10" s="113"/>
      <c r="D10" s="113"/>
      <c r="E10" s="184"/>
    </row>
    <row r="11" spans="1:8">
      <c r="A11" s="187" t="s">
        <v>267</v>
      </c>
      <c r="B11" s="9">
        <f>B8*'Input Data (Emptying)'!C8</f>
        <v>49000</v>
      </c>
      <c r="C11" s="113"/>
      <c r="D11" s="113"/>
      <c r="E11" s="113"/>
    </row>
    <row r="12" spans="1:8">
      <c r="A12" s="187"/>
      <c r="B12" s="9"/>
      <c r="C12" s="113"/>
      <c r="D12" s="113"/>
      <c r="E12" s="113"/>
    </row>
    <row r="13" spans="1:8">
      <c r="A13" s="188" t="s">
        <v>217</v>
      </c>
      <c r="B13" s="3"/>
      <c r="C13" s="185"/>
      <c r="D13" s="113"/>
      <c r="E13" s="113"/>
    </row>
    <row r="14" spans="1:8">
      <c r="A14" s="187" t="s">
        <v>268</v>
      </c>
      <c r="B14" s="9">
        <f>+'Input Data (Emptying)'!C12*B8</f>
        <v>7663.5047149862958</v>
      </c>
      <c r="C14" s="113"/>
      <c r="D14" s="113"/>
      <c r="E14" s="192"/>
    </row>
    <row r="15" spans="1:8">
      <c r="A15" s="187" t="s">
        <v>269</v>
      </c>
      <c r="B15" s="9">
        <f>+(B7)*'Input Data (Emptying)'!C17</f>
        <v>3425387.961277511</v>
      </c>
      <c r="C15" s="113"/>
      <c r="D15" s="113"/>
      <c r="E15" s="113"/>
    </row>
    <row r="16" spans="1:8">
      <c r="A16" s="187" t="s">
        <v>249</v>
      </c>
      <c r="B16" s="9">
        <f>B4*'Input Data (Emptying)'!C18</f>
        <v>0</v>
      </c>
      <c r="C16" s="113"/>
      <c r="D16" s="113"/>
      <c r="E16" s="113"/>
    </row>
    <row r="17" spans="1:5">
      <c r="A17" s="189" t="s">
        <v>32</v>
      </c>
      <c r="B17" s="186">
        <f>SUM(B14:B16)</f>
        <v>3433051.4659924973</v>
      </c>
      <c r="C17" s="113"/>
      <c r="D17" s="113"/>
      <c r="E17" s="113"/>
    </row>
    <row r="18" spans="1:5">
      <c r="A18" s="185"/>
      <c r="B18" s="184"/>
      <c r="C18" s="113"/>
      <c r="D18" s="113"/>
      <c r="E18" s="113"/>
    </row>
    <row r="19" spans="1:5">
      <c r="A19" s="196" t="str">
        <f>'Input Data (Emptying)'!A20</f>
        <v>Diaphragm Pump</v>
      </c>
      <c r="B19" s="195"/>
      <c r="C19" s="193"/>
      <c r="D19" s="193"/>
      <c r="E19" s="193"/>
    </row>
    <row r="20" spans="1:5">
      <c r="A20" s="5" t="s">
        <v>29</v>
      </c>
      <c r="B20" s="197">
        <f>+B$4*('Input Data (Emptying)'!C21+'Input Data (Emptying)'!C22)/60</f>
        <v>12109.957438859887</v>
      </c>
      <c r="C20" s="113"/>
      <c r="D20" s="113"/>
      <c r="E20" s="194"/>
    </row>
    <row r="21" spans="1:5">
      <c r="A21" s="5" t="s">
        <v>270</v>
      </c>
      <c r="B21" s="6">
        <f>ROUNDUP(B20/'Input Data'!F40,0)</f>
        <v>10</v>
      </c>
      <c r="C21" s="113"/>
      <c r="D21" s="113"/>
      <c r="E21" s="184"/>
    </row>
    <row r="22" spans="1:5">
      <c r="A22" s="5"/>
      <c r="B22" s="6"/>
      <c r="C22" s="113"/>
      <c r="D22" s="113"/>
      <c r="E22" s="184"/>
    </row>
    <row r="23" spans="1:5">
      <c r="A23" s="43" t="s">
        <v>274</v>
      </c>
      <c r="B23" s="6"/>
      <c r="C23" s="113"/>
      <c r="D23" s="113"/>
      <c r="E23" s="184"/>
    </row>
    <row r="24" spans="1:5">
      <c r="A24" s="5" t="s">
        <v>267</v>
      </c>
      <c r="B24" s="6">
        <f>B21*'Input Data (Emptying)'!C27</f>
        <v>300000</v>
      </c>
      <c r="C24" s="113"/>
      <c r="D24" s="113"/>
      <c r="E24" s="113"/>
    </row>
    <row r="25" spans="1:5">
      <c r="A25" s="5"/>
      <c r="B25" s="6"/>
      <c r="C25" s="113"/>
      <c r="D25" s="113"/>
      <c r="E25" s="113"/>
    </row>
    <row r="26" spans="1:5">
      <c r="A26" s="43" t="s">
        <v>217</v>
      </c>
      <c r="B26" s="4"/>
      <c r="C26" s="185"/>
      <c r="D26" s="113"/>
      <c r="E26" s="113"/>
    </row>
    <row r="27" spans="1:5">
      <c r="A27" s="5" t="s">
        <v>268</v>
      </c>
      <c r="B27" s="6">
        <f>+'Input Data (Emptying)'!C31*B21</f>
        <v>39086.960509834185</v>
      </c>
      <c r="C27" s="113"/>
      <c r="D27" s="113"/>
      <c r="E27" s="192"/>
    </row>
    <row r="28" spans="1:5">
      <c r="A28" s="5" t="s">
        <v>269</v>
      </c>
      <c r="B28" s="6">
        <f>+(B20)*'Input Data (Emptying)'!C36</f>
        <v>242199.14877719773</v>
      </c>
      <c r="C28" s="113"/>
      <c r="D28" s="113"/>
      <c r="E28" s="113"/>
    </row>
    <row r="29" spans="1:5">
      <c r="A29" s="5" t="s">
        <v>249</v>
      </c>
      <c r="B29" s="6">
        <f>B4*'Input Data (Emptying)'!C37</f>
        <v>0</v>
      </c>
      <c r="C29" s="113"/>
      <c r="D29" s="113"/>
      <c r="E29" s="113"/>
    </row>
    <row r="30" spans="1:5">
      <c r="A30" s="205" t="s">
        <v>32</v>
      </c>
      <c r="B30" s="191">
        <f>SUM(B27:B29)</f>
        <v>281286.10928703193</v>
      </c>
      <c r="C30" s="113"/>
      <c r="D30" s="113"/>
      <c r="E30" s="113"/>
    </row>
  </sheetData>
  <mergeCells count="1">
    <mergeCell ref="A1:B1"/>
  </mergeCells>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8"/>
  <sheetViews>
    <sheetView zoomScale="120" zoomScaleNormal="120" workbookViewId="0">
      <pane ySplit="1" topLeftCell="A8" activePane="bottomLeft" state="frozen"/>
      <selection pane="bottomLeft" activeCell="B25" sqref="B25"/>
    </sheetView>
  </sheetViews>
  <sheetFormatPr defaultRowHeight="14.4"/>
  <cols>
    <col min="1" max="1" width="28.44140625" customWidth="1"/>
    <col min="2" max="2" width="13" customWidth="1"/>
    <col min="3" max="3" width="14.88671875" customWidth="1"/>
    <col min="4" max="4" width="12.33203125" bestFit="1" customWidth="1"/>
  </cols>
  <sheetData>
    <row r="1" spans="1:4" ht="18">
      <c r="A1" s="316" t="s">
        <v>292</v>
      </c>
      <c r="B1" s="317"/>
      <c r="C1" s="236"/>
    </row>
    <row r="2" spans="1:4">
      <c r="A2" s="199" t="s">
        <v>273</v>
      </c>
      <c r="B2" s="200">
        <f>+RESULTS!B5</f>
        <v>1</v>
      </c>
      <c r="C2" s="207"/>
      <c r="D2" s="113"/>
    </row>
    <row r="3" spans="1:4">
      <c r="A3" s="201" t="s">
        <v>271</v>
      </c>
      <c r="B3" s="202">
        <f>+'Calc. (Sanitation)'!B11/1000*RESULTS!B5</f>
        <v>15219.865597749207</v>
      </c>
      <c r="C3" s="208"/>
      <c r="D3" s="194"/>
    </row>
    <row r="4" spans="1:4">
      <c r="A4" s="203" t="s">
        <v>272</v>
      </c>
      <c r="B4" s="204">
        <f>+'Calc. (Sanitation)'!B10*RESULTS!B5</f>
        <v>20759.92703804552</v>
      </c>
      <c r="C4" s="208"/>
      <c r="D4" s="194"/>
    </row>
    <row r="5" spans="1:4">
      <c r="A5" s="209"/>
      <c r="B5" s="209"/>
      <c r="C5" s="96"/>
      <c r="D5" s="96"/>
    </row>
    <row r="6" spans="1:4">
      <c r="A6" s="42" t="str">
        <f>+'Input Data (Transport)'!A2</f>
        <v xml:space="preserve">Truck </v>
      </c>
      <c r="B6" s="7"/>
      <c r="C6" s="183"/>
      <c r="D6" s="113"/>
    </row>
    <row r="7" spans="1:4">
      <c r="A7" s="41"/>
      <c r="B7" s="3"/>
      <c r="C7" s="183"/>
      <c r="D7" s="113"/>
    </row>
    <row r="8" spans="1:4">
      <c r="A8" s="8" t="s">
        <v>277</v>
      </c>
      <c r="B8" s="220">
        <f>IF(+'Input Data (Transport)'!C6&gt;0,+B$3*1000/+'Input Data (Transport)'!C6,0)</f>
        <v>126832.21331457673</v>
      </c>
      <c r="C8" s="183"/>
      <c r="D8" s="113"/>
    </row>
    <row r="9" spans="1:4">
      <c r="A9" s="41"/>
      <c r="B9" s="3"/>
      <c r="C9" s="183"/>
      <c r="D9" s="184"/>
    </row>
    <row r="10" spans="1:4">
      <c r="A10" s="8" t="s">
        <v>276</v>
      </c>
      <c r="B10" s="220">
        <f>((B8)*('Input Data (Transport)'!C3)*2)/60</f>
        <v>126832.21331457673</v>
      </c>
      <c r="C10" s="183"/>
      <c r="D10" s="184"/>
    </row>
    <row r="11" spans="1:4">
      <c r="A11" s="8"/>
      <c r="B11" s="220"/>
      <c r="C11" s="183"/>
      <c r="D11" s="184"/>
    </row>
    <row r="12" spans="1:4">
      <c r="A12" s="8" t="s">
        <v>278</v>
      </c>
      <c r="B12" s="220">
        <f>+B8*'Input Data'!F20*2</f>
        <v>3138289.4784937934</v>
      </c>
      <c r="C12" s="183"/>
      <c r="D12" s="184"/>
    </row>
    <row r="13" spans="1:4">
      <c r="A13" s="8" t="s">
        <v>275</v>
      </c>
      <c r="B13" s="220">
        <f>((+B8*'Input Data'!F16*2)/('Input Data (Transport)'!C4))+((+B8*'Input Data'!F18*2)/('Input Data (Transport)'!C5))</f>
        <v>163752.55936537404</v>
      </c>
      <c r="C13" s="183"/>
      <c r="D13" s="184"/>
    </row>
    <row r="14" spans="1:4">
      <c r="A14" s="8"/>
      <c r="B14" s="3"/>
      <c r="C14" s="183"/>
      <c r="D14" s="113"/>
    </row>
    <row r="15" spans="1:4">
      <c r="A15" s="8" t="s">
        <v>30</v>
      </c>
      <c r="B15" s="10">
        <f>+B10+B13</f>
        <v>290584.77267995075</v>
      </c>
      <c r="C15" s="221"/>
      <c r="D15" s="194"/>
    </row>
    <row r="16" spans="1:4">
      <c r="A16" s="8"/>
      <c r="B16" s="9"/>
      <c r="C16" s="208"/>
      <c r="D16" s="113"/>
    </row>
    <row r="17" spans="1:4">
      <c r="A17" s="187" t="s">
        <v>270</v>
      </c>
      <c r="B17" s="3">
        <f>ROUNDUP(B15/'Input Data'!F40,0)</f>
        <v>228</v>
      </c>
      <c r="C17" s="183"/>
      <c r="D17" s="113"/>
    </row>
    <row r="18" spans="1:4">
      <c r="A18" s="187"/>
      <c r="B18" s="3"/>
      <c r="C18" s="183"/>
      <c r="D18" s="113"/>
    </row>
    <row r="19" spans="1:4">
      <c r="A19" s="188" t="s">
        <v>274</v>
      </c>
      <c r="B19" s="3"/>
      <c r="C19" s="183"/>
      <c r="D19" s="113"/>
    </row>
    <row r="20" spans="1:4">
      <c r="A20" s="187" t="s">
        <v>267</v>
      </c>
      <c r="B20" s="220">
        <f>'Input Data (Transport)'!C10*B17</f>
        <v>142272000</v>
      </c>
      <c r="C20" s="183"/>
      <c r="D20" s="113"/>
    </row>
    <row r="21" spans="1:4">
      <c r="A21" s="8"/>
      <c r="B21" s="220"/>
      <c r="C21" s="183"/>
      <c r="D21" s="113"/>
    </row>
    <row r="22" spans="1:4">
      <c r="A22" s="41" t="s">
        <v>217</v>
      </c>
      <c r="B22" s="3"/>
      <c r="C22" s="183"/>
      <c r="D22" s="113"/>
    </row>
    <row r="23" spans="1:4">
      <c r="A23" s="8" t="s">
        <v>293</v>
      </c>
      <c r="B23" s="9">
        <f>+'Input Data (Transport)'!C14*B17</f>
        <v>10516227.463055244</v>
      </c>
      <c r="C23" s="208"/>
      <c r="D23" s="184"/>
    </row>
    <row r="24" spans="1:4">
      <c r="A24" s="8" t="s">
        <v>269</v>
      </c>
      <c r="B24" s="9">
        <f>+(B15)*'Input Data (Transport)'!C20</f>
        <v>10170467.043798277</v>
      </c>
      <c r="C24" s="208"/>
      <c r="D24" s="184"/>
    </row>
    <row r="25" spans="1:4">
      <c r="A25" s="8" t="s">
        <v>279</v>
      </c>
      <c r="B25" s="9">
        <f>+B12*'Input Data (Transport)'!C21</f>
        <v>21654197.401607174</v>
      </c>
      <c r="C25" s="208"/>
      <c r="D25" s="184"/>
    </row>
    <row r="26" spans="1:4">
      <c r="A26" s="41" t="s">
        <v>32</v>
      </c>
      <c r="B26" s="222">
        <f>SUM(B23:B25)</f>
        <v>42340891.908460692</v>
      </c>
      <c r="C26" s="208"/>
      <c r="D26" s="184"/>
    </row>
    <row r="27" spans="1:4">
      <c r="A27" s="223"/>
      <c r="B27" s="224"/>
      <c r="C27" s="206"/>
      <c r="D27" s="206"/>
    </row>
    <row r="28" spans="1:4">
      <c r="A28" s="43" t="str">
        <f>+'Input Data (Transport)'!A23</f>
        <v>Tanker</v>
      </c>
      <c r="B28" s="219" t="s">
        <v>158</v>
      </c>
      <c r="C28" s="219" t="s">
        <v>40</v>
      </c>
      <c r="D28" s="219" t="s">
        <v>32</v>
      </c>
    </row>
    <row r="29" spans="1:4">
      <c r="A29" s="43"/>
      <c r="B29" s="219"/>
      <c r="C29" s="219"/>
      <c r="D29" s="219"/>
    </row>
    <row r="30" spans="1:4">
      <c r="A30" s="5" t="s">
        <v>277</v>
      </c>
      <c r="B30" s="212">
        <f>B$3*1000/'Input Data (Transport)'!C6</f>
        <v>126832.21331457673</v>
      </c>
      <c r="C30" s="212">
        <f>B$3*1000/+'Input Data (Transport)'!C27</f>
        <v>1014.6577065166138</v>
      </c>
      <c r="D30" s="211">
        <f>SUM(B30:C30)</f>
        <v>127846.87102109335</v>
      </c>
    </row>
    <row r="31" spans="1:4">
      <c r="A31" s="43"/>
      <c r="B31" s="219"/>
      <c r="C31" s="219"/>
      <c r="D31" s="219"/>
    </row>
    <row r="32" spans="1:4">
      <c r="A32" s="5" t="s">
        <v>276</v>
      </c>
      <c r="B32" s="210">
        <f>B30*'Input Data (Transport)'!C3/60*2</f>
        <v>126832.21331457673</v>
      </c>
      <c r="C32" s="210">
        <f>C30*'Input Data (Transport)'!C24/60*2</f>
        <v>2029.3154130332275</v>
      </c>
      <c r="D32" s="211">
        <f>SUM(B32:C32)</f>
        <v>128861.52872760996</v>
      </c>
    </row>
    <row r="33" spans="1:4">
      <c r="A33" s="5"/>
      <c r="B33" s="212"/>
      <c r="C33" s="212"/>
      <c r="D33" s="210"/>
    </row>
    <row r="34" spans="1:4">
      <c r="A34" s="5" t="s">
        <v>278</v>
      </c>
      <c r="B34" s="210">
        <f>+B30*'Input Data'!F16*2</f>
        <v>887143.65123371361</v>
      </c>
      <c r="C34" s="210">
        <f>+C30*'Input Data'!F18*2</f>
        <v>18009.166618080642</v>
      </c>
      <c r="D34" s="211">
        <f>SUM(B34:C34)</f>
        <v>905152.8178517943</v>
      </c>
    </row>
    <row r="35" spans="1:4">
      <c r="A35" s="5" t="s">
        <v>275</v>
      </c>
      <c r="B35" s="212">
        <f>B34/'Input Data (Transport)'!C4</f>
        <v>88714.365123371361</v>
      </c>
      <c r="C35" s="212">
        <f>C34/'Input Data (Transport)'!C26</f>
        <v>600.3055539360214</v>
      </c>
      <c r="D35" s="211">
        <f>SUM(B35:C35)</f>
        <v>89314.670677307382</v>
      </c>
    </row>
    <row r="36" spans="1:4">
      <c r="A36" s="5"/>
      <c r="B36" s="212"/>
      <c r="C36" s="212"/>
      <c r="D36" s="213"/>
    </row>
    <row r="37" spans="1:4">
      <c r="A37" s="5" t="s">
        <v>30</v>
      </c>
      <c r="B37" s="212">
        <f>+B32+B35</f>
        <v>215546.57843794808</v>
      </c>
      <c r="C37" s="212">
        <f>+C32+C35</f>
        <v>2629.6209669692489</v>
      </c>
      <c r="D37" s="211">
        <f>SUM(B37:C37)</f>
        <v>218176.19940491734</v>
      </c>
    </row>
    <row r="38" spans="1:4">
      <c r="A38" s="5"/>
      <c r="B38" s="213"/>
      <c r="C38" s="213"/>
      <c r="D38" s="213"/>
    </row>
    <row r="39" spans="1:4">
      <c r="A39" s="5" t="s">
        <v>270</v>
      </c>
      <c r="B39" s="213">
        <f>ROUNDUP(B37/'Input Data'!F40,0)</f>
        <v>169</v>
      </c>
      <c r="C39" s="213">
        <f>ROUNDUP(C37/'Input Data'!F40,0)</f>
        <v>3</v>
      </c>
      <c r="D39" s="214"/>
    </row>
    <row r="40" spans="1:4">
      <c r="A40" s="5"/>
      <c r="B40" s="213"/>
      <c r="C40" s="213"/>
      <c r="D40" s="214"/>
    </row>
    <row r="41" spans="1:4">
      <c r="A41" s="43" t="s">
        <v>157</v>
      </c>
      <c r="B41" s="213"/>
      <c r="C41" s="213"/>
      <c r="D41" s="214"/>
    </row>
    <row r="42" spans="1:4">
      <c r="A42" s="5" t="s">
        <v>267</v>
      </c>
      <c r="B42" s="212">
        <f>'Input Data (Transport)'!C10*B39</f>
        <v>105456000</v>
      </c>
      <c r="C42" s="215">
        <f>'Input Data (Transport)'!C31*C39</f>
        <v>4680000</v>
      </c>
      <c r="D42" s="211">
        <f>SUM(B42:C42)</f>
        <v>110136000</v>
      </c>
    </row>
    <row r="43" spans="1:4">
      <c r="A43" s="5"/>
      <c r="B43" s="212"/>
      <c r="C43" s="215"/>
      <c r="D43" s="211"/>
    </row>
    <row r="44" spans="1:4">
      <c r="A44" s="43" t="s">
        <v>217</v>
      </c>
      <c r="B44" s="213"/>
      <c r="C44" s="213"/>
      <c r="D44" s="214"/>
    </row>
    <row r="45" spans="1:4">
      <c r="A45" s="5" t="s">
        <v>293</v>
      </c>
      <c r="B45" s="210">
        <f>'Input Data (Transport)'!C14*B39</f>
        <v>7794922.9879663866</v>
      </c>
      <c r="C45" s="210">
        <f>'Input Data (Transport)'!C35*C39</f>
        <v>462009.61443027738</v>
      </c>
      <c r="D45" s="211">
        <f>SUM(B45:C45)</f>
        <v>8256932.6023966642</v>
      </c>
    </row>
    <row r="46" spans="1:4">
      <c r="A46" s="5" t="s">
        <v>269</v>
      </c>
      <c r="B46" s="210">
        <f>+(B32+B35)*'Input Data (Transport)'!C20</f>
        <v>7544130.2453281824</v>
      </c>
      <c r="C46" s="216">
        <f>+(C32+C35)*'Input Data (Transport)'!C41</f>
        <v>92036.733843923706</v>
      </c>
      <c r="D46" s="211">
        <f>SUM(B46:C46)</f>
        <v>7636166.9791721059</v>
      </c>
    </row>
    <row r="47" spans="1:4">
      <c r="A47" s="5" t="s">
        <v>279</v>
      </c>
      <c r="B47" s="210">
        <f>+B34*'Input Data (Transport)'!C21</f>
        <v>6121291.1935126241</v>
      </c>
      <c r="C47" s="216">
        <f>+C34*'Input Data (Transport)'!C42</f>
        <v>280942.99924205802</v>
      </c>
      <c r="D47" s="211">
        <f>SUM(B47:C47)</f>
        <v>6402234.1927546822</v>
      </c>
    </row>
    <row r="48" spans="1:4">
      <c r="A48" s="205" t="s">
        <v>32</v>
      </c>
      <c r="B48" s="217">
        <f>SUM(B45:B47)</f>
        <v>21460344.426807195</v>
      </c>
      <c r="C48" s="217">
        <f>SUM(C45:C47)</f>
        <v>834989.34751625906</v>
      </c>
      <c r="D48" s="218">
        <f>SUM(D45:D47)</f>
        <v>22295333.774323452</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65"/>
  <sheetViews>
    <sheetView workbookViewId="0">
      <pane ySplit="1" topLeftCell="A2" activePane="bottomLeft" state="frozen"/>
      <selection pane="bottomLeft"/>
    </sheetView>
  </sheetViews>
  <sheetFormatPr defaultRowHeight="14.4"/>
  <cols>
    <col min="1" max="1" width="39.6640625" bestFit="1" customWidth="1"/>
    <col min="2" max="2" width="21.88671875" bestFit="1" customWidth="1"/>
    <col min="3" max="3" width="16.44140625" bestFit="1" customWidth="1"/>
    <col min="4" max="4" width="21.88671875" bestFit="1" customWidth="1"/>
    <col min="5" max="5" width="24.88671875" bestFit="1" customWidth="1"/>
    <col min="6" max="6" width="30.44140625" customWidth="1"/>
    <col min="7" max="7" width="25.33203125" bestFit="1" customWidth="1"/>
    <col min="8" max="8" width="26.109375" bestFit="1" customWidth="1"/>
    <col min="9" max="9" width="12.6640625" customWidth="1"/>
    <col min="10" max="10" width="10.44140625" bestFit="1" customWidth="1"/>
    <col min="11" max="11" width="24.88671875" bestFit="1" customWidth="1"/>
    <col min="12" max="12" width="24.44140625" customWidth="1"/>
    <col min="13" max="13" width="13.33203125" customWidth="1"/>
    <col min="14" max="14" width="24.33203125" bestFit="1" customWidth="1"/>
    <col min="15" max="15" width="9" bestFit="1" customWidth="1"/>
  </cols>
  <sheetData>
    <row r="1" spans="1:8" ht="18">
      <c r="A1" s="237" t="s">
        <v>202</v>
      </c>
      <c r="B1" s="238"/>
      <c r="C1" s="238"/>
      <c r="D1" s="237" t="s">
        <v>223</v>
      </c>
      <c r="E1" s="237" t="s">
        <v>295</v>
      </c>
      <c r="F1" s="237" t="s">
        <v>39</v>
      </c>
    </row>
    <row r="2" spans="1:8">
      <c r="A2" s="38" t="s">
        <v>203</v>
      </c>
    </row>
    <row r="3" spans="1:8">
      <c r="A3" s="38"/>
    </row>
    <row r="4" spans="1:8" ht="15.6">
      <c r="A4" s="239" t="s">
        <v>222</v>
      </c>
    </row>
    <row r="5" spans="1:8">
      <c r="A5" s="318" t="s">
        <v>160</v>
      </c>
      <c r="B5" s="318" t="s">
        <v>148</v>
      </c>
      <c r="C5" s="320" t="s">
        <v>200</v>
      </c>
      <c r="D5" s="320" t="s">
        <v>151</v>
      </c>
      <c r="E5" s="320" t="s">
        <v>166</v>
      </c>
      <c r="F5" s="322" t="s">
        <v>305</v>
      </c>
      <c r="G5" s="321" t="s">
        <v>199</v>
      </c>
      <c r="H5" s="318" t="s">
        <v>168</v>
      </c>
    </row>
    <row r="6" spans="1:8">
      <c r="A6" s="318"/>
      <c r="B6" s="318"/>
      <c r="C6" s="320"/>
      <c r="D6" s="320"/>
      <c r="E6" s="320"/>
      <c r="F6" s="322"/>
      <c r="G6" s="321"/>
      <c r="H6" s="318"/>
    </row>
    <row r="7" spans="1:8">
      <c r="A7" s="46" t="s">
        <v>187</v>
      </c>
      <c r="B7" s="61">
        <f>D23</f>
        <v>19390</v>
      </c>
      <c r="C7" s="55">
        <f>H23</f>
        <v>4.9521639858407442E-2</v>
      </c>
      <c r="D7" s="61">
        <f>B54</f>
        <v>4563</v>
      </c>
      <c r="E7" s="50">
        <f>K39</f>
        <v>4.2</v>
      </c>
      <c r="F7" s="107">
        <f>E7*C7</f>
        <v>0.20799088740531127</v>
      </c>
      <c r="G7" s="61">
        <f>N54</f>
        <v>3853.4535000000005</v>
      </c>
      <c r="H7" s="50">
        <f>L54</f>
        <v>84.45</v>
      </c>
    </row>
    <row r="8" spans="1:8">
      <c r="A8" s="46" t="s">
        <v>188</v>
      </c>
      <c r="B8" s="61">
        <f t="shared" ref="B8:B17" si="0">D24</f>
        <v>25812</v>
      </c>
      <c r="C8" s="55">
        <f t="shared" ref="C8:C17" si="1">H24</f>
        <v>6.5923288706818614E-2</v>
      </c>
      <c r="D8" s="61">
        <f t="shared" ref="D8:D17" si="2">B55</f>
        <v>5994</v>
      </c>
      <c r="E8" s="50">
        <f t="shared" ref="E8:E17" si="3">K40</f>
        <v>4.2</v>
      </c>
      <c r="F8" s="107">
        <f t="shared" ref="F8:F17" si="4">E8*C8</f>
        <v>0.27687781256863819</v>
      </c>
      <c r="G8" s="61">
        <f t="shared" ref="G8:G17" si="5">N55</f>
        <v>4885.1099999999997</v>
      </c>
      <c r="H8" s="50">
        <f t="shared" ref="H8:H17" si="6">L55</f>
        <v>81.5</v>
      </c>
    </row>
    <row r="9" spans="1:8">
      <c r="A9" s="46" t="s">
        <v>189</v>
      </c>
      <c r="B9" s="61">
        <f t="shared" si="0"/>
        <v>23723</v>
      </c>
      <c r="C9" s="55">
        <f t="shared" si="1"/>
        <v>6.0588027971170695E-2</v>
      </c>
      <c r="D9" s="61">
        <f t="shared" si="2"/>
        <v>5669</v>
      </c>
      <c r="E9" s="50">
        <f t="shared" si="3"/>
        <v>4.2</v>
      </c>
      <c r="F9" s="107">
        <f t="shared" si="4"/>
        <v>0.25446971747891695</v>
      </c>
      <c r="G9" s="61">
        <f t="shared" si="5"/>
        <v>5056.7479999999996</v>
      </c>
      <c r="H9" s="50">
        <f t="shared" si="6"/>
        <v>89.199999999999989</v>
      </c>
    </row>
    <row r="10" spans="1:8">
      <c r="A10" s="46" t="s">
        <v>190</v>
      </c>
      <c r="B10" s="61">
        <f t="shared" si="0"/>
        <v>41474</v>
      </c>
      <c r="C10" s="55">
        <f t="shared" si="1"/>
        <v>0.10592369734335173</v>
      </c>
      <c r="D10" s="61">
        <f t="shared" si="2"/>
        <v>11311</v>
      </c>
      <c r="E10" s="50">
        <f t="shared" si="3"/>
        <v>3.7</v>
      </c>
      <c r="F10" s="107">
        <f t="shared" si="4"/>
        <v>0.39191768017040141</v>
      </c>
      <c r="G10" s="61">
        <f t="shared" si="5"/>
        <v>9009.2114999999994</v>
      </c>
      <c r="H10" s="50">
        <f t="shared" si="6"/>
        <v>79.650000000000006</v>
      </c>
    </row>
    <row r="11" spans="1:8">
      <c r="A11" s="46" t="s">
        <v>191</v>
      </c>
      <c r="B11" s="61">
        <f t="shared" si="0"/>
        <v>22009</v>
      </c>
      <c r="C11" s="55">
        <f t="shared" si="1"/>
        <v>5.6210509110040711E-2</v>
      </c>
      <c r="D11" s="61">
        <f t="shared" si="2"/>
        <v>5173</v>
      </c>
      <c r="E11" s="50">
        <f t="shared" si="3"/>
        <v>4.2</v>
      </c>
      <c r="F11" s="107">
        <f t="shared" si="4"/>
        <v>0.23608413826217101</v>
      </c>
      <c r="G11" s="61">
        <f t="shared" si="5"/>
        <v>4197.8895000000002</v>
      </c>
      <c r="H11" s="50">
        <f t="shared" si="6"/>
        <v>81.150000000000006</v>
      </c>
    </row>
    <row r="12" spans="1:8">
      <c r="A12" s="46" t="s">
        <v>192</v>
      </c>
      <c r="B12" s="61">
        <f t="shared" si="0"/>
        <v>98605</v>
      </c>
      <c r="C12" s="55">
        <f t="shared" si="1"/>
        <v>0.25183503343157637</v>
      </c>
      <c r="D12" s="61">
        <f t="shared" si="2"/>
        <v>23461</v>
      </c>
      <c r="E12" s="50">
        <f t="shared" si="3"/>
        <v>3.8</v>
      </c>
      <c r="F12" s="107">
        <f t="shared" si="4"/>
        <v>0.95697312703999016</v>
      </c>
      <c r="G12" s="61">
        <f t="shared" si="5"/>
        <v>18534.189999999999</v>
      </c>
      <c r="H12" s="50">
        <f t="shared" si="6"/>
        <v>79</v>
      </c>
    </row>
    <row r="13" spans="1:8">
      <c r="A13" s="46" t="s">
        <v>193</v>
      </c>
      <c r="B13" s="61">
        <f t="shared" si="0"/>
        <v>41208</v>
      </c>
      <c r="C13" s="55">
        <f t="shared" si="1"/>
        <v>0.10524433910702702</v>
      </c>
      <c r="D13" s="61">
        <f t="shared" si="2"/>
        <v>10471</v>
      </c>
      <c r="E13" s="50">
        <f t="shared" si="3"/>
        <v>3.9</v>
      </c>
      <c r="F13" s="107">
        <f t="shared" si="4"/>
        <v>0.41045292251740534</v>
      </c>
      <c r="G13" s="61">
        <f t="shared" si="5"/>
        <v>8287.7964999999986</v>
      </c>
      <c r="H13" s="50">
        <f t="shared" si="6"/>
        <v>79.149999999999991</v>
      </c>
    </row>
    <row r="14" spans="1:8">
      <c r="A14" s="46" t="s">
        <v>194</v>
      </c>
      <c r="B14" s="61">
        <f t="shared" si="0"/>
        <v>42446</v>
      </c>
      <c r="C14" s="55">
        <f t="shared" si="1"/>
        <v>0.10840616428210223</v>
      </c>
      <c r="D14" s="61">
        <f t="shared" si="2"/>
        <v>10308</v>
      </c>
      <c r="E14" s="50">
        <f t="shared" si="3"/>
        <v>4.0999999999999996</v>
      </c>
      <c r="F14" s="107">
        <f t="shared" si="4"/>
        <v>0.44446527355661908</v>
      </c>
      <c r="G14" s="61">
        <f t="shared" si="5"/>
        <v>8045.3940000000002</v>
      </c>
      <c r="H14" s="50">
        <f t="shared" si="6"/>
        <v>78.05</v>
      </c>
    </row>
    <row r="15" spans="1:8">
      <c r="A15" s="46" t="s">
        <v>195</v>
      </c>
      <c r="B15" s="61">
        <f t="shared" si="0"/>
        <v>24377</v>
      </c>
      <c r="C15" s="55">
        <f t="shared" si="1"/>
        <v>6.2258329800329977E-2</v>
      </c>
      <c r="D15" s="61">
        <f t="shared" si="2"/>
        <v>5963</v>
      </c>
      <c r="E15" s="50">
        <f t="shared" si="3"/>
        <v>4.0999999999999996</v>
      </c>
      <c r="F15" s="107">
        <f t="shared" si="4"/>
        <v>0.25525915218135287</v>
      </c>
      <c r="G15" s="61">
        <f t="shared" si="5"/>
        <v>4683.9364999999998</v>
      </c>
      <c r="H15" s="50">
        <f t="shared" si="6"/>
        <v>78.55</v>
      </c>
    </row>
    <row r="16" spans="1:8">
      <c r="A16" s="46" t="s">
        <v>196</v>
      </c>
      <c r="B16" s="61">
        <f t="shared" si="0"/>
        <v>24324</v>
      </c>
      <c r="C16" s="55">
        <f t="shared" si="1"/>
        <v>6.2122968948731441E-2</v>
      </c>
      <c r="D16" s="61">
        <f t="shared" si="2"/>
        <v>6178</v>
      </c>
      <c r="E16" s="50">
        <f t="shared" si="3"/>
        <v>3.9</v>
      </c>
      <c r="F16" s="107">
        <f t="shared" si="4"/>
        <v>0.24227957890005261</v>
      </c>
      <c r="G16" s="61">
        <f t="shared" si="5"/>
        <v>5408.8389999999999</v>
      </c>
      <c r="H16" s="50">
        <f t="shared" si="6"/>
        <v>87.550000000000011</v>
      </c>
    </row>
    <row r="17" spans="1:10">
      <c r="A17" s="46" t="s">
        <v>197</v>
      </c>
      <c r="B17" s="61">
        <f t="shared" si="0"/>
        <v>28178</v>
      </c>
      <c r="C17" s="55">
        <f t="shared" si="1"/>
        <v>7.196600144044378E-2</v>
      </c>
      <c r="D17" s="61">
        <f t="shared" si="2"/>
        <v>6809</v>
      </c>
      <c r="E17" s="50">
        <f t="shared" si="3"/>
        <v>4.0999999999999996</v>
      </c>
      <c r="F17" s="107">
        <f t="shared" si="4"/>
        <v>0.29506060590581945</v>
      </c>
      <c r="G17" s="61">
        <f t="shared" si="5"/>
        <v>5450.6044999999995</v>
      </c>
      <c r="H17" s="50">
        <f t="shared" si="6"/>
        <v>80.05</v>
      </c>
    </row>
    <row r="18" spans="1:10" s="38" customFormat="1" ht="28.8">
      <c r="A18" s="40" t="s">
        <v>32</v>
      </c>
      <c r="B18" s="266">
        <f>SUM(B7:B17)</f>
        <v>391546</v>
      </c>
      <c r="C18" s="40">
        <f>SUM(C7:C17)</f>
        <v>1</v>
      </c>
      <c r="D18" s="266">
        <f>SUM(D7:D17)</f>
        <v>95900</v>
      </c>
      <c r="E18" s="268" t="s">
        <v>224</v>
      </c>
      <c r="F18" s="267">
        <f>SUM(F7:F17)</f>
        <v>3.9718308959866788</v>
      </c>
      <c r="G18" s="266">
        <f>SUM(G7:G17)</f>
        <v>77413.172999999995</v>
      </c>
      <c r="H18" s="40"/>
    </row>
    <row r="19" spans="1:10">
      <c r="A19" s="60"/>
      <c r="B19" s="39"/>
      <c r="C19" s="39"/>
      <c r="D19" s="39"/>
      <c r="E19" s="39"/>
      <c r="F19" s="39"/>
      <c r="G19" s="39"/>
    </row>
    <row r="20" spans="1:10" ht="15.6">
      <c r="A20" s="239" t="s">
        <v>204</v>
      </c>
    </row>
    <row r="21" spans="1:10">
      <c r="A21" s="318" t="s">
        <v>160</v>
      </c>
      <c r="B21" s="318" t="s">
        <v>161</v>
      </c>
      <c r="C21" s="318" t="s">
        <v>162</v>
      </c>
      <c r="D21" s="318" t="s">
        <v>148</v>
      </c>
      <c r="E21" s="318"/>
      <c r="F21" s="318"/>
      <c r="G21" s="318" t="s">
        <v>163</v>
      </c>
      <c r="H21" s="323" t="s">
        <v>200</v>
      </c>
    </row>
    <row r="22" spans="1:10">
      <c r="A22" s="318"/>
      <c r="B22" s="318"/>
      <c r="C22" s="318"/>
      <c r="D22" s="48" t="s">
        <v>32</v>
      </c>
      <c r="E22" s="45" t="s">
        <v>169</v>
      </c>
      <c r="F22" s="45" t="s">
        <v>170</v>
      </c>
      <c r="G22" s="318"/>
      <c r="H22" s="324"/>
      <c r="I22" s="54"/>
      <c r="J22" s="54"/>
    </row>
    <row r="23" spans="1:10">
      <c r="A23" s="46" t="s">
        <v>187</v>
      </c>
      <c r="B23" s="61">
        <v>6098</v>
      </c>
      <c r="C23" s="61">
        <v>4619</v>
      </c>
      <c r="D23" s="93">
        <v>19390</v>
      </c>
      <c r="E23" s="61">
        <v>19390</v>
      </c>
      <c r="F23" s="46">
        <v>0</v>
      </c>
      <c r="G23" s="61">
        <v>786</v>
      </c>
      <c r="H23" s="57">
        <f t="shared" ref="H23:H33" si="7">D23/$D$34</f>
        <v>4.9521639858407442E-2</v>
      </c>
      <c r="I23" s="240"/>
      <c r="J23" s="39"/>
    </row>
    <row r="24" spans="1:10">
      <c r="A24" s="46" t="s">
        <v>188</v>
      </c>
      <c r="B24" s="61">
        <v>5702</v>
      </c>
      <c r="C24" s="61">
        <v>6055</v>
      </c>
      <c r="D24" s="93">
        <v>25812</v>
      </c>
      <c r="E24" s="61">
        <v>25812</v>
      </c>
      <c r="F24" s="46">
        <v>0</v>
      </c>
      <c r="G24" s="61">
        <v>1119</v>
      </c>
      <c r="H24" s="57">
        <f t="shared" si="7"/>
        <v>6.5923288706818614E-2</v>
      </c>
      <c r="I24" s="240"/>
      <c r="J24" s="39"/>
    </row>
    <row r="25" spans="1:10">
      <c r="A25" s="46" t="s">
        <v>189</v>
      </c>
      <c r="B25" s="61">
        <v>6738</v>
      </c>
      <c r="C25" s="61">
        <v>5690</v>
      </c>
      <c r="D25" s="93">
        <v>23723</v>
      </c>
      <c r="E25" s="61">
        <v>23723</v>
      </c>
      <c r="F25" s="46">
        <v>0</v>
      </c>
      <c r="G25" s="61">
        <v>870</v>
      </c>
      <c r="H25" s="57">
        <f t="shared" si="7"/>
        <v>6.0588027971170695E-2</v>
      </c>
      <c r="I25" s="240"/>
      <c r="J25" s="39"/>
    </row>
    <row r="26" spans="1:10">
      <c r="A26" s="46" t="s">
        <v>190</v>
      </c>
      <c r="B26" s="61">
        <v>15903</v>
      </c>
      <c r="C26" s="61">
        <v>11321</v>
      </c>
      <c r="D26" s="93">
        <v>41474</v>
      </c>
      <c r="E26" s="61">
        <v>41474</v>
      </c>
      <c r="F26" s="46">
        <v>0</v>
      </c>
      <c r="G26" s="61">
        <v>644</v>
      </c>
      <c r="H26" s="57">
        <f t="shared" si="7"/>
        <v>0.10592369734335173</v>
      </c>
      <c r="I26" s="240"/>
      <c r="J26" s="39"/>
    </row>
    <row r="27" spans="1:10">
      <c r="A27" s="46" t="s">
        <v>191</v>
      </c>
      <c r="B27" s="61">
        <v>5743</v>
      </c>
      <c r="C27" s="61">
        <v>5210</v>
      </c>
      <c r="D27" s="93">
        <v>22009</v>
      </c>
      <c r="E27" s="61">
        <v>22009</v>
      </c>
      <c r="F27" s="46">
        <v>0</v>
      </c>
      <c r="G27" s="61">
        <v>947</v>
      </c>
      <c r="H27" s="57">
        <f t="shared" si="7"/>
        <v>5.6210509110040711E-2</v>
      </c>
      <c r="I27" s="240"/>
      <c r="J27" s="39"/>
    </row>
    <row r="28" spans="1:10">
      <c r="A28" s="46" t="s">
        <v>192</v>
      </c>
      <c r="B28" s="61">
        <v>14882</v>
      </c>
      <c r="C28" s="61">
        <v>24386</v>
      </c>
      <c r="D28" s="93">
        <v>98605</v>
      </c>
      <c r="E28" s="61">
        <v>98605</v>
      </c>
      <c r="F28" s="46">
        <v>0</v>
      </c>
      <c r="G28" s="61">
        <v>1637</v>
      </c>
      <c r="H28" s="57">
        <f t="shared" si="7"/>
        <v>0.25183503343157637</v>
      </c>
      <c r="I28" s="240"/>
      <c r="J28" s="39"/>
    </row>
    <row r="29" spans="1:10">
      <c r="A29" s="46" t="s">
        <v>193</v>
      </c>
      <c r="B29" s="61">
        <v>13928</v>
      </c>
      <c r="C29" s="61">
        <v>10514</v>
      </c>
      <c r="D29" s="93">
        <v>41208</v>
      </c>
      <c r="E29" s="61">
        <v>41207</v>
      </c>
      <c r="F29" s="46">
        <v>1</v>
      </c>
      <c r="G29" s="61">
        <v>731</v>
      </c>
      <c r="H29" s="57">
        <f t="shared" si="7"/>
        <v>0.10524433910702702</v>
      </c>
      <c r="I29" s="240"/>
      <c r="J29" s="39"/>
    </row>
    <row r="30" spans="1:10">
      <c r="A30" s="46" t="s">
        <v>194</v>
      </c>
      <c r="B30" s="61">
        <v>10887</v>
      </c>
      <c r="C30" s="61">
        <v>10357</v>
      </c>
      <c r="D30" s="93">
        <v>42446</v>
      </c>
      <c r="E30" s="61">
        <v>42446</v>
      </c>
      <c r="F30" s="46">
        <v>0</v>
      </c>
      <c r="G30" s="61">
        <v>963</v>
      </c>
      <c r="H30" s="57">
        <f t="shared" si="7"/>
        <v>0.10840616428210223</v>
      </c>
      <c r="I30" s="240"/>
      <c r="J30" s="39"/>
    </row>
    <row r="31" spans="1:10">
      <c r="A31" s="46" t="s">
        <v>195</v>
      </c>
      <c r="B31" s="61">
        <v>8412</v>
      </c>
      <c r="C31" s="61">
        <v>5975</v>
      </c>
      <c r="D31" s="93">
        <v>24377</v>
      </c>
      <c r="E31" s="61">
        <v>24377</v>
      </c>
      <c r="F31" s="46">
        <v>0</v>
      </c>
      <c r="G31" s="61">
        <v>716</v>
      </c>
      <c r="H31" s="57">
        <f t="shared" si="7"/>
        <v>6.2258329800329977E-2</v>
      </c>
      <c r="I31" s="240"/>
    </row>
    <row r="32" spans="1:10">
      <c r="A32" s="46" t="s">
        <v>196</v>
      </c>
      <c r="B32" s="61">
        <v>8166</v>
      </c>
      <c r="C32" s="61">
        <v>6193</v>
      </c>
      <c r="D32" s="93">
        <v>24324</v>
      </c>
      <c r="E32" s="61">
        <v>24324</v>
      </c>
      <c r="F32" s="46">
        <v>0</v>
      </c>
      <c r="G32" s="61">
        <v>736</v>
      </c>
      <c r="H32" s="57">
        <f t="shared" si="7"/>
        <v>6.2122968948731441E-2</v>
      </c>
      <c r="I32" s="240"/>
    </row>
    <row r="33" spans="1:12">
      <c r="A33" s="46" t="s">
        <v>197</v>
      </c>
      <c r="B33" s="61">
        <v>10703</v>
      </c>
      <c r="C33" s="61">
        <v>6828</v>
      </c>
      <c r="D33" s="93">
        <v>28178</v>
      </c>
      <c r="E33" s="61">
        <v>28178</v>
      </c>
      <c r="F33" s="46">
        <v>0</v>
      </c>
      <c r="G33" s="61">
        <v>651</v>
      </c>
      <c r="H33" s="57">
        <f t="shared" si="7"/>
        <v>7.196600144044378E-2</v>
      </c>
      <c r="I33" s="56"/>
    </row>
    <row r="34" spans="1:12">
      <c r="A34" s="66"/>
      <c r="B34" s="61"/>
      <c r="C34" s="65" t="s">
        <v>32</v>
      </c>
      <c r="D34" s="105">
        <f>SUM(D23:D33)</f>
        <v>391546</v>
      </c>
      <c r="E34" s="67"/>
      <c r="F34" s="67"/>
      <c r="G34" s="67"/>
      <c r="H34" s="68"/>
    </row>
    <row r="35" spans="1:12">
      <c r="D35" s="106"/>
    </row>
    <row r="36" spans="1:12" ht="15.6">
      <c r="A36" s="239" t="s">
        <v>201</v>
      </c>
    </row>
    <row r="37" spans="1:12">
      <c r="A37" s="318" t="s">
        <v>160</v>
      </c>
      <c r="B37" s="318" t="s">
        <v>164</v>
      </c>
      <c r="C37" s="318" t="s">
        <v>165</v>
      </c>
      <c r="D37" s="318"/>
      <c r="E37" s="318"/>
      <c r="F37" s="318"/>
      <c r="G37" s="318"/>
      <c r="H37" s="318"/>
      <c r="I37" s="318"/>
      <c r="J37" s="318"/>
      <c r="K37" s="319" t="s">
        <v>166</v>
      </c>
    </row>
    <row r="38" spans="1:12">
      <c r="A38" s="318"/>
      <c r="B38" s="318"/>
      <c r="C38" s="40" t="s">
        <v>171</v>
      </c>
      <c r="D38" s="40" t="s">
        <v>172</v>
      </c>
      <c r="E38" s="40" t="s">
        <v>173</v>
      </c>
      <c r="F38" s="40" t="s">
        <v>174</v>
      </c>
      <c r="G38" s="40" t="s">
        <v>175</v>
      </c>
      <c r="H38" s="40" t="s">
        <v>176</v>
      </c>
      <c r="I38" s="40" t="s">
        <v>177</v>
      </c>
      <c r="J38" s="40" t="s">
        <v>178</v>
      </c>
      <c r="K38" s="319"/>
    </row>
    <row r="39" spans="1:12">
      <c r="A39" s="46" t="s">
        <v>187</v>
      </c>
      <c r="B39" s="61">
        <v>4563</v>
      </c>
      <c r="C39" s="46">
        <v>3.3</v>
      </c>
      <c r="D39" s="46">
        <v>13.5</v>
      </c>
      <c r="E39" s="46">
        <v>19.5</v>
      </c>
      <c r="F39" s="46">
        <v>26.8</v>
      </c>
      <c r="G39" s="46">
        <v>17.899999999999999</v>
      </c>
      <c r="H39" s="46">
        <v>9.9</v>
      </c>
      <c r="I39" s="46">
        <v>4.8</v>
      </c>
      <c r="J39" s="46">
        <v>4.3</v>
      </c>
      <c r="K39" s="47">
        <v>4.2</v>
      </c>
      <c r="L39" s="38"/>
    </row>
    <row r="40" spans="1:12">
      <c r="A40" s="46" t="s">
        <v>188</v>
      </c>
      <c r="B40" s="61">
        <v>5994</v>
      </c>
      <c r="C40" s="46">
        <v>3.3</v>
      </c>
      <c r="D40" s="46">
        <v>12.8</v>
      </c>
      <c r="E40" s="46">
        <v>20.9</v>
      </c>
      <c r="F40" s="46">
        <v>25</v>
      </c>
      <c r="G40" s="46">
        <v>18.100000000000001</v>
      </c>
      <c r="H40" s="46">
        <v>9.5</v>
      </c>
      <c r="I40" s="46">
        <v>5.0999999999999996</v>
      </c>
      <c r="J40" s="46">
        <v>5.2</v>
      </c>
      <c r="K40" s="47">
        <v>4.2</v>
      </c>
      <c r="L40" s="38"/>
    </row>
    <row r="41" spans="1:12">
      <c r="A41" s="46" t="s">
        <v>189</v>
      </c>
      <c r="B41" s="61">
        <v>5669</v>
      </c>
      <c r="C41" s="46">
        <v>3</v>
      </c>
      <c r="D41" s="46">
        <v>12.4</v>
      </c>
      <c r="E41" s="46">
        <v>20.9</v>
      </c>
      <c r="F41" s="46">
        <v>26.2</v>
      </c>
      <c r="G41" s="46">
        <v>19.3</v>
      </c>
      <c r="H41" s="46">
        <v>9.9</v>
      </c>
      <c r="I41" s="46">
        <v>4.5</v>
      </c>
      <c r="J41" s="46">
        <v>3.7</v>
      </c>
      <c r="K41" s="47">
        <v>4.2</v>
      </c>
      <c r="L41" s="38"/>
    </row>
    <row r="42" spans="1:12">
      <c r="A42" s="46" t="s">
        <v>190</v>
      </c>
      <c r="B42" s="61">
        <v>11311</v>
      </c>
      <c r="C42" s="46">
        <v>5.6</v>
      </c>
      <c r="D42" s="46">
        <v>16.600000000000001</v>
      </c>
      <c r="E42" s="46">
        <v>26.3</v>
      </c>
      <c r="F42" s="46">
        <v>26.5</v>
      </c>
      <c r="G42" s="46">
        <v>14.6</v>
      </c>
      <c r="H42" s="46">
        <v>6</v>
      </c>
      <c r="I42" s="46">
        <v>2.2999999999999998</v>
      </c>
      <c r="J42" s="46">
        <v>1.9</v>
      </c>
      <c r="K42" s="47">
        <v>3.7</v>
      </c>
      <c r="L42" s="38"/>
    </row>
    <row r="43" spans="1:12">
      <c r="A43" s="46" t="s">
        <v>191</v>
      </c>
      <c r="B43" s="61">
        <v>5173</v>
      </c>
      <c r="C43" s="46">
        <v>3.5</v>
      </c>
      <c r="D43" s="46">
        <v>13</v>
      </c>
      <c r="E43" s="46">
        <v>19.8</v>
      </c>
      <c r="F43" s="46">
        <v>24.5</v>
      </c>
      <c r="G43" s="46">
        <v>19.100000000000001</v>
      </c>
      <c r="H43" s="46">
        <v>10.4</v>
      </c>
      <c r="I43" s="46">
        <v>4.5999999999999996</v>
      </c>
      <c r="J43" s="46">
        <v>5.2</v>
      </c>
      <c r="K43" s="47">
        <v>4.2</v>
      </c>
      <c r="L43" s="38"/>
    </row>
    <row r="44" spans="1:12">
      <c r="A44" s="46" t="s">
        <v>192</v>
      </c>
      <c r="B44" s="61">
        <v>23461</v>
      </c>
      <c r="C44" s="46">
        <v>5.7</v>
      </c>
      <c r="D44" s="46">
        <v>21.2</v>
      </c>
      <c r="E44" s="46">
        <v>23.7</v>
      </c>
      <c r="F44" s="46">
        <v>21.5</v>
      </c>
      <c r="G44" s="46">
        <v>13.4</v>
      </c>
      <c r="H44" s="46">
        <v>7.1</v>
      </c>
      <c r="I44" s="46">
        <v>3.3</v>
      </c>
      <c r="J44" s="46">
        <v>4.2</v>
      </c>
      <c r="K44" s="47">
        <v>3.8</v>
      </c>
      <c r="L44" s="38"/>
    </row>
    <row r="45" spans="1:12">
      <c r="A45" s="46" t="s">
        <v>193</v>
      </c>
      <c r="B45" s="61">
        <v>10471</v>
      </c>
      <c r="C45" s="46">
        <v>3.6</v>
      </c>
      <c r="D45" s="46">
        <v>15.4</v>
      </c>
      <c r="E45" s="46">
        <v>23.7</v>
      </c>
      <c r="F45" s="46">
        <v>26.6</v>
      </c>
      <c r="G45" s="46">
        <v>16.3</v>
      </c>
      <c r="H45" s="46">
        <v>7.5</v>
      </c>
      <c r="I45" s="46">
        <v>3.5</v>
      </c>
      <c r="J45" s="46">
        <v>3.3</v>
      </c>
      <c r="K45" s="47">
        <v>3.9</v>
      </c>
      <c r="L45" s="38"/>
    </row>
    <row r="46" spans="1:12">
      <c r="A46" s="46" t="s">
        <v>194</v>
      </c>
      <c r="B46" s="61">
        <v>10308</v>
      </c>
      <c r="C46" s="46">
        <v>3.3</v>
      </c>
      <c r="D46" s="46">
        <v>13.5</v>
      </c>
      <c r="E46" s="46">
        <v>22.4</v>
      </c>
      <c r="F46" s="46">
        <v>26.2</v>
      </c>
      <c r="G46" s="46">
        <v>17.5</v>
      </c>
      <c r="H46" s="46">
        <v>8.9</v>
      </c>
      <c r="I46" s="46">
        <v>4</v>
      </c>
      <c r="J46" s="46">
        <v>4.2</v>
      </c>
      <c r="K46" s="47">
        <v>4.0999999999999996</v>
      </c>
      <c r="L46" s="38"/>
    </row>
    <row r="47" spans="1:12">
      <c r="A47" s="46" t="s">
        <v>195</v>
      </c>
      <c r="B47" s="61">
        <v>5963</v>
      </c>
      <c r="C47" s="46">
        <v>3.4</v>
      </c>
      <c r="D47" s="46">
        <v>12.8</v>
      </c>
      <c r="E47" s="46">
        <v>22.9</v>
      </c>
      <c r="F47" s="46">
        <v>25.8</v>
      </c>
      <c r="G47" s="46">
        <v>17.7</v>
      </c>
      <c r="H47" s="46">
        <v>9.6999999999999993</v>
      </c>
      <c r="I47" s="46">
        <v>4.2</v>
      </c>
      <c r="J47" s="46">
        <v>3.4</v>
      </c>
      <c r="K47" s="47">
        <v>4.0999999999999996</v>
      </c>
      <c r="L47" s="38"/>
    </row>
    <row r="48" spans="1:12">
      <c r="A48" s="46" t="s">
        <v>196</v>
      </c>
      <c r="B48" s="61">
        <v>6178</v>
      </c>
      <c r="C48" s="46">
        <v>4.5</v>
      </c>
      <c r="D48" s="46">
        <v>15.5</v>
      </c>
      <c r="E48" s="46">
        <v>23.1</v>
      </c>
      <c r="F48" s="46">
        <v>24.2</v>
      </c>
      <c r="G48" s="46">
        <v>17.399999999999999</v>
      </c>
      <c r="H48" s="46">
        <v>8.4</v>
      </c>
      <c r="I48" s="46">
        <v>4.0999999999999996</v>
      </c>
      <c r="J48" s="46">
        <v>2.9</v>
      </c>
      <c r="K48" s="47">
        <v>3.9</v>
      </c>
      <c r="L48" s="38"/>
    </row>
    <row r="49" spans="1:15">
      <c r="A49" s="46" t="s">
        <v>197</v>
      </c>
      <c r="B49" s="61">
        <v>6809</v>
      </c>
      <c r="C49" s="46">
        <v>3</v>
      </c>
      <c r="D49" s="46">
        <v>13.6</v>
      </c>
      <c r="E49" s="46">
        <v>21.9</v>
      </c>
      <c r="F49" s="46">
        <v>26.1</v>
      </c>
      <c r="G49" s="46">
        <v>17.8</v>
      </c>
      <c r="H49" s="46">
        <v>9.6999999999999993</v>
      </c>
      <c r="I49" s="46">
        <v>4.4000000000000004</v>
      </c>
      <c r="J49" s="46">
        <v>3.5</v>
      </c>
      <c r="K49" s="47">
        <v>4.0999999999999996</v>
      </c>
      <c r="L49" s="38"/>
    </row>
    <row r="51" spans="1:15" ht="15.6">
      <c r="A51" s="239" t="s">
        <v>205</v>
      </c>
    </row>
    <row r="52" spans="1:15">
      <c r="A52" s="318" t="s">
        <v>160</v>
      </c>
      <c r="B52" s="319" t="s">
        <v>151</v>
      </c>
      <c r="C52" s="318" t="s">
        <v>167</v>
      </c>
      <c r="D52" s="318"/>
      <c r="E52" s="318"/>
      <c r="F52" s="318"/>
      <c r="G52" s="318" t="s">
        <v>168</v>
      </c>
      <c r="H52" s="318"/>
      <c r="I52" s="318"/>
      <c r="J52" s="318"/>
      <c r="L52" s="325" t="s">
        <v>168</v>
      </c>
      <c r="M52" s="326"/>
      <c r="N52" s="325" t="s">
        <v>199</v>
      </c>
      <c r="O52" s="326"/>
    </row>
    <row r="53" spans="1:15">
      <c r="A53" s="318"/>
      <c r="B53" s="319"/>
      <c r="C53" s="40" t="s">
        <v>179</v>
      </c>
      <c r="D53" s="40" t="s">
        <v>180</v>
      </c>
      <c r="E53" s="40" t="s">
        <v>181</v>
      </c>
      <c r="F53" s="40" t="s">
        <v>182</v>
      </c>
      <c r="G53" s="40" t="s">
        <v>183</v>
      </c>
      <c r="H53" s="40" t="s">
        <v>184</v>
      </c>
      <c r="I53" s="40" t="s">
        <v>185</v>
      </c>
      <c r="J53" s="40" t="s">
        <v>186</v>
      </c>
      <c r="L53" s="52" t="s">
        <v>198</v>
      </c>
      <c r="M53" s="49" t="s">
        <v>186</v>
      </c>
      <c r="N53" s="52" t="s">
        <v>198</v>
      </c>
      <c r="O53" s="49" t="s">
        <v>186</v>
      </c>
    </row>
    <row r="54" spans="1:15">
      <c r="A54" s="46" t="s">
        <v>187</v>
      </c>
      <c r="B54" s="93">
        <v>4563</v>
      </c>
      <c r="C54" s="46">
        <v>0.8</v>
      </c>
      <c r="D54" s="46">
        <v>11.9</v>
      </c>
      <c r="E54" s="46">
        <v>86.3</v>
      </c>
      <c r="F54" s="46">
        <v>0.9</v>
      </c>
      <c r="G54" s="46">
        <v>22.5</v>
      </c>
      <c r="H54" s="46">
        <v>42</v>
      </c>
      <c r="I54" s="46">
        <v>31.2</v>
      </c>
      <c r="J54" s="46">
        <v>4.3</v>
      </c>
      <c r="L54" s="59">
        <f>SUM(H54:I54)+0.5*G54</f>
        <v>84.45</v>
      </c>
      <c r="M54" s="50">
        <f>J54</f>
        <v>4.3</v>
      </c>
      <c r="N54" s="58">
        <f>L54*B54/100</f>
        <v>3853.4535000000005</v>
      </c>
      <c r="O54" s="51">
        <f>M54*B54/100</f>
        <v>196.20899999999997</v>
      </c>
    </row>
    <row r="55" spans="1:15">
      <c r="A55" s="46" t="s">
        <v>188</v>
      </c>
      <c r="B55" s="93">
        <v>5994</v>
      </c>
      <c r="C55" s="46">
        <v>2.5</v>
      </c>
      <c r="D55" s="46">
        <v>18.8</v>
      </c>
      <c r="E55" s="46">
        <v>77.3</v>
      </c>
      <c r="F55" s="46">
        <v>1.3</v>
      </c>
      <c r="G55" s="46">
        <v>29.4</v>
      </c>
      <c r="H55" s="46">
        <v>49.1</v>
      </c>
      <c r="I55" s="46">
        <v>17.7</v>
      </c>
      <c r="J55" s="46">
        <v>3.9</v>
      </c>
      <c r="L55" s="59">
        <f t="shared" ref="L55:L64" si="8">SUM(H55:I55)+0.5*G55</f>
        <v>81.5</v>
      </c>
      <c r="M55" s="50">
        <f t="shared" ref="M55:M64" si="9">J55</f>
        <v>3.9</v>
      </c>
      <c r="N55" s="58">
        <f t="shared" ref="N55:N64" si="10">L55*B55/100</f>
        <v>4885.1099999999997</v>
      </c>
      <c r="O55" s="51">
        <f t="shared" ref="O55:O63" si="11">M55*B55/100</f>
        <v>233.76599999999999</v>
      </c>
    </row>
    <row r="56" spans="1:15">
      <c r="A56" s="46" t="s">
        <v>189</v>
      </c>
      <c r="B56" s="93">
        <v>5669</v>
      </c>
      <c r="C56" s="46">
        <v>1.4</v>
      </c>
      <c r="D56" s="46">
        <v>8.1999999999999993</v>
      </c>
      <c r="E56" s="46">
        <v>88.7</v>
      </c>
      <c r="F56" s="46">
        <v>1.6</v>
      </c>
      <c r="G56" s="46">
        <v>4.2</v>
      </c>
      <c r="H56" s="46">
        <v>26.8</v>
      </c>
      <c r="I56" s="46">
        <v>60.3</v>
      </c>
      <c r="J56" s="46">
        <v>8.6</v>
      </c>
      <c r="L56" s="59">
        <f t="shared" si="8"/>
        <v>89.199999999999989</v>
      </c>
      <c r="M56" s="50">
        <f t="shared" si="9"/>
        <v>8.6</v>
      </c>
      <c r="N56" s="58">
        <f t="shared" si="10"/>
        <v>5056.7479999999996</v>
      </c>
      <c r="O56" s="51">
        <f t="shared" si="11"/>
        <v>487.53399999999999</v>
      </c>
    </row>
    <row r="57" spans="1:15">
      <c r="A57" s="46" t="s">
        <v>190</v>
      </c>
      <c r="B57" s="93">
        <v>11311</v>
      </c>
      <c r="C57" s="46">
        <v>0.9</v>
      </c>
      <c r="D57" s="46">
        <v>2.6</v>
      </c>
      <c r="E57" s="46">
        <v>93.5</v>
      </c>
      <c r="F57" s="46">
        <v>3</v>
      </c>
      <c r="G57" s="46">
        <v>3.5</v>
      </c>
      <c r="H57" s="46">
        <v>50.5</v>
      </c>
      <c r="I57" s="46">
        <v>27.4</v>
      </c>
      <c r="J57" s="46">
        <v>18.5</v>
      </c>
      <c r="L57" s="59">
        <f t="shared" si="8"/>
        <v>79.650000000000006</v>
      </c>
      <c r="M57" s="50">
        <f t="shared" si="9"/>
        <v>18.5</v>
      </c>
      <c r="N57" s="58">
        <f t="shared" si="10"/>
        <v>9009.2114999999994</v>
      </c>
      <c r="O57" s="51">
        <f t="shared" si="11"/>
        <v>2092.5349999999999</v>
      </c>
    </row>
    <row r="58" spans="1:15">
      <c r="A58" s="46" t="s">
        <v>191</v>
      </c>
      <c r="B58" s="93">
        <v>5173</v>
      </c>
      <c r="C58" s="46">
        <v>2.2000000000000002</v>
      </c>
      <c r="D58" s="46">
        <v>11</v>
      </c>
      <c r="E58" s="46">
        <v>85.2</v>
      </c>
      <c r="F58" s="46">
        <v>1.7</v>
      </c>
      <c r="G58" s="46">
        <v>21.5</v>
      </c>
      <c r="H58" s="46">
        <v>33.6</v>
      </c>
      <c r="I58" s="46">
        <v>36.799999999999997</v>
      </c>
      <c r="J58" s="46">
        <v>8.1</v>
      </c>
      <c r="L58" s="59">
        <f t="shared" si="8"/>
        <v>81.150000000000006</v>
      </c>
      <c r="M58" s="50">
        <f t="shared" si="9"/>
        <v>8.1</v>
      </c>
      <c r="N58" s="58">
        <f t="shared" si="10"/>
        <v>4197.8895000000002</v>
      </c>
      <c r="O58" s="51">
        <f t="shared" si="11"/>
        <v>419.01299999999998</v>
      </c>
    </row>
    <row r="59" spans="1:15">
      <c r="A59" s="46" t="s">
        <v>192</v>
      </c>
      <c r="B59" s="93">
        <v>23461</v>
      </c>
      <c r="C59" s="46">
        <v>4.5999999999999996</v>
      </c>
      <c r="D59" s="46">
        <v>40</v>
      </c>
      <c r="E59" s="46">
        <v>54.5</v>
      </c>
      <c r="F59" s="46">
        <v>0.9</v>
      </c>
      <c r="G59" s="46">
        <v>39</v>
      </c>
      <c r="H59" s="46">
        <v>43.3</v>
      </c>
      <c r="I59" s="46">
        <v>16.2</v>
      </c>
      <c r="J59" s="46">
        <v>1.6</v>
      </c>
      <c r="L59" s="59">
        <f t="shared" si="8"/>
        <v>79</v>
      </c>
      <c r="M59" s="50">
        <f t="shared" si="9"/>
        <v>1.6</v>
      </c>
      <c r="N59" s="58">
        <f t="shared" si="10"/>
        <v>18534.189999999999</v>
      </c>
      <c r="O59" s="51">
        <f t="shared" si="11"/>
        <v>375.37599999999998</v>
      </c>
    </row>
    <row r="60" spans="1:15">
      <c r="A60" s="46" t="s">
        <v>193</v>
      </c>
      <c r="B60" s="93">
        <v>10471</v>
      </c>
      <c r="C60" s="46">
        <v>0.8</v>
      </c>
      <c r="D60" s="46">
        <v>3</v>
      </c>
      <c r="E60" s="46">
        <v>94.9</v>
      </c>
      <c r="F60" s="46">
        <v>1.3</v>
      </c>
      <c r="G60" s="46">
        <v>21.1</v>
      </c>
      <c r="H60" s="46">
        <v>48.1</v>
      </c>
      <c r="I60" s="46">
        <v>20.5</v>
      </c>
      <c r="J60" s="46">
        <v>10.3</v>
      </c>
      <c r="L60" s="59">
        <f t="shared" si="8"/>
        <v>79.149999999999991</v>
      </c>
      <c r="M60" s="50">
        <f t="shared" si="9"/>
        <v>10.3</v>
      </c>
      <c r="N60" s="58">
        <f t="shared" si="10"/>
        <v>8287.7964999999986</v>
      </c>
      <c r="O60" s="51">
        <f t="shared" si="11"/>
        <v>1078.5129999999999</v>
      </c>
    </row>
    <row r="61" spans="1:15">
      <c r="A61" s="46" t="s">
        <v>194</v>
      </c>
      <c r="B61" s="93">
        <v>10308</v>
      </c>
      <c r="C61" s="46">
        <v>2.1</v>
      </c>
      <c r="D61" s="46">
        <v>8.3000000000000007</v>
      </c>
      <c r="E61" s="46">
        <v>89</v>
      </c>
      <c r="F61" s="46">
        <v>0.6</v>
      </c>
      <c r="G61" s="46">
        <v>34.1</v>
      </c>
      <c r="H61" s="46">
        <v>38.4</v>
      </c>
      <c r="I61" s="46">
        <v>22.6</v>
      </c>
      <c r="J61" s="46">
        <v>4.8</v>
      </c>
      <c r="L61" s="59">
        <f t="shared" si="8"/>
        <v>78.05</v>
      </c>
      <c r="M61" s="50">
        <f t="shared" si="9"/>
        <v>4.8</v>
      </c>
      <c r="N61" s="58">
        <f t="shared" si="10"/>
        <v>8045.3940000000002</v>
      </c>
      <c r="O61" s="51">
        <f t="shared" si="11"/>
        <v>494.78399999999999</v>
      </c>
    </row>
    <row r="62" spans="1:15">
      <c r="A62" s="46" t="s">
        <v>195</v>
      </c>
      <c r="B62" s="93">
        <v>5963</v>
      </c>
      <c r="C62" s="46">
        <v>1.1000000000000001</v>
      </c>
      <c r="D62" s="46">
        <v>2.9</v>
      </c>
      <c r="E62" s="46">
        <v>95</v>
      </c>
      <c r="F62" s="46">
        <v>1</v>
      </c>
      <c r="G62" s="46">
        <v>16.100000000000001</v>
      </c>
      <c r="H62" s="46">
        <v>40.700000000000003</v>
      </c>
      <c r="I62" s="46">
        <v>29.8</v>
      </c>
      <c r="J62" s="46">
        <v>13.4</v>
      </c>
      <c r="L62" s="59">
        <f t="shared" si="8"/>
        <v>78.55</v>
      </c>
      <c r="M62" s="50">
        <f t="shared" si="9"/>
        <v>13.4</v>
      </c>
      <c r="N62" s="58">
        <f t="shared" si="10"/>
        <v>4683.9364999999998</v>
      </c>
      <c r="O62" s="51">
        <f t="shared" si="11"/>
        <v>799.04199999999992</v>
      </c>
    </row>
    <row r="63" spans="1:15">
      <c r="A63" s="46" t="s">
        <v>196</v>
      </c>
      <c r="B63" s="93">
        <v>6178</v>
      </c>
      <c r="C63" s="46">
        <v>1.2</v>
      </c>
      <c r="D63" s="46">
        <v>4</v>
      </c>
      <c r="E63" s="46">
        <v>94.5</v>
      </c>
      <c r="F63" s="46">
        <v>0.3</v>
      </c>
      <c r="G63" s="46">
        <v>14.3</v>
      </c>
      <c r="H63" s="46">
        <v>40.799999999999997</v>
      </c>
      <c r="I63" s="46">
        <v>39.6</v>
      </c>
      <c r="J63" s="46">
        <v>5.3</v>
      </c>
      <c r="L63" s="59">
        <f t="shared" si="8"/>
        <v>87.550000000000011</v>
      </c>
      <c r="M63" s="50">
        <f t="shared" si="9"/>
        <v>5.3</v>
      </c>
      <c r="N63" s="58">
        <f t="shared" si="10"/>
        <v>5408.8389999999999</v>
      </c>
      <c r="O63" s="51">
        <f t="shared" si="11"/>
        <v>327.43399999999997</v>
      </c>
    </row>
    <row r="64" spans="1:15">
      <c r="A64" s="46" t="s">
        <v>197</v>
      </c>
      <c r="B64" s="93">
        <v>6809</v>
      </c>
      <c r="C64" s="46">
        <v>1.9</v>
      </c>
      <c r="D64" s="46">
        <v>6.4</v>
      </c>
      <c r="E64" s="46">
        <v>89.1</v>
      </c>
      <c r="F64" s="46">
        <v>2.6</v>
      </c>
      <c r="G64" s="46">
        <v>9.6999999999999993</v>
      </c>
      <c r="H64" s="46">
        <v>43.2</v>
      </c>
      <c r="I64" s="46">
        <v>32</v>
      </c>
      <c r="J64" s="46">
        <v>15.1</v>
      </c>
      <c r="L64" s="59">
        <f t="shared" si="8"/>
        <v>80.05</v>
      </c>
      <c r="M64" s="50">
        <f t="shared" si="9"/>
        <v>15.1</v>
      </c>
      <c r="N64" s="58">
        <f t="shared" si="10"/>
        <v>5450.6044999999995</v>
      </c>
      <c r="O64" s="51">
        <f>M64*B64/100</f>
        <v>1028.1589999999999</v>
      </c>
    </row>
    <row r="65" spans="13:15">
      <c r="M65" s="52" t="s">
        <v>32</v>
      </c>
      <c r="N65" s="53">
        <f>SUM(N54:N64)</f>
        <v>77413.172999999995</v>
      </c>
      <c r="O65" s="44"/>
    </row>
  </sheetData>
  <mergeCells count="24">
    <mergeCell ref="L52:M52"/>
    <mergeCell ref="N52:O52"/>
    <mergeCell ref="B37:B38"/>
    <mergeCell ref="C37:J37"/>
    <mergeCell ref="K37:K38"/>
    <mergeCell ref="G52:J52"/>
    <mergeCell ref="G5:G6"/>
    <mergeCell ref="F5:F6"/>
    <mergeCell ref="A37:A38"/>
    <mergeCell ref="H21:H22"/>
    <mergeCell ref="A5:A6"/>
    <mergeCell ref="B5:B6"/>
    <mergeCell ref="C5:C6"/>
    <mergeCell ref="A21:A22"/>
    <mergeCell ref="B21:B22"/>
    <mergeCell ref="C21:C22"/>
    <mergeCell ref="D21:F21"/>
    <mergeCell ref="G21:G22"/>
    <mergeCell ref="H5:H6"/>
    <mergeCell ref="A52:A53"/>
    <mergeCell ref="B52:B53"/>
    <mergeCell ref="C52:F52"/>
    <mergeCell ref="D5:D6"/>
    <mergeCell ref="E5:E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05"/>
  <sheetViews>
    <sheetView topLeftCell="B1" workbookViewId="0">
      <pane ySplit="1" topLeftCell="A2" activePane="bottomLeft" state="frozen"/>
      <selection pane="bottomLeft" activeCell="L8" sqref="L8"/>
    </sheetView>
  </sheetViews>
  <sheetFormatPr defaultRowHeight="14.4"/>
  <cols>
    <col min="1" max="1" width="14" bestFit="1" customWidth="1"/>
    <col min="2" max="2" width="10.33203125" bestFit="1" customWidth="1"/>
    <col min="3" max="3" width="24.33203125" style="24" customWidth="1"/>
    <col min="4" max="4" width="27.5546875" customWidth="1"/>
    <col min="5" max="5" width="19.6640625" customWidth="1"/>
    <col min="6" max="6" width="9.109375" style="24"/>
    <col min="7" max="7" width="10.33203125" bestFit="1" customWidth="1"/>
    <col min="8" max="8" width="21.44140625" bestFit="1" customWidth="1"/>
    <col min="9" max="9" width="14.88671875" customWidth="1"/>
    <col min="10" max="10" width="13.88671875" customWidth="1"/>
    <col min="11" max="11" width="16.109375" customWidth="1"/>
    <col min="12" max="12" width="15.88671875" customWidth="1"/>
    <col min="13" max="13" width="11.109375" customWidth="1"/>
    <col min="14" max="14" width="14.44140625" customWidth="1"/>
    <col min="15" max="15" width="10.5546875" customWidth="1"/>
  </cols>
  <sheetData>
    <row r="1" spans="1:15" ht="18">
      <c r="A1" s="327" t="s">
        <v>294</v>
      </c>
      <c r="B1" s="327"/>
      <c r="C1" s="327"/>
      <c r="D1" s="327"/>
      <c r="E1" s="327"/>
    </row>
    <row r="3" spans="1:15" ht="15" customHeight="1">
      <c r="A3" s="328" t="s">
        <v>232</v>
      </c>
      <c r="B3" s="329"/>
      <c r="C3" s="329"/>
      <c r="D3" s="329"/>
      <c r="E3" s="330"/>
      <c r="G3" s="328" t="s">
        <v>233</v>
      </c>
      <c r="H3" s="329"/>
      <c r="I3" s="329"/>
      <c r="J3" s="329"/>
      <c r="K3" s="329"/>
      <c r="L3" s="329"/>
      <c r="M3" s="329"/>
      <c r="N3" s="329"/>
      <c r="O3" s="330"/>
    </row>
    <row r="4" spans="1:15" ht="15" customHeight="1">
      <c r="A4" s="331"/>
      <c r="B4" s="332"/>
      <c r="C4" s="332"/>
      <c r="D4" s="332"/>
      <c r="E4" s="333"/>
      <c r="G4" s="331"/>
      <c r="H4" s="332"/>
      <c r="I4" s="332"/>
      <c r="J4" s="332"/>
      <c r="K4" s="332"/>
      <c r="L4" s="332"/>
      <c r="M4" s="332"/>
      <c r="N4" s="332"/>
      <c r="O4" s="333"/>
    </row>
    <row r="5" spans="1:15" ht="15" customHeight="1">
      <c r="A5" s="334"/>
      <c r="B5" s="335"/>
      <c r="C5" s="335"/>
      <c r="D5" s="335"/>
      <c r="E5" s="336"/>
      <c r="G5" s="334"/>
      <c r="H5" s="335"/>
      <c r="I5" s="335"/>
      <c r="J5" s="335"/>
      <c r="K5" s="335"/>
      <c r="L5" s="335"/>
      <c r="M5" s="335"/>
      <c r="N5" s="335"/>
      <c r="O5" s="336"/>
    </row>
    <row r="6" spans="1:15" ht="33" customHeight="1">
      <c r="A6" s="337" t="s">
        <v>41</v>
      </c>
      <c r="B6" s="337" t="s">
        <v>42</v>
      </c>
      <c r="C6" s="340" t="s">
        <v>237</v>
      </c>
      <c r="D6" s="340"/>
      <c r="E6" s="340"/>
      <c r="G6" s="337" t="s">
        <v>206</v>
      </c>
      <c r="H6" s="337" t="s">
        <v>234</v>
      </c>
      <c r="I6" s="337" t="s">
        <v>235</v>
      </c>
      <c r="J6" s="337"/>
      <c r="K6" s="337"/>
      <c r="L6" s="338" t="s">
        <v>236</v>
      </c>
      <c r="M6" s="338"/>
      <c r="N6" s="338"/>
      <c r="O6" s="339" t="s">
        <v>143</v>
      </c>
    </row>
    <row r="7" spans="1:15" ht="31.8">
      <c r="A7" s="337"/>
      <c r="B7" s="337"/>
      <c r="C7" s="62" t="s">
        <v>208</v>
      </c>
      <c r="D7" s="62" t="s">
        <v>209</v>
      </c>
      <c r="E7" s="62" t="s">
        <v>207</v>
      </c>
      <c r="G7" s="337"/>
      <c r="H7" s="337"/>
      <c r="I7" s="94" t="s">
        <v>207</v>
      </c>
      <c r="J7" s="94" t="s">
        <v>208</v>
      </c>
      <c r="K7" s="94" t="s">
        <v>209</v>
      </c>
      <c r="L7" s="97" t="s">
        <v>207</v>
      </c>
      <c r="M7" s="97" t="s">
        <v>208</v>
      </c>
      <c r="N7" s="97" t="s">
        <v>209</v>
      </c>
      <c r="O7" s="339"/>
    </row>
    <row r="8" spans="1:15" ht="18">
      <c r="A8" s="337"/>
      <c r="B8" s="337"/>
      <c r="C8" s="102" t="s">
        <v>43</v>
      </c>
      <c r="D8" s="102" t="s">
        <v>44</v>
      </c>
      <c r="E8" s="102" t="s">
        <v>144</v>
      </c>
      <c r="G8" s="27" t="s">
        <v>46</v>
      </c>
      <c r="H8" s="46" t="s">
        <v>187</v>
      </c>
      <c r="I8" s="95">
        <f>L8/O8</f>
        <v>2.7236445000000002</v>
      </c>
      <c r="J8" s="95">
        <f>M8/O8</f>
        <v>2.7236445000000002</v>
      </c>
      <c r="K8" s="95">
        <f>N8/O8</f>
        <v>0</v>
      </c>
      <c r="L8" s="98">
        <f>(SUMIF($B$9:$B$103,G8,$E$9:$E$103))</f>
        <v>16.341867000000001</v>
      </c>
      <c r="M8" s="98">
        <f t="shared" ref="M8:M18" si="0">(SUMIF($B$9:$B$103,G8,$C$9:$C$103))</f>
        <v>16.341867000000001</v>
      </c>
      <c r="N8" s="98">
        <f t="shared" ref="N8:N18" si="1">(SUMIF($B$9:$B$103,G8,$D$9:$D$103))</f>
        <v>0</v>
      </c>
      <c r="O8" s="99">
        <f t="shared" ref="O8:O18" si="2">(SUMIF($B$9:$B$103,G8,$F$9:$F$103))</f>
        <v>6</v>
      </c>
    </row>
    <row r="9" spans="1:15" ht="15.6">
      <c r="A9" s="25" t="s">
        <v>45</v>
      </c>
      <c r="B9" s="27" t="s">
        <v>46</v>
      </c>
      <c r="C9" s="26">
        <v>3.0376530000000002</v>
      </c>
      <c r="D9" s="26">
        <v>0</v>
      </c>
      <c r="E9" s="26">
        <f>SUM(C9:D9)</f>
        <v>3.0376530000000002</v>
      </c>
      <c r="F9" s="24">
        <v>1</v>
      </c>
      <c r="G9" s="29" t="s">
        <v>52</v>
      </c>
      <c r="H9" s="46" t="s">
        <v>189</v>
      </c>
      <c r="I9" s="95">
        <f t="shared" ref="I9:I18" si="3">L9/O9</f>
        <v>16.448192583333334</v>
      </c>
      <c r="J9" s="95">
        <f t="shared" ref="J9:J18" si="4">M9/O9</f>
        <v>7.2404035833333333</v>
      </c>
      <c r="K9" s="95">
        <f t="shared" ref="K9:K18" si="5">N9/O9</f>
        <v>9.2077890000000018</v>
      </c>
      <c r="L9" s="98">
        <f t="shared" ref="L9:L18" si="6">(SUMIF($B$9:$B$103,G9,$E$9:$E$103))</f>
        <v>197.378311</v>
      </c>
      <c r="M9" s="98">
        <f t="shared" si="0"/>
        <v>86.884843000000004</v>
      </c>
      <c r="N9" s="98">
        <f t="shared" si="1"/>
        <v>110.49346800000002</v>
      </c>
      <c r="O9" s="99">
        <f t="shared" si="2"/>
        <v>12</v>
      </c>
    </row>
    <row r="10" spans="1:15" ht="15.6">
      <c r="A10" s="25" t="s">
        <v>47</v>
      </c>
      <c r="B10" s="29" t="s">
        <v>46</v>
      </c>
      <c r="C10" s="28">
        <v>5.982558</v>
      </c>
      <c r="D10" s="28">
        <v>0</v>
      </c>
      <c r="E10" s="26">
        <f t="shared" ref="E10:E73" si="7">SUM(C10:D10)</f>
        <v>5.982558</v>
      </c>
      <c r="F10" s="24">
        <v>1</v>
      </c>
      <c r="G10" s="29" t="s">
        <v>65</v>
      </c>
      <c r="H10" s="46" t="s">
        <v>190</v>
      </c>
      <c r="I10" s="95">
        <f t="shared" si="3"/>
        <v>15.472335700000002</v>
      </c>
      <c r="J10" s="95">
        <f t="shared" si="4"/>
        <v>3.1538456999999998</v>
      </c>
      <c r="K10" s="95">
        <f t="shared" si="5"/>
        <v>12.318489999999999</v>
      </c>
      <c r="L10" s="98">
        <f t="shared" si="6"/>
        <v>154.72335700000002</v>
      </c>
      <c r="M10" s="98">
        <f t="shared" si="0"/>
        <v>31.538456999999998</v>
      </c>
      <c r="N10" s="98">
        <f t="shared" si="1"/>
        <v>123.18489999999998</v>
      </c>
      <c r="O10" s="99">
        <f t="shared" si="2"/>
        <v>10</v>
      </c>
    </row>
    <row r="11" spans="1:15" ht="15.6">
      <c r="A11" s="25" t="s">
        <v>48</v>
      </c>
      <c r="B11" s="29" t="s">
        <v>46</v>
      </c>
      <c r="C11" s="28">
        <v>2.4911340000000002</v>
      </c>
      <c r="D11" s="28">
        <v>0</v>
      </c>
      <c r="E11" s="26">
        <f t="shared" si="7"/>
        <v>2.4911340000000002</v>
      </c>
      <c r="F11" s="24">
        <v>1</v>
      </c>
      <c r="G11" s="29" t="s">
        <v>75</v>
      </c>
      <c r="H11" s="46" t="s">
        <v>191</v>
      </c>
      <c r="I11" s="95">
        <f t="shared" si="3"/>
        <v>8.3769016666666669</v>
      </c>
      <c r="J11" s="95">
        <f t="shared" si="4"/>
        <v>2.1222416666666666</v>
      </c>
      <c r="K11" s="95">
        <f t="shared" si="5"/>
        <v>6.2546600000000003</v>
      </c>
      <c r="L11" s="98">
        <f t="shared" si="6"/>
        <v>50.261410000000005</v>
      </c>
      <c r="M11" s="98">
        <f t="shared" si="0"/>
        <v>12.733449999999999</v>
      </c>
      <c r="N11" s="98">
        <f t="shared" si="1"/>
        <v>37.52796</v>
      </c>
      <c r="O11" s="99">
        <f t="shared" si="2"/>
        <v>6</v>
      </c>
    </row>
    <row r="12" spans="1:15" ht="15.6">
      <c r="A12" s="25" t="s">
        <v>49</v>
      </c>
      <c r="B12" s="29" t="s">
        <v>46</v>
      </c>
      <c r="C12" s="28">
        <v>3.0086889999999999</v>
      </c>
      <c r="D12" s="28">
        <v>0</v>
      </c>
      <c r="E12" s="26">
        <f t="shared" si="7"/>
        <v>3.0086889999999999</v>
      </c>
      <c r="F12" s="24">
        <v>1</v>
      </c>
      <c r="G12" s="27" t="s">
        <v>80</v>
      </c>
      <c r="H12" s="46" t="s">
        <v>192</v>
      </c>
      <c r="I12" s="95">
        <f t="shared" si="3"/>
        <v>10.727022714285713</v>
      </c>
      <c r="J12" s="95">
        <f t="shared" si="4"/>
        <v>2.4134707142857144</v>
      </c>
      <c r="K12" s="95">
        <f t="shared" si="5"/>
        <v>8.3135519999999996</v>
      </c>
      <c r="L12" s="98">
        <f t="shared" si="6"/>
        <v>75.089158999999995</v>
      </c>
      <c r="M12" s="98">
        <f t="shared" si="0"/>
        <v>16.894295</v>
      </c>
      <c r="N12" s="98">
        <f t="shared" si="1"/>
        <v>58.194864000000003</v>
      </c>
      <c r="O12" s="99">
        <f t="shared" si="2"/>
        <v>7</v>
      </c>
    </row>
    <row r="13" spans="1:15" ht="15.6">
      <c r="A13" s="30" t="s">
        <v>46</v>
      </c>
      <c r="B13" s="32" t="s">
        <v>46</v>
      </c>
      <c r="C13" s="31">
        <v>0.46945399999999998</v>
      </c>
      <c r="D13" s="28">
        <v>0</v>
      </c>
      <c r="E13" s="26">
        <f t="shared" si="7"/>
        <v>0.46945399999999998</v>
      </c>
      <c r="F13" s="24">
        <v>1</v>
      </c>
      <c r="G13" s="29" t="s">
        <v>87</v>
      </c>
      <c r="H13" s="46" t="s">
        <v>193</v>
      </c>
      <c r="I13" s="95">
        <f t="shared" si="3"/>
        <v>21.188315818181817</v>
      </c>
      <c r="J13" s="95">
        <f t="shared" si="4"/>
        <v>4.9098158181818183</v>
      </c>
      <c r="K13" s="95">
        <f t="shared" si="5"/>
        <v>16.278500000000005</v>
      </c>
      <c r="L13" s="98">
        <f t="shared" si="6"/>
        <v>233.07147399999997</v>
      </c>
      <c r="M13" s="98">
        <f t="shared" si="0"/>
        <v>54.007974000000004</v>
      </c>
      <c r="N13" s="98">
        <f t="shared" si="1"/>
        <v>179.06350000000006</v>
      </c>
      <c r="O13" s="99">
        <f t="shared" si="2"/>
        <v>11</v>
      </c>
    </row>
    <row r="14" spans="1:15" ht="15.6">
      <c r="A14" s="30" t="s">
        <v>50</v>
      </c>
      <c r="B14" s="32" t="s">
        <v>46</v>
      </c>
      <c r="C14" s="31">
        <v>1.352379</v>
      </c>
      <c r="D14" s="28">
        <v>0</v>
      </c>
      <c r="E14" s="26">
        <f t="shared" si="7"/>
        <v>1.352379</v>
      </c>
      <c r="F14" s="24">
        <v>1</v>
      </c>
      <c r="G14" s="29" t="s">
        <v>98</v>
      </c>
      <c r="H14" s="46" t="s">
        <v>195</v>
      </c>
      <c r="I14" s="95">
        <f t="shared" si="3"/>
        <v>9.6523565454545448</v>
      </c>
      <c r="J14" s="95">
        <f t="shared" si="4"/>
        <v>2.9831625454545461</v>
      </c>
      <c r="K14" s="95">
        <f t="shared" si="5"/>
        <v>6.6691939999999992</v>
      </c>
      <c r="L14" s="98">
        <f t="shared" si="6"/>
        <v>106.175922</v>
      </c>
      <c r="M14" s="98">
        <f t="shared" si="0"/>
        <v>32.814788000000007</v>
      </c>
      <c r="N14" s="98">
        <f t="shared" si="1"/>
        <v>73.361133999999993</v>
      </c>
      <c r="O14" s="99">
        <f t="shared" si="2"/>
        <v>11</v>
      </c>
    </row>
    <row r="15" spans="1:15" ht="15.6">
      <c r="A15" s="25" t="s">
        <v>51</v>
      </c>
      <c r="B15" s="29" t="s">
        <v>52</v>
      </c>
      <c r="C15" s="28">
        <v>3.9606439999999998</v>
      </c>
      <c r="D15" s="28">
        <v>9.207789</v>
      </c>
      <c r="E15" s="26">
        <f t="shared" si="7"/>
        <v>13.168433</v>
      </c>
      <c r="F15" s="24">
        <v>1</v>
      </c>
      <c r="G15" s="29" t="s">
        <v>109</v>
      </c>
      <c r="H15" s="46" t="s">
        <v>194</v>
      </c>
      <c r="I15" s="95">
        <f t="shared" si="3"/>
        <v>9.6139422727272716</v>
      </c>
      <c r="J15" s="95">
        <f t="shared" si="4"/>
        <v>3.4572332727272728</v>
      </c>
      <c r="K15" s="95">
        <f t="shared" si="5"/>
        <v>6.1567090000000002</v>
      </c>
      <c r="L15" s="98">
        <f t="shared" si="6"/>
        <v>105.75336499999999</v>
      </c>
      <c r="M15" s="98">
        <f t="shared" si="0"/>
        <v>38.029566000000003</v>
      </c>
      <c r="N15" s="98">
        <f t="shared" si="1"/>
        <v>67.723799</v>
      </c>
      <c r="O15" s="99">
        <f t="shared" si="2"/>
        <v>11</v>
      </c>
    </row>
    <row r="16" spans="1:15" ht="15.6">
      <c r="A16" s="25" t="s">
        <v>53</v>
      </c>
      <c r="B16" s="29" t="s">
        <v>52</v>
      </c>
      <c r="C16" s="28">
        <v>5.9158850000000003</v>
      </c>
      <c r="D16" s="28">
        <v>9.207789</v>
      </c>
      <c r="E16" s="26">
        <f t="shared" si="7"/>
        <v>15.123674000000001</v>
      </c>
      <c r="F16" s="24">
        <v>1</v>
      </c>
      <c r="G16" s="29" t="s">
        <v>121</v>
      </c>
      <c r="H16" s="46" t="s">
        <v>196</v>
      </c>
      <c r="I16" s="95">
        <f t="shared" si="3"/>
        <v>11.604695899999999</v>
      </c>
      <c r="J16" s="95">
        <f t="shared" si="4"/>
        <v>2.4904079000000001</v>
      </c>
      <c r="K16" s="95">
        <f t="shared" si="5"/>
        <v>9.1142880000000002</v>
      </c>
      <c r="L16" s="98">
        <f t="shared" si="6"/>
        <v>116.046959</v>
      </c>
      <c r="M16" s="98">
        <f t="shared" si="0"/>
        <v>24.904078999999999</v>
      </c>
      <c r="N16" s="98">
        <f t="shared" si="1"/>
        <v>91.142880000000005</v>
      </c>
      <c r="O16" s="99">
        <f t="shared" si="2"/>
        <v>10</v>
      </c>
    </row>
    <row r="17" spans="1:15" ht="15.6">
      <c r="A17" s="25" t="s">
        <v>54</v>
      </c>
      <c r="B17" s="29" t="s">
        <v>52</v>
      </c>
      <c r="C17" s="28">
        <v>4.6061030000000001</v>
      </c>
      <c r="D17" s="28">
        <v>9.207789</v>
      </c>
      <c r="E17" s="26">
        <f t="shared" si="7"/>
        <v>13.813891999999999</v>
      </c>
      <c r="F17" s="24">
        <v>1</v>
      </c>
      <c r="G17" s="29" t="s">
        <v>131</v>
      </c>
      <c r="H17" s="46" t="s">
        <v>197</v>
      </c>
      <c r="I17" s="95">
        <f t="shared" si="3"/>
        <v>13.889050857142857</v>
      </c>
      <c r="J17" s="95">
        <f t="shared" si="4"/>
        <v>1.5501208571428566</v>
      </c>
      <c r="K17" s="95">
        <f t="shared" si="5"/>
        <v>12.338930000000001</v>
      </c>
      <c r="L17" s="98">
        <f t="shared" si="6"/>
        <v>97.223355999999995</v>
      </c>
      <c r="M17" s="98">
        <f t="shared" si="0"/>
        <v>10.850845999999997</v>
      </c>
      <c r="N17" s="98">
        <f t="shared" si="1"/>
        <v>86.372510000000005</v>
      </c>
      <c r="O17" s="99">
        <f t="shared" si="2"/>
        <v>7</v>
      </c>
    </row>
    <row r="18" spans="1:15" ht="15.6">
      <c r="A18" s="30" t="s">
        <v>55</v>
      </c>
      <c r="B18" s="32" t="s">
        <v>52</v>
      </c>
      <c r="C18" s="31">
        <v>3.7768820000000001</v>
      </c>
      <c r="D18" s="28">
        <v>9.207789</v>
      </c>
      <c r="E18" s="26">
        <f t="shared" si="7"/>
        <v>12.984671000000001</v>
      </c>
      <c r="F18" s="24">
        <v>1</v>
      </c>
      <c r="G18" s="29" t="s">
        <v>139</v>
      </c>
      <c r="H18" s="46" t="s">
        <v>188</v>
      </c>
      <c r="I18" s="95">
        <f t="shared" si="3"/>
        <v>5.8143224999999994</v>
      </c>
      <c r="J18" s="95">
        <f t="shared" si="4"/>
        <v>1.8111194999999998</v>
      </c>
      <c r="K18" s="95">
        <f t="shared" si="5"/>
        <v>4.0032030000000001</v>
      </c>
      <c r="L18" s="98">
        <f t="shared" si="6"/>
        <v>23.257289999999998</v>
      </c>
      <c r="M18" s="98">
        <f t="shared" si="0"/>
        <v>7.2444779999999991</v>
      </c>
      <c r="N18" s="98">
        <f t="shared" si="1"/>
        <v>16.012812</v>
      </c>
      <c r="O18" s="99">
        <f t="shared" si="2"/>
        <v>4</v>
      </c>
    </row>
    <row r="19" spans="1:15" ht="15.6">
      <c r="A19" s="30" t="s">
        <v>56</v>
      </c>
      <c r="B19" s="32" t="s">
        <v>52</v>
      </c>
      <c r="C19" s="31">
        <v>3.06542</v>
      </c>
      <c r="D19" s="28">
        <v>9.207789</v>
      </c>
      <c r="E19" s="26">
        <f t="shared" si="7"/>
        <v>12.273209</v>
      </c>
      <c r="F19" s="24">
        <v>1</v>
      </c>
      <c r="G19" s="101"/>
      <c r="H19" s="101"/>
      <c r="I19" s="100"/>
      <c r="J19" s="100"/>
      <c r="K19" s="100"/>
      <c r="L19" s="100"/>
      <c r="M19" s="100"/>
      <c r="N19" s="100"/>
      <c r="O19" s="100"/>
    </row>
    <row r="20" spans="1:15" ht="15.6">
      <c r="A20" s="30" t="s">
        <v>57</v>
      </c>
      <c r="B20" s="32" t="s">
        <v>52</v>
      </c>
      <c r="C20" s="31">
        <v>4.3113479999999997</v>
      </c>
      <c r="D20" s="28">
        <v>9.207789</v>
      </c>
      <c r="E20" s="26">
        <f t="shared" si="7"/>
        <v>13.519137000000001</v>
      </c>
      <c r="F20" s="24">
        <v>1</v>
      </c>
      <c r="G20" s="96"/>
      <c r="H20" s="46" t="s">
        <v>313</v>
      </c>
      <c r="I20" s="95">
        <f>+L20/$O$20</f>
        <v>12.371815473684208</v>
      </c>
      <c r="J20" s="95">
        <f>+M20/$O$20</f>
        <v>3.4973120315789479</v>
      </c>
      <c r="K20" s="95">
        <f>+N20/$O$20</f>
        <v>8.8745034421052633</v>
      </c>
      <c r="L20" s="95">
        <f>SUM(L8:L18)</f>
        <v>1175.3224699999998</v>
      </c>
      <c r="M20" s="95">
        <f>SUM(M8:M18)</f>
        <v>332.24464300000005</v>
      </c>
      <c r="N20" s="95">
        <f>SUM(N8:N18)</f>
        <v>843.07782700000007</v>
      </c>
      <c r="O20" s="95">
        <f>SUM(O8:O18)</f>
        <v>95</v>
      </c>
    </row>
    <row r="21" spans="1:15" ht="15.6">
      <c r="A21" s="30" t="s">
        <v>58</v>
      </c>
      <c r="B21" s="32" t="s">
        <v>52</v>
      </c>
      <c r="C21" s="31">
        <v>11.442406</v>
      </c>
      <c r="D21" s="28">
        <v>9.207789</v>
      </c>
      <c r="E21" s="26">
        <f t="shared" si="7"/>
        <v>20.650195</v>
      </c>
      <c r="F21" s="24">
        <v>1</v>
      </c>
      <c r="I21" s="36"/>
    </row>
    <row r="22" spans="1:15" ht="15.6">
      <c r="A22" s="30" t="s">
        <v>59</v>
      </c>
      <c r="B22" s="32" t="s">
        <v>52</v>
      </c>
      <c r="C22" s="31">
        <v>7.0036769999999997</v>
      </c>
      <c r="D22" s="28">
        <v>9.207789</v>
      </c>
      <c r="E22" s="26">
        <f t="shared" si="7"/>
        <v>16.211466000000001</v>
      </c>
      <c r="F22" s="24">
        <v>1</v>
      </c>
      <c r="I22" s="36"/>
    </row>
    <row r="23" spans="1:15" ht="15.6">
      <c r="A23" s="30" t="s">
        <v>60</v>
      </c>
      <c r="B23" s="32" t="s">
        <v>52</v>
      </c>
      <c r="C23" s="31">
        <v>12.325005000000001</v>
      </c>
      <c r="D23" s="28">
        <v>9.207789</v>
      </c>
      <c r="E23" s="26">
        <f t="shared" si="7"/>
        <v>21.532794000000003</v>
      </c>
      <c r="F23" s="24">
        <v>1</v>
      </c>
    </row>
    <row r="24" spans="1:15" ht="15.6">
      <c r="A24" s="30" t="s">
        <v>61</v>
      </c>
      <c r="B24" s="32" t="s">
        <v>52</v>
      </c>
      <c r="C24" s="31">
        <v>5.62995</v>
      </c>
      <c r="D24" s="28">
        <v>9.207789</v>
      </c>
      <c r="E24" s="26">
        <f t="shared" si="7"/>
        <v>14.837738999999999</v>
      </c>
      <c r="F24" s="24">
        <v>1</v>
      </c>
    </row>
    <row r="25" spans="1:15" ht="15.6">
      <c r="A25" s="30" t="s">
        <v>62</v>
      </c>
      <c r="B25" s="32" t="s">
        <v>52</v>
      </c>
      <c r="C25" s="31">
        <v>19.307573000000001</v>
      </c>
      <c r="D25" s="28">
        <v>9.207789</v>
      </c>
      <c r="E25" s="26">
        <f t="shared" si="7"/>
        <v>28.515362000000003</v>
      </c>
      <c r="F25" s="24">
        <v>1</v>
      </c>
    </row>
    <row r="26" spans="1:15" ht="15.6">
      <c r="A26" s="30" t="s">
        <v>63</v>
      </c>
      <c r="B26" s="32" t="s">
        <v>52</v>
      </c>
      <c r="C26" s="31">
        <v>5.5399500000000002</v>
      </c>
      <c r="D26" s="28">
        <v>9.207789</v>
      </c>
      <c r="E26" s="26">
        <f t="shared" si="7"/>
        <v>14.747738999999999</v>
      </c>
      <c r="F26" s="24">
        <v>1</v>
      </c>
    </row>
    <row r="27" spans="1:15" ht="15.6">
      <c r="A27" s="25" t="s">
        <v>64</v>
      </c>
      <c r="B27" s="29" t="s">
        <v>65</v>
      </c>
      <c r="C27" s="28">
        <v>4.2682140000000004</v>
      </c>
      <c r="D27" s="28">
        <v>12.318490000000001</v>
      </c>
      <c r="E27" s="26">
        <f>SUM(C27:D27)</f>
        <v>16.586704000000001</v>
      </c>
      <c r="F27" s="24">
        <v>1</v>
      </c>
    </row>
    <row r="28" spans="1:15" ht="15.6">
      <c r="A28" s="25" t="s">
        <v>66</v>
      </c>
      <c r="B28" s="27" t="s">
        <v>65</v>
      </c>
      <c r="C28" s="26">
        <v>2.2214079999999998</v>
      </c>
      <c r="D28" s="26">
        <v>12.318490000000001</v>
      </c>
      <c r="E28" s="26">
        <f t="shared" si="7"/>
        <v>14.539898000000001</v>
      </c>
      <c r="F28" s="24">
        <v>1</v>
      </c>
    </row>
    <row r="29" spans="1:15" ht="15.6">
      <c r="A29" s="25" t="s">
        <v>67</v>
      </c>
      <c r="B29" s="29" t="s">
        <v>65</v>
      </c>
      <c r="C29" s="28">
        <v>2.2501120000000001</v>
      </c>
      <c r="D29" s="28">
        <v>12.318490000000001</v>
      </c>
      <c r="E29" s="26">
        <f t="shared" si="7"/>
        <v>14.568602</v>
      </c>
      <c r="F29" s="24">
        <v>1</v>
      </c>
    </row>
    <row r="30" spans="1:15" ht="15.6">
      <c r="A30" s="25" t="s">
        <v>68</v>
      </c>
      <c r="B30" s="29" t="s">
        <v>65</v>
      </c>
      <c r="C30" s="28">
        <v>4.3192329999999997</v>
      </c>
      <c r="D30" s="28">
        <v>12.318490000000001</v>
      </c>
      <c r="E30" s="26">
        <f t="shared" si="7"/>
        <v>16.637723000000001</v>
      </c>
      <c r="F30" s="24">
        <v>1</v>
      </c>
    </row>
    <row r="31" spans="1:15" ht="15.6">
      <c r="A31" s="25" t="s">
        <v>69</v>
      </c>
      <c r="B31" s="29" t="s">
        <v>65</v>
      </c>
      <c r="C31" s="28">
        <v>3.6414550000000001</v>
      </c>
      <c r="D31" s="28">
        <v>12.318490000000001</v>
      </c>
      <c r="E31" s="26">
        <f t="shared" si="7"/>
        <v>15.959945000000001</v>
      </c>
      <c r="F31" s="24">
        <v>1</v>
      </c>
    </row>
    <row r="32" spans="1:15" ht="15.6">
      <c r="A32" s="25" t="s">
        <v>70</v>
      </c>
      <c r="B32" s="29" t="s">
        <v>65</v>
      </c>
      <c r="C32" s="28">
        <v>4.5888150000000003</v>
      </c>
      <c r="D32" s="28">
        <v>12.318490000000001</v>
      </c>
      <c r="E32" s="26">
        <f t="shared" si="7"/>
        <v>16.907305000000001</v>
      </c>
      <c r="F32" s="24">
        <v>1</v>
      </c>
    </row>
    <row r="33" spans="1:9" ht="15.6">
      <c r="A33" s="30" t="s">
        <v>71</v>
      </c>
      <c r="B33" s="32" t="s">
        <v>65</v>
      </c>
      <c r="C33" s="33">
        <v>0.42621100000000001</v>
      </c>
      <c r="D33" s="28">
        <v>12.318490000000001</v>
      </c>
      <c r="E33" s="26">
        <f t="shared" si="7"/>
        <v>12.744701000000001</v>
      </c>
      <c r="F33" s="24">
        <v>1</v>
      </c>
    </row>
    <row r="34" spans="1:9" ht="15.6">
      <c r="A34" s="30" t="s">
        <v>72</v>
      </c>
      <c r="B34" s="32" t="s">
        <v>65</v>
      </c>
      <c r="C34" s="31">
        <v>3.0448780000000002</v>
      </c>
      <c r="D34" s="28">
        <v>12.318490000000001</v>
      </c>
      <c r="E34" s="26">
        <f t="shared" si="7"/>
        <v>15.363368000000001</v>
      </c>
      <c r="F34" s="24">
        <v>1</v>
      </c>
    </row>
    <row r="35" spans="1:9" ht="15.6">
      <c r="A35" s="30" t="s">
        <v>65</v>
      </c>
      <c r="B35" s="32" t="s">
        <v>65</v>
      </c>
      <c r="C35" s="31">
        <v>3.4448910000000001</v>
      </c>
      <c r="D35" s="28">
        <v>12.318490000000001</v>
      </c>
      <c r="E35" s="26">
        <f t="shared" si="7"/>
        <v>15.763381000000001</v>
      </c>
      <c r="F35" s="24">
        <v>1</v>
      </c>
    </row>
    <row r="36" spans="1:9" ht="15.6">
      <c r="A36" s="30" t="s">
        <v>73</v>
      </c>
      <c r="B36" s="32" t="s">
        <v>65</v>
      </c>
      <c r="C36" s="31">
        <v>3.33324</v>
      </c>
      <c r="D36" s="28">
        <v>12.318490000000001</v>
      </c>
      <c r="E36" s="26">
        <f t="shared" si="7"/>
        <v>15.651730000000001</v>
      </c>
      <c r="F36" s="24">
        <v>1</v>
      </c>
    </row>
    <row r="37" spans="1:9" ht="15.6">
      <c r="A37" s="25" t="s">
        <v>74</v>
      </c>
      <c r="B37" s="29" t="s">
        <v>75</v>
      </c>
      <c r="C37" s="28">
        <v>3.1179489999999999</v>
      </c>
      <c r="D37" s="28">
        <v>6.2546600000000003</v>
      </c>
      <c r="E37" s="26">
        <f t="shared" si="7"/>
        <v>9.3726090000000006</v>
      </c>
      <c r="F37" s="24">
        <v>1</v>
      </c>
    </row>
    <row r="38" spans="1:9" ht="15.6">
      <c r="A38" s="25" t="s">
        <v>75</v>
      </c>
      <c r="B38" s="27" t="s">
        <v>75</v>
      </c>
      <c r="C38" s="26">
        <v>1.9737480000000001</v>
      </c>
      <c r="D38" s="26">
        <v>6.2546600000000003</v>
      </c>
      <c r="E38" s="26">
        <f t="shared" si="7"/>
        <v>8.2284079999999999</v>
      </c>
      <c r="F38" s="24">
        <v>1</v>
      </c>
      <c r="I38" s="36"/>
    </row>
    <row r="39" spans="1:9" ht="15.6">
      <c r="A39" s="25" t="s">
        <v>76</v>
      </c>
      <c r="B39" s="29" t="s">
        <v>75</v>
      </c>
      <c r="C39" s="28">
        <v>0.71693200000000001</v>
      </c>
      <c r="D39" s="28">
        <v>6.2546600000000003</v>
      </c>
      <c r="E39" s="26">
        <f t="shared" si="7"/>
        <v>6.9715920000000002</v>
      </c>
      <c r="F39" s="24">
        <v>1</v>
      </c>
      <c r="I39" s="36"/>
    </row>
    <row r="40" spans="1:9" ht="15.6">
      <c r="A40" s="25" t="s">
        <v>77</v>
      </c>
      <c r="B40" s="29" t="s">
        <v>75</v>
      </c>
      <c r="C40" s="28">
        <v>2.0232999999999999</v>
      </c>
      <c r="D40" s="28">
        <v>6.2546600000000003</v>
      </c>
      <c r="E40" s="26">
        <f t="shared" si="7"/>
        <v>8.2779600000000002</v>
      </c>
      <c r="F40" s="24">
        <v>1</v>
      </c>
      <c r="I40" s="36"/>
    </row>
    <row r="41" spans="1:9" ht="15.6">
      <c r="A41" s="30" t="s">
        <v>74</v>
      </c>
      <c r="B41" s="32" t="s">
        <v>75</v>
      </c>
      <c r="C41" s="33">
        <v>3.1179489999999999</v>
      </c>
      <c r="D41" s="26">
        <v>6.2546600000000003</v>
      </c>
      <c r="E41" s="26">
        <f t="shared" si="7"/>
        <v>9.3726090000000006</v>
      </c>
      <c r="F41" s="24">
        <v>1</v>
      </c>
      <c r="I41" s="35"/>
    </row>
    <row r="42" spans="1:9" ht="15.6">
      <c r="A42" s="30" t="s">
        <v>78</v>
      </c>
      <c r="B42" s="32" t="s">
        <v>75</v>
      </c>
      <c r="C42" s="31">
        <v>1.7835719999999999</v>
      </c>
      <c r="D42" s="26">
        <v>6.2546600000000003</v>
      </c>
      <c r="E42" s="26">
        <f t="shared" si="7"/>
        <v>8.0382320000000007</v>
      </c>
      <c r="F42" s="24">
        <v>1</v>
      </c>
      <c r="I42" s="36"/>
    </row>
    <row r="43" spans="1:9" ht="15.6">
      <c r="A43" s="25" t="s">
        <v>79</v>
      </c>
      <c r="B43" s="27" t="s">
        <v>80</v>
      </c>
      <c r="C43" s="26">
        <v>2.1662620000000001</v>
      </c>
      <c r="D43" s="26">
        <v>8.3135519999999996</v>
      </c>
      <c r="E43" s="26">
        <f t="shared" si="7"/>
        <v>10.479813999999999</v>
      </c>
      <c r="F43" s="24">
        <v>1</v>
      </c>
      <c r="I43" s="36"/>
    </row>
    <row r="44" spans="1:9" ht="15.6">
      <c r="A44" s="25" t="s">
        <v>81</v>
      </c>
      <c r="B44" s="29" t="s">
        <v>80</v>
      </c>
      <c r="C44" s="28">
        <v>2.8148610000000001</v>
      </c>
      <c r="D44" s="26">
        <v>8.3135519999999996</v>
      </c>
      <c r="E44" s="26">
        <f t="shared" si="7"/>
        <v>11.128413</v>
      </c>
      <c r="F44" s="24">
        <v>1</v>
      </c>
      <c r="I44" s="36"/>
    </row>
    <row r="45" spans="1:9" ht="15.6">
      <c r="A45" s="25" t="s">
        <v>82</v>
      </c>
      <c r="B45" s="29" t="s">
        <v>80</v>
      </c>
      <c r="C45" s="28">
        <v>4.6111089999999999</v>
      </c>
      <c r="D45" s="26">
        <v>8.3135519999999996</v>
      </c>
      <c r="E45" s="26">
        <f t="shared" si="7"/>
        <v>12.924661</v>
      </c>
      <c r="F45" s="24">
        <v>1</v>
      </c>
      <c r="I45" s="36"/>
    </row>
    <row r="46" spans="1:9" ht="15.6">
      <c r="A46" s="25" t="s">
        <v>83</v>
      </c>
      <c r="B46" s="29" t="s">
        <v>80</v>
      </c>
      <c r="C46" s="28">
        <v>4.2525649999999997</v>
      </c>
      <c r="D46" s="26">
        <v>8.3135519999999996</v>
      </c>
      <c r="E46" s="26">
        <f t="shared" si="7"/>
        <v>12.566116999999998</v>
      </c>
      <c r="F46" s="24">
        <v>1</v>
      </c>
      <c r="I46" s="36"/>
    </row>
    <row r="47" spans="1:9" ht="15.6">
      <c r="A47" s="25" t="s">
        <v>84</v>
      </c>
      <c r="B47" s="29" t="s">
        <v>80</v>
      </c>
      <c r="C47" s="28">
        <v>0.81661600000000001</v>
      </c>
      <c r="D47" s="26">
        <v>8.3135519999999996</v>
      </c>
      <c r="E47" s="26">
        <f t="shared" si="7"/>
        <v>9.1301679999999994</v>
      </c>
      <c r="F47" s="24">
        <v>1</v>
      </c>
      <c r="I47" s="36"/>
    </row>
    <row r="48" spans="1:9" ht="15.6">
      <c r="A48" s="25" t="s">
        <v>85</v>
      </c>
      <c r="B48" s="29" t="s">
        <v>80</v>
      </c>
      <c r="C48" s="28">
        <v>1.701857</v>
      </c>
      <c r="D48" s="26">
        <v>8.3135519999999996</v>
      </c>
      <c r="E48" s="26">
        <f t="shared" si="7"/>
        <v>10.015409</v>
      </c>
      <c r="F48" s="24">
        <v>1</v>
      </c>
      <c r="I48" s="36"/>
    </row>
    <row r="49" spans="1:9" ht="15.6">
      <c r="A49" s="30" t="s">
        <v>80</v>
      </c>
      <c r="B49" s="32" t="s">
        <v>80</v>
      </c>
      <c r="C49" s="31">
        <v>0.53102499999999997</v>
      </c>
      <c r="D49" s="26">
        <v>8.3135519999999996</v>
      </c>
      <c r="E49" s="26">
        <f t="shared" si="7"/>
        <v>8.8445769999999992</v>
      </c>
      <c r="F49" s="24">
        <v>1</v>
      </c>
      <c r="I49" s="36"/>
    </row>
    <row r="50" spans="1:9" ht="15.6">
      <c r="A50" s="25" t="s">
        <v>86</v>
      </c>
      <c r="B50" s="29" t="s">
        <v>87</v>
      </c>
      <c r="C50" s="28">
        <v>1.5088379999999999</v>
      </c>
      <c r="D50" s="28">
        <v>16.278500000000001</v>
      </c>
      <c r="E50" s="26">
        <f t="shared" si="7"/>
        <v>17.787338000000002</v>
      </c>
      <c r="F50" s="24">
        <v>1</v>
      </c>
      <c r="I50" s="36"/>
    </row>
    <row r="51" spans="1:9" ht="15.6">
      <c r="A51" s="25" t="s">
        <v>88</v>
      </c>
      <c r="B51" s="29" t="s">
        <v>87</v>
      </c>
      <c r="C51" s="28">
        <v>1.8558239999999999</v>
      </c>
      <c r="D51" s="28">
        <v>16.278500000000001</v>
      </c>
      <c r="E51" s="26">
        <f t="shared" si="7"/>
        <v>18.134323999999999</v>
      </c>
      <c r="F51" s="24">
        <v>1</v>
      </c>
      <c r="I51" s="36"/>
    </row>
    <row r="52" spans="1:9" ht="15.6">
      <c r="A52" s="25" t="s">
        <v>89</v>
      </c>
      <c r="B52" s="29" t="s">
        <v>87</v>
      </c>
      <c r="C52" s="28">
        <v>1.087202</v>
      </c>
      <c r="D52" s="28">
        <v>16.278500000000001</v>
      </c>
      <c r="E52" s="26">
        <f t="shared" si="7"/>
        <v>17.365702000000002</v>
      </c>
      <c r="F52" s="24">
        <v>1</v>
      </c>
      <c r="I52" s="36"/>
    </row>
    <row r="53" spans="1:9" ht="15.6">
      <c r="A53" s="25" t="s">
        <v>90</v>
      </c>
      <c r="B53" s="29" t="s">
        <v>87</v>
      </c>
      <c r="C53" s="28">
        <v>6.849539</v>
      </c>
      <c r="D53" s="28">
        <v>16.278500000000001</v>
      </c>
      <c r="E53" s="26">
        <f t="shared" si="7"/>
        <v>23.128039000000001</v>
      </c>
      <c r="F53" s="24">
        <v>1</v>
      </c>
      <c r="I53" s="36"/>
    </row>
    <row r="54" spans="1:9" ht="15.6">
      <c r="A54" s="25" t="s">
        <v>91</v>
      </c>
      <c r="B54" s="29" t="s">
        <v>87</v>
      </c>
      <c r="C54" s="28">
        <v>3.248167</v>
      </c>
      <c r="D54" s="28">
        <v>16.278500000000001</v>
      </c>
      <c r="E54" s="26">
        <f t="shared" si="7"/>
        <v>19.526667</v>
      </c>
      <c r="F54" s="24">
        <v>1</v>
      </c>
      <c r="I54" s="36"/>
    </row>
    <row r="55" spans="1:9" ht="15.6">
      <c r="A55" s="30" t="s">
        <v>92</v>
      </c>
      <c r="B55" s="32" t="s">
        <v>87</v>
      </c>
      <c r="C55" s="31">
        <v>1.3613820000000001</v>
      </c>
      <c r="D55" s="28">
        <v>16.278500000000001</v>
      </c>
      <c r="E55" s="26">
        <f t="shared" si="7"/>
        <v>17.639882</v>
      </c>
      <c r="F55" s="24">
        <v>1</v>
      </c>
      <c r="I55" s="36"/>
    </row>
    <row r="56" spans="1:9" ht="15.6">
      <c r="A56" s="30" t="s">
        <v>93</v>
      </c>
      <c r="B56" s="32" t="s">
        <v>87</v>
      </c>
      <c r="C56" s="31">
        <v>1.380835</v>
      </c>
      <c r="D56" s="28">
        <v>16.278500000000001</v>
      </c>
      <c r="E56" s="26">
        <f t="shared" si="7"/>
        <v>17.659335000000002</v>
      </c>
      <c r="F56" s="24">
        <v>1</v>
      </c>
      <c r="I56" s="36"/>
    </row>
    <row r="57" spans="1:9" ht="15.6">
      <c r="A57" s="30" t="s">
        <v>87</v>
      </c>
      <c r="B57" s="32" t="s">
        <v>87</v>
      </c>
      <c r="C57" s="31">
        <v>3.7377150000000001</v>
      </c>
      <c r="D57" s="28">
        <v>16.278500000000001</v>
      </c>
      <c r="E57" s="26">
        <f t="shared" si="7"/>
        <v>20.016215000000003</v>
      </c>
      <c r="F57" s="24">
        <v>1</v>
      </c>
      <c r="I57" s="36"/>
    </row>
    <row r="58" spans="1:9" ht="15.6">
      <c r="A58" s="30" t="s">
        <v>94</v>
      </c>
      <c r="B58" s="32" t="s">
        <v>87</v>
      </c>
      <c r="C58" s="31">
        <v>4.5951870000000001</v>
      </c>
      <c r="D58" s="28">
        <v>16.278500000000001</v>
      </c>
      <c r="E58" s="26">
        <f t="shared" si="7"/>
        <v>20.873687</v>
      </c>
      <c r="F58" s="24">
        <v>1</v>
      </c>
      <c r="I58" s="36"/>
    </row>
    <row r="59" spans="1:9" ht="15.6">
      <c r="A59" s="30" t="s">
        <v>95</v>
      </c>
      <c r="B59" s="32" t="s">
        <v>87</v>
      </c>
      <c r="C59" s="31">
        <v>20.052059</v>
      </c>
      <c r="D59" s="28">
        <v>16.278500000000001</v>
      </c>
      <c r="E59" s="26">
        <f t="shared" si="7"/>
        <v>36.330559000000001</v>
      </c>
      <c r="F59" s="24">
        <v>1</v>
      </c>
      <c r="I59" s="36"/>
    </row>
    <row r="60" spans="1:9" ht="15.6">
      <c r="A60" s="30" t="s">
        <v>96</v>
      </c>
      <c r="B60" s="32" t="s">
        <v>87</v>
      </c>
      <c r="C60" s="31">
        <v>8.3312259999999991</v>
      </c>
      <c r="D60" s="28">
        <v>16.278500000000001</v>
      </c>
      <c r="E60" s="26">
        <f t="shared" si="7"/>
        <v>24.609726000000002</v>
      </c>
      <c r="F60" s="24">
        <v>1</v>
      </c>
      <c r="I60" s="36"/>
    </row>
    <row r="61" spans="1:9" ht="15.6">
      <c r="A61" s="25" t="s">
        <v>97</v>
      </c>
      <c r="B61" s="29" t="s">
        <v>98</v>
      </c>
      <c r="C61" s="28">
        <v>2.7937989999999999</v>
      </c>
      <c r="D61" s="28">
        <v>6.6691940000000001</v>
      </c>
      <c r="E61" s="26">
        <f t="shared" si="7"/>
        <v>9.4629930000000009</v>
      </c>
      <c r="F61" s="24">
        <v>1</v>
      </c>
      <c r="I61" s="36"/>
    </row>
    <row r="62" spans="1:9" ht="15.6">
      <c r="A62" s="25" t="s">
        <v>99</v>
      </c>
      <c r="B62" s="29" t="s">
        <v>98</v>
      </c>
      <c r="C62" s="28">
        <v>0.138622</v>
      </c>
      <c r="D62" s="28">
        <v>6.6691940000000001</v>
      </c>
      <c r="E62" s="26">
        <f t="shared" si="7"/>
        <v>6.8078159999999999</v>
      </c>
      <c r="F62" s="24">
        <v>1</v>
      </c>
      <c r="I62" s="36"/>
    </row>
    <row r="63" spans="1:9" ht="15.6">
      <c r="A63" s="30" t="s">
        <v>100</v>
      </c>
      <c r="B63" s="32" t="s">
        <v>98</v>
      </c>
      <c r="C63" s="31">
        <v>1.0202370000000001</v>
      </c>
      <c r="D63" s="28">
        <v>6.6691940000000001</v>
      </c>
      <c r="E63" s="26">
        <f t="shared" si="7"/>
        <v>7.6894309999999999</v>
      </c>
      <c r="F63" s="24">
        <v>1</v>
      </c>
      <c r="I63" s="36"/>
    </row>
    <row r="64" spans="1:9" ht="15.6">
      <c r="A64" s="30" t="s">
        <v>101</v>
      </c>
      <c r="B64" s="32" t="s">
        <v>98</v>
      </c>
      <c r="C64" s="31">
        <v>1.1822619999999999</v>
      </c>
      <c r="D64" s="28">
        <v>6.6691940000000001</v>
      </c>
      <c r="E64" s="26">
        <f t="shared" si="7"/>
        <v>7.8514559999999998</v>
      </c>
      <c r="F64" s="24">
        <v>1</v>
      </c>
      <c r="I64" s="36"/>
    </row>
    <row r="65" spans="1:9" ht="15.6">
      <c r="A65" s="30" t="s">
        <v>102</v>
      </c>
      <c r="B65" s="32" t="s">
        <v>98</v>
      </c>
      <c r="C65" s="31">
        <v>1.7247440000000001</v>
      </c>
      <c r="D65" s="28">
        <v>6.6691940000000001</v>
      </c>
      <c r="E65" s="26">
        <f t="shared" si="7"/>
        <v>8.3939380000000003</v>
      </c>
      <c r="F65" s="24">
        <v>1</v>
      </c>
      <c r="I65" s="36"/>
    </row>
    <row r="66" spans="1:9" ht="15.6">
      <c r="A66" s="30" t="s">
        <v>103</v>
      </c>
      <c r="B66" s="32" t="s">
        <v>98</v>
      </c>
      <c r="C66" s="31">
        <v>7.3918410000000003</v>
      </c>
      <c r="D66" s="28">
        <v>6.6691940000000001</v>
      </c>
      <c r="E66" s="26">
        <f t="shared" si="7"/>
        <v>14.061035</v>
      </c>
      <c r="F66" s="24">
        <v>1</v>
      </c>
      <c r="I66" s="36"/>
    </row>
    <row r="67" spans="1:9" ht="15.6">
      <c r="A67" s="30" t="s">
        <v>104</v>
      </c>
      <c r="B67" s="32" t="s">
        <v>98</v>
      </c>
      <c r="C67" s="31">
        <v>1.3120860000000001</v>
      </c>
      <c r="D67" s="28">
        <v>6.6691940000000001</v>
      </c>
      <c r="E67" s="26">
        <f t="shared" si="7"/>
        <v>7.9812799999999999</v>
      </c>
      <c r="F67" s="24">
        <v>1</v>
      </c>
      <c r="I67" s="36"/>
    </row>
    <row r="68" spans="1:9" ht="15.6">
      <c r="A68" s="30" t="s">
        <v>98</v>
      </c>
      <c r="B68" s="32" t="s">
        <v>98</v>
      </c>
      <c r="C68" s="31">
        <v>6.0676620000000003</v>
      </c>
      <c r="D68" s="28">
        <v>6.6691940000000001</v>
      </c>
      <c r="E68" s="26">
        <f t="shared" si="7"/>
        <v>12.736856</v>
      </c>
      <c r="F68" s="24">
        <v>1</v>
      </c>
      <c r="I68" s="36"/>
    </row>
    <row r="69" spans="1:9" ht="15.6">
      <c r="A69" s="30" t="s">
        <v>105</v>
      </c>
      <c r="B69" s="32" t="s">
        <v>98</v>
      </c>
      <c r="C69" s="31">
        <v>5.4106620000000003</v>
      </c>
      <c r="D69" s="28">
        <v>6.6691940000000001</v>
      </c>
      <c r="E69" s="26">
        <f t="shared" si="7"/>
        <v>12.079855999999999</v>
      </c>
      <c r="F69" s="24">
        <v>1</v>
      </c>
      <c r="I69" s="36"/>
    </row>
    <row r="70" spans="1:9" ht="15.6">
      <c r="A70" s="30" t="s">
        <v>106</v>
      </c>
      <c r="B70" s="32" t="s">
        <v>98</v>
      </c>
      <c r="C70" s="31">
        <v>2.7111480000000001</v>
      </c>
      <c r="D70" s="28">
        <v>6.6691940000000001</v>
      </c>
      <c r="E70" s="26">
        <f t="shared" si="7"/>
        <v>9.3803420000000006</v>
      </c>
      <c r="F70" s="24">
        <v>1</v>
      </c>
      <c r="I70" s="36"/>
    </row>
    <row r="71" spans="1:9" ht="15.6">
      <c r="A71" s="30" t="s">
        <v>107</v>
      </c>
      <c r="B71" s="32" t="s">
        <v>98</v>
      </c>
      <c r="C71" s="31">
        <v>3.061725</v>
      </c>
      <c r="D71" s="28">
        <v>6.6691940000000001</v>
      </c>
      <c r="E71" s="26">
        <f t="shared" si="7"/>
        <v>9.7309190000000001</v>
      </c>
      <c r="F71" s="24">
        <v>1</v>
      </c>
      <c r="I71" s="36"/>
    </row>
    <row r="72" spans="1:9" ht="15.6">
      <c r="A72" s="25" t="s">
        <v>108</v>
      </c>
      <c r="B72" s="29" t="s">
        <v>109</v>
      </c>
      <c r="C72" s="28">
        <v>1.8506659999999999</v>
      </c>
      <c r="D72" s="28">
        <v>6.1567090000000002</v>
      </c>
      <c r="E72" s="26">
        <f t="shared" si="7"/>
        <v>8.0073749999999997</v>
      </c>
      <c r="F72" s="24">
        <v>1</v>
      </c>
      <c r="I72" s="35"/>
    </row>
    <row r="73" spans="1:9" ht="15.6">
      <c r="A73" s="25" t="s">
        <v>110</v>
      </c>
      <c r="B73" s="29" t="s">
        <v>109</v>
      </c>
      <c r="C73" s="28">
        <v>4.2450029999999996</v>
      </c>
      <c r="D73" s="28">
        <v>6.1567090000000002</v>
      </c>
      <c r="E73" s="26">
        <f t="shared" si="7"/>
        <v>10.401712</v>
      </c>
      <c r="F73" s="24">
        <v>1</v>
      </c>
      <c r="I73" s="36"/>
    </row>
    <row r="74" spans="1:9" ht="15.6">
      <c r="A74" s="25" t="s">
        <v>111</v>
      </c>
      <c r="B74" s="27" t="s">
        <v>109</v>
      </c>
      <c r="C74" s="26">
        <v>3.3711820000000001</v>
      </c>
      <c r="D74" s="26">
        <v>6.1567090000000002</v>
      </c>
      <c r="E74" s="26">
        <f t="shared" ref="E74:E103" si="8">SUM(C74:D74)</f>
        <v>9.5278910000000003</v>
      </c>
      <c r="F74" s="24">
        <v>1</v>
      </c>
      <c r="I74" s="36"/>
    </row>
    <row r="75" spans="1:9" ht="15.6">
      <c r="A75" s="25" t="s">
        <v>112</v>
      </c>
      <c r="B75" s="29" t="s">
        <v>109</v>
      </c>
      <c r="C75" s="28">
        <v>5.4844999999999997</v>
      </c>
      <c r="D75" s="28">
        <v>6.1567090000000002</v>
      </c>
      <c r="E75" s="26">
        <f t="shared" si="8"/>
        <v>11.641209</v>
      </c>
      <c r="F75" s="24">
        <v>1</v>
      </c>
      <c r="I75" s="36"/>
    </row>
    <row r="76" spans="1:9" ht="15.6">
      <c r="A76" s="30" t="s">
        <v>113</v>
      </c>
      <c r="B76" s="32" t="s">
        <v>109</v>
      </c>
      <c r="C76" s="33">
        <v>4.8665700000000003</v>
      </c>
      <c r="D76" s="28">
        <v>6.1567090000000002</v>
      </c>
      <c r="E76" s="26">
        <f t="shared" si="8"/>
        <v>11.023279</v>
      </c>
      <c r="F76" s="24">
        <v>1</v>
      </c>
      <c r="I76" s="36"/>
    </row>
    <row r="77" spans="1:9" ht="15.6">
      <c r="A77" s="30" t="s">
        <v>114</v>
      </c>
      <c r="B77" s="32" t="s">
        <v>109</v>
      </c>
      <c r="C77" s="31">
        <v>3.842149</v>
      </c>
      <c r="D77" s="28">
        <v>6.1567090000000002</v>
      </c>
      <c r="E77" s="26">
        <f t="shared" si="8"/>
        <v>9.9988580000000002</v>
      </c>
      <c r="F77" s="24">
        <v>1</v>
      </c>
      <c r="I77" s="36"/>
    </row>
    <row r="78" spans="1:9" ht="15.6">
      <c r="A78" s="30" t="s">
        <v>115</v>
      </c>
      <c r="B78" s="32" t="s">
        <v>109</v>
      </c>
      <c r="C78" s="31">
        <v>4.8802110000000001</v>
      </c>
      <c r="D78" s="28">
        <v>6.1567090000000002</v>
      </c>
      <c r="E78" s="26">
        <f t="shared" si="8"/>
        <v>11.03692</v>
      </c>
      <c r="F78" s="24">
        <v>1</v>
      </c>
      <c r="I78" s="36"/>
    </row>
    <row r="79" spans="1:9" ht="15.6">
      <c r="A79" s="30" t="s">
        <v>116</v>
      </c>
      <c r="B79" s="32" t="s">
        <v>109</v>
      </c>
      <c r="C79" s="31">
        <v>0.27010699999999999</v>
      </c>
      <c r="D79" s="28">
        <v>6.1567090000000002</v>
      </c>
      <c r="E79" s="26">
        <f t="shared" si="8"/>
        <v>6.4268160000000005</v>
      </c>
      <c r="F79" s="24">
        <v>1</v>
      </c>
      <c r="I79" s="36"/>
    </row>
    <row r="80" spans="1:9" ht="15.6">
      <c r="A80" s="30" t="s">
        <v>117</v>
      </c>
      <c r="B80" s="32" t="s">
        <v>109</v>
      </c>
      <c r="C80" s="31">
        <v>3.4053879999999999</v>
      </c>
      <c r="D80" s="28">
        <v>6.1567090000000002</v>
      </c>
      <c r="E80" s="26">
        <f t="shared" si="8"/>
        <v>9.5620969999999996</v>
      </c>
      <c r="F80" s="24">
        <v>1</v>
      </c>
      <c r="I80" s="36"/>
    </row>
    <row r="81" spans="1:9" ht="15.6">
      <c r="A81" s="30" t="s">
        <v>118</v>
      </c>
      <c r="B81" s="32" t="s">
        <v>109</v>
      </c>
      <c r="C81" s="31">
        <v>2.0756899999999998</v>
      </c>
      <c r="D81" s="28">
        <v>6.1567090000000002</v>
      </c>
      <c r="E81" s="26">
        <f t="shared" si="8"/>
        <v>8.2323990000000009</v>
      </c>
      <c r="F81" s="24">
        <v>1</v>
      </c>
      <c r="I81" s="36"/>
    </row>
    <row r="82" spans="1:9" ht="15.6">
      <c r="A82" s="30" t="s">
        <v>119</v>
      </c>
      <c r="B82" s="32" t="s">
        <v>109</v>
      </c>
      <c r="C82" s="31">
        <v>3.7381000000000002</v>
      </c>
      <c r="D82" s="28">
        <v>6.1567090000000002</v>
      </c>
      <c r="E82" s="26">
        <f t="shared" si="8"/>
        <v>9.8948090000000004</v>
      </c>
      <c r="F82" s="24">
        <v>1</v>
      </c>
      <c r="I82" s="36"/>
    </row>
    <row r="83" spans="1:9" ht="15.6">
      <c r="A83" s="25" t="s">
        <v>120</v>
      </c>
      <c r="B83" s="29" t="s">
        <v>121</v>
      </c>
      <c r="C83" s="28">
        <v>2.6877800000000001</v>
      </c>
      <c r="D83" s="28">
        <v>9.1142880000000002</v>
      </c>
      <c r="E83" s="26">
        <f t="shared" si="8"/>
        <v>11.802068</v>
      </c>
      <c r="F83" s="24">
        <v>1</v>
      </c>
      <c r="I83" s="36"/>
    </row>
    <row r="84" spans="1:9" ht="15.6">
      <c r="A84" s="25" t="s">
        <v>122</v>
      </c>
      <c r="B84" s="29" t="s">
        <v>121</v>
      </c>
      <c r="C84" s="28">
        <v>2.03287</v>
      </c>
      <c r="D84" s="28">
        <v>9.1142880000000002</v>
      </c>
      <c r="E84" s="26">
        <f t="shared" si="8"/>
        <v>11.147158000000001</v>
      </c>
      <c r="F84" s="24">
        <v>1</v>
      </c>
      <c r="I84" s="36"/>
    </row>
    <row r="85" spans="1:9" ht="15.6">
      <c r="A85" s="25" t="s">
        <v>123</v>
      </c>
      <c r="B85" s="29" t="s">
        <v>121</v>
      </c>
      <c r="C85" s="28">
        <v>2.8769040000000001</v>
      </c>
      <c r="D85" s="28">
        <v>9.1142880000000002</v>
      </c>
      <c r="E85" s="26">
        <f t="shared" si="8"/>
        <v>11.991192</v>
      </c>
      <c r="F85" s="24">
        <v>1</v>
      </c>
      <c r="I85" s="35"/>
    </row>
    <row r="86" spans="1:9" ht="15.6">
      <c r="A86" s="25" t="s">
        <v>124</v>
      </c>
      <c r="B86" s="29" t="s">
        <v>121</v>
      </c>
      <c r="C86" s="28">
        <v>2.0670850000000001</v>
      </c>
      <c r="D86" s="28">
        <v>9.1142880000000002</v>
      </c>
      <c r="E86" s="26">
        <f t="shared" si="8"/>
        <v>11.181373000000001</v>
      </c>
      <c r="F86" s="24">
        <v>1</v>
      </c>
      <c r="I86" s="36"/>
    </row>
    <row r="87" spans="1:9" ht="15.6">
      <c r="A87" s="25" t="s">
        <v>121</v>
      </c>
      <c r="B87" s="27" t="s">
        <v>121</v>
      </c>
      <c r="C87" s="26">
        <v>2.110973</v>
      </c>
      <c r="D87" s="26">
        <v>9.1142880000000002</v>
      </c>
      <c r="E87" s="26">
        <f t="shared" si="8"/>
        <v>11.225261</v>
      </c>
      <c r="F87" s="24">
        <v>1</v>
      </c>
      <c r="I87" s="36"/>
    </row>
    <row r="88" spans="1:9" ht="15.6">
      <c r="A88" s="30" t="s">
        <v>125</v>
      </c>
      <c r="B88" s="34" t="s">
        <v>121</v>
      </c>
      <c r="C88" s="31">
        <v>0.15356300000000001</v>
      </c>
      <c r="D88" s="28">
        <v>9.1142880000000002</v>
      </c>
      <c r="E88" s="26">
        <f t="shared" si="8"/>
        <v>9.2678510000000003</v>
      </c>
      <c r="F88" s="24">
        <v>1</v>
      </c>
      <c r="I88" s="36"/>
    </row>
    <row r="89" spans="1:9" ht="15.6">
      <c r="A89" s="30" t="s">
        <v>126</v>
      </c>
      <c r="B89" s="34" t="s">
        <v>121</v>
      </c>
      <c r="C89" s="31">
        <v>2.799169</v>
      </c>
      <c r="D89" s="28">
        <v>9.1142880000000002</v>
      </c>
      <c r="E89" s="26">
        <f t="shared" si="8"/>
        <v>11.913457000000001</v>
      </c>
      <c r="F89" s="24">
        <v>1</v>
      </c>
      <c r="I89" s="36"/>
    </row>
    <row r="90" spans="1:9" ht="15.6">
      <c r="A90" s="30" t="s">
        <v>127</v>
      </c>
      <c r="B90" s="34" t="s">
        <v>121</v>
      </c>
      <c r="C90" s="31">
        <v>4.9368509999999999</v>
      </c>
      <c r="D90" s="28">
        <v>9.1142880000000002</v>
      </c>
      <c r="E90" s="26">
        <f t="shared" si="8"/>
        <v>14.051138999999999</v>
      </c>
      <c r="F90" s="24">
        <v>1</v>
      </c>
      <c r="I90" s="36"/>
    </row>
    <row r="91" spans="1:9" ht="15.6">
      <c r="A91" s="30" t="s">
        <v>128</v>
      </c>
      <c r="B91" s="34" t="s">
        <v>121</v>
      </c>
      <c r="C91" s="31">
        <v>1.987973</v>
      </c>
      <c r="D91" s="28">
        <v>9.1142880000000002</v>
      </c>
      <c r="E91" s="26">
        <f t="shared" si="8"/>
        <v>11.102261</v>
      </c>
      <c r="F91" s="24">
        <v>1</v>
      </c>
      <c r="I91" s="36"/>
    </row>
    <row r="92" spans="1:9" ht="15.6">
      <c r="A92" s="30" t="s">
        <v>129</v>
      </c>
      <c r="B92" s="34" t="s">
        <v>121</v>
      </c>
      <c r="C92" s="31">
        <v>3.2509109999999999</v>
      </c>
      <c r="D92" s="28">
        <v>9.1142880000000002</v>
      </c>
      <c r="E92" s="26">
        <f t="shared" si="8"/>
        <v>12.365199</v>
      </c>
      <c r="F92" s="24">
        <v>1</v>
      </c>
      <c r="I92" s="36"/>
    </row>
    <row r="93" spans="1:9" ht="15.6">
      <c r="A93" s="25" t="s">
        <v>130</v>
      </c>
      <c r="B93" s="29" t="s">
        <v>131</v>
      </c>
      <c r="C93" s="28">
        <v>1.6738200000000001</v>
      </c>
      <c r="D93" s="28">
        <v>12.33893</v>
      </c>
      <c r="E93" s="26">
        <f t="shared" si="8"/>
        <v>14.01275</v>
      </c>
      <c r="F93" s="24">
        <v>1</v>
      </c>
      <c r="I93" s="36"/>
    </row>
    <row r="94" spans="1:9" ht="15.6">
      <c r="A94" s="30" t="s">
        <v>132</v>
      </c>
      <c r="B94" s="32" t="s">
        <v>131</v>
      </c>
      <c r="C94" s="31">
        <v>1.567574</v>
      </c>
      <c r="D94" s="28">
        <v>12.33893</v>
      </c>
      <c r="E94" s="26">
        <f t="shared" si="8"/>
        <v>13.906504</v>
      </c>
      <c r="F94" s="24">
        <v>1</v>
      </c>
      <c r="I94" s="36"/>
    </row>
    <row r="95" spans="1:9" ht="15.6">
      <c r="A95" s="30" t="s">
        <v>133</v>
      </c>
      <c r="B95" s="32" t="s">
        <v>131</v>
      </c>
      <c r="C95" s="31">
        <v>2.1308889999999998</v>
      </c>
      <c r="D95" s="28">
        <v>12.33893</v>
      </c>
      <c r="E95" s="26">
        <f t="shared" si="8"/>
        <v>14.469818999999999</v>
      </c>
      <c r="F95" s="24">
        <v>1</v>
      </c>
      <c r="I95" s="36"/>
    </row>
    <row r="96" spans="1:9" ht="15.6">
      <c r="A96" s="30" t="s">
        <v>134</v>
      </c>
      <c r="B96" s="32" t="s">
        <v>131</v>
      </c>
      <c r="C96" s="31">
        <v>1.995919</v>
      </c>
      <c r="D96" s="28">
        <v>12.33893</v>
      </c>
      <c r="E96" s="26">
        <f t="shared" si="8"/>
        <v>14.334849</v>
      </c>
      <c r="F96" s="24">
        <v>1</v>
      </c>
      <c r="I96" s="36"/>
    </row>
    <row r="97" spans="1:9" ht="15.6">
      <c r="A97" s="30" t="s">
        <v>135</v>
      </c>
      <c r="B97" s="32" t="s">
        <v>131</v>
      </c>
      <c r="C97" s="31">
        <v>1.9134059999999999</v>
      </c>
      <c r="D97" s="28">
        <v>12.33893</v>
      </c>
      <c r="E97" s="26">
        <f t="shared" si="8"/>
        <v>14.252336</v>
      </c>
      <c r="F97" s="24">
        <v>1</v>
      </c>
      <c r="I97" s="36"/>
    </row>
    <row r="98" spans="1:9" ht="15.6">
      <c r="A98" s="30" t="s">
        <v>136</v>
      </c>
      <c r="B98" s="32" t="s">
        <v>131</v>
      </c>
      <c r="C98" s="31">
        <v>1.2589920000000001</v>
      </c>
      <c r="D98" s="28">
        <v>12.33893</v>
      </c>
      <c r="E98" s="26">
        <f t="shared" si="8"/>
        <v>13.597922000000001</v>
      </c>
      <c r="F98" s="24">
        <v>1</v>
      </c>
      <c r="I98" s="36"/>
    </row>
    <row r="99" spans="1:9" ht="15.6">
      <c r="A99" s="30" t="s">
        <v>137</v>
      </c>
      <c r="B99" s="32" t="s">
        <v>131</v>
      </c>
      <c r="C99" s="31">
        <v>0.31024600000000002</v>
      </c>
      <c r="D99" s="28">
        <v>12.33893</v>
      </c>
      <c r="E99" s="26">
        <f t="shared" si="8"/>
        <v>12.649175999999999</v>
      </c>
      <c r="F99" s="24">
        <v>1</v>
      </c>
      <c r="I99" s="36"/>
    </row>
    <row r="100" spans="1:9" ht="15.6">
      <c r="A100" s="25" t="s">
        <v>138</v>
      </c>
      <c r="B100" s="29" t="s">
        <v>139</v>
      </c>
      <c r="C100" s="28">
        <v>2.5825979999999999</v>
      </c>
      <c r="D100" s="28">
        <v>4.0032030000000001</v>
      </c>
      <c r="E100" s="26">
        <f t="shared" si="8"/>
        <v>6.585801</v>
      </c>
      <c r="F100" s="24">
        <v>1</v>
      </c>
      <c r="I100" s="36"/>
    </row>
    <row r="101" spans="1:9" ht="15.6">
      <c r="A101" s="25" t="s">
        <v>140</v>
      </c>
      <c r="B101" s="29" t="s">
        <v>139</v>
      </c>
      <c r="C101" s="28">
        <v>0.83872899999999995</v>
      </c>
      <c r="D101" s="28">
        <v>4.0032030000000001</v>
      </c>
      <c r="E101" s="26">
        <f t="shared" si="8"/>
        <v>4.8419319999999999</v>
      </c>
      <c r="F101" s="24">
        <v>1</v>
      </c>
      <c r="I101" s="36"/>
    </row>
    <row r="102" spans="1:9" ht="15.6">
      <c r="A102" s="25" t="s">
        <v>141</v>
      </c>
      <c r="B102" s="29" t="s">
        <v>139</v>
      </c>
      <c r="C102" s="28">
        <v>2.2717139999999998</v>
      </c>
      <c r="D102" s="28">
        <v>4.0032030000000001</v>
      </c>
      <c r="E102" s="26">
        <f t="shared" si="8"/>
        <v>6.2749170000000003</v>
      </c>
      <c r="F102" s="24">
        <v>1</v>
      </c>
    </row>
    <row r="103" spans="1:9" ht="15.6">
      <c r="A103" s="25" t="s">
        <v>142</v>
      </c>
      <c r="B103" s="29" t="s">
        <v>139</v>
      </c>
      <c r="C103" s="28">
        <v>1.551437</v>
      </c>
      <c r="D103" s="28">
        <v>4.0032030000000001</v>
      </c>
      <c r="E103" s="26">
        <f t="shared" si="8"/>
        <v>5.55464</v>
      </c>
      <c r="F103" s="24">
        <v>1</v>
      </c>
    </row>
    <row r="104" spans="1:9">
      <c r="B104" s="38"/>
      <c r="E104" s="37">
        <f>SUM(E9:E103)</f>
        <v>1175.3224700000001</v>
      </c>
      <c r="F104" s="103">
        <f>SUM(F9:F103)</f>
        <v>95</v>
      </c>
    </row>
    <row r="105" spans="1:9">
      <c r="B105" s="38"/>
      <c r="E105" s="37">
        <f>AVERAGE(E9:E103)</f>
        <v>12.371815473684212</v>
      </c>
      <c r="F105" s="104"/>
    </row>
  </sheetData>
  <mergeCells count="11">
    <mergeCell ref="A1:E1"/>
    <mergeCell ref="A3:E5"/>
    <mergeCell ref="G3:O5"/>
    <mergeCell ref="I6:K6"/>
    <mergeCell ref="G6:G7"/>
    <mergeCell ref="H6:H7"/>
    <mergeCell ref="L6:N6"/>
    <mergeCell ref="O6:O7"/>
    <mergeCell ref="C6:E6"/>
    <mergeCell ref="A6:A8"/>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Getting Started</vt:lpstr>
      <vt:lpstr>RESULTS</vt:lpstr>
      <vt:lpstr>Input Data</vt:lpstr>
      <vt:lpstr>Input Data (Sanitation)</vt:lpstr>
      <vt:lpstr>Input Data (Emptying)</vt:lpstr>
      <vt:lpstr>Input Data (Transport)</vt:lpstr>
      <vt:lpstr>Calc. (Sanitation)</vt:lpstr>
      <vt:lpstr>Calc. (Empty)</vt:lpstr>
      <vt:lpstr>Calc. (Transport)</vt:lpstr>
      <vt:lpstr>Data (Census)</vt:lpstr>
      <vt:lpstr>Data (Transport Distance)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dc:creator>
  <cp:lastModifiedBy>Barbara Evans</cp:lastModifiedBy>
  <dcterms:created xsi:type="dcterms:W3CDTF">2014-07-01T08:15:27Z</dcterms:created>
  <dcterms:modified xsi:type="dcterms:W3CDTF">2016-02-23T09:56:45Z</dcterms:modified>
</cp:coreProperties>
</file>