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financial models\"/>
    </mc:Choice>
  </mc:AlternateContent>
  <bookViews>
    <workbookView xWindow="0" yWindow="0" windowWidth="17550" windowHeight="5445" activeTab="3"/>
  </bookViews>
  <sheets>
    <sheet name="Basic Financial Analysis" sheetId="1" r:id="rId1"/>
    <sheet name="Advanced Financial Analysis" sheetId="3" r:id="rId2"/>
    <sheet name="Extra Data --&gt;" sheetId="4" r:id="rId3"/>
    <sheet name="Research" sheetId="2" r:id="rId4"/>
  </sheets>
  <definedNames>
    <definedName name="CIQWBGuid" hidden="1">"2cd8126d-26c3-430c-b7fa-a069e3a1fc62"</definedName>
    <definedName name="Gross_Profit">'Advanced Financial Analysis'!$6:$6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'Advanced Financial Analysis'!$A$1:$J$62</definedName>
    <definedName name="_xlnm.Print_Area" localSheetId="0">'Basic Financial Analysis'!$A$1:$J$61</definedName>
    <definedName name="Sensitivity">'Advanced Financial Analysis'!$C$36</definedName>
    <definedName name="SG_A">'Advanced Financial Analysis'!$7:$7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0" i="3" l="1"/>
  <c r="D48" i="3"/>
  <c r="J48" i="3"/>
  <c r="E48" i="3"/>
  <c r="E6" i="3"/>
  <c r="E8" i="3" s="1"/>
  <c r="E11" i="3" s="1"/>
  <c r="E13" i="3" s="1"/>
  <c r="D6" i="3"/>
  <c r="D8" i="3" s="1"/>
  <c r="D11" i="3" s="1"/>
  <c r="D13" i="3" s="1"/>
  <c r="E5" i="2"/>
  <c r="E7" i="2" s="1"/>
  <c r="E10" i="2" s="1"/>
  <c r="E12" i="2" s="1"/>
  <c r="D5" i="2"/>
  <c r="D7" i="2" s="1"/>
  <c r="D10" i="2" s="1"/>
  <c r="D12" i="2" s="1"/>
  <c r="E64" i="3" l="1"/>
  <c r="E65" i="3"/>
  <c r="E66" i="3"/>
  <c r="E69" i="3" s="1"/>
  <c r="E75" i="3" s="1"/>
  <c r="E67" i="3"/>
  <c r="E68" i="3"/>
  <c r="D68" i="3"/>
  <c r="D67" i="3"/>
  <c r="D66" i="3"/>
  <c r="D65" i="3"/>
  <c r="D64" i="3"/>
  <c r="D56" i="3"/>
  <c r="D59" i="3" s="1"/>
  <c r="D55" i="3"/>
  <c r="D58" i="3" s="1"/>
  <c r="E54" i="3"/>
  <c r="F54" i="3" s="1"/>
  <c r="E70" i="3" l="1"/>
  <c r="D69" i="3"/>
  <c r="D75" i="3" s="1"/>
  <c r="D87" i="3"/>
  <c r="E88" i="3"/>
  <c r="E87" i="3"/>
  <c r="E84" i="3"/>
  <c r="D88" i="3"/>
  <c r="D85" i="3"/>
  <c r="E72" i="3"/>
  <c r="D84" i="3"/>
  <c r="E71" i="3"/>
  <c r="D72" i="3"/>
  <c r="E76" i="3"/>
  <c r="E77" i="3" s="1"/>
  <c r="E92" i="3" s="1"/>
  <c r="D71" i="3"/>
  <c r="D81" i="3" s="1"/>
  <c r="E85" i="3"/>
  <c r="D70" i="3"/>
  <c r="G54" i="3"/>
  <c r="G55" i="3" s="1"/>
  <c r="G58" i="3" s="1"/>
  <c r="F56" i="3"/>
  <c r="F59" i="3" s="1"/>
  <c r="F60" i="3" s="1"/>
  <c r="F55" i="3"/>
  <c r="F58" i="3" s="1"/>
  <c r="E55" i="3"/>
  <c r="E58" i="3" s="1"/>
  <c r="D76" i="3"/>
  <c r="D77" i="3" s="1"/>
  <c r="E56" i="3"/>
  <c r="E59" i="3" s="1"/>
  <c r="E60" i="3" s="1"/>
  <c r="D82" i="3" l="1"/>
  <c r="E81" i="3"/>
  <c r="E82" i="3"/>
  <c r="E90" i="3"/>
  <c r="E79" i="3"/>
  <c r="D79" i="3"/>
  <c r="D90" i="3"/>
  <c r="D92" i="3"/>
  <c r="H54" i="3"/>
  <c r="G56" i="3"/>
  <c r="G59" i="3" s="1"/>
  <c r="G60" i="3" s="1"/>
  <c r="I54" i="3" l="1"/>
  <c r="H56" i="3"/>
  <c r="H59" i="3" s="1"/>
  <c r="H60" i="3" s="1"/>
  <c r="H55" i="3"/>
  <c r="H58" i="3" s="1"/>
  <c r="A3" i="3"/>
  <c r="D38" i="3"/>
  <c r="E38" i="3"/>
  <c r="D40" i="3"/>
  <c r="E40" i="3"/>
  <c r="D42" i="3"/>
  <c r="E42" i="3"/>
  <c r="D43" i="3"/>
  <c r="E43" i="3"/>
  <c r="D45" i="3"/>
  <c r="E45" i="3"/>
  <c r="E37" i="3"/>
  <c r="D37" i="3"/>
  <c r="E25" i="3"/>
  <c r="E26" i="3"/>
  <c r="E28" i="3"/>
  <c r="E30" i="3"/>
  <c r="E31" i="3"/>
  <c r="E33" i="3"/>
  <c r="D26" i="3"/>
  <c r="D28" i="3"/>
  <c r="D30" i="3"/>
  <c r="D31" i="3"/>
  <c r="D33" i="3"/>
  <c r="D25" i="3"/>
  <c r="J54" i="3" l="1"/>
  <c r="I56" i="3"/>
  <c r="I59" i="3" s="1"/>
  <c r="I60" i="3" s="1"/>
  <c r="I55" i="3"/>
  <c r="I58" i="3" s="1"/>
  <c r="J55" i="3" l="1"/>
  <c r="J58" i="3" s="1"/>
  <c r="J56" i="3"/>
  <c r="J59" i="3" s="1"/>
  <c r="J60" i="3" s="1"/>
  <c r="E20" i="3" l="1"/>
  <c r="D20" i="3"/>
  <c r="E19" i="3"/>
  <c r="D19" i="3"/>
  <c r="E18" i="3"/>
  <c r="D18" i="3"/>
  <c r="E17" i="3"/>
  <c r="D17" i="3"/>
  <c r="E16" i="3"/>
  <c r="J10" i="3"/>
  <c r="I10" i="3"/>
  <c r="H10" i="3"/>
  <c r="G10" i="3"/>
  <c r="F10" i="3"/>
  <c r="F67" i="3" s="1"/>
  <c r="J7" i="3"/>
  <c r="I7" i="3"/>
  <c r="H7" i="3"/>
  <c r="G7" i="3"/>
  <c r="F7" i="3"/>
  <c r="F65" i="3" s="1"/>
  <c r="E50" i="3"/>
  <c r="D50" i="3"/>
  <c r="F4" i="3"/>
  <c r="E1" i="3"/>
  <c r="F1" i="3" s="1"/>
  <c r="G1" i="3" s="1"/>
  <c r="H1" i="3" s="1"/>
  <c r="I1" i="3" s="1"/>
  <c r="J1" i="3" s="1"/>
  <c r="A52" i="3" s="1"/>
  <c r="G7" i="1"/>
  <c r="H7" i="1"/>
  <c r="I7" i="1"/>
  <c r="J7" i="1"/>
  <c r="G10" i="1"/>
  <c r="H10" i="1"/>
  <c r="I10" i="1"/>
  <c r="J10" i="1"/>
  <c r="F10" i="1"/>
  <c r="F7" i="1"/>
  <c r="F4" i="1"/>
  <c r="F5" i="1" s="1"/>
  <c r="F6" i="1" s="1"/>
  <c r="F8" i="1" s="1"/>
  <c r="E20" i="1"/>
  <c r="D20" i="1"/>
  <c r="E19" i="1"/>
  <c r="D19" i="1"/>
  <c r="E18" i="1"/>
  <c r="D18" i="1"/>
  <c r="E17" i="1"/>
  <c r="D17" i="1"/>
  <c r="E16" i="1"/>
  <c r="E6" i="1"/>
  <c r="E8" i="1" s="1"/>
  <c r="E11" i="1" s="1"/>
  <c r="D6" i="1"/>
  <c r="D8" i="1" s="1"/>
  <c r="D11" i="1" s="1"/>
  <c r="D13" i="1" s="1"/>
  <c r="E1" i="1"/>
  <c r="F1" i="1" s="1"/>
  <c r="G1" i="1" s="1"/>
  <c r="H1" i="1" s="1"/>
  <c r="I1" i="1" s="1"/>
  <c r="J1" i="1" s="1"/>
  <c r="F9" i="1" l="1"/>
  <c r="F11" i="1" s="1"/>
  <c r="F12" i="1" s="1"/>
  <c r="F13" i="1" s="1"/>
  <c r="G4" i="1"/>
  <c r="H4" i="1" s="1"/>
  <c r="I4" i="1" s="1"/>
  <c r="E13" i="1"/>
  <c r="E21" i="1"/>
  <c r="H9" i="1"/>
  <c r="D21" i="1"/>
  <c r="G9" i="1"/>
  <c r="G5" i="1"/>
  <c r="G6" i="1" s="1"/>
  <c r="G8" i="1" s="1"/>
  <c r="I43" i="3"/>
  <c r="I67" i="3"/>
  <c r="G40" i="3"/>
  <c r="G65" i="3"/>
  <c r="J43" i="3"/>
  <c r="J67" i="3"/>
  <c r="H43" i="3"/>
  <c r="H67" i="3"/>
  <c r="H40" i="3"/>
  <c r="H65" i="3"/>
  <c r="J40" i="3"/>
  <c r="J65" i="3"/>
  <c r="G43" i="3"/>
  <c r="G67" i="3"/>
  <c r="I40" i="3"/>
  <c r="I65" i="3"/>
  <c r="F40" i="3"/>
  <c r="F28" i="3"/>
  <c r="E27" i="3"/>
  <c r="E39" i="3"/>
  <c r="G4" i="3"/>
  <c r="G37" i="3" s="1"/>
  <c r="F25" i="3"/>
  <c r="F37" i="3"/>
  <c r="D39" i="3"/>
  <c r="D27" i="3"/>
  <c r="F43" i="3"/>
  <c r="F31" i="3"/>
  <c r="F9" i="3"/>
  <c r="F66" i="3" s="1"/>
  <c r="F5" i="3"/>
  <c r="F64" i="3" s="1"/>
  <c r="G11" i="1" l="1"/>
  <c r="H5" i="1"/>
  <c r="H6" i="1" s="1"/>
  <c r="H8" i="1" s="1"/>
  <c r="G12" i="1"/>
  <c r="G13" i="1" s="1"/>
  <c r="H11" i="1"/>
  <c r="H12" i="1" s="1"/>
  <c r="H13" i="1" s="1"/>
  <c r="J4" i="1"/>
  <c r="I9" i="1"/>
  <c r="I5" i="1"/>
  <c r="I6" i="1" s="1"/>
  <c r="I8" i="1" s="1"/>
  <c r="G25" i="3"/>
  <c r="G28" i="3"/>
  <c r="G31" i="3"/>
  <c r="G5" i="3"/>
  <c r="H4" i="3"/>
  <c r="H37" i="3" s="1"/>
  <c r="G9" i="3"/>
  <c r="G66" i="3" s="1"/>
  <c r="E41" i="3"/>
  <c r="E29" i="3"/>
  <c r="F6" i="3"/>
  <c r="F48" i="3" s="1"/>
  <c r="F50" i="3" s="1"/>
  <c r="F26" i="3"/>
  <c r="F38" i="3"/>
  <c r="F42" i="3"/>
  <c r="F30" i="3"/>
  <c r="D41" i="3"/>
  <c r="D29" i="3"/>
  <c r="I11" i="1" l="1"/>
  <c r="I12" i="1"/>
  <c r="I13" i="1"/>
  <c r="J5" i="1"/>
  <c r="J6" i="1" s="1"/>
  <c r="J8" i="1" s="1"/>
  <c r="J9" i="1"/>
  <c r="G38" i="3"/>
  <c r="G64" i="3"/>
  <c r="H5" i="3"/>
  <c r="H9" i="3"/>
  <c r="G6" i="3"/>
  <c r="G27" i="3" s="1"/>
  <c r="G26" i="3"/>
  <c r="I4" i="3"/>
  <c r="I37" i="3" s="1"/>
  <c r="H25" i="3"/>
  <c r="H28" i="3"/>
  <c r="H31" i="3"/>
  <c r="F8" i="3"/>
  <c r="F39" i="3"/>
  <c r="F27" i="3"/>
  <c r="D44" i="3"/>
  <c r="D32" i="3"/>
  <c r="D21" i="3"/>
  <c r="E44" i="3"/>
  <c r="E32" i="3"/>
  <c r="E21" i="3"/>
  <c r="G30" i="3"/>
  <c r="G42" i="3"/>
  <c r="J11" i="1" l="1"/>
  <c r="J12" i="1" s="1"/>
  <c r="J13" i="1" s="1"/>
  <c r="H30" i="3"/>
  <c r="H66" i="3"/>
  <c r="H38" i="3"/>
  <c r="H64" i="3"/>
  <c r="J4" i="3"/>
  <c r="J37" i="3" s="1"/>
  <c r="H26" i="3"/>
  <c r="H6" i="3"/>
  <c r="H8" i="3" s="1"/>
  <c r="H41" i="3" s="1"/>
  <c r="I31" i="3"/>
  <c r="G8" i="3"/>
  <c r="G41" i="3" s="1"/>
  <c r="H42" i="3"/>
  <c r="G39" i="3"/>
  <c r="G48" i="3"/>
  <c r="G50" i="3" s="1"/>
  <c r="I5" i="3"/>
  <c r="I28" i="3"/>
  <c r="I9" i="3"/>
  <c r="I25" i="3"/>
  <c r="E34" i="3"/>
  <c r="E46" i="3"/>
  <c r="D34" i="3"/>
  <c r="D46" i="3"/>
  <c r="F41" i="3"/>
  <c r="F29" i="3"/>
  <c r="F11" i="3"/>
  <c r="J5" i="3" l="1"/>
  <c r="J38" i="3" s="1"/>
  <c r="J25" i="3"/>
  <c r="G29" i="3"/>
  <c r="G11" i="3"/>
  <c r="G44" i="3" s="1"/>
  <c r="J28" i="3"/>
  <c r="H48" i="3"/>
  <c r="H50" i="3" s="1"/>
  <c r="J31" i="3"/>
  <c r="H39" i="3"/>
  <c r="I38" i="3"/>
  <c r="I64" i="3"/>
  <c r="H27" i="3"/>
  <c r="J64" i="3"/>
  <c r="J9" i="3"/>
  <c r="J66" i="3" s="1"/>
  <c r="I30" i="3"/>
  <c r="I66" i="3"/>
  <c r="I26" i="3"/>
  <c r="I42" i="3"/>
  <c r="I6" i="3"/>
  <c r="I27" i="3" s="1"/>
  <c r="F12" i="3"/>
  <c r="F68" i="3" s="1"/>
  <c r="F44" i="3"/>
  <c r="F32" i="3"/>
  <c r="J6" i="3"/>
  <c r="H11" i="3"/>
  <c r="H44" i="3" s="1"/>
  <c r="H29" i="3"/>
  <c r="J26" i="3" l="1"/>
  <c r="G12" i="3"/>
  <c r="G32" i="3"/>
  <c r="F85" i="3"/>
  <c r="F69" i="3"/>
  <c r="F88" i="3"/>
  <c r="F71" i="3"/>
  <c r="F70" i="3"/>
  <c r="F87" i="3"/>
  <c r="F84" i="3"/>
  <c r="F72" i="3"/>
  <c r="J30" i="3"/>
  <c r="J42" i="3"/>
  <c r="G45" i="3"/>
  <c r="G68" i="3"/>
  <c r="I8" i="3"/>
  <c r="I41" i="3" s="1"/>
  <c r="J39" i="3"/>
  <c r="I39" i="3"/>
  <c r="I48" i="3"/>
  <c r="I50" i="3" s="1"/>
  <c r="F13" i="3"/>
  <c r="F33" i="3"/>
  <c r="F45" i="3"/>
  <c r="J8" i="3"/>
  <c r="J41" i="3" s="1"/>
  <c r="J27" i="3"/>
  <c r="G13" i="3"/>
  <c r="G33" i="3"/>
  <c r="H32" i="3"/>
  <c r="H12" i="3"/>
  <c r="I11" i="3" l="1"/>
  <c r="I44" i="3" s="1"/>
  <c r="I29" i="3"/>
  <c r="G69" i="3"/>
  <c r="G84" i="3"/>
  <c r="G70" i="3"/>
  <c r="G85" i="3"/>
  <c r="G88" i="3"/>
  <c r="G72" i="3"/>
  <c r="G87" i="3"/>
  <c r="G71" i="3"/>
  <c r="F82" i="3"/>
  <c r="F81" i="3"/>
  <c r="H45" i="3"/>
  <c r="H68" i="3"/>
  <c r="F76" i="3"/>
  <c r="F75" i="3"/>
  <c r="F77" i="3" s="1"/>
  <c r="J50" i="3"/>
  <c r="C52" i="3"/>
  <c r="G34" i="3"/>
  <c r="G46" i="3"/>
  <c r="F34" i="3"/>
  <c r="F46" i="3"/>
  <c r="H13" i="3"/>
  <c r="H33" i="3"/>
  <c r="I12" i="3"/>
  <c r="I68" i="3" s="1"/>
  <c r="I32" i="3"/>
  <c r="J11" i="3"/>
  <c r="J44" i="3" s="1"/>
  <c r="J29" i="3"/>
  <c r="G81" i="3" l="1"/>
  <c r="G82" i="3"/>
  <c r="I69" i="3"/>
  <c r="I72" i="3"/>
  <c r="I71" i="3"/>
  <c r="I84" i="3"/>
  <c r="I70" i="3"/>
  <c r="I87" i="3"/>
  <c r="I85" i="3"/>
  <c r="I88" i="3"/>
  <c r="H70" i="3"/>
  <c r="H88" i="3"/>
  <c r="H71" i="3"/>
  <c r="H69" i="3"/>
  <c r="H84" i="3"/>
  <c r="H85" i="3"/>
  <c r="H72" i="3"/>
  <c r="H87" i="3"/>
  <c r="F79" i="3"/>
  <c r="F92" i="3"/>
  <c r="F90" i="3"/>
  <c r="G75" i="3"/>
  <c r="G76" i="3"/>
  <c r="I33" i="3"/>
  <c r="I45" i="3"/>
  <c r="H34" i="3"/>
  <c r="H46" i="3"/>
  <c r="I13" i="3"/>
  <c r="J32" i="3"/>
  <c r="J12" i="3"/>
  <c r="G77" i="3" l="1"/>
  <c r="I82" i="3"/>
  <c r="I81" i="3"/>
  <c r="J45" i="3"/>
  <c r="J68" i="3"/>
  <c r="H75" i="3"/>
  <c r="H76" i="3"/>
  <c r="H77" i="3" s="1"/>
  <c r="I75" i="3"/>
  <c r="I76" i="3"/>
  <c r="G79" i="3"/>
  <c r="G90" i="3"/>
  <c r="G92" i="3"/>
  <c r="H81" i="3"/>
  <c r="H82" i="3"/>
  <c r="I34" i="3"/>
  <c r="I46" i="3"/>
  <c r="J13" i="3"/>
  <c r="J33" i="3"/>
  <c r="I77" i="3" l="1"/>
  <c r="H90" i="3"/>
  <c r="H79" i="3"/>
  <c r="H92" i="3"/>
  <c r="J70" i="3"/>
  <c r="J85" i="3"/>
  <c r="J88" i="3"/>
  <c r="J69" i="3"/>
  <c r="J71" i="3"/>
  <c r="J87" i="3"/>
  <c r="J72" i="3"/>
  <c r="J84" i="3"/>
  <c r="I92" i="3"/>
  <c r="I79" i="3"/>
  <c r="I90" i="3"/>
  <c r="J34" i="3"/>
  <c r="J46" i="3"/>
  <c r="J81" i="3" l="1"/>
  <c r="J82" i="3"/>
  <c r="J75" i="3"/>
  <c r="J76" i="3"/>
  <c r="J77" i="3" l="1"/>
  <c r="J90" i="3"/>
  <c r="J79" i="3"/>
  <c r="J92" i="3"/>
</calcChain>
</file>

<file path=xl/sharedStrings.xml><?xml version="1.0" encoding="utf-8"?>
<sst xmlns="http://schemas.openxmlformats.org/spreadsheetml/2006/main" count="101" uniqueCount="43">
  <si>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</si>
  <si>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</si>
  <si>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</si>
  <si>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</si>
  <si>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</si>
  <si>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</si>
  <si>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</si>
  <si>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</si>
  <si>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</si>
  <si>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</si>
  <si>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</si>
  <si>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USD $000's</t>
  </si>
  <si>
    <t>Assumptions</t>
  </si>
  <si>
    <t>Revenue growth</t>
  </si>
  <si>
    <t>COGS % of revenue</t>
  </si>
  <si>
    <t>Depreciation % of revenue</t>
  </si>
  <si>
    <t>Tax rate</t>
  </si>
  <si>
    <t>Analysis</t>
  </si>
  <si>
    <t>Common size income statement</t>
  </si>
  <si>
    <t>% Change</t>
  </si>
  <si>
    <t>EBITDA Sensitivity</t>
  </si>
  <si>
    <t>Time Periods</t>
  </si>
  <si>
    <t>Monthly Data</t>
  </si>
  <si>
    <t>Annual Data</t>
  </si>
  <si>
    <t>Monthly Period</t>
  </si>
  <si>
    <t>Annual Period</t>
  </si>
  <si>
    <t>Cost Analysis</t>
  </si>
  <si>
    <t>Total</t>
  </si>
  <si>
    <t>Average</t>
  </si>
  <si>
    <t>Weighted Average</t>
  </si>
  <si>
    <t>Median</t>
  </si>
  <si>
    <t>Stub or Full Year</t>
  </si>
  <si>
    <t>Return Total Expenses</t>
  </si>
  <si>
    <t>If &lt; 150,000</t>
  </si>
  <si>
    <t>If &gt;= 150,000</t>
  </si>
  <si>
    <t>Error Check</t>
  </si>
  <si>
    <t>Rounding (decimals)</t>
  </si>
  <si>
    <t>Rounding (multiples)</t>
  </si>
  <si>
    <t>Min</t>
  </si>
  <si>
    <t>Max</t>
  </si>
  <si>
    <t>Small</t>
  </si>
  <si>
    <t>Large</t>
  </si>
  <si>
    <t>DIV/0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</si>
</sst>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&quot;A&quot;"/>
    <numFmt numFmtId="165" formatCode="0&quot;E&quot;"/>
    <numFmt numFmtId="166" formatCode="#,##0.0_);\(#,##0.0\)"/>
    <numFmt numFmtId="167" formatCode="0.0%"/>
    <numFmt numFmtId="168" formatCode="#,##0.000"/>
    <numFmt numFmtId="169" formatCode="#,##0.0000_);\(#,##0.00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2"/>
      <color theme="0"/>
      <name val="Arial Narrow"/>
      <family val="2"/>
    </font>
    <font>
      <sz val="11"/>
      <color rgb="FF0000FF"/>
      <name val="Arial Narrow"/>
      <family val="2"/>
    </font>
    <font>
      <b/>
      <sz val="11"/>
      <color rgb="FF0000FF"/>
      <name val="Arial Narrow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164" fontId="5" fillId="2" borderId="0" xfId="0" applyNumberFormat="1" applyFont="1" applyFill="1"/>
    <xf numFmtId="165" fontId="5" fillId="2" borderId="0" xfId="0" applyNumberFormat="1" applyFont="1" applyFill="1"/>
    <xf numFmtId="166" fontId="2" fillId="0" borderId="0" xfId="0" applyNumberFormat="1" applyFont="1"/>
    <xf numFmtId="166" fontId="6" fillId="0" borderId="0" xfId="0" applyNumberFormat="1" applyFont="1"/>
    <xf numFmtId="167" fontId="2" fillId="0" borderId="0" xfId="1" applyNumberFormat="1" applyFont="1"/>
    <xf numFmtId="167" fontId="6" fillId="0" borderId="0" xfId="1" applyNumberFormat="1" applyFont="1"/>
    <xf numFmtId="166" fontId="7" fillId="0" borderId="0" xfId="0" applyNumberFormat="1" applyFont="1"/>
    <xf numFmtId="166" fontId="3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3" fillId="0" borderId="2" xfId="0" applyFont="1" applyBorder="1"/>
    <xf numFmtId="166" fontId="3" fillId="0" borderId="2" xfId="0" applyNumberFormat="1" applyFont="1" applyBorder="1"/>
    <xf numFmtId="0" fontId="3" fillId="3" borderId="0" xfId="0" applyFont="1" applyFill="1"/>
    <xf numFmtId="0" fontId="2" fillId="3" borderId="0" xfId="0" applyFont="1" applyFill="1"/>
    <xf numFmtId="9" fontId="6" fillId="0" borderId="0" xfId="1" applyFont="1"/>
    <xf numFmtId="14" fontId="2" fillId="0" borderId="0" xfId="0" applyNumberFormat="1" applyFont="1"/>
    <xf numFmtId="14" fontId="6" fillId="0" borderId="0" xfId="0" applyNumberFormat="1" applyFont="1"/>
    <xf numFmtId="168" fontId="2" fillId="0" borderId="0" xfId="0" applyNumberFormat="1" applyFont="1"/>
    <xf numFmtId="0" fontId="3" fillId="0" borderId="1" xfId="0" applyFont="1" applyBorder="1"/>
    <xf numFmtId="166" fontId="3" fillId="0" borderId="1" xfId="0" applyNumberFormat="1" applyFont="1" applyBorder="1"/>
    <xf numFmtId="0" fontId="6" fillId="0" borderId="0" xfId="0" applyFont="1"/>
    <xf numFmtId="168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9" fontId="2" fillId="0" borderId="0" xfId="0" applyNumberFormat="1" applyFont="1"/>
    <xf numFmtId="169" fontId="2" fillId="0" borderId="0" xfId="0" applyNumberFormat="1" applyFont="1"/>
    <xf numFmtId="0" fontId="6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3" fillId="0" borderId="0" xfId="0" applyFont="1" applyBorder="1"/>
    <xf numFmtId="0" fontId="2" fillId="0" borderId="0" xfId="0" applyFont="1" applyBorder="1"/>
    <xf numFmtId="166" fontId="2" fillId="0" borderId="0" xfId="0" applyNumberFormat="1" applyFont="1" applyBorder="1"/>
  </cellXfs>
  <cellStyles count="4">
    <cellStyle name="Hyperlink 2 2" xfId="3"/>
    <cellStyle name="Normal" xfId="0" builtinId="0"/>
    <cellStyle name="Normal 2" xfId="2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132E57"/>
      <color rgb="FF0000FF"/>
      <color rgb="FFED94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21"/>
  <sheetViews>
    <sheetView showGridLines="0" zoomScale="120" zoomScaleNormal="120" workbookViewId="0">
      <pane xSplit="2" ySplit="1" topLeftCell="C2" activePane="bottomRight" state="frozen"/>
      <selection activeCell="D2" sqref="D2"/>
      <selection pane="topRight" activeCell="D2" sqref="D2"/>
      <selection pane="bottomLeft" activeCell="D2" sqref="D2"/>
      <selection pane="bottomRight" activeCell="A4" sqref="A4:E13"/>
    </sheetView>
  </sheetViews>
  <sheetFormatPr defaultColWidth="8.5703125" defaultRowHeight="16.5" x14ac:dyDescent="0.3"/>
  <cols>
    <col min="1" max="3" width="8.5703125" style="1"/>
    <col min="4" max="10" width="10.5703125" style="1" customWidth="1"/>
    <col min="11" max="16384" width="8.5703125" style="1"/>
  </cols>
  <sheetData>
    <row r="1" spans="1:10" x14ac:dyDescent="0.3">
      <c r="A1" s="3" t="s">
        <v>11</v>
      </c>
      <c r="B1" s="4"/>
      <c r="C1" s="4"/>
      <c r="D1" s="5">
        <v>2016</v>
      </c>
      <c r="E1" s="5">
        <f>D1+1</f>
        <v>2017</v>
      </c>
      <c r="F1" s="6">
        <f t="shared" ref="F1:J1" si="0">E1+1</f>
        <v>2018</v>
      </c>
      <c r="G1" s="6">
        <f t="shared" si="0"/>
        <v>2019</v>
      </c>
      <c r="H1" s="6">
        <f t="shared" si="0"/>
        <v>2020</v>
      </c>
      <c r="I1" s="6">
        <f t="shared" si="0"/>
        <v>2021</v>
      </c>
      <c r="J1" s="6">
        <f t="shared" si="0"/>
        <v>2022</v>
      </c>
    </row>
    <row r="3" spans="1:10" x14ac:dyDescent="0.3">
      <c r="A3" s="2" t="s">
        <v>0</v>
      </c>
    </row>
    <row r="4" spans="1:10" x14ac:dyDescent="0.3">
      <c r="A4" s="2" t="s">
        <v>1</v>
      </c>
      <c r="B4" s="2"/>
      <c r="C4" s="2"/>
      <c r="D4" s="11">
        <v>81422</v>
      </c>
      <c r="E4" s="11">
        <v>86698</v>
      </c>
      <c r="F4" s="12">
        <f>E4*(1+F16)</f>
        <v>95367.8</v>
      </c>
      <c r="G4" s="12">
        <f t="shared" ref="G4:J4" si="1">F4*(1+G16)</f>
        <v>104904.58000000002</v>
      </c>
      <c r="H4" s="12">
        <f t="shared" si="1"/>
        <v>115395.03800000003</v>
      </c>
      <c r="I4" s="12">
        <f t="shared" si="1"/>
        <v>126934.54180000005</v>
      </c>
      <c r="J4" s="12">
        <f t="shared" si="1"/>
        <v>139627.99598000007</v>
      </c>
    </row>
    <row r="5" spans="1:10" x14ac:dyDescent="0.3">
      <c r="A5" s="1" t="s">
        <v>2</v>
      </c>
      <c r="D5" s="11">
        <v>38121</v>
      </c>
      <c r="E5" s="11">
        <v>37756</v>
      </c>
      <c r="F5" s="7">
        <f>F4*F17</f>
        <v>42915.51</v>
      </c>
      <c r="G5" s="7">
        <f t="shared" ref="G5:J5" si="2">G4*G17</f>
        <v>47207.061000000009</v>
      </c>
      <c r="H5" s="7">
        <f t="shared" si="2"/>
        <v>51927.767100000012</v>
      </c>
      <c r="I5" s="7">
        <f t="shared" si="2"/>
        <v>57120.543810000025</v>
      </c>
      <c r="J5" s="7">
        <f t="shared" si="2"/>
        <v>62832.598191000034</v>
      </c>
    </row>
    <row r="6" spans="1:10" x14ac:dyDescent="0.3">
      <c r="A6" s="13" t="s">
        <v>3</v>
      </c>
      <c r="B6" s="13"/>
      <c r="C6" s="13"/>
      <c r="D6" s="14">
        <f>D4-D5</f>
        <v>43301</v>
      </c>
      <c r="E6" s="14">
        <f>E4-E5</f>
        <v>48942</v>
      </c>
      <c r="F6" s="14">
        <f>F4-F5</f>
        <v>52452.29</v>
      </c>
      <c r="G6" s="14">
        <f t="shared" ref="G6:J6" si="3">G4-G5</f>
        <v>57697.519000000008</v>
      </c>
      <c r="H6" s="14">
        <f t="shared" si="3"/>
        <v>63467.270900000018</v>
      </c>
      <c r="I6" s="14">
        <f t="shared" si="3"/>
        <v>69813.997990000033</v>
      </c>
      <c r="J6" s="14">
        <f t="shared" si="3"/>
        <v>76795.397789000039</v>
      </c>
    </row>
    <row r="7" spans="1:10" x14ac:dyDescent="0.3">
      <c r="A7" s="1" t="s">
        <v>4</v>
      </c>
      <c r="D7" s="8">
        <v>29391</v>
      </c>
      <c r="E7" s="8">
        <v>32990</v>
      </c>
      <c r="F7" s="7">
        <f>F18</f>
        <v>20000</v>
      </c>
      <c r="G7" s="7">
        <f t="shared" ref="G7:J7" si="4">G18</f>
        <v>20000</v>
      </c>
      <c r="H7" s="7">
        <f t="shared" si="4"/>
        <v>20000</v>
      </c>
      <c r="I7" s="7">
        <f t="shared" si="4"/>
        <v>20000</v>
      </c>
      <c r="J7" s="7">
        <f t="shared" si="4"/>
        <v>20000</v>
      </c>
    </row>
    <row r="8" spans="1:10" x14ac:dyDescent="0.3">
      <c r="A8" s="13" t="s">
        <v>5</v>
      </c>
      <c r="B8" s="13"/>
      <c r="C8" s="13"/>
      <c r="D8" s="14">
        <f>D6-D7</f>
        <v>13910</v>
      </c>
      <c r="E8" s="14">
        <f>E6-E7</f>
        <v>15952</v>
      </c>
      <c r="F8" s="14">
        <f>F6-F7</f>
        <v>32452.29</v>
      </c>
      <c r="G8" s="14">
        <f t="shared" ref="G8:J8" si="5">G6-G7</f>
        <v>37697.519000000008</v>
      </c>
      <c r="H8" s="14">
        <f t="shared" si="5"/>
        <v>43467.270900000018</v>
      </c>
      <c r="I8" s="14">
        <f t="shared" si="5"/>
        <v>49813.997990000033</v>
      </c>
      <c r="J8" s="14">
        <f t="shared" si="5"/>
        <v>56795.397789000039</v>
      </c>
    </row>
    <row r="9" spans="1:10" x14ac:dyDescent="0.3">
      <c r="A9" s="1" t="s">
        <v>6</v>
      </c>
      <c r="D9" s="8">
        <v>2960</v>
      </c>
      <c r="E9" s="8">
        <v>2803</v>
      </c>
      <c r="F9" s="7">
        <f>F4*F19</f>
        <v>4768.3900000000003</v>
      </c>
      <c r="G9" s="7">
        <f t="shared" ref="G9:J9" si="6">G4*G19</f>
        <v>5245.2290000000012</v>
      </c>
      <c r="H9" s="7">
        <f t="shared" si="6"/>
        <v>5769.751900000002</v>
      </c>
      <c r="I9" s="7">
        <f t="shared" si="6"/>
        <v>6346.727090000003</v>
      </c>
      <c r="J9" s="7">
        <f t="shared" si="6"/>
        <v>6981.3997990000034</v>
      </c>
    </row>
    <row r="10" spans="1:10" x14ac:dyDescent="0.3">
      <c r="A10" s="1" t="s">
        <v>7</v>
      </c>
      <c r="D10" s="8">
        <v>1240</v>
      </c>
      <c r="E10" s="8">
        <v>1240</v>
      </c>
      <c r="F10" s="7">
        <f>F20</f>
        <v>1000</v>
      </c>
      <c r="G10" s="7">
        <f t="shared" ref="G10:J10" si="7">G20</f>
        <v>1000</v>
      </c>
      <c r="H10" s="7">
        <f t="shared" si="7"/>
        <v>1000</v>
      </c>
      <c r="I10" s="7">
        <f t="shared" si="7"/>
        <v>1000</v>
      </c>
      <c r="J10" s="7">
        <f t="shared" si="7"/>
        <v>1000</v>
      </c>
    </row>
    <row r="11" spans="1:10" x14ac:dyDescent="0.3">
      <c r="A11" s="13" t="s">
        <v>8</v>
      </c>
      <c r="B11" s="13"/>
      <c r="C11" s="13"/>
      <c r="D11" s="14">
        <f>D8-D9-D10</f>
        <v>9710</v>
      </c>
      <c r="E11" s="14">
        <f>E8-E9-E10</f>
        <v>11909</v>
      </c>
      <c r="F11" s="14">
        <f>F8-F9-F10</f>
        <v>26683.9</v>
      </c>
      <c r="G11" s="14">
        <f t="shared" ref="G11:J11" si="8">G8-G9-G10</f>
        <v>31452.290000000008</v>
      </c>
      <c r="H11" s="14">
        <f t="shared" si="8"/>
        <v>36697.519000000015</v>
      </c>
      <c r="I11" s="14">
        <f t="shared" si="8"/>
        <v>42467.270900000032</v>
      </c>
      <c r="J11" s="14">
        <f t="shared" si="8"/>
        <v>48813.997990000033</v>
      </c>
    </row>
    <row r="12" spans="1:10" x14ac:dyDescent="0.3">
      <c r="A12" s="1" t="s">
        <v>9</v>
      </c>
      <c r="D12" s="8">
        <v>2761</v>
      </c>
      <c r="E12" s="8">
        <v>2429</v>
      </c>
      <c r="F12" s="7">
        <f>F11*F21</f>
        <v>8005.17</v>
      </c>
      <c r="G12" s="7">
        <f t="shared" ref="G12:J12" si="9">G11*G21</f>
        <v>9435.6870000000017</v>
      </c>
      <c r="H12" s="7">
        <f t="shared" si="9"/>
        <v>11009.255700000003</v>
      </c>
      <c r="I12" s="7">
        <f t="shared" si="9"/>
        <v>12740.18127000001</v>
      </c>
      <c r="J12" s="7">
        <f t="shared" si="9"/>
        <v>14644.199397000009</v>
      </c>
    </row>
    <row r="13" spans="1:10" ht="17.25" thickBot="1" x14ac:dyDescent="0.35">
      <c r="A13" s="15" t="s">
        <v>10</v>
      </c>
      <c r="B13" s="15"/>
      <c r="C13" s="15"/>
      <c r="D13" s="16">
        <f>D11-D12</f>
        <v>6949</v>
      </c>
      <c r="E13" s="16">
        <f>E11-E12</f>
        <v>9480</v>
      </c>
      <c r="F13" s="16">
        <f>F11-F12</f>
        <v>18678.730000000003</v>
      </c>
      <c r="G13" s="16">
        <f t="shared" ref="G13:J13" si="10">G11-G12</f>
        <v>22016.603000000006</v>
      </c>
      <c r="H13" s="16">
        <f t="shared" si="10"/>
        <v>25688.263300000013</v>
      </c>
      <c r="I13" s="16">
        <f t="shared" si="10"/>
        <v>29727.089630000024</v>
      </c>
      <c r="J13" s="16">
        <f t="shared" si="10"/>
        <v>34169.798593000021</v>
      </c>
    </row>
    <row r="14" spans="1:10" ht="17.25" thickTop="1" x14ac:dyDescent="0.3"/>
    <row r="15" spans="1:10" x14ac:dyDescent="0.3">
      <c r="A15" s="2" t="s">
        <v>12</v>
      </c>
    </row>
    <row r="16" spans="1:10" x14ac:dyDescent="0.3">
      <c r="A16" s="1" t="s">
        <v>13</v>
      </c>
      <c r="E16" s="9">
        <f>E4/D4-1</f>
        <v>6.4798211785512594E-2</v>
      </c>
      <c r="F16" s="10">
        <v>0.1</v>
      </c>
      <c r="G16" s="10">
        <v>0.1</v>
      </c>
      <c r="H16" s="10">
        <v>0.1</v>
      </c>
      <c r="I16" s="10">
        <v>0.1</v>
      </c>
      <c r="J16" s="10">
        <v>0.1</v>
      </c>
    </row>
    <row r="17" spans="1:10" x14ac:dyDescent="0.3">
      <c r="A17" s="1" t="s">
        <v>14</v>
      </c>
      <c r="D17" s="9">
        <f>D5/D4</f>
        <v>0.46819041536685418</v>
      </c>
      <c r="E17" s="9">
        <f>E5/E4</f>
        <v>0.43548870792867195</v>
      </c>
      <c r="F17" s="10">
        <v>0.45</v>
      </c>
      <c r="G17" s="10">
        <v>0.45</v>
      </c>
      <c r="H17" s="10">
        <v>0.45</v>
      </c>
      <c r="I17" s="10">
        <v>0.45</v>
      </c>
      <c r="J17" s="10">
        <v>0.45</v>
      </c>
    </row>
    <row r="18" spans="1:10" x14ac:dyDescent="0.3">
      <c r="A18" s="1" t="s">
        <v>4</v>
      </c>
      <c r="D18" s="7">
        <f>D7</f>
        <v>29391</v>
      </c>
      <c r="E18" s="7">
        <f>E7</f>
        <v>32990</v>
      </c>
      <c r="F18" s="8">
        <v>20000</v>
      </c>
      <c r="G18" s="8">
        <v>20000</v>
      </c>
      <c r="H18" s="8">
        <v>20000</v>
      </c>
      <c r="I18" s="8">
        <v>20000</v>
      </c>
      <c r="J18" s="8">
        <v>20000</v>
      </c>
    </row>
    <row r="19" spans="1:10" x14ac:dyDescent="0.3">
      <c r="A19" s="1" t="s">
        <v>15</v>
      </c>
      <c r="D19" s="9">
        <f>D9/D4</f>
        <v>3.6353811009309525E-2</v>
      </c>
      <c r="E19" s="9">
        <f>E9/E4</f>
        <v>3.2330618930079123E-2</v>
      </c>
      <c r="F19" s="10">
        <v>0.05</v>
      </c>
      <c r="G19" s="10">
        <v>0.05</v>
      </c>
      <c r="H19" s="10">
        <v>0.05</v>
      </c>
      <c r="I19" s="10">
        <v>0.05</v>
      </c>
      <c r="J19" s="10">
        <v>0.05</v>
      </c>
    </row>
    <row r="20" spans="1:10" x14ac:dyDescent="0.3">
      <c r="A20" s="1" t="s">
        <v>7</v>
      </c>
      <c r="D20" s="7">
        <f>D10</f>
        <v>1240</v>
      </c>
      <c r="E20" s="7">
        <f>E10</f>
        <v>1240</v>
      </c>
      <c r="F20" s="8">
        <v>1000</v>
      </c>
      <c r="G20" s="8">
        <v>1000</v>
      </c>
      <c r="H20" s="8">
        <v>1000</v>
      </c>
      <c r="I20" s="8">
        <v>1000</v>
      </c>
      <c r="J20" s="8">
        <v>1000</v>
      </c>
    </row>
    <row r="21" spans="1:10" x14ac:dyDescent="0.3">
      <c r="A21" s="1" t="s">
        <v>16</v>
      </c>
      <c r="D21" s="9">
        <f>D12/D11</f>
        <v>0.28434603501544797</v>
      </c>
      <c r="E21" s="9">
        <f>E12/E11</f>
        <v>0.20396338903350408</v>
      </c>
      <c r="F21" s="10">
        <v>0.3</v>
      </c>
      <c r="G21" s="10">
        <v>0.3</v>
      </c>
      <c r="H21" s="10">
        <v>0.3</v>
      </c>
      <c r="I21" s="10">
        <v>0.3</v>
      </c>
      <c r="J21" s="10">
        <v>0.3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94"/>
  <sheetViews>
    <sheetView showGridLines="0" zoomScale="120" zoomScaleNormal="120" workbookViewId="0">
      <pane xSplit="2" ySplit="1" topLeftCell="C92" activePane="bottomRight" state="frozen"/>
      <selection activeCell="C31" sqref="C31"/>
      <selection pane="topRight" activeCell="C31" sqref="C31"/>
      <selection pane="bottomLeft" activeCell="C31" sqref="C31"/>
      <selection pane="bottomRight" activeCell="D92" sqref="D92"/>
    </sheetView>
  </sheetViews>
  <sheetFormatPr defaultColWidth="8.5703125" defaultRowHeight="16.5" outlineLevelRow="1" x14ac:dyDescent="0.3"/>
  <cols>
    <col min="1" max="2" width="8.5703125" style="1"/>
    <col min="3" max="3" width="9.140625" style="1" bestFit="1" customWidth="1"/>
    <col min="4" max="4" width="12.28515625" style="1" customWidth="1"/>
    <col min="5" max="5" width="11.85546875" style="1" customWidth="1"/>
    <col min="6" max="6" width="12.42578125" style="1" customWidth="1"/>
    <col min="7" max="7" width="12.7109375" style="1" customWidth="1"/>
    <col min="8" max="8" width="11.85546875" style="1" customWidth="1"/>
    <col min="9" max="9" width="11.28515625" style="1" customWidth="1"/>
    <col min="10" max="10" width="12.42578125" style="1" customWidth="1"/>
    <col min="11" max="16384" width="8.5703125" style="1"/>
  </cols>
  <sheetData>
    <row r="1" spans="1:10" x14ac:dyDescent="0.3">
      <c r="A1" s="3" t="s">
        <v>11</v>
      </c>
      <c r="B1" s="4"/>
      <c r="C1" s="4"/>
      <c r="D1" s="5">
        <v>2016</v>
      </c>
      <c r="E1" s="5">
        <f>D1+1</f>
        <v>2017</v>
      </c>
      <c r="F1" s="6">
        <f t="shared" ref="F1:J1" si="0">E1+1</f>
        <v>2018</v>
      </c>
      <c r="G1" s="6">
        <f t="shared" si="0"/>
        <v>2019</v>
      </c>
      <c r="H1" s="6">
        <f t="shared" si="0"/>
        <v>2020</v>
      </c>
      <c r="I1" s="6">
        <f t="shared" si="0"/>
        <v>2021</v>
      </c>
      <c r="J1" s="6">
        <f t="shared" si="0"/>
        <v>2022</v>
      </c>
    </row>
    <row r="3" spans="1:10" x14ac:dyDescent="0.3">
      <c r="A3" s="17" t="str">
        <f>"Income Statement "&amp;A1</f>
        <v>Income Statement USD $000's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outlineLevel="1" x14ac:dyDescent="0.3">
      <c r="A4" s="2" t="s">
        <v>1</v>
      </c>
      <c r="B4" s="2"/>
      <c r="C4" s="2"/>
      <c r="D4" s="11">
        <v>81422</v>
      </c>
      <c r="E4" s="11">
        <v>86698</v>
      </c>
      <c r="F4" s="12">
        <f>E4*(1+F16)</f>
        <v>95367.8</v>
      </c>
      <c r="G4" s="12">
        <f t="shared" ref="G4:J4" si="1">F4*(1+G16)</f>
        <v>104904.58000000002</v>
      </c>
      <c r="H4" s="12">
        <f t="shared" si="1"/>
        <v>115395.03800000003</v>
      </c>
      <c r="I4" s="12">
        <f t="shared" si="1"/>
        <v>126934.54180000005</v>
      </c>
      <c r="J4" s="12">
        <f t="shared" si="1"/>
        <v>139627.99598000007</v>
      </c>
    </row>
    <row r="5" spans="1:10" outlineLevel="1" x14ac:dyDescent="0.3">
      <c r="A5" s="1" t="s">
        <v>2</v>
      </c>
      <c r="D5" s="11">
        <v>38121</v>
      </c>
      <c r="E5" s="11">
        <v>37756</v>
      </c>
      <c r="F5" s="7">
        <f>F4*F17</f>
        <v>42915.51</v>
      </c>
      <c r="G5" s="7">
        <f t="shared" ref="G5:J5" si="2">G4*G17</f>
        <v>47207.061000000009</v>
      </c>
      <c r="H5" s="7">
        <f t="shared" si="2"/>
        <v>51927.767100000012</v>
      </c>
      <c r="I5" s="7">
        <f t="shared" si="2"/>
        <v>57120.543810000025</v>
      </c>
      <c r="J5" s="7">
        <f t="shared" si="2"/>
        <v>62832.598191000034</v>
      </c>
    </row>
    <row r="6" spans="1:10" outlineLevel="1" x14ac:dyDescent="0.3">
      <c r="A6" s="13" t="s">
        <v>3</v>
      </c>
      <c r="B6" s="13"/>
      <c r="C6" s="13"/>
      <c r="D6" s="14">
        <f>D4-D5</f>
        <v>43301</v>
      </c>
      <c r="E6" s="14">
        <f>E4-E5</f>
        <v>48942</v>
      </c>
      <c r="F6" s="14">
        <f>F4-F5</f>
        <v>52452.29</v>
      </c>
      <c r="G6" s="14">
        <f t="shared" ref="G6:J6" si="3">G4-G5</f>
        <v>57697.519000000008</v>
      </c>
      <c r="H6" s="14">
        <f t="shared" si="3"/>
        <v>63467.270900000018</v>
      </c>
      <c r="I6" s="14">
        <f t="shared" si="3"/>
        <v>69813.997990000033</v>
      </c>
      <c r="J6" s="14">
        <f t="shared" si="3"/>
        <v>76795.397789000039</v>
      </c>
    </row>
    <row r="7" spans="1:10" outlineLevel="1" x14ac:dyDescent="0.3">
      <c r="A7" s="1" t="s">
        <v>4</v>
      </c>
      <c r="D7" s="8">
        <v>29391</v>
      </c>
      <c r="E7" s="8">
        <v>32990</v>
      </c>
      <c r="F7" s="7">
        <f>F18</f>
        <v>20000</v>
      </c>
      <c r="G7" s="7">
        <f t="shared" ref="G7:J7" si="4">G18</f>
        <v>20000</v>
      </c>
      <c r="H7" s="7">
        <f t="shared" si="4"/>
        <v>20000</v>
      </c>
      <c r="I7" s="7">
        <f t="shared" si="4"/>
        <v>20000</v>
      </c>
      <c r="J7" s="7">
        <f t="shared" si="4"/>
        <v>20000</v>
      </c>
    </row>
    <row r="8" spans="1:10" outlineLevel="1" x14ac:dyDescent="0.3">
      <c r="A8" s="13" t="s">
        <v>5</v>
      </c>
      <c r="B8" s="13"/>
      <c r="C8" s="13"/>
      <c r="D8" s="14">
        <f>D6-D7</f>
        <v>13910</v>
      </c>
      <c r="E8" s="14">
        <f>E6-E7</f>
        <v>15952</v>
      </c>
      <c r="F8" s="14">
        <f>F6-F7</f>
        <v>32452.29</v>
      </c>
      <c r="G8" s="14">
        <f t="shared" ref="G8:J8" si="5">G6-G7</f>
        <v>37697.519000000008</v>
      </c>
      <c r="H8" s="14">
        <f t="shared" si="5"/>
        <v>43467.270900000018</v>
      </c>
      <c r="I8" s="14">
        <f t="shared" si="5"/>
        <v>49813.997990000033</v>
      </c>
      <c r="J8" s="14">
        <f t="shared" si="5"/>
        <v>56795.397789000039</v>
      </c>
    </row>
    <row r="9" spans="1:10" outlineLevel="1" x14ac:dyDescent="0.3">
      <c r="A9" s="1" t="s">
        <v>6</v>
      </c>
      <c r="D9" s="8">
        <v>2960</v>
      </c>
      <c r="E9" s="8">
        <v>2803</v>
      </c>
      <c r="F9" s="7">
        <f>F4*F19</f>
        <v>4768.3900000000003</v>
      </c>
      <c r="G9" s="7">
        <f t="shared" ref="G9:J9" si="6">G4*G19</f>
        <v>5245.2290000000012</v>
      </c>
      <c r="H9" s="7">
        <f t="shared" si="6"/>
        <v>5769.751900000002</v>
      </c>
      <c r="I9" s="7">
        <f t="shared" si="6"/>
        <v>6346.727090000003</v>
      </c>
      <c r="J9" s="7">
        <f t="shared" si="6"/>
        <v>6981.3997990000034</v>
      </c>
    </row>
    <row r="10" spans="1:10" outlineLevel="1" x14ac:dyDescent="0.3">
      <c r="A10" s="1" t="s">
        <v>7</v>
      </c>
      <c r="D10" s="8">
        <v>1240</v>
      </c>
      <c r="E10" s="8">
        <v>1240</v>
      </c>
      <c r="F10" s="7">
        <f>F20</f>
        <v>1000</v>
      </c>
      <c r="G10" s="7">
        <f t="shared" ref="G10:J10" si="7">G20</f>
        <v>1000</v>
      </c>
      <c r="H10" s="7">
        <f t="shared" si="7"/>
        <v>1000</v>
      </c>
      <c r="I10" s="7">
        <f t="shared" si="7"/>
        <v>1000</v>
      </c>
      <c r="J10" s="7">
        <f t="shared" si="7"/>
        <v>1000</v>
      </c>
    </row>
    <row r="11" spans="1:10" outlineLevel="1" x14ac:dyDescent="0.3">
      <c r="A11" s="13" t="s">
        <v>8</v>
      </c>
      <c r="B11" s="13"/>
      <c r="C11" s="13"/>
      <c r="D11" s="14">
        <f>D8-D9-D10</f>
        <v>9710</v>
      </c>
      <c r="E11" s="14">
        <f>E8-E9-E10</f>
        <v>11909</v>
      </c>
      <c r="F11" s="14">
        <f>F8-F9-F10</f>
        <v>26683.9</v>
      </c>
      <c r="G11" s="14">
        <f t="shared" ref="G11:J11" si="8">G8-G9-G10</f>
        <v>31452.290000000008</v>
      </c>
      <c r="H11" s="14">
        <f t="shared" si="8"/>
        <v>36697.519000000015</v>
      </c>
      <c r="I11" s="14">
        <f t="shared" si="8"/>
        <v>42467.270900000032</v>
      </c>
      <c r="J11" s="14">
        <f t="shared" si="8"/>
        <v>48813.997990000033</v>
      </c>
    </row>
    <row r="12" spans="1:10" outlineLevel="1" x14ac:dyDescent="0.3">
      <c r="A12" s="1" t="s">
        <v>9</v>
      </c>
      <c r="D12" s="8">
        <v>2761</v>
      </c>
      <c r="E12" s="8">
        <v>2429</v>
      </c>
      <c r="F12" s="7">
        <f>F11*F21</f>
        <v>8005.17</v>
      </c>
      <c r="G12" s="7">
        <f t="shared" ref="G12:J12" si="9">G11*G21</f>
        <v>9435.6870000000017</v>
      </c>
      <c r="H12" s="7">
        <f t="shared" si="9"/>
        <v>11009.255700000003</v>
      </c>
      <c r="I12" s="7">
        <f t="shared" si="9"/>
        <v>12740.18127000001</v>
      </c>
      <c r="J12" s="7">
        <f t="shared" si="9"/>
        <v>14644.199397000009</v>
      </c>
    </row>
    <row r="13" spans="1:10" ht="17.25" outlineLevel="1" thickBot="1" x14ac:dyDescent="0.35">
      <c r="A13" s="15" t="s">
        <v>10</v>
      </c>
      <c r="B13" s="15"/>
      <c r="C13" s="15"/>
      <c r="D13" s="16">
        <f>D11-D12</f>
        <v>6949</v>
      </c>
      <c r="E13" s="16">
        <f>E11-E12</f>
        <v>9480</v>
      </c>
      <c r="F13" s="16">
        <f>F11-F12</f>
        <v>18678.730000000003</v>
      </c>
      <c r="G13" s="16">
        <f t="shared" ref="G13:J13" si="10">G11-G12</f>
        <v>22016.603000000006</v>
      </c>
      <c r="H13" s="16">
        <f t="shared" si="10"/>
        <v>25688.263300000013</v>
      </c>
      <c r="I13" s="16">
        <f t="shared" si="10"/>
        <v>29727.089630000024</v>
      </c>
      <c r="J13" s="16">
        <f t="shared" si="10"/>
        <v>34169.798593000021</v>
      </c>
    </row>
    <row r="14" spans="1:10" ht="17.25" thickTop="1" x14ac:dyDescent="0.3"/>
    <row r="15" spans="1:10" x14ac:dyDescent="0.3">
      <c r="A15" s="17" t="s">
        <v>12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outlineLevel="1" x14ac:dyDescent="0.3">
      <c r="A16" s="1" t="s">
        <v>13</v>
      </c>
      <c r="E16" s="9">
        <f>E4/D4-1</f>
        <v>6.4798211785512594E-2</v>
      </c>
      <c r="F16" s="10">
        <v>0.1</v>
      </c>
      <c r="G16" s="10">
        <v>0.1</v>
      </c>
      <c r="H16" s="10">
        <v>0.1</v>
      </c>
      <c r="I16" s="10">
        <v>0.1</v>
      </c>
      <c r="J16" s="10">
        <v>0.1</v>
      </c>
    </row>
    <row r="17" spans="1:10" outlineLevel="1" x14ac:dyDescent="0.3">
      <c r="A17" s="1" t="s">
        <v>14</v>
      </c>
      <c r="D17" s="9">
        <f>D5/D4</f>
        <v>0.46819041536685418</v>
      </c>
      <c r="E17" s="9">
        <f>E5/E4</f>
        <v>0.43548870792867195</v>
      </c>
      <c r="F17" s="10">
        <v>0.45</v>
      </c>
      <c r="G17" s="10">
        <v>0.45</v>
      </c>
      <c r="H17" s="10">
        <v>0.45</v>
      </c>
      <c r="I17" s="10">
        <v>0.45</v>
      </c>
      <c r="J17" s="10">
        <v>0.45</v>
      </c>
    </row>
    <row r="18" spans="1:10" outlineLevel="1" x14ac:dyDescent="0.3">
      <c r="A18" s="1" t="s">
        <v>4</v>
      </c>
      <c r="D18" s="7">
        <f>D7</f>
        <v>29391</v>
      </c>
      <c r="E18" s="7">
        <f>E7</f>
        <v>32990</v>
      </c>
      <c r="F18" s="8">
        <v>20000</v>
      </c>
      <c r="G18" s="8">
        <v>20000</v>
      </c>
      <c r="H18" s="8">
        <v>20000</v>
      </c>
      <c r="I18" s="8">
        <v>20000</v>
      </c>
      <c r="J18" s="8">
        <v>20000</v>
      </c>
    </row>
    <row r="19" spans="1:10" outlineLevel="1" x14ac:dyDescent="0.3">
      <c r="A19" s="1" t="s">
        <v>15</v>
      </c>
      <c r="D19" s="9">
        <f>D9/D4</f>
        <v>3.6353811009309525E-2</v>
      </c>
      <c r="E19" s="9">
        <f>E9/E4</f>
        <v>3.2330618930079123E-2</v>
      </c>
      <c r="F19" s="10">
        <v>0.05</v>
      </c>
      <c r="G19" s="10">
        <v>0.05</v>
      </c>
      <c r="H19" s="10">
        <v>0.05</v>
      </c>
      <c r="I19" s="10">
        <v>0.05</v>
      </c>
      <c r="J19" s="10">
        <v>0.05</v>
      </c>
    </row>
    <row r="20" spans="1:10" outlineLevel="1" x14ac:dyDescent="0.3">
      <c r="A20" s="1" t="s">
        <v>7</v>
      </c>
      <c r="D20" s="7">
        <f>D10</f>
        <v>1240</v>
      </c>
      <c r="E20" s="7">
        <f>E10</f>
        <v>1240</v>
      </c>
      <c r="F20" s="8">
        <v>1000</v>
      </c>
      <c r="G20" s="8">
        <v>1000</v>
      </c>
      <c r="H20" s="8">
        <v>1000</v>
      </c>
      <c r="I20" s="8">
        <v>1000</v>
      </c>
      <c r="J20" s="8">
        <v>1000</v>
      </c>
    </row>
    <row r="21" spans="1:10" outlineLevel="1" x14ac:dyDescent="0.3">
      <c r="A21" s="1" t="s">
        <v>16</v>
      </c>
      <c r="D21" s="9">
        <f>D12/D11</f>
        <v>0.28434603501544797</v>
      </c>
      <c r="E21" s="9">
        <f>E12/E11</f>
        <v>0.20396338903350408</v>
      </c>
      <c r="F21" s="10">
        <v>0.3</v>
      </c>
      <c r="G21" s="10">
        <v>0.3</v>
      </c>
      <c r="H21" s="10">
        <v>0.3</v>
      </c>
      <c r="I21" s="10">
        <v>0.3</v>
      </c>
      <c r="J21" s="10">
        <v>0.3</v>
      </c>
    </row>
    <row r="23" spans="1:10" x14ac:dyDescent="0.3">
      <c r="A23" s="17" t="s">
        <v>17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outlineLevel="1" x14ac:dyDescent="0.3">
      <c r="A24" s="2" t="s">
        <v>18</v>
      </c>
    </row>
    <row r="25" spans="1:10" outlineLevel="1" x14ac:dyDescent="0.3">
      <c r="A25" s="1" t="s">
        <v>1</v>
      </c>
      <c r="D25" s="9">
        <f>D4/D$4</f>
        <v>1</v>
      </c>
      <c r="E25" s="9">
        <f t="shared" ref="E25:J25" si="11">E4/E$4</f>
        <v>1</v>
      </c>
      <c r="F25" s="9">
        <f t="shared" si="11"/>
        <v>1</v>
      </c>
      <c r="G25" s="9">
        <f t="shared" si="11"/>
        <v>1</v>
      </c>
      <c r="H25" s="9">
        <f t="shared" si="11"/>
        <v>1</v>
      </c>
      <c r="I25" s="9">
        <f t="shared" si="11"/>
        <v>1</v>
      </c>
      <c r="J25" s="9">
        <f t="shared" si="11"/>
        <v>1</v>
      </c>
    </row>
    <row r="26" spans="1:10" outlineLevel="1" x14ac:dyDescent="0.3">
      <c r="A26" s="1" t="s">
        <v>2</v>
      </c>
      <c r="D26" s="9">
        <f t="shared" ref="D26:J34" si="12">D5/D$4</f>
        <v>0.46819041536685418</v>
      </c>
      <c r="E26" s="9">
        <f t="shared" si="12"/>
        <v>0.43548870792867195</v>
      </c>
      <c r="F26" s="9">
        <f t="shared" si="12"/>
        <v>0.45</v>
      </c>
      <c r="G26" s="9">
        <f t="shared" si="12"/>
        <v>0.45</v>
      </c>
      <c r="H26" s="9">
        <f t="shared" si="12"/>
        <v>0.45</v>
      </c>
      <c r="I26" s="9">
        <f t="shared" si="12"/>
        <v>0.45</v>
      </c>
      <c r="J26" s="9">
        <f t="shared" si="12"/>
        <v>0.45</v>
      </c>
    </row>
    <row r="27" spans="1:10" outlineLevel="1" x14ac:dyDescent="0.3">
      <c r="A27" s="1" t="s">
        <v>3</v>
      </c>
      <c r="D27" s="9">
        <f t="shared" si="12"/>
        <v>0.53180958463314587</v>
      </c>
      <c r="E27" s="9">
        <f t="shared" si="12"/>
        <v>0.56451129207132811</v>
      </c>
      <c r="F27" s="9">
        <f t="shared" si="12"/>
        <v>0.55000000000000004</v>
      </c>
      <c r="G27" s="9">
        <f t="shared" si="12"/>
        <v>0.54999999999999993</v>
      </c>
      <c r="H27" s="9">
        <f t="shared" si="12"/>
        <v>0.55000000000000004</v>
      </c>
      <c r="I27" s="9">
        <f t="shared" si="12"/>
        <v>0.55000000000000004</v>
      </c>
      <c r="J27" s="9">
        <f t="shared" si="12"/>
        <v>0.55000000000000004</v>
      </c>
    </row>
    <row r="28" spans="1:10" outlineLevel="1" x14ac:dyDescent="0.3">
      <c r="A28" s="1" t="s">
        <v>4</v>
      </c>
      <c r="D28" s="9">
        <f t="shared" si="12"/>
        <v>0.36097123627520816</v>
      </c>
      <c r="E28" s="9">
        <f t="shared" si="12"/>
        <v>0.38051627488523382</v>
      </c>
      <c r="F28" s="9">
        <f t="shared" si="12"/>
        <v>0.20971438997229672</v>
      </c>
      <c r="G28" s="9">
        <f t="shared" si="12"/>
        <v>0.19064944542936063</v>
      </c>
      <c r="H28" s="9">
        <f t="shared" si="12"/>
        <v>0.17331767766305511</v>
      </c>
      <c r="I28" s="9">
        <f t="shared" si="12"/>
        <v>0.15756152514823188</v>
      </c>
      <c r="J28" s="9">
        <f t="shared" si="12"/>
        <v>0.14323775013475626</v>
      </c>
    </row>
    <row r="29" spans="1:10" outlineLevel="1" x14ac:dyDescent="0.3">
      <c r="A29" s="1" t="s">
        <v>5</v>
      </c>
      <c r="D29" s="9">
        <f t="shared" si="12"/>
        <v>0.17083834835793765</v>
      </c>
      <c r="E29" s="9">
        <f t="shared" si="12"/>
        <v>0.18399501718609426</v>
      </c>
      <c r="F29" s="9">
        <f t="shared" si="12"/>
        <v>0.34028561002770324</v>
      </c>
      <c r="G29" s="9">
        <f t="shared" si="12"/>
        <v>0.35935055457063936</v>
      </c>
      <c r="H29" s="9">
        <f t="shared" si="12"/>
        <v>0.37668232233694493</v>
      </c>
      <c r="I29" s="9">
        <f t="shared" si="12"/>
        <v>0.39243847485176814</v>
      </c>
      <c r="J29" s="9">
        <f t="shared" si="12"/>
        <v>0.40676224986524379</v>
      </c>
    </row>
    <row r="30" spans="1:10" outlineLevel="1" x14ac:dyDescent="0.3">
      <c r="A30" s="1" t="s">
        <v>6</v>
      </c>
      <c r="D30" s="9">
        <f t="shared" si="12"/>
        <v>3.6353811009309525E-2</v>
      </c>
      <c r="E30" s="9">
        <f t="shared" si="12"/>
        <v>3.2330618930079123E-2</v>
      </c>
      <c r="F30" s="9">
        <f t="shared" si="12"/>
        <v>0.05</v>
      </c>
      <c r="G30" s="9">
        <f t="shared" si="12"/>
        <v>0.05</v>
      </c>
      <c r="H30" s="9">
        <f t="shared" si="12"/>
        <v>0.05</v>
      </c>
      <c r="I30" s="9">
        <f t="shared" si="12"/>
        <v>0.05</v>
      </c>
      <c r="J30" s="9">
        <f t="shared" si="12"/>
        <v>0.05</v>
      </c>
    </row>
    <row r="31" spans="1:10" outlineLevel="1" x14ac:dyDescent="0.3">
      <c r="A31" s="1" t="s">
        <v>7</v>
      </c>
      <c r="D31" s="9">
        <f t="shared" si="12"/>
        <v>1.5229299206602638E-2</v>
      </c>
      <c r="E31" s="9">
        <f t="shared" si="12"/>
        <v>1.4302521396110638E-2</v>
      </c>
      <c r="F31" s="9">
        <f t="shared" si="12"/>
        <v>1.0485719498614836E-2</v>
      </c>
      <c r="G31" s="9">
        <f t="shared" si="12"/>
        <v>9.5324722714680322E-3</v>
      </c>
      <c r="H31" s="9">
        <f t="shared" si="12"/>
        <v>8.665883883152755E-3</v>
      </c>
      <c r="I31" s="9">
        <f t="shared" si="12"/>
        <v>7.878076257411595E-3</v>
      </c>
      <c r="J31" s="9">
        <f t="shared" si="12"/>
        <v>7.1618875067378128E-3</v>
      </c>
    </row>
    <row r="32" spans="1:10" outlineLevel="1" x14ac:dyDescent="0.3">
      <c r="A32" s="1" t="s">
        <v>8</v>
      </c>
      <c r="D32" s="9">
        <f t="shared" si="12"/>
        <v>0.1192552381420255</v>
      </c>
      <c r="E32" s="9">
        <f t="shared" si="12"/>
        <v>0.1373618768599045</v>
      </c>
      <c r="F32" s="9">
        <f t="shared" si="12"/>
        <v>0.27979989052908844</v>
      </c>
      <c r="G32" s="9">
        <f t="shared" si="12"/>
        <v>0.29981808229917134</v>
      </c>
      <c r="H32" s="9">
        <f t="shared" si="12"/>
        <v>0.31801643845379213</v>
      </c>
      <c r="I32" s="9">
        <f t="shared" si="12"/>
        <v>0.33456039859435655</v>
      </c>
      <c r="J32" s="9">
        <f t="shared" si="12"/>
        <v>0.34960036235850594</v>
      </c>
    </row>
    <row r="33" spans="1:10" outlineLevel="1" x14ac:dyDescent="0.3">
      <c r="A33" s="1" t="s">
        <v>9</v>
      </c>
      <c r="D33" s="9">
        <f t="shared" si="12"/>
        <v>3.3909754120507972E-2</v>
      </c>
      <c r="E33" s="9">
        <f t="shared" si="12"/>
        <v>2.8016793928348983E-2</v>
      </c>
      <c r="F33" s="9">
        <f t="shared" si="12"/>
        <v>8.3939967158726522E-2</v>
      </c>
      <c r="G33" s="9">
        <f t="shared" si="12"/>
        <v>8.9945424689751391E-2</v>
      </c>
      <c r="H33" s="9">
        <f t="shared" si="12"/>
        <v>9.5404931536137633E-2</v>
      </c>
      <c r="I33" s="9">
        <f t="shared" si="12"/>
        <v>0.10036811957830698</v>
      </c>
      <c r="J33" s="9">
        <f t="shared" si="12"/>
        <v>0.10488010870755178</v>
      </c>
    </row>
    <row r="34" spans="1:10" outlineLevel="1" x14ac:dyDescent="0.3">
      <c r="A34" s="1" t="s">
        <v>10</v>
      </c>
      <c r="D34" s="9">
        <f t="shared" si="12"/>
        <v>8.5345484021517523E-2</v>
      </c>
      <c r="E34" s="9">
        <f t="shared" si="12"/>
        <v>0.10934508293155551</v>
      </c>
      <c r="F34" s="9">
        <f t="shared" si="12"/>
        <v>0.19585992337036193</v>
      </c>
      <c r="G34" s="9">
        <f t="shared" si="12"/>
        <v>0.20987265760941995</v>
      </c>
      <c r="H34" s="9">
        <f t="shared" si="12"/>
        <v>0.22261150691765452</v>
      </c>
      <c r="I34" s="9">
        <f t="shared" si="12"/>
        <v>0.23419227901604961</v>
      </c>
      <c r="J34" s="9">
        <f t="shared" si="12"/>
        <v>0.24472025365095415</v>
      </c>
    </row>
    <row r="35" spans="1:10" outlineLevel="1" x14ac:dyDescent="0.3"/>
    <row r="36" spans="1:10" outlineLevel="1" x14ac:dyDescent="0.3">
      <c r="A36" s="2" t="s">
        <v>19</v>
      </c>
      <c r="C36" s="19">
        <v>0.1</v>
      </c>
    </row>
    <row r="37" spans="1:10" outlineLevel="1" x14ac:dyDescent="0.3">
      <c r="A37" s="1" t="s">
        <v>1</v>
      </c>
      <c r="D37" s="7">
        <f>D4*(1+$C$36)</f>
        <v>89564.200000000012</v>
      </c>
      <c r="E37" s="7">
        <f t="shared" ref="E37:J37" si="13">E4*(1+$C$36)</f>
        <v>95367.8</v>
      </c>
      <c r="F37" s="7">
        <f t="shared" si="13"/>
        <v>104904.58000000002</v>
      </c>
      <c r="G37" s="7">
        <f t="shared" si="13"/>
        <v>115395.03800000003</v>
      </c>
      <c r="H37" s="7">
        <f t="shared" si="13"/>
        <v>126934.54180000005</v>
      </c>
      <c r="I37" s="7">
        <f t="shared" si="13"/>
        <v>139627.99598000007</v>
      </c>
      <c r="J37" s="7">
        <f t="shared" si="13"/>
        <v>153590.79557800008</v>
      </c>
    </row>
    <row r="38" spans="1:10" outlineLevel="1" x14ac:dyDescent="0.3">
      <c r="A38" s="1" t="s">
        <v>2</v>
      </c>
      <c r="D38" s="7">
        <f t="shared" ref="D38:J38" si="14">D5*(1+$C$36)</f>
        <v>41933.100000000006</v>
      </c>
      <c r="E38" s="7">
        <f t="shared" si="14"/>
        <v>41531.600000000006</v>
      </c>
      <c r="F38" s="7">
        <f t="shared" si="14"/>
        <v>47207.061000000009</v>
      </c>
      <c r="G38" s="7">
        <f t="shared" si="14"/>
        <v>51927.767100000012</v>
      </c>
      <c r="H38" s="7">
        <f t="shared" si="14"/>
        <v>57120.543810000017</v>
      </c>
      <c r="I38" s="7">
        <f t="shared" si="14"/>
        <v>62832.598191000034</v>
      </c>
      <c r="J38" s="7">
        <f t="shared" si="14"/>
        <v>69115.858010100041</v>
      </c>
    </row>
    <row r="39" spans="1:10" outlineLevel="1" x14ac:dyDescent="0.3">
      <c r="A39" s="1" t="s">
        <v>3</v>
      </c>
      <c r="D39" s="7">
        <f t="shared" ref="D39:J39" si="15">D6*(1+$C$36)</f>
        <v>47631.100000000006</v>
      </c>
      <c r="E39" s="7">
        <f t="shared" si="15"/>
        <v>53836.200000000004</v>
      </c>
      <c r="F39" s="7">
        <f t="shared" si="15"/>
        <v>57697.519000000008</v>
      </c>
      <c r="G39" s="7">
        <f t="shared" si="15"/>
        <v>63467.27090000001</v>
      </c>
      <c r="H39" s="7">
        <f t="shared" si="15"/>
        <v>69813.997990000018</v>
      </c>
      <c r="I39" s="7">
        <f t="shared" si="15"/>
        <v>76795.397789000039</v>
      </c>
      <c r="J39" s="7">
        <f t="shared" si="15"/>
        <v>84474.937567900051</v>
      </c>
    </row>
    <row r="40" spans="1:10" outlineLevel="1" x14ac:dyDescent="0.3">
      <c r="A40" s="1" t="s">
        <v>4</v>
      </c>
      <c r="D40" s="7">
        <f t="shared" ref="D40:J40" si="16">D7*(1+$C$36)</f>
        <v>32330.100000000002</v>
      </c>
      <c r="E40" s="7">
        <f t="shared" si="16"/>
        <v>36289</v>
      </c>
      <c r="F40" s="7">
        <f t="shared" si="16"/>
        <v>22000</v>
      </c>
      <c r="G40" s="7">
        <f t="shared" si="16"/>
        <v>22000</v>
      </c>
      <c r="H40" s="7">
        <f t="shared" si="16"/>
        <v>22000</v>
      </c>
      <c r="I40" s="7">
        <f t="shared" si="16"/>
        <v>22000</v>
      </c>
      <c r="J40" s="7">
        <f t="shared" si="16"/>
        <v>22000</v>
      </c>
    </row>
    <row r="41" spans="1:10" outlineLevel="1" x14ac:dyDescent="0.3">
      <c r="A41" s="1" t="s">
        <v>5</v>
      </c>
      <c r="D41" s="7">
        <f t="shared" ref="D41:J41" si="17">D8*(1+$C$36)</f>
        <v>15301.000000000002</v>
      </c>
      <c r="E41" s="7">
        <f t="shared" si="17"/>
        <v>17547.2</v>
      </c>
      <c r="F41" s="7">
        <f t="shared" si="17"/>
        <v>35697.519</v>
      </c>
      <c r="G41" s="7">
        <f t="shared" si="17"/>
        <v>41467.27090000001</v>
      </c>
      <c r="H41" s="7">
        <f t="shared" si="17"/>
        <v>47813.997990000025</v>
      </c>
      <c r="I41" s="7">
        <f t="shared" si="17"/>
        <v>54795.397789000039</v>
      </c>
      <c r="J41" s="7">
        <f t="shared" si="17"/>
        <v>62474.937567900044</v>
      </c>
    </row>
    <row r="42" spans="1:10" outlineLevel="1" x14ac:dyDescent="0.3">
      <c r="A42" s="1" t="s">
        <v>6</v>
      </c>
      <c r="D42" s="7">
        <f t="shared" ref="D42:J42" si="18">D9*(1+$C$36)</f>
        <v>3256.0000000000005</v>
      </c>
      <c r="E42" s="7">
        <f t="shared" si="18"/>
        <v>3083.3</v>
      </c>
      <c r="F42" s="7">
        <f t="shared" si="18"/>
        <v>5245.2290000000012</v>
      </c>
      <c r="G42" s="7">
        <f t="shared" si="18"/>
        <v>5769.751900000002</v>
      </c>
      <c r="H42" s="7">
        <f t="shared" si="18"/>
        <v>6346.727090000003</v>
      </c>
      <c r="I42" s="7">
        <f t="shared" si="18"/>
        <v>6981.3997990000044</v>
      </c>
      <c r="J42" s="7">
        <f t="shared" si="18"/>
        <v>7679.5397789000044</v>
      </c>
    </row>
    <row r="43" spans="1:10" outlineLevel="1" x14ac:dyDescent="0.3">
      <c r="A43" s="1" t="s">
        <v>7</v>
      </c>
      <c r="D43" s="7">
        <f t="shared" ref="D43:J43" si="19">D10*(1+$C$36)</f>
        <v>1364</v>
      </c>
      <c r="E43" s="7">
        <f t="shared" si="19"/>
        <v>1364</v>
      </c>
      <c r="F43" s="7">
        <f t="shared" si="19"/>
        <v>1100</v>
      </c>
      <c r="G43" s="7">
        <f t="shared" si="19"/>
        <v>1100</v>
      </c>
      <c r="H43" s="7">
        <f t="shared" si="19"/>
        <v>1100</v>
      </c>
      <c r="I43" s="7">
        <f t="shared" si="19"/>
        <v>1100</v>
      </c>
      <c r="J43" s="7">
        <f t="shared" si="19"/>
        <v>1100</v>
      </c>
    </row>
    <row r="44" spans="1:10" outlineLevel="1" x14ac:dyDescent="0.3">
      <c r="A44" s="1" t="s">
        <v>8</v>
      </c>
      <c r="D44" s="7">
        <f t="shared" ref="D44:J44" si="20">D11*(1+$C$36)</f>
        <v>10681</v>
      </c>
      <c r="E44" s="7">
        <f t="shared" si="20"/>
        <v>13099.900000000001</v>
      </c>
      <c r="F44" s="7">
        <f t="shared" si="20"/>
        <v>29352.290000000005</v>
      </c>
      <c r="G44" s="7">
        <f t="shared" si="20"/>
        <v>34597.519000000015</v>
      </c>
      <c r="H44" s="7">
        <f t="shared" si="20"/>
        <v>40367.270900000018</v>
      </c>
      <c r="I44" s="7">
        <f t="shared" si="20"/>
        <v>46713.99799000004</v>
      </c>
      <c r="J44" s="7">
        <f t="shared" si="20"/>
        <v>53695.397789000039</v>
      </c>
    </row>
    <row r="45" spans="1:10" outlineLevel="1" x14ac:dyDescent="0.3">
      <c r="A45" s="1" t="s">
        <v>9</v>
      </c>
      <c r="D45" s="7">
        <f t="shared" ref="D45:J45" si="21">D12*(1+$C$36)</f>
        <v>3037.1000000000004</v>
      </c>
      <c r="E45" s="7">
        <f t="shared" si="21"/>
        <v>2671.9</v>
      </c>
      <c r="F45" s="7">
        <f t="shared" si="21"/>
        <v>8805.6869999999999</v>
      </c>
      <c r="G45" s="7">
        <f t="shared" si="21"/>
        <v>10379.255700000003</v>
      </c>
      <c r="H45" s="7">
        <f t="shared" si="21"/>
        <v>12110.181270000005</v>
      </c>
      <c r="I45" s="7">
        <f t="shared" si="21"/>
        <v>14014.199397000013</v>
      </c>
      <c r="J45" s="7">
        <f t="shared" si="21"/>
        <v>16108.619336700012</v>
      </c>
    </row>
    <row r="46" spans="1:10" outlineLevel="1" x14ac:dyDescent="0.3">
      <c r="A46" s="1" t="s">
        <v>10</v>
      </c>
      <c r="D46" s="7">
        <f t="shared" ref="D46:J46" si="22">D13*(1+$C$36)</f>
        <v>7643.9000000000005</v>
      </c>
      <c r="E46" s="7">
        <f t="shared" si="22"/>
        <v>10428</v>
      </c>
      <c r="F46" s="7">
        <f t="shared" si="22"/>
        <v>20546.603000000006</v>
      </c>
      <c r="G46" s="7">
        <f t="shared" si="22"/>
        <v>24218.26330000001</v>
      </c>
      <c r="H46" s="7">
        <f t="shared" si="22"/>
        <v>28257.089630000017</v>
      </c>
      <c r="I46" s="7">
        <f t="shared" si="22"/>
        <v>32699.798593000029</v>
      </c>
      <c r="J46" s="7">
        <f t="shared" si="22"/>
        <v>37586.77845230003</v>
      </c>
    </row>
    <row r="47" spans="1:10" outlineLevel="1" x14ac:dyDescent="0.3"/>
    <row r="48" spans="1:10" outlineLevel="1" collapsed="1" x14ac:dyDescent="0.3">
      <c r="A48" s="1" t="s">
        <v>5</v>
      </c>
      <c r="D48" s="7">
        <f>Gross_Profit-SG_A</f>
        <v>13910</v>
      </c>
      <c r="E48" s="7">
        <f>Gross_Profit-SG_A</f>
        <v>15952</v>
      </c>
      <c r="F48" s="7">
        <f t="shared" ref="E48:J48" si="23">Gross_Profit-SG_A</f>
        <v>32452.29</v>
      </c>
      <c r="G48" s="7">
        <f t="shared" si="23"/>
        <v>37697.519000000008</v>
      </c>
      <c r="H48" s="7">
        <f t="shared" si="23"/>
        <v>43467.270900000018</v>
      </c>
      <c r="I48" s="7">
        <f t="shared" si="23"/>
        <v>49813.997990000033</v>
      </c>
      <c r="J48" s="7">
        <f>Gross_Profit-SG_A</f>
        <v>56795.397789000039</v>
      </c>
    </row>
    <row r="49" spans="1:10" outlineLevel="1" x14ac:dyDescent="0.3"/>
    <row r="50" spans="1:10" outlineLevel="1" x14ac:dyDescent="0.3">
      <c r="A50" s="1" t="s">
        <v>20</v>
      </c>
      <c r="D50" s="7">
        <f t="shared" ref="D50:J50" si="24">D48*(1+Sensitivity)</f>
        <v>15301.000000000002</v>
      </c>
      <c r="E50" s="7">
        <f t="shared" si="24"/>
        <v>17547.2</v>
      </c>
      <c r="F50" s="7">
        <f t="shared" si="24"/>
        <v>35697.519</v>
      </c>
      <c r="G50" s="7">
        <f t="shared" si="24"/>
        <v>41467.27090000001</v>
      </c>
      <c r="H50" s="7">
        <f t="shared" si="24"/>
        <v>47813.997990000025</v>
      </c>
      <c r="I50" s="7">
        <f t="shared" si="24"/>
        <v>54795.397789000039</v>
      </c>
      <c r="J50" s="7">
        <f t="shared" si="24"/>
        <v>62474.937567900044</v>
      </c>
    </row>
    <row r="51" spans="1:10" outlineLevel="1" x14ac:dyDescent="0.3"/>
    <row r="52" spans="1:10" outlineLevel="1" x14ac:dyDescent="0.3">
      <c r="A52" s="1" t="str">
        <f>A48&amp;" in "&amp;J1</f>
        <v>EBITDA in 2022</v>
      </c>
      <c r="C52" s="7">
        <f>J48</f>
        <v>56795.397789000039</v>
      </c>
    </row>
    <row r="53" spans="1:10" outlineLevel="1" x14ac:dyDescent="0.3"/>
    <row r="54" spans="1:10" outlineLevel="1" x14ac:dyDescent="0.3">
      <c r="A54" s="2" t="s">
        <v>21</v>
      </c>
      <c r="C54" s="21">
        <v>43323</v>
      </c>
      <c r="D54" s="25">
        <v>0</v>
      </c>
      <c r="E54" s="1">
        <f>+D54+1</f>
        <v>1</v>
      </c>
      <c r="F54" s="1">
        <f t="shared" ref="F54:J54" si="25">+E54+1</f>
        <v>2</v>
      </c>
      <c r="G54" s="1">
        <f t="shared" si="25"/>
        <v>3</v>
      </c>
      <c r="H54" s="1">
        <f t="shared" si="25"/>
        <v>4</v>
      </c>
      <c r="I54" s="1">
        <f t="shared" si="25"/>
        <v>5</v>
      </c>
      <c r="J54" s="1">
        <f t="shared" si="25"/>
        <v>6</v>
      </c>
    </row>
    <row r="55" spans="1:10" outlineLevel="1" x14ac:dyDescent="0.3">
      <c r="A55" s="1" t="s">
        <v>22</v>
      </c>
      <c r="D55" s="20">
        <f t="shared" ref="D55:J55" si="26">EOMONTH($C$54,D54)</f>
        <v>43343</v>
      </c>
      <c r="E55" s="20">
        <f t="shared" si="26"/>
        <v>43373</v>
      </c>
      <c r="F55" s="20">
        <f t="shared" si="26"/>
        <v>43404</v>
      </c>
      <c r="G55" s="20">
        <f t="shared" si="26"/>
        <v>43434</v>
      </c>
      <c r="H55" s="20">
        <f t="shared" si="26"/>
        <v>43465</v>
      </c>
      <c r="I55" s="20">
        <f t="shared" si="26"/>
        <v>43496</v>
      </c>
      <c r="J55" s="20">
        <f t="shared" si="26"/>
        <v>43524</v>
      </c>
    </row>
    <row r="56" spans="1:10" outlineLevel="1" x14ac:dyDescent="0.3">
      <c r="A56" s="1" t="s">
        <v>23</v>
      </c>
      <c r="D56" s="20">
        <f>DATE(YEAR($C$54)+D54,12,31)</f>
        <v>43465</v>
      </c>
      <c r="E56" s="20">
        <f t="shared" ref="E56:J56" si="27">DATE(YEAR($C$54)+E54,12,31)</f>
        <v>43830</v>
      </c>
      <c r="F56" s="20">
        <f t="shared" si="27"/>
        <v>44196</v>
      </c>
      <c r="G56" s="20">
        <f t="shared" si="27"/>
        <v>44561</v>
      </c>
      <c r="H56" s="20">
        <f t="shared" si="27"/>
        <v>44926</v>
      </c>
      <c r="I56" s="20">
        <f t="shared" si="27"/>
        <v>45291</v>
      </c>
      <c r="J56" s="20">
        <f t="shared" si="27"/>
        <v>45657</v>
      </c>
    </row>
    <row r="57" spans="1:10" outlineLevel="1" x14ac:dyDescent="0.3"/>
    <row r="58" spans="1:10" outlineLevel="1" x14ac:dyDescent="0.3">
      <c r="A58" s="1" t="s">
        <v>24</v>
      </c>
      <c r="D58" s="22">
        <f>YEARFRAC($C$54,D55)</f>
        <v>5.5555555555555552E-2</v>
      </c>
      <c r="E58" s="22">
        <f t="shared" ref="E58:J59" si="28">YEARFRAC($C$54,E55)</f>
        <v>0.1361111111111111</v>
      </c>
      <c r="F58" s="22">
        <f t="shared" si="28"/>
        <v>0.22222222222222221</v>
      </c>
      <c r="G58" s="22">
        <f t="shared" si="28"/>
        <v>0.30277777777777776</v>
      </c>
      <c r="H58" s="22">
        <f t="shared" si="28"/>
        <v>0.3888888888888889</v>
      </c>
      <c r="I58" s="22">
        <f t="shared" si="28"/>
        <v>0.47222222222222221</v>
      </c>
      <c r="J58" s="22">
        <f t="shared" si="28"/>
        <v>0.54722222222222228</v>
      </c>
    </row>
    <row r="59" spans="1:10" outlineLevel="1" x14ac:dyDescent="0.3">
      <c r="A59" s="1" t="s">
        <v>25</v>
      </c>
      <c r="D59" s="22">
        <f>YEARFRAC($C$54,D56)</f>
        <v>0.3888888888888889</v>
      </c>
      <c r="E59" s="22">
        <f t="shared" si="28"/>
        <v>1.3888888888888888</v>
      </c>
      <c r="F59" s="22">
        <f t="shared" si="28"/>
        <v>2.3888888888888888</v>
      </c>
      <c r="G59" s="22">
        <f t="shared" si="28"/>
        <v>3.3888888888888888</v>
      </c>
      <c r="H59" s="22">
        <f t="shared" si="28"/>
        <v>4.3888888888888893</v>
      </c>
      <c r="I59" s="22">
        <f t="shared" si="28"/>
        <v>5.3888888888888893</v>
      </c>
      <c r="J59" s="22">
        <f t="shared" si="28"/>
        <v>6.3888888888888893</v>
      </c>
    </row>
    <row r="60" spans="1:10" outlineLevel="1" x14ac:dyDescent="0.3">
      <c r="A60" s="1" t="s">
        <v>31</v>
      </c>
      <c r="D60" s="26" t="str">
        <f>IF(D59&lt;1,"Sub","Full Year")</f>
        <v>Sub</v>
      </c>
      <c r="E60" s="26" t="str">
        <f t="shared" ref="E60:J60" si="29">IF(E59&lt;1,"Stub","Full Year")</f>
        <v>Full Year</v>
      </c>
      <c r="F60" s="26" t="str">
        <f t="shared" si="29"/>
        <v>Full Year</v>
      </c>
      <c r="G60" s="26" t="str">
        <f t="shared" si="29"/>
        <v>Full Year</v>
      </c>
      <c r="H60" s="26" t="str">
        <f t="shared" si="29"/>
        <v>Full Year</v>
      </c>
      <c r="I60" s="26" t="str">
        <f t="shared" si="29"/>
        <v>Full Year</v>
      </c>
      <c r="J60" s="26" t="str">
        <f t="shared" si="29"/>
        <v>Full Year</v>
      </c>
    </row>
    <row r="61" spans="1:10" outlineLevel="1" x14ac:dyDescent="0.3"/>
    <row r="62" spans="1:10" outlineLevel="1" x14ac:dyDescent="0.3"/>
    <row r="63" spans="1:10" outlineLevel="1" x14ac:dyDescent="0.3">
      <c r="A63" s="2" t="s">
        <v>26</v>
      </c>
    </row>
    <row r="64" spans="1:10" outlineLevel="1" x14ac:dyDescent="0.3">
      <c r="A64" s="1" t="s">
        <v>2</v>
      </c>
      <c r="C64" s="25">
        <v>10</v>
      </c>
      <c r="D64" s="7">
        <f>D5</f>
        <v>38121</v>
      </c>
      <c r="E64" s="7">
        <f t="shared" ref="E64:J64" si="30">E5</f>
        <v>37756</v>
      </c>
      <c r="F64" s="7">
        <f t="shared" si="30"/>
        <v>42915.51</v>
      </c>
      <c r="G64" s="7">
        <f t="shared" si="30"/>
        <v>47207.061000000009</v>
      </c>
      <c r="H64" s="7">
        <f t="shared" si="30"/>
        <v>51927.767100000012</v>
      </c>
      <c r="I64" s="7">
        <f t="shared" si="30"/>
        <v>57120.543810000025</v>
      </c>
      <c r="J64" s="7">
        <f t="shared" si="30"/>
        <v>62832.598191000034</v>
      </c>
    </row>
    <row r="65" spans="1:10" outlineLevel="1" x14ac:dyDescent="0.3">
      <c r="A65" s="1" t="s">
        <v>4</v>
      </c>
      <c r="C65" s="25">
        <v>12</v>
      </c>
      <c r="D65" s="7">
        <f>D7</f>
        <v>29391</v>
      </c>
      <c r="E65" s="7">
        <f t="shared" ref="E65:J65" si="31">E7</f>
        <v>32990</v>
      </c>
      <c r="F65" s="7">
        <f t="shared" si="31"/>
        <v>20000</v>
      </c>
      <c r="G65" s="7">
        <f t="shared" si="31"/>
        <v>20000</v>
      </c>
      <c r="H65" s="7">
        <f t="shared" si="31"/>
        <v>20000</v>
      </c>
      <c r="I65" s="7">
        <f t="shared" si="31"/>
        <v>20000</v>
      </c>
      <c r="J65" s="7">
        <f t="shared" si="31"/>
        <v>20000</v>
      </c>
    </row>
    <row r="66" spans="1:10" outlineLevel="1" x14ac:dyDescent="0.3">
      <c r="A66" s="1" t="s">
        <v>6</v>
      </c>
      <c r="C66" s="25">
        <v>8</v>
      </c>
      <c r="D66" s="7">
        <f>D9</f>
        <v>2960</v>
      </c>
      <c r="E66" s="7">
        <f t="shared" ref="E66:J66" si="32">E9</f>
        <v>2803</v>
      </c>
      <c r="F66" s="7">
        <f t="shared" si="32"/>
        <v>4768.3900000000003</v>
      </c>
      <c r="G66" s="7">
        <f t="shared" si="32"/>
        <v>5245.2290000000012</v>
      </c>
      <c r="H66" s="7">
        <f t="shared" si="32"/>
        <v>5769.751900000002</v>
      </c>
      <c r="I66" s="7">
        <f t="shared" si="32"/>
        <v>6346.727090000003</v>
      </c>
      <c r="J66" s="7">
        <f t="shared" si="32"/>
        <v>6981.3997990000034</v>
      </c>
    </row>
    <row r="67" spans="1:10" outlineLevel="1" x14ac:dyDescent="0.3">
      <c r="A67" s="1" t="s">
        <v>7</v>
      </c>
      <c r="C67" s="25">
        <v>7</v>
      </c>
      <c r="D67" s="7">
        <f>D10</f>
        <v>1240</v>
      </c>
      <c r="E67" s="7">
        <f t="shared" ref="E67:J67" si="33">E10</f>
        <v>1240</v>
      </c>
      <c r="F67" s="7">
        <f t="shared" si="33"/>
        <v>1000</v>
      </c>
      <c r="G67" s="7">
        <f t="shared" si="33"/>
        <v>1000</v>
      </c>
      <c r="H67" s="7">
        <f t="shared" si="33"/>
        <v>1000</v>
      </c>
      <c r="I67" s="7">
        <f t="shared" si="33"/>
        <v>1000</v>
      </c>
      <c r="J67" s="7">
        <f t="shared" si="33"/>
        <v>1000</v>
      </c>
    </row>
    <row r="68" spans="1:10" outlineLevel="1" x14ac:dyDescent="0.3">
      <c r="A68" s="1" t="s">
        <v>9</v>
      </c>
      <c r="C68" s="25">
        <v>15</v>
      </c>
      <c r="D68" s="7">
        <f>D12</f>
        <v>2761</v>
      </c>
      <c r="E68" s="7">
        <f t="shared" ref="E68:J68" si="34">E12</f>
        <v>2429</v>
      </c>
      <c r="F68" s="7">
        <f t="shared" si="34"/>
        <v>8005.17</v>
      </c>
      <c r="G68" s="7">
        <f t="shared" si="34"/>
        <v>9435.6870000000017</v>
      </c>
      <c r="H68" s="7">
        <f t="shared" si="34"/>
        <v>11009.255700000003</v>
      </c>
      <c r="I68" s="7">
        <f t="shared" si="34"/>
        <v>12740.18127000001</v>
      </c>
      <c r="J68" s="7">
        <f t="shared" si="34"/>
        <v>14644.199397000009</v>
      </c>
    </row>
    <row r="69" spans="1:10" outlineLevel="1" x14ac:dyDescent="0.3">
      <c r="A69" s="23" t="s">
        <v>27</v>
      </c>
      <c r="B69" s="23"/>
      <c r="C69" s="23"/>
      <c r="D69" s="24">
        <f>SUM(D64:D68)</f>
        <v>74473</v>
      </c>
      <c r="E69" s="24">
        <f t="shared" ref="E69:J69" si="35">SUM(E64:E68)</f>
        <v>77218</v>
      </c>
      <c r="F69" s="24">
        <f t="shared" si="35"/>
        <v>76689.070000000007</v>
      </c>
      <c r="G69" s="24">
        <f t="shared" si="35"/>
        <v>82887.977000000028</v>
      </c>
      <c r="H69" s="24">
        <f t="shared" si="35"/>
        <v>89706.774700000024</v>
      </c>
      <c r="I69" s="24">
        <f t="shared" si="35"/>
        <v>97207.452170000048</v>
      </c>
      <c r="J69" s="24">
        <f t="shared" si="35"/>
        <v>105458.19738700004</v>
      </c>
    </row>
    <row r="70" spans="1:10" outlineLevel="1" x14ac:dyDescent="0.3">
      <c r="A70" s="1" t="s">
        <v>28</v>
      </c>
      <c r="D70" s="29">
        <f>AVERAGE(D64:D68)</f>
        <v>14894.6</v>
      </c>
      <c r="E70" s="29">
        <f t="shared" ref="E70:J70" si="36">AVERAGE(E64:E68)</f>
        <v>15443.6</v>
      </c>
      <c r="F70" s="29">
        <f t="shared" si="36"/>
        <v>15337.814000000002</v>
      </c>
      <c r="G70" s="29">
        <f t="shared" si="36"/>
        <v>16577.595400000006</v>
      </c>
      <c r="H70" s="29">
        <f t="shared" si="36"/>
        <v>17941.354940000005</v>
      </c>
      <c r="I70" s="29">
        <f t="shared" si="36"/>
        <v>19441.49043400001</v>
      </c>
      <c r="J70" s="29">
        <f t="shared" si="36"/>
        <v>21091.639477400007</v>
      </c>
    </row>
    <row r="71" spans="1:10" outlineLevel="1" x14ac:dyDescent="0.3">
      <c r="A71" s="1" t="s">
        <v>29</v>
      </c>
      <c r="D71" s="29">
        <f>SUMPRODUCT($C$64:$C$68,D64:D68)/SUM($C$64:$C$68)</f>
        <v>15532.25</v>
      </c>
      <c r="E71" s="29">
        <f t="shared" ref="E71:J71" si="37">SUMPRODUCT($C$64:$C$68,E64:E68)/SUM($C$64:$C$68)</f>
        <v>16172.673076923076</v>
      </c>
      <c r="F71" s="29">
        <f t="shared" si="37"/>
        <v>16045.764807692311</v>
      </c>
      <c r="G71" s="29">
        <f t="shared" si="37"/>
        <v>17357.072057692312</v>
      </c>
      <c r="H71" s="29">
        <f t="shared" si="37"/>
        <v>18799.510032692309</v>
      </c>
      <c r="I71" s="29">
        <f t="shared" si="37"/>
        <v>20386.191805192313</v>
      </c>
      <c r="J71" s="29">
        <f t="shared" si="37"/>
        <v>22131.541754942315</v>
      </c>
    </row>
    <row r="72" spans="1:10" outlineLevel="1" x14ac:dyDescent="0.3">
      <c r="A72" s="1" t="s">
        <v>30</v>
      </c>
      <c r="D72" s="29">
        <f>MEDIAN(D64:D68)</f>
        <v>2960</v>
      </c>
      <c r="E72" s="29">
        <f t="shared" ref="E72:J72" si="38">MEDIAN(E64:E68)</f>
        <v>2803</v>
      </c>
      <c r="F72" s="29">
        <f t="shared" si="38"/>
        <v>8005.17</v>
      </c>
      <c r="G72" s="29">
        <f t="shared" si="38"/>
        <v>9435.6870000000017</v>
      </c>
      <c r="H72" s="29">
        <f t="shared" si="38"/>
        <v>11009.255700000003</v>
      </c>
      <c r="I72" s="29">
        <f t="shared" si="38"/>
        <v>12740.18127000001</v>
      </c>
      <c r="J72" s="29">
        <f t="shared" si="38"/>
        <v>14644.199397000009</v>
      </c>
    </row>
    <row r="73" spans="1:10" outlineLevel="1" x14ac:dyDescent="0.3"/>
    <row r="74" spans="1:10" outlineLevel="1" x14ac:dyDescent="0.3">
      <c r="A74" s="2" t="s">
        <v>32</v>
      </c>
    </row>
    <row r="75" spans="1:10" outlineLevel="1" x14ac:dyDescent="0.3">
      <c r="A75" s="1" t="s">
        <v>33</v>
      </c>
      <c r="C75" s="8">
        <v>150000</v>
      </c>
      <c r="D75" s="7">
        <f>IF(D69&lt;$C$75,D69,0)</f>
        <v>74473</v>
      </c>
      <c r="E75" s="7">
        <f t="shared" ref="E75:J75" si="39">IF(E69&lt;$C$75,E69,0)</f>
        <v>77218</v>
      </c>
      <c r="F75" s="7">
        <f t="shared" si="39"/>
        <v>76689.070000000007</v>
      </c>
      <c r="G75" s="7">
        <f t="shared" si="39"/>
        <v>82887.977000000028</v>
      </c>
      <c r="H75" s="7">
        <f t="shared" si="39"/>
        <v>89706.774700000024</v>
      </c>
      <c r="I75" s="7">
        <f t="shared" si="39"/>
        <v>97207.452170000048</v>
      </c>
      <c r="J75" s="7">
        <f t="shared" si="39"/>
        <v>105458.19738700004</v>
      </c>
    </row>
    <row r="76" spans="1:10" outlineLevel="1" x14ac:dyDescent="0.3">
      <c r="A76" s="1" t="s">
        <v>34</v>
      </c>
      <c r="C76" s="8">
        <v>150000</v>
      </c>
      <c r="D76" s="7">
        <f>IF(D69&gt;=$C$76,D69,0)</f>
        <v>0</v>
      </c>
      <c r="E76" s="7">
        <f t="shared" ref="E76:J76" si="40">IF(E69&gt;=$C$76,E69,0)</f>
        <v>0</v>
      </c>
      <c r="F76" s="7">
        <f t="shared" si="40"/>
        <v>0</v>
      </c>
      <c r="G76" s="7">
        <f t="shared" si="40"/>
        <v>0</v>
      </c>
      <c r="H76" s="7">
        <f t="shared" si="40"/>
        <v>0</v>
      </c>
      <c r="I76" s="7">
        <f t="shared" si="40"/>
        <v>0</v>
      </c>
      <c r="J76" s="7">
        <f t="shared" si="40"/>
        <v>0</v>
      </c>
    </row>
    <row r="77" spans="1:10" outlineLevel="1" x14ac:dyDescent="0.3">
      <c r="A77" s="23" t="s">
        <v>27</v>
      </c>
      <c r="B77" s="23"/>
      <c r="C77" s="24"/>
      <c r="D77" s="24">
        <f>SUM(D75:D76)</f>
        <v>74473</v>
      </c>
      <c r="E77" s="24">
        <f t="shared" ref="E77:J77" si="41">SUM(E75:E76)</f>
        <v>77218</v>
      </c>
      <c r="F77" s="24">
        <f t="shared" si="41"/>
        <v>76689.070000000007</v>
      </c>
      <c r="G77" s="24">
        <f t="shared" si="41"/>
        <v>82887.977000000028</v>
      </c>
      <c r="H77" s="24">
        <f t="shared" si="41"/>
        <v>89706.774700000024</v>
      </c>
      <c r="I77" s="24">
        <f t="shared" si="41"/>
        <v>97207.452170000048</v>
      </c>
      <c r="J77" s="24">
        <f t="shared" si="41"/>
        <v>105458.19738700004</v>
      </c>
    </row>
    <row r="78" spans="1:10" outlineLevel="1" x14ac:dyDescent="0.3"/>
    <row r="79" spans="1:10" outlineLevel="1" x14ac:dyDescent="0.3">
      <c r="A79" s="1" t="s">
        <v>35</v>
      </c>
      <c r="D79" s="27" t="str">
        <f>IF(D77=D69,"OK","ERROR")</f>
        <v>OK</v>
      </c>
      <c r="E79" s="27" t="str">
        <f t="shared" ref="E79:J79" si="42">IF(E77=E69,"OK","ERROR")</f>
        <v>OK</v>
      </c>
      <c r="F79" s="27" t="str">
        <f t="shared" si="42"/>
        <v>OK</v>
      </c>
      <c r="G79" s="27" t="str">
        <f t="shared" si="42"/>
        <v>OK</v>
      </c>
      <c r="H79" s="27" t="str">
        <f t="shared" si="42"/>
        <v>OK</v>
      </c>
      <c r="I79" s="27" t="str">
        <f t="shared" si="42"/>
        <v>OK</v>
      </c>
      <c r="J79" s="27" t="str">
        <f t="shared" si="42"/>
        <v>OK</v>
      </c>
    </row>
    <row r="80" spans="1:10" outlineLevel="1" x14ac:dyDescent="0.3"/>
    <row r="81" spans="1:10" outlineLevel="1" x14ac:dyDescent="0.3">
      <c r="A81" s="1" t="s">
        <v>36</v>
      </c>
      <c r="C81" s="30">
        <v>3</v>
      </c>
      <c r="D81" s="28">
        <f>ROUND(D71,$C$81)</f>
        <v>15532.25</v>
      </c>
      <c r="E81" s="28">
        <f t="shared" ref="E81:J81" si="43">ROUND(E71,$C$81)</f>
        <v>16172.673000000001</v>
      </c>
      <c r="F81" s="28">
        <f t="shared" si="43"/>
        <v>16045.764999999999</v>
      </c>
      <c r="G81" s="28">
        <f t="shared" si="43"/>
        <v>17357.072</v>
      </c>
      <c r="H81" s="28">
        <f t="shared" si="43"/>
        <v>18799.509999999998</v>
      </c>
      <c r="I81" s="28">
        <f t="shared" si="43"/>
        <v>20386.191999999999</v>
      </c>
      <c r="J81" s="28">
        <f t="shared" si="43"/>
        <v>22131.542000000001</v>
      </c>
    </row>
    <row r="82" spans="1:10" outlineLevel="1" x14ac:dyDescent="0.3">
      <c r="A82" s="1" t="s">
        <v>37</v>
      </c>
      <c r="C82" s="30">
        <v>10</v>
      </c>
      <c r="D82" s="28">
        <f>MROUND(D71,$C$82)</f>
        <v>15530</v>
      </c>
      <c r="E82" s="28">
        <f t="shared" ref="E82:J82" si="44">MROUND(E71,$C$82)</f>
        <v>16170</v>
      </c>
      <c r="F82" s="28">
        <f t="shared" si="44"/>
        <v>16050</v>
      </c>
      <c r="G82" s="28">
        <f t="shared" si="44"/>
        <v>17360</v>
      </c>
      <c r="H82" s="28">
        <f t="shared" si="44"/>
        <v>18800</v>
      </c>
      <c r="I82" s="28">
        <f t="shared" si="44"/>
        <v>20390</v>
      </c>
      <c r="J82" s="28">
        <f t="shared" si="44"/>
        <v>22130</v>
      </c>
    </row>
    <row r="83" spans="1:10" outlineLevel="1" x14ac:dyDescent="0.3"/>
    <row r="84" spans="1:10" outlineLevel="1" x14ac:dyDescent="0.3">
      <c r="A84" s="1" t="s">
        <v>38</v>
      </c>
      <c r="D84" s="7">
        <f>MIN(D64:D68)</f>
        <v>1240</v>
      </c>
      <c r="E84" s="7">
        <f t="shared" ref="E84:J84" si="45">MIN(E64:E68)</f>
        <v>1240</v>
      </c>
      <c r="F84" s="7">
        <f t="shared" si="45"/>
        <v>1000</v>
      </c>
      <c r="G84" s="7">
        <f t="shared" si="45"/>
        <v>1000</v>
      </c>
      <c r="H84" s="7">
        <f t="shared" si="45"/>
        <v>1000</v>
      </c>
      <c r="I84" s="7">
        <f t="shared" si="45"/>
        <v>1000</v>
      </c>
      <c r="J84" s="7">
        <f t="shared" si="45"/>
        <v>1000</v>
      </c>
    </row>
    <row r="85" spans="1:10" outlineLevel="1" x14ac:dyDescent="0.3">
      <c r="A85" s="1" t="s">
        <v>39</v>
      </c>
      <c r="D85" s="7">
        <f>MAX(D64:D68)</f>
        <v>38121</v>
      </c>
      <c r="E85" s="7">
        <f t="shared" ref="E85:J85" si="46">MAX(E64:E68)</f>
        <v>37756</v>
      </c>
      <c r="F85" s="7">
        <f t="shared" si="46"/>
        <v>42915.51</v>
      </c>
      <c r="G85" s="7">
        <f t="shared" si="46"/>
        <v>47207.061000000009</v>
      </c>
      <c r="H85" s="7">
        <f t="shared" si="46"/>
        <v>51927.767100000012</v>
      </c>
      <c r="I85" s="7">
        <f t="shared" si="46"/>
        <v>57120.543810000025</v>
      </c>
      <c r="J85" s="7">
        <f t="shared" si="46"/>
        <v>62832.598191000034</v>
      </c>
    </row>
    <row r="86" spans="1:10" outlineLevel="1" x14ac:dyDescent="0.3"/>
    <row r="87" spans="1:10" outlineLevel="1" x14ac:dyDescent="0.3">
      <c r="A87" s="1" t="s">
        <v>40</v>
      </c>
      <c r="B87" s="30">
        <v>2</v>
      </c>
      <c r="C87" s="30">
        <v>2</v>
      </c>
      <c r="D87" s="7">
        <f t="shared" ref="D87:J87" si="47">SMALL(D64:D68,$B$87)</f>
        <v>2761</v>
      </c>
      <c r="E87" s="7">
        <f t="shared" si="47"/>
        <v>2429</v>
      </c>
      <c r="F87" s="7">
        <f t="shared" si="47"/>
        <v>4768.3900000000003</v>
      </c>
      <c r="G87" s="7">
        <f t="shared" si="47"/>
        <v>5245.2290000000012</v>
      </c>
      <c r="H87" s="7">
        <f t="shared" si="47"/>
        <v>5769.751900000002</v>
      </c>
      <c r="I87" s="7">
        <f t="shared" si="47"/>
        <v>6346.727090000003</v>
      </c>
      <c r="J87" s="7">
        <f t="shared" si="47"/>
        <v>6981.3997990000034</v>
      </c>
    </row>
    <row r="88" spans="1:10" outlineLevel="1" x14ac:dyDescent="0.3">
      <c r="A88" s="1" t="s">
        <v>41</v>
      </c>
      <c r="C88" s="30">
        <v>3</v>
      </c>
      <c r="D88" s="7">
        <f>LARGE(D64:D68,$C$88)</f>
        <v>2960</v>
      </c>
      <c r="E88" s="7">
        <f t="shared" ref="E88:J88" si="48">LARGE(E64:E68,$C$88)</f>
        <v>2803</v>
      </c>
      <c r="F88" s="7">
        <f t="shared" si="48"/>
        <v>8005.17</v>
      </c>
      <c r="G88" s="7">
        <f t="shared" si="48"/>
        <v>9435.6870000000017</v>
      </c>
      <c r="H88" s="7">
        <f t="shared" si="48"/>
        <v>11009.255700000003</v>
      </c>
      <c r="I88" s="7">
        <f t="shared" si="48"/>
        <v>12740.18127000001</v>
      </c>
      <c r="J88" s="7">
        <f t="shared" si="48"/>
        <v>14644.199397000009</v>
      </c>
    </row>
    <row r="89" spans="1:10" outlineLevel="1" x14ac:dyDescent="0.3"/>
    <row r="90" spans="1:10" outlineLevel="1" x14ac:dyDescent="0.3">
      <c r="A90" s="1" t="s">
        <v>42</v>
      </c>
      <c r="C90" s="30">
        <v>0</v>
      </c>
      <c r="D90" s="31" t="str">
        <f>IFERROR(D77/$C$90,"na")</f>
        <v>na</v>
      </c>
      <c r="E90" s="31" t="str">
        <f t="shared" ref="E90:J90" si="49">IFERROR(E77/$C$90,"na")</f>
        <v>na</v>
      </c>
      <c r="F90" s="31" t="str">
        <f t="shared" si="49"/>
        <v>na</v>
      </c>
      <c r="G90" s="31" t="str">
        <f t="shared" si="49"/>
        <v>na</v>
      </c>
      <c r="H90" s="31" t="str">
        <f t="shared" si="49"/>
        <v>na</v>
      </c>
      <c r="I90" s="31" t="str">
        <f t="shared" si="49"/>
        <v>na</v>
      </c>
      <c r="J90" s="31" t="str">
        <f t="shared" si="49"/>
        <v>na</v>
      </c>
    </row>
    <row r="91" spans="1:10" outlineLevel="1" x14ac:dyDescent="0.3">
      <c r="D91" s="27"/>
    </row>
    <row r="92" spans="1:10" outlineLevel="1" x14ac:dyDescent="0.3">
      <c r="A92" s="1" t="e">
        <v>#VALUE!</v>
      </c>
      <c r="D92" s="7">
        <f>IFERROR(D77/$C$90,0)</f>
        <v>0</v>
      </c>
      <c r="E92" s="7">
        <f t="shared" ref="E92:J92" si="50">IFERROR(E77/$C$90,0)</f>
        <v>0</v>
      </c>
      <c r="F92" s="7">
        <f t="shared" si="50"/>
        <v>0</v>
      </c>
      <c r="G92" s="7">
        <f t="shared" si="50"/>
        <v>0</v>
      </c>
      <c r="H92" s="7">
        <f t="shared" si="50"/>
        <v>0</v>
      </c>
      <c r="I92" s="7">
        <f t="shared" si="50"/>
        <v>0</v>
      </c>
      <c r="J92" s="7">
        <f t="shared" si="50"/>
        <v>0</v>
      </c>
    </row>
    <row r="93" spans="1:10" outlineLevel="1" x14ac:dyDescent="0.3"/>
    <row r="94" spans="1:10" x14ac:dyDescent="0.3">
      <c r="D94" s="7"/>
    </row>
  </sheetData>
  <conditionalFormatting sqref="D25:J34">
    <cfRule type="cellIs" dxfId="2" priority="3" operator="lessThan">
      <formula>0.06</formula>
    </cfRule>
  </conditionalFormatting>
  <conditionalFormatting sqref="D48:J48">
    <cfRule type="cellIs" dxfId="1" priority="1" operator="lessThan">
      <formula>90000</formula>
    </cfRule>
    <cfRule type="cellIs" dxfId="0" priority="2" operator="greaterThan">
      <formula>90000</formula>
    </cfRule>
  </conditionalFormatting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zoomScale="120" zoomScaleNormal="120" workbookViewId="0">
      <selection activeCell="G9" sqref="G9"/>
    </sheetView>
  </sheetViews>
  <sheetFormatPr defaultColWidth="8.5703125" defaultRowHeight="16.5" x14ac:dyDescent="0.3"/>
  <cols>
    <col min="1" max="16384" width="8.5703125" style="1"/>
  </cols>
  <sheetData>
    <row r="2" spans="1:5" x14ac:dyDescent="0.3">
      <c r="A2" s="32" t="s">
        <v>0</v>
      </c>
      <c r="B2" s="33"/>
      <c r="C2" s="33"/>
      <c r="D2" s="34"/>
      <c r="E2" s="34"/>
    </row>
    <row r="3" spans="1:5" x14ac:dyDescent="0.3">
      <c r="A3" s="33" t="s">
        <v>1</v>
      </c>
      <c r="B3" s="32"/>
      <c r="C3" s="32"/>
      <c r="D3" s="34">
        <v>81422</v>
      </c>
      <c r="E3" s="34">
        <v>86698</v>
      </c>
    </row>
    <row r="4" spans="1:5" x14ac:dyDescent="0.3">
      <c r="A4" s="33" t="s">
        <v>2</v>
      </c>
      <c r="B4" s="33"/>
      <c r="C4" s="33"/>
      <c r="D4" s="34">
        <v>38121</v>
      </c>
      <c r="E4" s="34">
        <v>37756</v>
      </c>
    </row>
    <row r="5" spans="1:5" x14ac:dyDescent="0.3">
      <c r="A5" s="33" t="s">
        <v>3</v>
      </c>
      <c r="B5" s="33"/>
      <c r="C5" s="33"/>
      <c r="D5" s="34">
        <f>D3-D4</f>
        <v>43301</v>
      </c>
      <c r="E5" s="34">
        <f>E3-E4</f>
        <v>48942</v>
      </c>
    </row>
    <row r="6" spans="1:5" x14ac:dyDescent="0.3">
      <c r="A6" s="33" t="s">
        <v>4</v>
      </c>
      <c r="B6" s="33"/>
      <c r="C6" s="33"/>
      <c r="D6" s="34">
        <v>29391</v>
      </c>
      <c r="E6" s="34">
        <v>32990</v>
      </c>
    </row>
    <row r="7" spans="1:5" x14ac:dyDescent="0.3">
      <c r="A7" s="33" t="s">
        <v>5</v>
      </c>
      <c r="B7" s="33"/>
      <c r="C7" s="33"/>
      <c r="D7" s="34">
        <f>D5-D6</f>
        <v>13910</v>
      </c>
      <c r="E7" s="34">
        <f>E5-E6</f>
        <v>15952</v>
      </c>
    </row>
    <row r="8" spans="1:5" x14ac:dyDescent="0.3">
      <c r="A8" s="33" t="s">
        <v>6</v>
      </c>
      <c r="B8" s="33"/>
      <c r="C8" s="33"/>
      <c r="D8" s="34">
        <v>2960</v>
      </c>
      <c r="E8" s="34">
        <v>2803</v>
      </c>
    </row>
    <row r="9" spans="1:5" x14ac:dyDescent="0.3">
      <c r="A9" s="33" t="s">
        <v>7</v>
      </c>
      <c r="B9" s="33"/>
      <c r="C9" s="33"/>
      <c r="D9" s="34">
        <v>1240</v>
      </c>
      <c r="E9" s="34">
        <v>1240</v>
      </c>
    </row>
    <row r="10" spans="1:5" x14ac:dyDescent="0.3">
      <c r="A10" s="33" t="s">
        <v>8</v>
      </c>
      <c r="B10" s="33"/>
      <c r="C10" s="33"/>
      <c r="D10" s="34">
        <f>D7-D8-D9</f>
        <v>9710</v>
      </c>
      <c r="E10" s="34">
        <f>E7-E8-E9</f>
        <v>11909</v>
      </c>
    </row>
    <row r="11" spans="1:5" x14ac:dyDescent="0.3">
      <c r="A11" s="33" t="s">
        <v>9</v>
      </c>
      <c r="B11" s="33"/>
      <c r="C11" s="33"/>
      <c r="D11" s="34">
        <v>2761</v>
      </c>
      <c r="E11" s="34">
        <v>2429</v>
      </c>
    </row>
    <row r="12" spans="1:5" x14ac:dyDescent="0.3">
      <c r="A12" s="33" t="s">
        <v>10</v>
      </c>
      <c r="B12" s="32"/>
      <c r="C12" s="32"/>
      <c r="D12" s="34">
        <f>D10-D11</f>
        <v>6949</v>
      </c>
      <c r="E12" s="34">
        <f>E10-E11</f>
        <v>9480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Basic Financial Analysis</vt:lpstr>
      <vt:lpstr>Advanced Financial Analysis</vt:lpstr>
      <vt:lpstr>Extra Data --&gt;</vt:lpstr>
      <vt:lpstr>Research</vt:lpstr>
      <vt:lpstr>Gross_Profit</vt:lpstr>
      <vt:lpstr>'Advanced Financial Analysis'!Print_Area</vt:lpstr>
      <vt:lpstr>'Basic Financial Analysis'!Print_Area</vt:lpstr>
      <vt:lpstr>Sensitivity</vt:lpstr>
      <vt:lpstr>SG_A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USER</cp:lastModifiedBy>
  <dcterms:created xsi:type="dcterms:W3CDTF">2018-08-09T17:25:34Z</dcterms:created>
  <dcterms:modified xsi:type="dcterms:W3CDTF">2023-03-07T01:47:31Z</dcterms:modified>
</cp:coreProperties>
</file>