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gyszlft+Y7HgybyzwcsIn1R3e4IlZiKxqwighr8Pea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7">
      <text>
        <t xml:space="preserve">======
ID#AAABVSXtqwk
jEFA    (2024-09-16 12:18:05)
Menos de 1/3 ( menos del 25% del tiempo) pero señalar porque es de interés, aunque  la puntuación es muy baja</t>
      </text>
    </comment>
    <comment authorId="0" ref="E64">
      <text>
        <t xml:space="preserve">======
ID#AAABVSXtqwg
jEFA    (2024-09-16 12:18:05)
Menos de 1/3 ( menos del 25% del tiempo) pero señalar porque es de interés, aunque  la puntuación es muy baja</t>
      </text>
    </comment>
    <comment authorId="0" ref="E57">
      <text>
        <t xml:space="preserve">======
ID#AAABVSXtqwc
jEFA    (2024-09-16 12:18:05)
10% del tiempo</t>
      </text>
    </comment>
    <comment authorId="0" ref="E65">
      <text>
        <t xml:space="preserve">======
ID#AAABVSXtqwY
jEFA    (2024-09-16 12:18:05)
10% del tiempo</t>
      </text>
    </comment>
    <comment authorId="0" ref="D22">
      <text>
        <t xml:space="preserve">======
ID#AAABVSXtqwU
AYUDA    (2024-09-16 12:18:05)
Debe colocar la suma en minutos de todas las pausas inclusive quellas que sean inferiores a 8 minutos. (Sólo se excluye la pausa para comer).</t>
      </text>
    </comment>
    <comment authorId="0" ref="D86">
      <text>
        <t xml:space="preserve">======
ID#AAABVSXtqwQ
HEFA    (2024-09-16 12:18:05)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73">
      <text>
        <t xml:space="preserve">======
ID#AAABVSXtqwM
jEFA    (2024-09-16 12:18:05)
meno di 1/3 ( meno del 25% del tempo) ma da segnalare perché di interesse anche se con un punteggio molto basso</t>
      </text>
    </comment>
    <comment authorId="0" ref="E56">
      <text>
        <t xml:space="preserve">======
ID#AAABVSXtqwI
jEFA    (2024-09-16 12:18:05)
Menos de 1/3 ( menos del 25% del tiempo) pero señalar porque es de interés, aunque  la puntuación es muy baja</t>
      </text>
    </comment>
    <comment authorId="0" ref="D11">
      <text>
        <t xml:space="preserve">======
ID#AAABVSXtqwE
HEFA    (2024-09-16 12:18:05)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8">
      <text>
        <t xml:space="preserve">======
ID#AAABVSXtqwA
jEFA    (2024-09-16 12:18:05)
Menos de 1/3 ( menos del 25% del tiempo) pero señalar porque es de interés, aunque  la puntuación es muy baja</t>
      </text>
    </comment>
    <comment authorId="0" ref="E59">
      <text>
        <t xml:space="preserve">======
ID#AAABVSXtqv8
jEFA    (2024-09-16 12:18:05)
Menos de 1/3 ( menos del 25% del tiempo) pero señalar porque es de interés, aunque  la puntuación es muy baja</t>
      </text>
    </comment>
    <comment authorId="0" ref="H16">
      <text>
        <t xml:space="preserve">======
ID#AAABVSXtqv4
jEFA    (2024-09-16 12:18:05)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6">
      <text>
        <t xml:space="preserve">======
ID#AAABVSXtqv0
jEFA    (2024-09-16 12:18:05)
Menos de 1/3 ( menos del 25% del tiempo) pero señalar porque es de interés, aunque  la puntuación es muy baja</t>
      </text>
    </comment>
    <comment authorId="0" ref="D20">
      <text>
        <t xml:space="preserve">======
ID#AAABVSXtqvw
jEFA    (2024-09-16 12:18:05)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E58">
      <text>
        <t xml:space="preserve">======
ID#AAABVSXtqvs
jEFA    (2024-09-16 12:18:05)
Menos de 1/3 ( menos del 25% del tiempo) pero señalar porque es de interés, aunque  la puntuación es muy baja</t>
      </text>
    </comment>
  </commentList>
  <extLst>
    <ext uri="GoogleSheetsCustomDataVersion2">
      <go:sheetsCustomData xmlns:go="http://customooxmlschemas.google.com/" r:id="rId1" roundtripDataSignature="AMtx7mjHN7MQblSnmwQp1Cbsb47mLlAC+w=="/>
    </ext>
  </extLst>
</comments>
</file>

<file path=xl/sharedStrings.xml><?xml version="1.0" encoding="utf-8"?>
<sst xmlns="http://schemas.openxmlformats.org/spreadsheetml/2006/main" count="299" uniqueCount="199">
  <si>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</si>
  <si>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</si>
  <si>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</si>
  <si>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</si>
  <si>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</si>
  <si>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</si>
  <si>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</si>
  <si>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</si>
  <si>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</si>
  <si>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</si>
  <si>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</si>
  <si>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cubierta, conecta lector de huellas, coloca cubierta trasera, coloca materiales y escanea.</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</si>
  <si>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</si>
  <si>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</si>
  <si>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</si>
  <si>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</si>
  <si>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</si>
  <si>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</si>
  <si>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</si>
  <si>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</si>
  <si>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</si>
  <si>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</si>
  <si>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</si>
  <si>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</si>
  <si>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</si>
  <si>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</si>
  <si>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</si>
  <si>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</si>
  <si>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</si>
  <si>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</si>
  <si>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</si>
  <si>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</si>
  <si>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</si>
  <si>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</si>
  <si>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</si>
  <si>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</si>
  <si>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</si>
  <si>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</si>
  <si>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</si>
  <si>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</si>
  <si>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</si>
  <si>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</si>
  <si>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</si>
  <si>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</si>
  <si>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</si>
  <si>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</si>
  <si>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</si>
  <si>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</si>
  <si>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</si>
  <si>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</si>
  <si>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</si>
  <si>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</si>
  <si>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</si>
  <si>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</si>
  <si>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</si>
  <si>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</si>
  <si>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</si>
  <si>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</si>
  <si>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</si>
  <si>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</si>
  <si>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</si>
  <si>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</si>
  <si>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</si>
  <si>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</si>
  <si>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</si>
  <si>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</si>
  <si>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</si>
  <si>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</si>
  <si>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</si>
  <si>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</si>
  <si>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</si>
  <si>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</si>
  <si>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</si>
  <si>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</si>
  <si>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</si>
  <si>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</si>
  <si>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</si>
  <si>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</si>
  <si>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</si>
  <si>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</si>
  <si>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</si>
  <si>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</si>
  <si>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</si>
  <si>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</si>
  <si>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</si>
  <si>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</si>
  <si>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</si>
  <si>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</si>
  <si>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</si>
  <si>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</si>
  <si>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</si>
  <si>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</si>
  <si>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</si>
  <si>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</si>
  <si>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</si>
  <si>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</si>
  <si>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</si>
  <si>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</si>
  <si>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</si>
  <si>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</si>
  <si>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</si>
  <si>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</si>
  <si>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</si>
  <si>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</si>
  <si>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</si>
  <si>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</si>
  <si>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</si>
  <si>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</si>
  <si>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</si>
  <si>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</si>
  <si>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</si>
  <si>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</si>
  <si>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</si>
  <si>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</si>
  <si>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</si>
  <si>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</si>
  <si>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</si>
  <si>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</si>
  <si>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</si>
  <si>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</si>
  <si>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</si>
  <si>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</si>
  <si>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</si>
  <si>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</si>
  <si>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</si>
  <si>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</si>
  <si>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</si>
  <si>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</si>
  <si>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</si>
  <si>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</si>
  <si>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</si>
  <si>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</si>
  <si>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</si>
  <si>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</si>
  <si>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</si>
  <si>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</si>
  <si>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</si>
  <si>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</si>
  <si>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</si>
  <si>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</si>
  <si>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</si>
  <si>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</si>
  <si>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</si>
  <si>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</si>
  <si>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</si>
  <si>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</si>
  <si>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</si>
  <si>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</si>
  <si>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</si>
  <si>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</si>
  <si>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</si>
  <si>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</si>
  <si>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</si>
  <si>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</si>
  <si>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</si>
  <si>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</si>
  <si>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</si>
  <si>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</si>
  <si>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</si>
  <si>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</si>
  <si>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</si>
  <si>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</si>
  <si>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</si>
  <si>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</si>
  <si>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</si>
  <si>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</si>
  <si>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</si>
  <si>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</si>
  <si>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CHEQUEO ACCIONES PRINCIPALES</t>
  </si>
  <si>
    <t>Toma cubierta</t>
  </si>
  <si>
    <t>Sostiene cubierta</t>
  </si>
  <si>
    <t>Brucela: 6 movimientos</t>
  </si>
  <si>
    <t>Sostiene y ioniza cubierta trasera</t>
  </si>
  <si>
    <t>ESTATICO</t>
  </si>
  <si>
    <t>DINAMICO</t>
  </si>
  <si>
    <t>Toma y pasa cubierta trasera</t>
  </si>
  <si>
    <t>Presion palmar: clipsea cubierta trasera</t>
  </si>
  <si>
    <t>prende, distacca,posiziona</t>
  </si>
  <si>
    <t>Presion digito: conecta lector de huellas</t>
  </si>
  <si>
    <t xml:space="preserve">Escanea </t>
  </si>
  <si>
    <t>BIPEDESTACIÓN</t>
  </si>
  <si>
    <t>SEDESTACIÓN</t>
  </si>
  <si>
    <t>prende,gira, posiziona, schiaccia</t>
  </si>
  <si>
    <t>batte 25 colpi e prende</t>
  </si>
  <si>
    <t>Toma lamina de grafito</t>
  </si>
  <si>
    <t>PINZA FINA</t>
  </si>
  <si>
    <t>Posiciona y pega lamina de grafito</t>
  </si>
  <si>
    <t>Pasa cubierta a la banda</t>
  </si>
  <si>
    <t>TIRON</t>
  </si>
  <si>
    <t>PRENSIÓN PALMAR</t>
  </si>
  <si>
    <t>PRENSION PULGAR</t>
  </si>
  <si>
    <t>CONEXIONADO</t>
  </si>
  <si>
    <t>FLEXIÓN MUÑECA</t>
  </si>
  <si>
    <t>VIBRACIONES</t>
  </si>
  <si>
    <t>MANUAL</t>
  </si>
  <si>
    <t>FREGAR</t>
  </si>
  <si>
    <t>TOMA EQUIPO IX</t>
  </si>
  <si>
    <t>TOMA EQUIPO DX</t>
  </si>
  <si>
    <t>TOMA INDISTINTO</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</si>
</sst>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5">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color theme="1"/>
      <name val="Arial"/>
    </font>
    <font>
      <b/>
      <sz val="18.0"/>
      <color theme="1"/>
      <name val="Arial Narrow"/>
    </font>
  </fonts>
  <fills count="26">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ABF8F"/>
        <bgColor rgb="FFFABF8F"/>
      </patternFill>
    </fill>
    <fill>
      <patternFill patternType="solid">
        <fgColor rgb="FFFFFF00"/>
        <bgColor rgb="FFFFFF00"/>
      </patternFill>
    </fill>
    <fill>
      <patternFill patternType="solid">
        <fgColor rgb="FFBFBFBF"/>
        <bgColor rgb="FFBFBFBF"/>
      </patternFill>
    </fill>
  </fills>
  <borders count="123">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left/>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right style="medium">
        <color rgb="FF000000"/>
      </right>
      <top style="thin">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1">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9" fillId="7" fontId="7" numFmtId="0" xfId="0" applyAlignment="1" applyBorder="1" applyFill="1" applyFont="1">
      <alignment horizontal="left"/>
    </xf>
    <xf borderId="10" fillId="0" fontId="4" numFmtId="0" xfId="0" applyBorder="1" applyFont="1"/>
    <xf borderId="11" fillId="0" fontId="4" numFmtId="0" xfId="0" applyBorder="1" applyFont="1"/>
    <xf borderId="12" fillId="3" fontId="1" numFmtId="0" xfId="0" applyBorder="1" applyFont="1"/>
    <xf borderId="1" fillId="8" fontId="6" numFmtId="0" xfId="0" applyAlignment="1" applyBorder="1" applyFill="1" applyFont="1">
      <alignment shrinkToFit="0" vertical="center" wrapText="1"/>
    </xf>
    <xf borderId="9"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8" fillId="3" fontId="10" numFmtId="0" xfId="0" applyAlignment="1" applyBorder="1" applyFont="1">
      <alignment horizontal="center"/>
    </xf>
    <xf borderId="0" fillId="0" fontId="10" numFmtId="0" xfId="0" applyAlignment="1" applyFont="1">
      <alignment horizontal="center"/>
    </xf>
    <xf borderId="13" fillId="7" fontId="11" numFmtId="0" xfId="0" applyAlignment="1" applyBorder="1" applyFont="1">
      <alignment horizontal="center" shrinkToFit="0" vertical="center" wrapText="1"/>
    </xf>
    <xf borderId="1" fillId="3" fontId="12" numFmtId="0" xfId="0" applyAlignment="1" applyBorder="1" applyFont="1">
      <alignment horizontal="left"/>
    </xf>
    <xf borderId="14" fillId="7" fontId="11" numFmtId="0" xfId="0" applyAlignment="1" applyBorder="1" applyFont="1">
      <alignment horizontal="center" shrinkToFit="0" vertical="center" wrapText="1"/>
    </xf>
    <xf borderId="8"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9"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5" fillId="9" fontId="17" numFmtId="0" xfId="0" applyAlignment="1" applyBorder="1" applyFill="1" applyFont="1">
      <alignment horizontal="left" shrinkToFit="0" vertical="center" wrapText="1"/>
    </xf>
    <xf borderId="16" fillId="0" fontId="4" numFmtId="0" xfId="0" applyBorder="1" applyFont="1"/>
    <xf borderId="13" fillId="9" fontId="18" numFmtId="0" xfId="0" applyAlignment="1" applyBorder="1" applyFont="1">
      <alignment horizontal="center" vertical="center"/>
    </xf>
    <xf borderId="8"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7"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18" fillId="3" fontId="1" numFmtId="0" xfId="0" applyBorder="1" applyFont="1"/>
    <xf borderId="6" fillId="4" fontId="22" numFmtId="0" xfId="0" applyAlignment="1" applyBorder="1" applyFont="1">
      <alignment horizontal="left" vertical="center"/>
    </xf>
    <xf borderId="19" fillId="9" fontId="23" numFmtId="0" xfId="0" applyAlignment="1" applyBorder="1" applyFont="1">
      <alignment horizontal="left" vertical="center"/>
    </xf>
    <xf borderId="20"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2" fillId="9" fontId="20" numFmtId="0" xfId="0" applyAlignment="1" applyBorder="1" applyFont="1">
      <alignment horizontal="left" vertical="center"/>
    </xf>
    <xf borderId="8"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1"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3"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2" fillId="0" fontId="4" numFmtId="0" xfId="0" applyBorder="1" applyFont="1"/>
    <xf borderId="12" fillId="11" fontId="29" numFmtId="0" xfId="0" applyAlignment="1" applyBorder="1" applyFill="1" applyFont="1">
      <alignment horizontal="center" vertical="center"/>
    </xf>
    <xf borderId="23" fillId="0" fontId="4" numFmtId="0" xfId="0" applyBorder="1" applyFont="1"/>
    <xf borderId="8" fillId="9" fontId="1" numFmtId="0" xfId="0" applyAlignment="1" applyBorder="1" applyFont="1">
      <alignment horizontal="center" vertical="center"/>
    </xf>
    <xf borderId="13"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2"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2" fillId="9" fontId="1" numFmtId="0" xfId="0" applyAlignment="1" applyBorder="1" applyFont="1">
      <alignment horizontal="center" shrinkToFit="0" vertical="center" wrapText="1"/>
    </xf>
    <xf borderId="13" fillId="7" fontId="31" numFmtId="0" xfId="0" applyAlignment="1" applyBorder="1" applyFont="1">
      <alignment horizontal="center" shrinkToFit="0" vertical="center" wrapText="1"/>
    </xf>
    <xf borderId="13"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4" fillId="9" fontId="23" numFmtId="0" xfId="0" applyAlignment="1" applyBorder="1" applyFont="1">
      <alignment shrinkToFit="0" vertical="top" wrapText="1"/>
    </xf>
    <xf borderId="25" fillId="0" fontId="4" numFmtId="0" xfId="0" applyBorder="1" applyFont="1"/>
    <xf borderId="24"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3" fillId="12" fontId="10" numFmtId="0" xfId="0" applyAlignment="1" applyBorder="1" applyFont="1">
      <alignment horizontal="center" vertical="center"/>
    </xf>
    <xf borderId="26"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3" fillId="12" fontId="34" numFmtId="2" xfId="0" applyBorder="1" applyFont="1" applyNumberFormat="1"/>
    <xf borderId="13" fillId="12" fontId="20" numFmtId="2" xfId="0" applyBorder="1" applyFont="1" applyNumberFormat="1"/>
    <xf borderId="13" fillId="10" fontId="34" numFmtId="2" xfId="0" applyBorder="1" applyFont="1" applyNumberFormat="1"/>
    <xf borderId="1" fillId="3" fontId="35" numFmtId="0" xfId="0" applyBorder="1" applyFont="1"/>
    <xf borderId="12" fillId="9" fontId="36" numFmtId="0" xfId="0" applyAlignment="1" applyBorder="1" applyFont="1">
      <alignment horizontal="left"/>
    </xf>
    <xf borderId="13" fillId="12" fontId="34" numFmtId="2" xfId="0" applyAlignment="1" applyBorder="1" applyFont="1" applyNumberFormat="1">
      <alignment horizontal="right"/>
    </xf>
    <xf borderId="13" fillId="12" fontId="34" numFmtId="164" xfId="0" applyBorder="1" applyFont="1" applyNumberFormat="1"/>
    <xf borderId="27" fillId="9" fontId="34" numFmtId="0" xfId="0" applyAlignment="1" applyBorder="1" applyFont="1">
      <alignment horizontal="left" shrinkToFit="0" vertical="center" wrapText="1"/>
    </xf>
    <xf borderId="28" fillId="0" fontId="4" numFmtId="0" xfId="0" applyBorder="1" applyFont="1"/>
    <xf borderId="13"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3" fillId="10" fontId="37" numFmtId="164" xfId="0" applyAlignment="1" applyBorder="1" applyFont="1" applyNumberFormat="1">
      <alignment horizontal="center" shrinkToFit="0" vertical="center" wrapText="1"/>
    </xf>
    <xf borderId="12" fillId="11" fontId="39" numFmtId="165" xfId="0" applyAlignment="1" applyBorder="1" applyFont="1" applyNumberFormat="1">
      <alignment horizontal="center" vertical="center"/>
    </xf>
    <xf borderId="0" fillId="0" fontId="34" numFmtId="0" xfId="0" applyFont="1"/>
    <xf borderId="29" fillId="9" fontId="34" numFmtId="0" xfId="0" applyAlignment="1" applyBorder="1" applyFont="1">
      <alignment horizontal="left" shrinkToFit="0" vertical="center" wrapText="1"/>
    </xf>
    <xf borderId="30" fillId="0" fontId="4" numFmtId="0" xfId="0" applyBorder="1" applyFont="1"/>
    <xf borderId="13"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3" fillId="12" fontId="27" numFmtId="2" xfId="0" applyBorder="1" applyFont="1" applyNumberFormat="1"/>
    <xf borderId="13" fillId="10" fontId="27" numFmtId="2" xfId="0" applyBorder="1" applyFont="1" applyNumberFormat="1"/>
    <xf borderId="27" fillId="9" fontId="41" numFmtId="0" xfId="0" applyAlignment="1" applyBorder="1" applyFont="1">
      <alignment horizontal="left" shrinkToFit="0" vertical="center" wrapText="1"/>
    </xf>
    <xf borderId="31" fillId="0" fontId="4" numFmtId="0" xfId="0" applyBorder="1" applyFont="1"/>
    <xf borderId="13"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2" fillId="9" fontId="42" numFmtId="0" xfId="0" applyAlignment="1" applyBorder="1" applyFont="1">
      <alignment horizontal="left" shrinkToFit="0" vertical="center" wrapText="1"/>
    </xf>
    <xf borderId="13" fillId="10" fontId="37" numFmtId="9" xfId="0" applyAlignment="1" applyBorder="1" applyFont="1" applyNumberFormat="1">
      <alignment horizontal="center" shrinkToFit="0" vertical="center" wrapText="1"/>
    </xf>
    <xf borderId="13"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2" fillId="9" fontId="43" numFmtId="0" xfId="0" applyAlignment="1" applyBorder="1" applyFont="1">
      <alignment shrinkToFit="0" vertical="center" wrapText="1"/>
    </xf>
    <xf borderId="8"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2" fillId="9" fontId="44" numFmtId="0" xfId="0" applyAlignment="1" applyBorder="1" applyFont="1">
      <alignment horizontal="left" shrinkToFit="0" vertical="center" wrapText="1"/>
    </xf>
    <xf borderId="33" fillId="0" fontId="8" numFmtId="0" xfId="0" applyAlignment="1" applyBorder="1" applyFont="1">
      <alignment horizontal="center" shrinkToFit="0" vertical="top" wrapText="1"/>
    </xf>
    <xf borderId="34" fillId="0" fontId="4" numFmtId="0" xfId="0" applyBorder="1" applyFont="1"/>
    <xf borderId="35" fillId="0" fontId="4" numFmtId="0" xfId="0" applyBorder="1" applyFont="1"/>
    <xf borderId="12" fillId="9" fontId="8" numFmtId="0" xfId="0" applyAlignment="1" applyBorder="1" applyFont="1">
      <alignment shrinkToFit="0" vertical="top" wrapText="1"/>
    </xf>
    <xf borderId="36" fillId="0" fontId="4" numFmtId="0" xfId="0" applyBorder="1" applyFont="1"/>
    <xf borderId="37" fillId="0" fontId="4" numFmtId="0" xfId="0" applyBorder="1" applyFont="1"/>
    <xf borderId="38" fillId="0" fontId="4" numFmtId="0" xfId="0" applyBorder="1" applyFont="1"/>
    <xf borderId="12" fillId="9" fontId="1" numFmtId="0" xfId="0" applyBorder="1" applyFont="1"/>
    <xf borderId="8" fillId="9" fontId="1" numFmtId="0" xfId="0" applyBorder="1" applyFont="1"/>
    <xf borderId="39" fillId="12" fontId="27" numFmtId="0" xfId="0" applyBorder="1" applyFont="1"/>
    <xf borderId="13" fillId="14" fontId="7" numFmtId="0" xfId="0" applyAlignment="1" applyBorder="1" applyFill="1" applyFont="1">
      <alignment horizontal="center"/>
    </xf>
    <xf borderId="13"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19" fillId="12" fontId="27" numFmtId="0" xfId="0" applyBorder="1" applyFont="1"/>
    <xf borderId="40" fillId="12" fontId="27" numFmtId="0" xfId="0" applyBorder="1" applyFont="1"/>
    <xf borderId="40" fillId="12" fontId="27" numFmtId="0" xfId="0" applyAlignment="1" applyBorder="1" applyFont="1">
      <alignment horizontal="center" shrinkToFit="0" wrapText="1"/>
    </xf>
    <xf borderId="41" fillId="12" fontId="27" numFmtId="0" xfId="0" applyBorder="1" applyFont="1"/>
    <xf borderId="9"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3" fillId="10" fontId="34" numFmtId="2" xfId="0" applyAlignment="1" applyBorder="1" applyFont="1" applyNumberFormat="1">
      <alignment horizontal="center"/>
    </xf>
    <xf borderId="12" fillId="12" fontId="27" numFmtId="0" xfId="0" applyBorder="1" applyFont="1"/>
    <xf borderId="13" fillId="12" fontId="27" numFmtId="0" xfId="0" applyBorder="1" applyFont="1"/>
    <xf borderId="42" fillId="12" fontId="27" numFmtId="0" xfId="0" applyAlignment="1" applyBorder="1" applyFont="1">
      <alignment shrinkToFit="0" wrapText="1"/>
    </xf>
    <xf borderId="40" fillId="12" fontId="27" numFmtId="0" xfId="0" applyAlignment="1" applyBorder="1" applyFont="1">
      <alignment shrinkToFit="0" wrapText="1"/>
    </xf>
    <xf borderId="43" fillId="12" fontId="27" numFmtId="0" xfId="0" applyAlignment="1" applyBorder="1" applyFont="1">
      <alignment shrinkToFit="0" wrapText="1"/>
    </xf>
    <xf borderId="1" fillId="12" fontId="27" numFmtId="0" xfId="0" applyBorder="1" applyFont="1"/>
    <xf borderId="13" fillId="9" fontId="7" numFmtId="0" xfId="0" applyAlignment="1" applyBorder="1" applyFont="1">
      <alignment horizontal="center"/>
    </xf>
    <xf borderId="13" fillId="12" fontId="27" numFmtId="0" xfId="0" applyAlignment="1" applyBorder="1" applyFont="1">
      <alignment horizontal="center"/>
    </xf>
    <xf borderId="44" fillId="12" fontId="27" numFmtId="0" xfId="0" applyBorder="1" applyFont="1"/>
    <xf borderId="13" fillId="0" fontId="34" numFmtId="0" xfId="0" applyAlignment="1" applyBorder="1" applyFont="1">
      <alignment horizontal="center"/>
    </xf>
    <xf borderId="13" fillId="0" fontId="28" numFmtId="0" xfId="0" applyAlignment="1" applyBorder="1" applyFont="1">
      <alignment horizontal="center"/>
    </xf>
    <xf borderId="1" fillId="3" fontId="12" numFmtId="0" xfId="0" applyAlignment="1" applyBorder="1" applyFont="1">
      <alignment vertical="center"/>
    </xf>
    <xf borderId="9"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9" fillId="10" fontId="34" numFmtId="0" xfId="0" applyAlignment="1" applyBorder="1" applyFont="1">
      <alignment horizontal="center" shrinkToFit="0" vertical="center" wrapText="1"/>
    </xf>
    <xf borderId="13" fillId="9" fontId="11" numFmtId="164" xfId="0" applyAlignment="1" applyBorder="1" applyFont="1" applyNumberFormat="1">
      <alignment horizontal="center" shrinkToFit="0" vertical="center" wrapText="1"/>
    </xf>
    <xf borderId="13"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2" fillId="3" fontId="45" numFmtId="0" xfId="0" applyAlignment="1" applyBorder="1" applyFont="1">
      <alignment vertical="center"/>
    </xf>
    <xf borderId="1" fillId="3" fontId="45" numFmtId="0" xfId="0" applyAlignment="1" applyBorder="1" applyFont="1">
      <alignment vertical="center"/>
    </xf>
    <xf borderId="13" fillId="12" fontId="46" numFmtId="0" xfId="0" applyBorder="1" applyFont="1"/>
    <xf borderId="13" fillId="14" fontId="27" numFmtId="0" xfId="0" applyBorder="1" applyFont="1"/>
    <xf borderId="1" fillId="3" fontId="34" numFmtId="0" xfId="0" applyAlignment="1" applyBorder="1" applyFont="1">
      <alignment shrinkToFit="0" vertical="center" wrapText="1"/>
    </xf>
    <xf borderId="15" fillId="9" fontId="34" numFmtId="0" xfId="0" applyAlignment="1" applyBorder="1" applyFont="1">
      <alignment horizontal="left" shrinkToFit="0" vertical="center" wrapText="1"/>
    </xf>
    <xf borderId="45" fillId="0" fontId="4" numFmtId="0" xfId="0" applyBorder="1" applyFont="1"/>
    <xf borderId="46" fillId="3" fontId="31" numFmtId="0" xfId="0" applyAlignment="1" applyBorder="1" applyFont="1">
      <alignment horizontal="center" shrinkToFit="0" vertical="center" wrapText="1"/>
    </xf>
    <xf borderId="46" fillId="3" fontId="47" numFmtId="0" xfId="0" applyAlignment="1" applyBorder="1" applyFont="1">
      <alignment horizontal="center" vertical="center"/>
    </xf>
    <xf borderId="13" fillId="11" fontId="39" numFmtId="164" xfId="0" applyAlignment="1" applyBorder="1" applyFont="1" applyNumberFormat="1">
      <alignment horizontal="center" vertical="center"/>
    </xf>
    <xf borderId="47" fillId="11" fontId="39" numFmtId="164" xfId="0" applyAlignment="1" applyBorder="1" applyFont="1" applyNumberFormat="1">
      <alignment horizontal="center" vertical="center"/>
    </xf>
    <xf borderId="13" fillId="12" fontId="34" numFmtId="2" xfId="0" applyAlignment="1" applyBorder="1" applyFont="1" applyNumberFormat="1">
      <alignment horizontal="center"/>
    </xf>
    <xf borderId="13" fillId="12" fontId="17" numFmtId="1" xfId="0" applyAlignment="1" applyBorder="1" applyFont="1" applyNumberFormat="1">
      <alignment horizontal="center"/>
    </xf>
    <xf borderId="13" fillId="14" fontId="48" numFmtId="0" xfId="0" applyAlignment="1" applyBorder="1" applyFont="1">
      <alignment horizontal="center"/>
    </xf>
    <xf borderId="1" fillId="12" fontId="49" numFmtId="0" xfId="0" applyBorder="1" applyFont="1"/>
    <xf borderId="48" fillId="0" fontId="4" numFmtId="0" xfId="0" applyBorder="1" applyFont="1"/>
    <xf borderId="13" fillId="7" fontId="50" numFmtId="0" xfId="0" applyAlignment="1" applyBorder="1" applyFont="1">
      <alignment horizontal="center" shrinkToFit="0" vertical="center" wrapText="1"/>
    </xf>
    <xf borderId="49" fillId="0" fontId="4" numFmtId="0" xfId="0" applyBorder="1" applyFont="1"/>
    <xf borderId="12" fillId="9" fontId="28" numFmtId="0" xfId="0" applyAlignment="1" applyBorder="1" applyFont="1">
      <alignment horizontal="center" vertical="top"/>
    </xf>
    <xf borderId="8" fillId="9" fontId="28" numFmtId="0" xfId="0" applyAlignment="1" applyBorder="1" applyFont="1">
      <alignment horizontal="center" vertical="top"/>
    </xf>
    <xf borderId="13" fillId="12" fontId="34" numFmtId="0" xfId="0" applyBorder="1" applyFont="1"/>
    <xf borderId="12" fillId="12" fontId="27" numFmtId="0" xfId="0" applyAlignment="1" applyBorder="1" applyFont="1">
      <alignment horizontal="center"/>
    </xf>
    <xf borderId="1" fillId="12" fontId="48" numFmtId="0" xfId="0" applyAlignment="1" applyBorder="1" applyFont="1">
      <alignment horizontal="center"/>
    </xf>
    <xf borderId="46"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2" fillId="9" fontId="10" numFmtId="0" xfId="0" applyAlignment="1" applyBorder="1" applyFont="1">
      <alignment horizontal="center"/>
    </xf>
    <xf borderId="46" fillId="4" fontId="21" numFmtId="0" xfId="0" applyAlignment="1" applyBorder="1" applyFont="1">
      <alignment horizontal="center" shrinkToFit="0" vertical="center" wrapText="1"/>
    </xf>
    <xf borderId="27" fillId="9" fontId="34" numFmtId="0" xfId="0" applyAlignment="1" applyBorder="1" applyFont="1">
      <alignment horizontal="center" shrinkToFit="0" vertical="center" wrapText="1"/>
    </xf>
    <xf borderId="13" fillId="10" fontId="34" numFmtId="0" xfId="0" applyBorder="1" applyFont="1"/>
    <xf borderId="13" fillId="10" fontId="34" numFmtId="0" xfId="0" applyAlignment="1" applyBorder="1" applyFont="1">
      <alignment horizontal="center"/>
    </xf>
    <xf borderId="13" fillId="10" fontId="28" numFmtId="0" xfId="0" applyAlignment="1" applyBorder="1" applyFont="1">
      <alignment horizontal="center"/>
    </xf>
    <xf borderId="6" fillId="9" fontId="34" numFmtId="0" xfId="0" applyAlignment="1" applyBorder="1" applyFont="1">
      <alignment horizontal="center" shrinkToFit="0" vertical="center" wrapText="1"/>
    </xf>
    <xf borderId="50" fillId="10" fontId="20" numFmtId="0" xfId="0" applyAlignment="1" applyBorder="1" applyFont="1">
      <alignment horizontal="center" vertical="center"/>
    </xf>
    <xf borderId="14" fillId="10" fontId="20" numFmtId="0" xfId="0" applyAlignment="1" applyBorder="1" applyFont="1">
      <alignment horizontal="center" shrinkToFit="0" vertical="center" wrapText="1"/>
    </xf>
    <xf borderId="51" fillId="10" fontId="20" numFmtId="0" xfId="0" applyAlignment="1" applyBorder="1" applyFont="1">
      <alignment horizontal="center" shrinkToFit="0" vertical="center" wrapText="1"/>
    </xf>
    <xf borderId="52" fillId="0" fontId="4" numFmtId="0" xfId="0" applyBorder="1" applyFont="1"/>
    <xf borderId="53" fillId="0" fontId="4" numFmtId="0" xfId="0" applyBorder="1" applyFont="1"/>
    <xf borderId="54" fillId="0" fontId="4" numFmtId="0" xfId="0" applyBorder="1" applyFont="1"/>
    <xf borderId="0" fillId="0" fontId="52" numFmtId="0" xfId="0" applyFont="1"/>
    <xf borderId="1" fillId="12" fontId="51" numFmtId="164" xfId="0" applyAlignment="1" applyBorder="1" applyFont="1" applyNumberFormat="1">
      <alignment horizontal="left"/>
    </xf>
    <xf borderId="55" fillId="7" fontId="20" numFmtId="0" xfId="0" applyAlignment="1" applyBorder="1" applyFont="1">
      <alignment horizontal="center" vertical="center"/>
    </xf>
    <xf borderId="56" fillId="7" fontId="20" numFmtId="0" xfId="0" applyAlignment="1" applyBorder="1" applyFont="1">
      <alignment horizontal="center" shrinkToFit="0" vertical="center" wrapText="1"/>
    </xf>
    <xf borderId="57" fillId="7" fontId="20" numFmtId="0" xfId="0" applyAlignment="1" applyBorder="1" applyFont="1">
      <alignment horizontal="center" shrinkToFit="0" vertical="center" wrapText="1"/>
    </xf>
    <xf borderId="9"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8" fillId="3" fontId="20" numFmtId="0" xfId="0" applyAlignment="1" applyBorder="1" applyFont="1">
      <alignment horizontal="center" shrinkToFit="0" vertical="center" wrapText="1"/>
    </xf>
    <xf borderId="9" fillId="4" fontId="21" numFmtId="0" xfId="0" applyAlignment="1" applyBorder="1" applyFont="1">
      <alignment horizontal="center" shrinkToFit="0" vertical="center" wrapText="1"/>
    </xf>
    <xf borderId="13" fillId="10" fontId="7" numFmtId="0" xfId="0" applyAlignment="1" applyBorder="1" applyFont="1">
      <alignment horizontal="center" shrinkToFit="0" vertical="center" wrapText="1"/>
    </xf>
    <xf borderId="9" fillId="10" fontId="7" numFmtId="0" xfId="0" applyAlignment="1" applyBorder="1" applyFont="1">
      <alignment horizontal="center" shrinkToFit="0" vertical="center" wrapText="1"/>
    </xf>
    <xf borderId="12" fillId="3" fontId="7" numFmtId="0" xfId="0" applyAlignment="1" applyBorder="1" applyFont="1">
      <alignment horizontal="center" shrinkToFit="0" vertical="center" wrapText="1"/>
    </xf>
    <xf borderId="8" fillId="3" fontId="34" numFmtId="0" xfId="0" applyAlignment="1" applyBorder="1" applyFont="1">
      <alignment horizontal="center" shrinkToFit="0" vertical="center" wrapText="1"/>
    </xf>
    <xf borderId="58" fillId="9" fontId="28" numFmtId="0" xfId="0" applyAlignment="1" applyBorder="1" applyFont="1">
      <alignment horizontal="center"/>
    </xf>
    <xf borderId="37" fillId="0" fontId="52" numFmtId="0" xfId="0" applyBorder="1" applyFont="1"/>
    <xf borderId="13" fillId="7" fontId="21" numFmtId="0" xfId="0" applyAlignment="1" applyBorder="1" applyFont="1">
      <alignment vertical="center"/>
    </xf>
    <xf borderId="42" fillId="10" fontId="27" numFmtId="0" xfId="0" applyAlignment="1" applyBorder="1" applyFont="1">
      <alignment horizontal="left" shrinkToFit="0" vertical="center" wrapText="1"/>
    </xf>
    <xf borderId="13" fillId="7" fontId="53" numFmtId="0" xfId="0" applyAlignment="1" applyBorder="1" applyFont="1">
      <alignment horizontal="center" shrinkToFit="0" vertical="center" wrapText="1"/>
    </xf>
    <xf borderId="9"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3" fillId="10" fontId="27" numFmtId="164" xfId="0" applyAlignment="1" applyBorder="1" applyFont="1" applyNumberFormat="1">
      <alignment horizontal="center" vertical="center"/>
    </xf>
    <xf borderId="1" fillId="12" fontId="49" numFmtId="0" xfId="0" applyAlignment="1" applyBorder="1" applyFont="1">
      <alignment horizontal="center"/>
    </xf>
    <xf borderId="43" fillId="10" fontId="34" numFmtId="0" xfId="0" applyBorder="1" applyFont="1"/>
    <xf borderId="13" fillId="14" fontId="34" numFmtId="0" xfId="0" applyAlignment="1" applyBorder="1" applyFont="1">
      <alignment horizontal="center"/>
    </xf>
    <xf borderId="13" fillId="14" fontId="28" numFmtId="0" xfId="0" applyAlignment="1" applyBorder="1" applyFont="1">
      <alignment horizontal="center"/>
    </xf>
    <xf borderId="58" fillId="12" fontId="27" numFmtId="0" xfId="0" applyBorder="1" applyFont="1"/>
    <xf borderId="59" fillId="12" fontId="27" numFmtId="0" xfId="0" applyBorder="1" applyFont="1"/>
    <xf borderId="60" fillId="12" fontId="27" numFmtId="0" xfId="0" applyBorder="1" applyFont="1"/>
    <xf borderId="61" fillId="14" fontId="34" numFmtId="0" xfId="0" applyAlignment="1" applyBorder="1" applyFont="1">
      <alignment horizontal="center"/>
    </xf>
    <xf borderId="61" fillId="14" fontId="28" numFmtId="0" xfId="0" applyAlignment="1" applyBorder="1" applyFont="1">
      <alignment horizontal="center"/>
    </xf>
    <xf borderId="26" fillId="7" fontId="21" numFmtId="0" xfId="0" applyAlignment="1" applyBorder="1" applyFont="1">
      <alignment vertical="center"/>
    </xf>
    <xf borderId="19" fillId="10" fontId="27" numFmtId="0" xfId="0" applyAlignment="1" applyBorder="1" applyFont="1">
      <alignment horizontal="left" shrinkToFit="0" vertical="center" wrapText="1"/>
    </xf>
    <xf borderId="62" fillId="7" fontId="53" numFmtId="0" xfId="0" applyAlignment="1" applyBorder="1" applyFont="1">
      <alignment horizontal="center" shrinkToFit="0" vertical="center" wrapText="1"/>
    </xf>
    <xf borderId="26" fillId="7" fontId="53" numFmtId="0" xfId="0" applyAlignment="1" applyBorder="1" applyFont="1">
      <alignment horizontal="center" shrinkToFit="0" vertical="center" wrapText="1"/>
    </xf>
    <xf borderId="0" fillId="0" fontId="32" numFmtId="0" xfId="0" applyFont="1"/>
    <xf borderId="63" fillId="10" fontId="6" numFmtId="0" xfId="0" applyAlignment="1" applyBorder="1" applyFont="1">
      <alignment horizontal="center" vertical="center"/>
    </xf>
    <xf borderId="64" fillId="18" fontId="35" numFmtId="0" xfId="0" applyAlignment="1" applyBorder="1" applyFill="1" applyFont="1">
      <alignment horizontal="left" shrinkToFit="0" vertical="center" wrapText="1"/>
    </xf>
    <xf borderId="14" fillId="10" fontId="7" numFmtId="0" xfId="0" applyAlignment="1" applyBorder="1" applyFont="1">
      <alignment horizontal="left" shrinkToFit="0" vertical="center" wrapText="1"/>
    </xf>
    <xf borderId="14" fillId="9" fontId="54" numFmtId="0" xfId="0" applyAlignment="1" applyBorder="1" applyFont="1">
      <alignment horizontal="center" shrinkToFit="0" vertical="center" wrapText="1"/>
    </xf>
    <xf borderId="14" fillId="7" fontId="53" numFmtId="0" xfId="0" applyAlignment="1" applyBorder="1" applyFont="1">
      <alignment horizontal="center" shrinkToFit="0" vertical="center" wrapText="1"/>
    </xf>
    <xf borderId="14" fillId="19" fontId="55" numFmtId="164" xfId="0" applyAlignment="1" applyBorder="1" applyFill="1" applyFont="1" applyNumberFormat="1">
      <alignment horizontal="center" shrinkToFit="0" vertical="center" wrapText="1"/>
    </xf>
    <xf borderId="14" fillId="11" fontId="56" numFmtId="0" xfId="0" applyAlignment="1" applyBorder="1" applyFont="1">
      <alignment horizontal="center" shrinkToFit="0" vertical="center" wrapText="1"/>
    </xf>
    <xf borderId="65" fillId="7" fontId="53" numFmtId="0" xfId="0" applyAlignment="1" applyBorder="1" applyFont="1">
      <alignment horizontal="center" shrinkToFit="0" vertical="center" wrapText="1"/>
    </xf>
    <xf borderId="13" fillId="0" fontId="34" numFmtId="0" xfId="0" applyBorder="1" applyFont="1"/>
    <xf borderId="13" fillId="20" fontId="57" numFmtId="2" xfId="0" applyAlignment="1" applyBorder="1" applyFill="1" applyFont="1" applyNumberFormat="1">
      <alignment vertical="center"/>
    </xf>
    <xf borderId="66" fillId="0" fontId="4" numFmtId="0" xfId="0" applyBorder="1" applyFont="1"/>
    <xf borderId="67" fillId="18" fontId="35" numFmtId="0" xfId="0" applyAlignment="1" applyBorder="1" applyFont="1">
      <alignment horizontal="left" shrinkToFit="0" vertical="center" wrapText="1"/>
    </xf>
    <xf borderId="68" fillId="10" fontId="7" numFmtId="0" xfId="0" applyBorder="1" applyFont="1"/>
    <xf borderId="68" fillId="10" fontId="1" numFmtId="0" xfId="0" applyBorder="1" applyFont="1"/>
    <xf borderId="69" fillId="10" fontId="7" numFmtId="0" xfId="0" applyAlignment="1" applyBorder="1" applyFont="1">
      <alignment horizontal="left" shrinkToFit="0" vertical="center" wrapText="1"/>
    </xf>
    <xf borderId="69" fillId="19" fontId="55" numFmtId="0" xfId="0" applyAlignment="1" applyBorder="1" applyFont="1">
      <alignment horizontal="center" shrinkToFit="0" vertical="center" wrapText="1"/>
    </xf>
    <xf borderId="69" fillId="7" fontId="53" numFmtId="0" xfId="0" applyAlignment="1" applyBorder="1" applyFont="1">
      <alignment horizontal="center" shrinkToFit="0" vertical="center" wrapText="1"/>
    </xf>
    <xf borderId="70" fillId="10" fontId="7" numFmtId="0" xfId="0" applyAlignment="1" applyBorder="1" applyFont="1">
      <alignment shrinkToFit="0" vertical="center" wrapText="1"/>
    </xf>
    <xf borderId="71" fillId="11" fontId="56" numFmtId="0" xfId="0" applyAlignment="1" applyBorder="1" applyFont="1">
      <alignment horizontal="center" shrinkToFit="0" vertical="center" wrapText="1"/>
    </xf>
    <xf borderId="72" fillId="7" fontId="53" numFmtId="0" xfId="0" applyAlignment="1" applyBorder="1" applyFont="1">
      <alignment horizontal="center" shrinkToFit="0" vertical="center" wrapText="1"/>
    </xf>
    <xf borderId="51" fillId="7" fontId="7" numFmtId="0" xfId="0" applyAlignment="1" applyBorder="1" applyFont="1">
      <alignment horizontal="left" vertical="top"/>
    </xf>
    <xf borderId="8" fillId="9" fontId="36" numFmtId="0" xfId="0" applyBorder="1" applyFont="1"/>
    <xf borderId="13" fillId="21" fontId="34" numFmtId="0" xfId="0" applyBorder="1" applyFill="1" applyFont="1"/>
    <xf borderId="57" fillId="10" fontId="7" numFmtId="0" xfId="0" applyAlignment="1" applyBorder="1" applyFont="1">
      <alignment horizontal="center" shrinkToFit="0" vertical="center" wrapText="1"/>
    </xf>
    <xf borderId="56" fillId="10" fontId="7" numFmtId="0" xfId="0" applyAlignment="1" applyBorder="1" applyFont="1">
      <alignment horizontal="center" shrinkToFit="0" vertical="center" wrapText="1"/>
    </xf>
    <xf borderId="13" fillId="10" fontId="7" numFmtId="164" xfId="0" applyAlignment="1" applyBorder="1" applyFont="1" applyNumberFormat="1">
      <alignment horizontal="center" vertical="center"/>
    </xf>
    <xf borderId="73" fillId="10" fontId="6" numFmtId="0" xfId="0" applyAlignment="1" applyBorder="1" applyFont="1">
      <alignment horizontal="center" vertical="center"/>
    </xf>
    <xf borderId="74" fillId="0" fontId="4" numFmtId="0" xfId="0" applyBorder="1" applyFont="1"/>
    <xf borderId="75" fillId="7" fontId="7" numFmtId="0" xfId="0" applyAlignment="1" applyBorder="1" applyFont="1">
      <alignment horizontal="left" vertical="top"/>
    </xf>
    <xf borderId="76" fillId="0" fontId="4" numFmtId="0" xfId="0" applyBorder="1" applyFont="1"/>
    <xf borderId="77"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2"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8" fillId="3" fontId="53" numFmtId="0" xfId="0" applyAlignment="1" applyBorder="1" applyFont="1">
      <alignment horizontal="center" shrinkToFit="0" vertical="center" wrapText="1"/>
    </xf>
    <xf borderId="58" fillId="9" fontId="58" numFmtId="0" xfId="0" applyAlignment="1" applyBorder="1" applyFont="1">
      <alignment horizontal="center"/>
    </xf>
    <xf borderId="2" fillId="4" fontId="21" numFmtId="0" xfId="0" applyAlignment="1" applyBorder="1" applyFont="1">
      <alignment shrinkToFit="0" vertical="center" wrapText="1"/>
    </xf>
    <xf borderId="13" fillId="18" fontId="35" numFmtId="0" xfId="0" applyAlignment="1" applyBorder="1" applyFont="1">
      <alignment horizontal="left" shrinkToFit="0" vertical="center" wrapText="1"/>
    </xf>
    <xf borderId="9" fillId="7" fontId="59" numFmtId="0" xfId="0" applyAlignment="1" applyBorder="1" applyFont="1">
      <alignment horizontal="center" shrinkToFit="0" vertical="center" wrapText="1"/>
    </xf>
    <xf borderId="59" fillId="3" fontId="56" numFmtId="0" xfId="0" applyAlignment="1" applyBorder="1" applyFont="1">
      <alignment horizontal="center" shrinkToFit="0" vertical="center" wrapText="1"/>
    </xf>
    <xf borderId="18" fillId="3" fontId="53" numFmtId="0" xfId="0" applyAlignment="1" applyBorder="1" applyFont="1">
      <alignment horizontal="center" shrinkToFit="0" vertical="center" wrapText="1"/>
    </xf>
    <xf borderId="78" fillId="18" fontId="35" numFmtId="0" xfId="0" applyAlignment="1" applyBorder="1" applyFont="1">
      <alignment horizontal="left" shrinkToFit="0" vertical="center" wrapText="1"/>
    </xf>
    <xf borderId="26" fillId="9" fontId="7" numFmtId="0" xfId="0" applyAlignment="1" applyBorder="1" applyFont="1">
      <alignment horizontal="left" shrinkToFit="0" vertical="center" wrapText="1"/>
    </xf>
    <xf borderId="79" fillId="0" fontId="4" numFmtId="0" xfId="0" applyBorder="1" applyFont="1"/>
    <xf borderId="13" fillId="9" fontId="7" numFmtId="0" xfId="0" applyAlignment="1" applyBorder="1" applyFont="1">
      <alignment horizontal="left" shrinkToFit="0" vertical="center" wrapText="1"/>
    </xf>
    <xf borderId="0" fillId="0" fontId="1" numFmtId="0" xfId="0" applyAlignment="1" applyFont="1">
      <alignment horizontal="center"/>
    </xf>
    <xf borderId="9" fillId="7" fontId="7" numFmtId="0" xfId="0" applyAlignment="1" applyBorder="1" applyFont="1">
      <alignment shrinkToFit="0" vertical="top" wrapText="1"/>
    </xf>
    <xf borderId="8" fillId="3" fontId="1" numFmtId="0" xfId="0" applyAlignment="1" applyBorder="1" applyFont="1">
      <alignment horizontal="center" shrinkToFit="0" vertical="center" wrapText="1"/>
    </xf>
    <xf borderId="80" fillId="9" fontId="36" numFmtId="0" xfId="0" applyAlignment="1" applyBorder="1" applyFont="1">
      <alignment horizontal="left"/>
    </xf>
    <xf borderId="56" fillId="10" fontId="20" numFmtId="0" xfId="0" applyAlignment="1" applyBorder="1" applyFont="1">
      <alignment horizontal="center" shrinkToFit="0" vertical="center" wrapText="1"/>
    </xf>
    <xf borderId="57" fillId="10" fontId="20" numFmtId="0" xfId="0" applyAlignment="1" applyBorder="1" applyFont="1">
      <alignment horizontal="center" shrinkToFit="0" vertical="center" wrapText="1"/>
    </xf>
    <xf borderId="8" fillId="9" fontId="60" numFmtId="0" xfId="0" applyBorder="1" applyFont="1"/>
    <xf borderId="78" fillId="4" fontId="21" numFmtId="0" xfId="0" applyAlignment="1" applyBorder="1" applyFont="1">
      <alignment shrinkToFit="0" vertical="center" wrapText="1"/>
    </xf>
    <xf borderId="9" fillId="7" fontId="50" numFmtId="0" xfId="0" applyAlignment="1" applyBorder="1" applyFont="1">
      <alignment horizontal="center" shrinkToFit="0" vertical="center" wrapText="1"/>
    </xf>
    <xf borderId="13" fillId="10" fontId="8" numFmtId="0" xfId="0" applyBorder="1" applyFont="1"/>
    <xf borderId="81" fillId="3" fontId="1" numFmtId="0" xfId="0" applyBorder="1" applyFont="1"/>
    <xf borderId="82" fillId="7" fontId="7" numFmtId="0" xfId="0" applyAlignment="1" applyBorder="1" applyFont="1">
      <alignment shrinkToFit="0" vertical="top" wrapText="1"/>
    </xf>
    <xf borderId="83" fillId="0" fontId="4" numFmtId="0" xfId="0" applyBorder="1" applyFont="1"/>
    <xf borderId="84" fillId="0" fontId="4" numFmtId="0" xfId="0" applyBorder="1" applyFont="1"/>
    <xf borderId="68" fillId="3" fontId="1" numFmtId="0" xfId="0" applyAlignment="1" applyBorder="1" applyFont="1">
      <alignment horizontal="center" shrinkToFit="0" vertical="center" wrapText="1"/>
    </xf>
    <xf borderId="85" fillId="3" fontId="1" numFmtId="0" xfId="0" applyAlignment="1" applyBorder="1" applyFont="1">
      <alignment horizontal="center" shrinkToFit="0" vertical="center" wrapText="1"/>
    </xf>
    <xf borderId="86" fillId="0" fontId="1" numFmtId="0" xfId="0" applyBorder="1" applyFont="1"/>
    <xf borderId="1" fillId="3" fontId="21" numFmtId="0" xfId="0" applyAlignment="1" applyBorder="1" applyFont="1">
      <alignment horizontal="center" shrinkToFit="0" vertical="center" wrapText="1"/>
    </xf>
    <xf borderId="87" fillId="4" fontId="21" numFmtId="0" xfId="0" applyAlignment="1" applyBorder="1" applyFont="1">
      <alignment horizontal="center" shrinkToFit="0" vertical="center" wrapText="1"/>
    </xf>
    <xf borderId="88" fillId="18" fontId="35" numFmtId="0" xfId="0" applyAlignment="1" applyBorder="1" applyFont="1">
      <alignment horizontal="left" shrinkToFit="0" vertical="center" wrapText="1"/>
    </xf>
    <xf borderId="51" fillId="10" fontId="27" numFmtId="0" xfId="0" applyAlignment="1" applyBorder="1" applyFont="1">
      <alignment horizontal="right" shrinkToFit="0" vertical="center" wrapText="1"/>
    </xf>
    <xf borderId="65" fillId="7" fontId="11" numFmtId="0" xfId="0" applyAlignment="1" applyBorder="1" applyFont="1">
      <alignment horizontal="center" shrinkToFit="0" vertical="center" wrapText="1"/>
    </xf>
    <xf borderId="13" fillId="10" fontId="7" numFmtId="0" xfId="0" applyAlignment="1" applyBorder="1" applyFont="1">
      <alignment horizontal="center" vertical="center"/>
    </xf>
    <xf borderId="0" fillId="0" fontId="1" numFmtId="167" xfId="0" applyAlignment="1" applyFont="1" applyNumberFormat="1">
      <alignment horizontal="center"/>
    </xf>
    <xf borderId="89" fillId="0" fontId="4" numFmtId="0" xfId="0" applyBorder="1" applyFont="1"/>
    <xf borderId="19" fillId="18" fontId="2" numFmtId="0" xfId="0" applyAlignment="1" applyBorder="1" applyFont="1">
      <alignment horizontal="left" shrinkToFit="0" vertical="center" wrapText="1"/>
    </xf>
    <xf borderId="9" fillId="10" fontId="27" numFmtId="0" xfId="0" applyAlignment="1" applyBorder="1" applyFont="1">
      <alignment horizontal="right" shrinkToFit="0" vertical="center" wrapText="1"/>
    </xf>
    <xf borderId="61" fillId="7" fontId="11" numFmtId="0" xfId="0" applyAlignment="1" applyBorder="1" applyFont="1">
      <alignment horizontal="center" shrinkToFit="0" vertical="center" wrapText="1"/>
    </xf>
    <xf borderId="80" fillId="7" fontId="11" numFmtId="0" xfId="0" applyAlignment="1" applyBorder="1" applyFont="1">
      <alignment horizontal="center" shrinkToFit="0" vertical="center" wrapText="1"/>
    </xf>
    <xf borderId="90" fillId="4" fontId="21" numFmtId="0" xfId="0" applyAlignment="1" applyBorder="1" applyFont="1">
      <alignment vertical="center"/>
    </xf>
    <xf borderId="47" fillId="7" fontId="11" numFmtId="0" xfId="0" applyAlignment="1" applyBorder="1" applyFont="1">
      <alignment horizontal="center" shrinkToFit="0" vertical="center" wrapText="1"/>
    </xf>
    <xf borderId="91" fillId="4" fontId="21" numFmtId="0" xfId="0" applyAlignment="1" applyBorder="1" applyFont="1">
      <alignment vertical="center"/>
    </xf>
    <xf borderId="9" fillId="7" fontId="7" numFmtId="0" xfId="0" applyAlignment="1" applyBorder="1" applyFont="1">
      <alignment horizontal="center" shrinkToFit="0" vertical="center" wrapText="1"/>
    </xf>
    <xf borderId="32" fillId="10" fontId="27" numFmtId="0" xfId="0" applyAlignment="1" applyBorder="1" applyFont="1">
      <alignment horizontal="center" shrinkToFit="0" vertical="center" wrapText="1"/>
    </xf>
    <xf borderId="92" fillId="7" fontId="11" numFmtId="0" xfId="0" applyAlignment="1" applyBorder="1" applyFont="1">
      <alignment horizontal="center" shrinkToFit="0" vertical="center" wrapText="1"/>
    </xf>
    <xf borderId="93" fillId="7" fontId="11" numFmtId="0" xfId="0" applyAlignment="1" applyBorder="1" applyFont="1">
      <alignment horizontal="center" shrinkToFit="0" vertical="center" wrapText="1"/>
    </xf>
    <xf borderId="94" fillId="4" fontId="21" numFmtId="0" xfId="0" applyAlignment="1" applyBorder="1" applyFont="1">
      <alignment shrinkToFit="0" vertical="center" wrapText="1"/>
    </xf>
    <xf borderId="92" fillId="18" fontId="2" numFmtId="0" xfId="0" applyAlignment="1" applyBorder="1" applyFont="1">
      <alignment horizontal="left" shrinkToFit="0" vertical="center" wrapText="1"/>
    </xf>
    <xf borderId="95" fillId="10" fontId="27" numFmtId="0" xfId="0" applyAlignment="1" applyBorder="1" applyFont="1">
      <alignment horizontal="center" shrinkToFit="0" vertical="center" wrapText="1"/>
    </xf>
    <xf borderId="96" fillId="0" fontId="4" numFmtId="0" xfId="0" applyBorder="1" applyFont="1"/>
    <xf borderId="97" fillId="7" fontId="11" numFmtId="0" xfId="0" applyAlignment="1" applyBorder="1" applyFont="1">
      <alignment horizontal="center" shrinkToFit="0" vertical="center" wrapText="1"/>
    </xf>
    <xf borderId="98" fillId="10" fontId="27" numFmtId="0" xfId="0" applyAlignment="1" applyBorder="1" applyFont="1">
      <alignment shrinkToFit="0" vertical="center" wrapText="1"/>
    </xf>
    <xf borderId="95" fillId="7" fontId="11" numFmtId="0" xfId="0" applyAlignment="1" applyBorder="1" applyFont="1">
      <alignment horizontal="center" shrinkToFit="0" vertical="center" wrapText="1"/>
    </xf>
    <xf borderId="99" fillId="10" fontId="27" numFmtId="0" xfId="0" applyAlignment="1" applyBorder="1" applyFont="1">
      <alignment horizontal="left" shrinkToFit="0" vertical="center" wrapText="1"/>
    </xf>
    <xf borderId="80" fillId="9" fontId="61" numFmtId="0" xfId="0" applyAlignment="1" applyBorder="1" applyFont="1">
      <alignment horizontal="left"/>
    </xf>
    <xf borderId="15" fillId="7" fontId="7" numFmtId="0" xfId="0" applyAlignment="1" applyBorder="1" applyFont="1">
      <alignment horizontal="left" vertical="top"/>
    </xf>
    <xf borderId="12" fillId="9" fontId="20" numFmtId="0" xfId="0" applyAlignment="1" applyBorder="1" applyFont="1">
      <alignment horizontal="left"/>
    </xf>
    <xf borderId="13" fillId="10" fontId="7" numFmtId="0" xfId="0" applyAlignment="1" applyBorder="1" applyFont="1">
      <alignment horizontal="center"/>
    </xf>
    <xf borderId="0" fillId="0" fontId="1" numFmtId="9" xfId="0" applyAlignment="1" applyFont="1" applyNumberFormat="1">
      <alignment horizontal="center"/>
    </xf>
    <xf borderId="100" fillId="4" fontId="5" numFmtId="0" xfId="0" applyAlignment="1" applyBorder="1" applyFont="1">
      <alignment horizontal="left" vertical="center"/>
    </xf>
    <xf borderId="0" fillId="0" fontId="34" numFmtId="0" xfId="0" applyAlignment="1" applyFont="1">
      <alignment horizontal="left" vertical="center"/>
    </xf>
    <xf borderId="13"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4" fillId="3" fontId="64" numFmtId="0" xfId="0" applyAlignment="1" applyBorder="1" applyFont="1">
      <alignment horizontal="right" shrinkToFit="0" vertical="center" wrapText="1"/>
    </xf>
    <xf borderId="13" fillId="20" fontId="65" numFmtId="2" xfId="0" applyAlignment="1" applyBorder="1" applyFont="1" applyNumberFormat="1">
      <alignment horizontal="center" vertical="center"/>
    </xf>
    <xf borderId="62" fillId="7" fontId="6" numFmtId="0" xfId="0" applyAlignment="1" applyBorder="1" applyFont="1">
      <alignment horizontal="center" shrinkToFit="0" vertical="center" wrapText="1"/>
    </xf>
    <xf borderId="101" fillId="0" fontId="4" numFmtId="0" xfId="0" applyBorder="1" applyFont="1"/>
    <xf borderId="44" fillId="3" fontId="1" numFmtId="0" xfId="0" applyBorder="1" applyFont="1"/>
    <xf borderId="0" fillId="0" fontId="20" numFmtId="167" xfId="0" applyAlignment="1" applyFont="1" applyNumberFormat="1">
      <alignment horizontal="left" vertical="center"/>
    </xf>
    <xf borderId="40" fillId="3" fontId="64" numFmtId="0" xfId="0" applyAlignment="1" applyBorder="1" applyFont="1">
      <alignment shrinkToFit="0" wrapText="1"/>
    </xf>
    <xf borderId="12" fillId="3" fontId="64" numFmtId="0" xfId="0" applyAlignment="1" applyBorder="1" applyFont="1">
      <alignment shrinkToFit="0" vertical="center" wrapText="1"/>
    </xf>
    <xf borderId="44" fillId="3" fontId="35" numFmtId="0" xfId="0" applyAlignment="1" applyBorder="1" applyFont="1">
      <alignment horizontal="right" shrinkToFit="0" vertical="center" wrapText="1"/>
    </xf>
    <xf borderId="9"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58" fillId="3" fontId="1" numFmtId="0" xfId="0" applyBorder="1" applyFont="1"/>
    <xf borderId="27" fillId="3" fontId="66" numFmtId="164" xfId="0" applyAlignment="1" applyBorder="1" applyFont="1" applyNumberFormat="1">
      <alignment horizontal="center" vertical="center"/>
    </xf>
    <xf borderId="59" fillId="3" fontId="1" numFmtId="0" xfId="0" applyBorder="1" applyFont="1"/>
    <xf borderId="60" fillId="3" fontId="1" numFmtId="0" xfId="0" applyBorder="1" applyFont="1"/>
    <xf borderId="68" fillId="3" fontId="1" numFmtId="0" xfId="0" applyBorder="1" applyFont="1"/>
    <xf borderId="68" fillId="3" fontId="67" numFmtId="0" xfId="0" applyBorder="1" applyFont="1"/>
    <xf borderId="85"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1" fillId="10" fontId="7" numFmtId="164" xfId="0" applyAlignment="1" applyBorder="1" applyFont="1" applyNumberFormat="1">
      <alignment horizontal="center" shrinkToFit="0" vertical="center" wrapText="1"/>
    </xf>
    <xf borderId="21" fillId="10" fontId="7" numFmtId="164" xfId="0" applyAlignment="1" applyBorder="1" applyFont="1" applyNumberFormat="1">
      <alignment horizontal="center" shrinkToFit="0" textRotation="90" vertical="center" wrapText="1"/>
    </xf>
    <xf borderId="21" fillId="3" fontId="21" numFmtId="0" xfId="0" applyAlignment="1" applyBorder="1" applyFont="1">
      <alignment horizontal="center" shrinkToFit="0" textRotation="90" vertical="center" wrapText="1"/>
    </xf>
    <xf borderId="21" fillId="10" fontId="7" numFmtId="0" xfId="0" applyAlignment="1" applyBorder="1" applyFont="1">
      <alignment horizontal="center" shrinkToFit="0" textRotation="90" vertical="center" wrapText="1"/>
    </xf>
    <xf borderId="102"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03" fillId="0" fontId="4" numFmtId="0" xfId="0" applyBorder="1" applyFont="1"/>
    <xf borderId="104" fillId="0" fontId="4" numFmtId="0" xfId="0" applyBorder="1" applyFont="1"/>
    <xf borderId="0" fillId="0" fontId="1" numFmtId="168" xfId="0" applyFont="1" applyNumberFormat="1"/>
    <xf borderId="1" fillId="7" fontId="1" numFmtId="0" xfId="0" applyAlignment="1" applyBorder="1" applyFont="1">
      <alignment horizontal="center" vertical="center"/>
    </xf>
    <xf borderId="32" fillId="7" fontId="19" numFmtId="0" xfId="0" applyAlignment="1" applyBorder="1" applyFont="1">
      <alignment horizontal="center"/>
    </xf>
    <xf borderId="1" fillId="7" fontId="10" numFmtId="0" xfId="0" applyAlignment="1" applyBorder="1" applyFont="1">
      <alignment horizontal="left"/>
    </xf>
    <xf borderId="8" fillId="7" fontId="10" numFmtId="0" xfId="0" applyAlignment="1" applyBorder="1" applyFont="1">
      <alignment horizontal="left"/>
    </xf>
    <xf borderId="0" fillId="0" fontId="68" numFmtId="2" xfId="0" applyFont="1" applyNumberFormat="1"/>
    <xf borderId="13" fillId="9" fontId="33" numFmtId="0" xfId="0" applyAlignment="1" applyBorder="1" applyFont="1">
      <alignment horizontal="left" shrinkToFit="0" vertical="center" wrapText="1"/>
    </xf>
    <xf borderId="13" fillId="10" fontId="33" numFmtId="165" xfId="0" applyAlignment="1" applyBorder="1" applyFont="1" applyNumberFormat="1">
      <alignment horizontal="center" shrinkToFit="0" vertical="center" wrapText="1"/>
    </xf>
    <xf borderId="13" fillId="10" fontId="27" numFmtId="0" xfId="0" applyAlignment="1" applyBorder="1" applyFont="1">
      <alignment horizontal="center" vertical="center"/>
    </xf>
    <xf borderId="13" fillId="9" fontId="69" numFmtId="0" xfId="0" applyAlignment="1" applyBorder="1" applyFont="1">
      <alignment horizontal="center" vertical="center"/>
    </xf>
    <xf borderId="47" fillId="20" fontId="57" numFmtId="2" xfId="0" applyAlignment="1" applyBorder="1" applyFont="1" applyNumberFormat="1">
      <alignment horizontal="center" vertical="center"/>
    </xf>
    <xf borderId="81" fillId="7" fontId="1" numFmtId="0" xfId="0" applyBorder="1" applyFont="1"/>
    <xf borderId="92" fillId="9" fontId="33" numFmtId="0" xfId="0" applyAlignment="1" applyBorder="1" applyFont="1">
      <alignment horizontal="left" shrinkToFit="0" vertical="center" wrapText="1"/>
    </xf>
    <xf borderId="92" fillId="10" fontId="33" numFmtId="165" xfId="0" applyAlignment="1" applyBorder="1" applyFont="1" applyNumberFormat="1">
      <alignment horizontal="center" shrinkToFit="0" vertical="center" wrapText="1"/>
    </xf>
    <xf borderId="92" fillId="10" fontId="27" numFmtId="0" xfId="0" applyAlignment="1" applyBorder="1" applyFont="1">
      <alignment horizontal="center" vertical="center"/>
    </xf>
    <xf borderId="92" fillId="10" fontId="27" numFmtId="164" xfId="0" applyAlignment="1" applyBorder="1" applyFont="1" applyNumberFormat="1">
      <alignment horizontal="center" vertical="center"/>
    </xf>
    <xf borderId="92" fillId="9" fontId="69" numFmtId="0" xfId="0" applyAlignment="1" applyBorder="1" applyFont="1">
      <alignment horizontal="center" vertical="center"/>
    </xf>
    <xf borderId="93"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8"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8" fillId="3" fontId="1" numFmtId="2" xfId="0" applyBorder="1" applyFont="1" applyNumberFormat="1"/>
    <xf borderId="13"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1" fillId="3" fontId="1" numFmtId="0" xfId="0" applyAlignment="1" applyBorder="1" applyFont="1">
      <alignment vertical="center"/>
    </xf>
    <xf borderId="68" fillId="3" fontId="1" numFmtId="0" xfId="0" applyAlignment="1" applyBorder="1" applyFont="1">
      <alignment vertical="center"/>
    </xf>
    <xf borderId="68" fillId="3" fontId="72" numFmtId="0" xfId="0" applyAlignment="1" applyBorder="1" applyFont="1">
      <alignment horizontal="right" vertical="center"/>
    </xf>
    <xf borderId="68" fillId="3" fontId="27" numFmtId="0" xfId="0" applyAlignment="1" applyBorder="1" applyFont="1">
      <alignment vertical="center"/>
    </xf>
    <xf borderId="68" fillId="3" fontId="1" numFmtId="2" xfId="0" applyBorder="1" applyFont="1" applyNumberFormat="1"/>
    <xf borderId="85"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8" fillId="3" fontId="1" numFmtId="0" xfId="0" applyAlignment="1" applyBorder="1" applyFont="1">
      <alignment vertical="center"/>
    </xf>
    <xf borderId="1" fillId="3" fontId="2" numFmtId="0" xfId="0" applyAlignment="1" applyBorder="1" applyFont="1">
      <alignment vertical="center"/>
    </xf>
    <xf borderId="33" fillId="7" fontId="34" numFmtId="0" xfId="0" applyAlignment="1" applyBorder="1" applyFont="1">
      <alignment horizontal="left" shrinkToFit="0" vertical="top" wrapText="1"/>
    </xf>
    <xf borderId="105" fillId="0" fontId="4" numFmtId="0" xfId="0" applyBorder="1" applyFont="1"/>
    <xf borderId="1" fillId="3" fontId="64" numFmtId="0" xfId="0" applyAlignment="1" applyBorder="1" applyFont="1">
      <alignment horizontal="center" shrinkToFit="0" vertical="center" wrapText="1"/>
    </xf>
    <xf borderId="106" fillId="10" fontId="27" numFmtId="0" xfId="0" applyAlignment="1" applyBorder="1" applyFont="1">
      <alignment horizontal="center" vertical="center"/>
    </xf>
    <xf borderId="107" fillId="10" fontId="27" numFmtId="0" xfId="0" applyAlignment="1" applyBorder="1" applyFont="1">
      <alignment horizontal="center" vertical="center"/>
    </xf>
    <xf borderId="108" fillId="0" fontId="4" numFmtId="0" xfId="0" applyBorder="1" applyFont="1"/>
    <xf borderId="1" fillId="3" fontId="27" numFmtId="0" xfId="0" applyAlignment="1" applyBorder="1" applyFont="1">
      <alignment vertical="center"/>
    </xf>
    <xf borderId="9" fillId="10" fontId="27" numFmtId="0" xfId="0" applyAlignment="1" applyBorder="1" applyFont="1">
      <alignment horizontal="center" vertical="center"/>
    </xf>
    <xf borderId="62" fillId="10" fontId="27" numFmtId="0" xfId="0" applyAlignment="1" applyBorder="1" applyFont="1">
      <alignment horizontal="center" vertical="bottom"/>
    </xf>
    <xf borderId="109" fillId="0" fontId="4" numFmtId="0" xfId="0" applyBorder="1" applyFont="1"/>
    <xf borderId="13" fillId="7" fontId="34" numFmtId="0" xfId="0" applyAlignment="1" applyBorder="1" applyFont="1">
      <alignment horizontal="center" vertical="center"/>
    </xf>
    <xf borderId="9" fillId="7" fontId="34" numFmtId="0" xfId="0" applyAlignment="1" applyBorder="1" applyFont="1">
      <alignment horizontal="left" vertical="center"/>
    </xf>
    <xf borderId="13" fillId="7" fontId="34" numFmtId="1" xfId="0" applyAlignment="1" applyBorder="1" applyFont="1" applyNumberFormat="1">
      <alignment horizontal="center" vertical="center"/>
    </xf>
    <xf borderId="9" fillId="7" fontId="34" numFmtId="0" xfId="0" applyAlignment="1" applyBorder="1" applyFont="1">
      <alignment horizontal="center" vertical="center"/>
    </xf>
    <xf borderId="0" fillId="3" fontId="73" numFmtId="0" xfId="0" applyAlignment="1" applyFont="1">
      <alignment vertical="bottom"/>
    </xf>
    <xf borderId="0" fillId="3" fontId="73" numFmtId="2" xfId="0" applyAlignment="1" applyFont="1" applyNumberFormat="1">
      <alignment vertical="bottom"/>
    </xf>
    <xf borderId="48" fillId="3" fontId="73" numFmtId="2" xfId="0" applyAlignment="1" applyBorder="1" applyFont="1" applyNumberFormat="1">
      <alignment vertical="bottom"/>
    </xf>
    <xf borderId="0" fillId="23" fontId="7" numFmtId="0" xfId="0" applyAlignment="1" applyFill="1" applyFont="1">
      <alignment horizontal="center" vertical="bottom"/>
    </xf>
    <xf borderId="13" fillId="0" fontId="73" numFmtId="2" xfId="0" applyAlignment="1" applyBorder="1" applyFont="1" applyNumberFormat="1">
      <alignment readingOrder="0" vertical="bottom"/>
    </xf>
    <xf borderId="0" fillId="23" fontId="7" numFmtId="2" xfId="0" applyAlignment="1" applyFont="1" applyNumberFormat="1">
      <alignment horizontal="center" vertical="bottom"/>
    </xf>
    <xf borderId="13" fillId="0" fontId="73" numFmtId="2" xfId="0" applyAlignment="1" applyBorder="1" applyFont="1" applyNumberFormat="1">
      <alignment vertical="bottom"/>
    </xf>
    <xf borderId="110" fillId="24" fontId="27" numFmtId="0" xfId="0" applyAlignment="1" applyBorder="1" applyFill="1" applyFont="1">
      <alignment horizontal="center"/>
    </xf>
    <xf borderId="111" fillId="24" fontId="74" numFmtId="0" xfId="0" applyBorder="1" applyFont="1"/>
    <xf borderId="88" fillId="24" fontId="74" numFmtId="0" xfId="0" applyBorder="1" applyFont="1"/>
    <xf borderId="112" fillId="24" fontId="74" numFmtId="0" xfId="0" applyBorder="1" applyFont="1"/>
    <xf borderId="113" fillId="24" fontId="27" numFmtId="0" xfId="0" applyAlignment="1" applyBorder="1" applyFont="1">
      <alignment horizontal="center"/>
    </xf>
    <xf borderId="114" fillId="24" fontId="74" numFmtId="0" xfId="0" applyBorder="1" applyFont="1"/>
    <xf borderId="115" fillId="24" fontId="74" numFmtId="0" xfId="0" applyBorder="1" applyFont="1"/>
    <xf borderId="116" fillId="24" fontId="74" numFmtId="0" xfId="0" applyBorder="1" applyFont="1"/>
    <xf borderId="117" fillId="24" fontId="27" numFmtId="0" xfId="0" applyAlignment="1" applyBorder="1" applyFont="1">
      <alignment horizontal="center"/>
    </xf>
    <xf borderId="118" fillId="24" fontId="74" numFmtId="0" xfId="0" applyBorder="1" applyFont="1"/>
    <xf borderId="119" fillId="24" fontId="74" numFmtId="0" xfId="0" applyBorder="1" applyFont="1"/>
    <xf borderId="120" fillId="24" fontId="74" numFmtId="0" xfId="0" applyBorder="1" applyFont="1"/>
    <xf borderId="121" fillId="3" fontId="1" numFmtId="0" xfId="0" applyAlignment="1" applyBorder="1" applyFont="1">
      <alignment vertical="center"/>
    </xf>
    <xf borderId="122" fillId="25" fontId="27" numFmtId="0" xfId="0" applyAlignment="1" applyBorder="1" applyFill="1" applyFont="1">
      <alignment horizontal="center" vertical="center"/>
    </xf>
    <xf borderId="122" fillId="25" fontId="27" numFmtId="1" xfId="0" applyAlignment="1" applyBorder="1" applyFont="1" applyNumberFormat="1">
      <alignment horizontal="center" vertical="center"/>
    </xf>
    <xf borderId="68" fillId="3" fontId="67" numFmtId="0" xfId="0" applyAlignment="1" applyBorder="1" applyFont="1">
      <alignment vertical="center"/>
    </xf>
    <xf borderId="85"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jpg"/><Relationship Id="rId3" Type="http://schemas.openxmlformats.org/officeDocument/2006/relationships/image" Target="../media/image10.jpg"/><Relationship Id="rId4" Type="http://schemas.openxmlformats.org/officeDocument/2006/relationships/image" Target="../media/image9.jpg"/><Relationship Id="rId10" Type="http://schemas.openxmlformats.org/officeDocument/2006/relationships/image" Target="../media/image3.jpg"/><Relationship Id="rId9" Type="http://schemas.openxmlformats.org/officeDocument/2006/relationships/image" Target="../media/image2.jpg"/><Relationship Id="rId5" Type="http://schemas.openxmlformats.org/officeDocument/2006/relationships/image" Target="../media/image4.jpg"/><Relationship Id="rId6" Type="http://schemas.openxmlformats.org/officeDocument/2006/relationships/image" Target="../media/image8.jpg"/><Relationship Id="rId7" Type="http://schemas.openxmlformats.org/officeDocument/2006/relationships/image" Target="../media/image6.jpg"/><Relationship Id="rId8"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108</xdr:row>
      <xdr:rowOff>266700</xdr:rowOff>
    </xdr:from>
    <xdr:ext cx="2209800" cy="904875"/>
    <xdr:sp>
      <xdr:nvSpPr>
        <xdr:cNvPr id="3" name="Shape 3"/>
        <xdr:cNvSpPr/>
      </xdr:nvSpPr>
      <xdr:spPr>
        <a:xfrm>
          <a:off x="4245863" y="3332325"/>
          <a:ext cx="2200275" cy="895350"/>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2219325</xdr:colOff>
      <xdr:row>110</xdr:row>
      <xdr:rowOff>304800</xdr:rowOff>
    </xdr:from>
    <xdr:ext cx="114300" cy="428625"/>
    <xdr:sp>
      <xdr:nvSpPr>
        <xdr:cNvPr id="4" name="Shape 4"/>
        <xdr:cNvSpPr/>
      </xdr:nvSpPr>
      <xdr:spPr>
        <a:xfrm>
          <a:off x="5293613" y="3570450"/>
          <a:ext cx="104775" cy="4191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1952625</xdr:colOff>
      <xdr:row>110</xdr:row>
      <xdr:rowOff>333375</xdr:rowOff>
    </xdr:from>
    <xdr:ext cx="95250" cy="381000"/>
    <xdr:sp>
      <xdr:nvSpPr>
        <xdr:cNvPr id="5" name="Shape 5"/>
        <xdr:cNvSpPr/>
      </xdr:nvSpPr>
      <xdr:spPr>
        <a:xfrm>
          <a:off x="5303138" y="3594263"/>
          <a:ext cx="85725" cy="37147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666750</xdr:colOff>
      <xdr:row>1</xdr:row>
      <xdr:rowOff>1000125</xdr:rowOff>
    </xdr:from>
    <xdr:ext cx="133350" cy="323850"/>
    <xdr:sp>
      <xdr:nvSpPr>
        <xdr:cNvPr id="6" name="Shape 6"/>
        <xdr:cNvSpPr txBox="1"/>
      </xdr:nvSpPr>
      <xdr:spPr>
        <a:xfrm>
          <a:off x="5284088" y="3622838"/>
          <a:ext cx="123825" cy="3143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6</xdr:col>
      <xdr:colOff>590550</xdr:colOff>
      <xdr:row>109</xdr:row>
      <xdr:rowOff>38100</xdr:rowOff>
    </xdr:from>
    <xdr:ext cx="361950" cy="1047750"/>
    <xdr:sp>
      <xdr:nvSpPr>
        <xdr:cNvPr id="7" name="Shape 7"/>
        <xdr:cNvSpPr/>
      </xdr:nvSpPr>
      <xdr:spPr>
        <a:xfrm>
          <a:off x="5169788" y="3260888"/>
          <a:ext cx="352425" cy="10382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4</xdr:col>
      <xdr:colOff>1343025</xdr:colOff>
      <xdr:row>109</xdr:row>
      <xdr:rowOff>28575</xdr:rowOff>
    </xdr:from>
    <xdr:ext cx="342900" cy="1047750"/>
    <xdr:sp>
      <xdr:nvSpPr>
        <xdr:cNvPr id="8" name="Shape 8"/>
        <xdr:cNvSpPr/>
      </xdr:nvSpPr>
      <xdr:spPr>
        <a:xfrm>
          <a:off x="5179313" y="3260888"/>
          <a:ext cx="333375" cy="10382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xdr:col>
      <xdr:colOff>1552575</xdr:colOff>
      <xdr:row>109</xdr:row>
      <xdr:rowOff>28575</xdr:rowOff>
    </xdr:from>
    <xdr:ext cx="342900" cy="1047750"/>
    <xdr:sp>
      <xdr:nvSpPr>
        <xdr:cNvPr id="8" name="Shape 8"/>
        <xdr:cNvSpPr/>
      </xdr:nvSpPr>
      <xdr:spPr>
        <a:xfrm>
          <a:off x="5179313" y="3260888"/>
          <a:ext cx="333375" cy="10382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15</xdr:col>
      <xdr:colOff>2085975</xdr:colOff>
      <xdr:row>110</xdr:row>
      <xdr:rowOff>314325</xdr:rowOff>
    </xdr:from>
    <xdr:ext cx="95250" cy="409575"/>
    <xdr:sp>
      <xdr:nvSpPr>
        <xdr:cNvPr id="9" name="Shape 9"/>
        <xdr:cNvSpPr/>
      </xdr:nvSpPr>
      <xdr:spPr>
        <a:xfrm>
          <a:off x="5303138" y="3579975"/>
          <a:ext cx="85725"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7.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1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9.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4.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8.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5.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3.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5.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9"/>
      <c r="P2" s="1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1" t="s">
        <v>1</v>
      </c>
      <c r="D3" s="9"/>
      <c r="E3" s="9"/>
      <c r="F3" s="9"/>
      <c r="G3" s="9"/>
      <c r="H3" s="9"/>
      <c r="I3" s="9"/>
      <c r="J3" s="9"/>
      <c r="K3" s="9"/>
      <c r="L3" s="9"/>
      <c r="M3" s="9"/>
      <c r="N3" s="9"/>
      <c r="O3" s="9"/>
      <c r="P3" s="10"/>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2"/>
      <c r="D4" s="12"/>
      <c r="E4" s="12"/>
      <c r="F4" s="12"/>
      <c r="G4" s="12"/>
      <c r="H4" s="12"/>
      <c r="I4" s="12"/>
      <c r="J4" s="12"/>
      <c r="K4" s="12"/>
      <c r="L4" s="12"/>
      <c r="M4" s="12"/>
      <c r="N4" s="12"/>
      <c r="O4" s="12"/>
      <c r="P4" s="10"/>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3"/>
      <c r="D5" s="14" t="s">
        <v>2</v>
      </c>
      <c r="E5" s="15" t="s">
        <v>3</v>
      </c>
      <c r="F5" s="16"/>
      <c r="G5" s="16"/>
      <c r="H5" s="17"/>
      <c r="I5" s="18"/>
      <c r="J5" s="19" t="s">
        <v>4</v>
      </c>
      <c r="K5" s="20" t="s">
        <v>5</v>
      </c>
      <c r="L5" s="16"/>
      <c r="M5" s="16"/>
      <c r="N5" s="16"/>
      <c r="O5" s="17"/>
      <c r="P5" s="10"/>
      <c r="Q5" s="21"/>
      <c r="R5" s="21"/>
      <c r="S5" s="21"/>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3"/>
      <c r="D6" s="22"/>
      <c r="E6" s="23"/>
      <c r="F6" s="23"/>
      <c r="G6" s="23"/>
      <c r="H6" s="23"/>
      <c r="I6" s="24"/>
      <c r="J6" s="22"/>
      <c r="K6" s="23"/>
      <c r="L6" s="25"/>
      <c r="M6" s="25"/>
      <c r="N6" s="26"/>
      <c r="O6" s="26"/>
      <c r="P6" s="27"/>
      <c r="Q6" s="28"/>
      <c r="R6" s="28"/>
      <c r="S6" s="28"/>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3"/>
      <c r="D7" s="14" t="s">
        <v>6</v>
      </c>
      <c r="E7" s="15"/>
      <c r="F7" s="16"/>
      <c r="G7" s="16"/>
      <c r="H7" s="17"/>
      <c r="I7" s="18"/>
      <c r="J7" s="14" t="s">
        <v>7</v>
      </c>
      <c r="K7" s="29">
        <v>1.0</v>
      </c>
      <c r="L7" s="30" t="s">
        <v>8</v>
      </c>
      <c r="M7" s="23"/>
      <c r="N7" s="31"/>
      <c r="O7" s="30" t="s">
        <v>9</v>
      </c>
      <c r="P7" s="32"/>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3"/>
      <c r="D8" s="22"/>
      <c r="E8" s="33"/>
      <c r="F8" s="33"/>
      <c r="G8" s="33"/>
      <c r="H8" s="33"/>
      <c r="I8" s="34"/>
      <c r="J8" s="33"/>
      <c r="K8" s="33"/>
      <c r="L8" s="35"/>
      <c r="M8" s="35"/>
      <c r="N8" s="36"/>
      <c r="O8" s="36"/>
      <c r="P8" s="32"/>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3"/>
      <c r="D9" s="14" t="s">
        <v>10</v>
      </c>
      <c r="E9" s="37" t="s">
        <v>11</v>
      </c>
      <c r="F9" s="16"/>
      <c r="G9" s="16"/>
      <c r="H9" s="16"/>
      <c r="I9" s="16"/>
      <c r="J9" s="16"/>
      <c r="K9" s="16"/>
      <c r="L9" s="16"/>
      <c r="M9" s="16"/>
      <c r="N9" s="16"/>
      <c r="O9" s="17"/>
      <c r="P9" s="10"/>
      <c r="Q9" s="38"/>
      <c r="R9" s="38"/>
      <c r="S9" s="38"/>
      <c r="T9" s="39"/>
      <c r="U9" s="39"/>
      <c r="V9" s="39"/>
      <c r="W9" s="39"/>
      <c r="X9" s="39"/>
      <c r="Y9" s="39"/>
      <c r="Z9" s="38"/>
      <c r="AA9" s="38"/>
      <c r="AB9" s="40"/>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3"/>
      <c r="D10" s="22"/>
      <c r="E10" s="23"/>
      <c r="F10" s="23"/>
      <c r="G10" s="23"/>
      <c r="H10" s="23"/>
      <c r="I10" s="24"/>
      <c r="J10" s="22"/>
      <c r="K10" s="23"/>
      <c r="L10" s="25"/>
      <c r="M10" s="25"/>
      <c r="N10" s="26"/>
      <c r="O10" s="26"/>
      <c r="P10" s="10"/>
      <c r="Q10" s="41"/>
      <c r="R10" s="41"/>
      <c r="S10" s="41"/>
      <c r="T10" s="42"/>
      <c r="U10" s="42"/>
      <c r="V10" s="42"/>
      <c r="W10" s="42"/>
      <c r="X10" s="42"/>
      <c r="Y10" s="42"/>
      <c r="Z10" s="41"/>
      <c r="AA10" s="41"/>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3"/>
      <c r="D11" s="43" t="s">
        <v>12</v>
      </c>
      <c r="E11" s="44"/>
      <c r="F11" s="44"/>
      <c r="G11" s="44"/>
      <c r="H11" s="44"/>
      <c r="I11" s="44"/>
      <c r="J11" s="44"/>
      <c r="K11" s="44"/>
      <c r="L11" s="25"/>
      <c r="M11" s="25"/>
      <c r="N11" s="45" t="s">
        <v>13</v>
      </c>
      <c r="O11" s="29" t="s">
        <v>14</v>
      </c>
      <c r="P11" s="46"/>
      <c r="Q11" s="47"/>
      <c r="S11" s="48"/>
      <c r="T11" s="48"/>
      <c r="U11" s="48"/>
      <c r="V11" s="48"/>
      <c r="W11" s="48"/>
      <c r="X11" s="48"/>
      <c r="Y11" s="48"/>
      <c r="Z11" s="48"/>
      <c r="AA11" s="48"/>
      <c r="AB11" s="48"/>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3"/>
      <c r="D12" s="49"/>
      <c r="L12" s="25"/>
      <c r="M12" s="25"/>
      <c r="N12" s="45" t="s">
        <v>15</v>
      </c>
      <c r="O12" s="29"/>
      <c r="P12" s="10"/>
      <c r="Q12" s="50"/>
      <c r="R12" s="50"/>
      <c r="S12" s="50"/>
      <c r="T12" s="50"/>
      <c r="U12" s="50"/>
      <c r="V12" s="50"/>
      <c r="W12" s="50"/>
      <c r="X12" s="50"/>
      <c r="Y12" s="50"/>
      <c r="Z12" s="50"/>
      <c r="AA12" s="50"/>
      <c r="AB12" s="51"/>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3"/>
      <c r="D13" s="22"/>
      <c r="E13" s="30" t="s">
        <v>16</v>
      </c>
      <c r="F13" s="23"/>
      <c r="G13" s="23"/>
      <c r="H13" s="23"/>
      <c r="I13" s="24"/>
      <c r="J13" s="22"/>
      <c r="K13" s="23"/>
      <c r="L13" s="25"/>
      <c r="M13" s="25"/>
      <c r="N13" s="26"/>
      <c r="O13" s="26"/>
      <c r="P13" s="52"/>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3" t="s">
        <v>17</v>
      </c>
      <c r="D14" s="9"/>
      <c r="E14" s="9"/>
      <c r="F14" s="9"/>
      <c r="G14" s="9"/>
      <c r="H14" s="9"/>
      <c r="I14" s="9"/>
      <c r="J14" s="9"/>
      <c r="K14" s="9"/>
      <c r="L14" s="9"/>
      <c r="M14" s="9"/>
      <c r="N14" s="13"/>
      <c r="O14" s="54" t="s">
        <v>18</v>
      </c>
      <c r="P14" s="55"/>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3"/>
      <c r="D15" s="56"/>
      <c r="E15" s="57"/>
      <c r="F15" s="57"/>
      <c r="G15" s="57"/>
      <c r="H15" s="57"/>
      <c r="I15" s="57"/>
      <c r="J15" s="58"/>
      <c r="K15" s="59"/>
      <c r="L15" s="59"/>
      <c r="M15" s="59"/>
      <c r="N15" s="59"/>
      <c r="O15" s="60" t="s">
        <v>19</v>
      </c>
      <c r="P15" s="61"/>
      <c r="Q15" s="62"/>
      <c r="R15" s="62"/>
      <c r="S15" s="6"/>
      <c r="T15" s="6"/>
      <c r="U15" s="6"/>
      <c r="V15" s="6"/>
      <c r="W15" s="6"/>
      <c r="X15" s="63" t="s">
        <v>20</v>
      </c>
      <c r="Y15" s="63"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3"/>
      <c r="D16" s="64" t="s">
        <v>22</v>
      </c>
      <c r="E16" s="65">
        <v>540.0</v>
      </c>
      <c r="F16" s="66"/>
      <c r="G16" s="66"/>
      <c r="H16" s="67" t="s">
        <v>23</v>
      </c>
      <c r="I16" s="9"/>
      <c r="J16" s="68"/>
      <c r="K16" s="65">
        <v>540.0</v>
      </c>
      <c r="L16" s="59"/>
      <c r="M16" s="59"/>
      <c r="N16" s="59"/>
      <c r="O16" s="69">
        <f>IF(F32="",IF(Y44&gt;7,0,AB45),0)</f>
        <v>4</v>
      </c>
      <c r="P16" s="61"/>
      <c r="Q16" s="62"/>
      <c r="R16" s="62"/>
      <c r="S16" s="6"/>
      <c r="T16" s="6"/>
      <c r="U16" s="6"/>
      <c r="V16" s="6"/>
      <c r="W16" s="6"/>
      <c r="X16" s="70"/>
      <c r="Y16" s="70"/>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3"/>
      <c r="D17" s="56"/>
      <c r="E17" s="57"/>
      <c r="F17" s="57"/>
      <c r="G17" s="57"/>
      <c r="H17" s="57"/>
      <c r="I17" s="57"/>
      <c r="J17" s="58"/>
      <c r="K17" s="59"/>
      <c r="L17" s="59"/>
      <c r="M17" s="59"/>
      <c r="N17" s="59"/>
      <c r="O17" s="60" t="s">
        <v>24</v>
      </c>
      <c r="P17" s="71"/>
      <c r="Q17" s="62"/>
      <c r="R17" s="62"/>
      <c r="S17" s="6"/>
      <c r="T17" s="6"/>
      <c r="U17" s="6"/>
      <c r="V17" s="6"/>
      <c r="W17" s="6"/>
      <c r="X17" s="72">
        <v>0.0</v>
      </c>
      <c r="Y17" s="72">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3"/>
      <c r="D18" s="73" t="s">
        <v>25</v>
      </c>
      <c r="E18" s="9"/>
      <c r="F18" s="9"/>
      <c r="G18" s="9"/>
      <c r="H18" s="9"/>
      <c r="I18" s="9"/>
      <c r="J18" s="68"/>
      <c r="K18" s="65"/>
      <c r="L18" s="59"/>
      <c r="M18" s="59"/>
      <c r="N18" s="59"/>
      <c r="O18" s="74">
        <f>IF(F32="",VLOOKUP($R20,AP41:AQ58,2),1)</f>
        <v>1.33</v>
      </c>
      <c r="P18" s="61"/>
      <c r="Q18" s="62"/>
      <c r="R18" s="62"/>
      <c r="S18" s="6"/>
      <c r="T18" s="6"/>
      <c r="U18" s="6"/>
      <c r="V18" s="6"/>
      <c r="W18" s="6"/>
      <c r="X18" s="72">
        <v>121.0</v>
      </c>
      <c r="Y18" s="72">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3"/>
      <c r="D19" s="75"/>
      <c r="E19" s="75"/>
      <c r="F19" s="75"/>
      <c r="G19" s="75"/>
      <c r="H19" s="75"/>
      <c r="I19" s="75"/>
      <c r="J19" s="76"/>
      <c r="K19" s="59"/>
      <c r="L19" s="59"/>
      <c r="M19" s="59"/>
      <c r="N19" s="59"/>
      <c r="O19" s="77"/>
      <c r="P19" s="61"/>
      <c r="Q19" s="62"/>
      <c r="R19" s="62"/>
      <c r="S19" s="6"/>
      <c r="T19" s="6"/>
      <c r="U19" s="6"/>
      <c r="V19" s="6"/>
      <c r="W19" s="6"/>
      <c r="X19" s="72">
        <v>181.0</v>
      </c>
      <c r="Y19" s="72">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3"/>
      <c r="D20" s="73" t="s">
        <v>26</v>
      </c>
      <c r="E20" s="9"/>
      <c r="F20" s="9"/>
      <c r="G20" s="9"/>
      <c r="H20" s="9"/>
      <c r="I20" s="9"/>
      <c r="J20" s="68"/>
      <c r="K20" s="65">
        <v>3.0</v>
      </c>
      <c r="L20" s="59"/>
      <c r="M20" s="59"/>
      <c r="N20" s="59"/>
      <c r="O20" s="78">
        <v>4.0</v>
      </c>
      <c r="P20" s="61"/>
      <c r="Q20" s="62"/>
      <c r="R20" s="79">
        <f>IF(O20="",O16,O20)</f>
        <v>4</v>
      </c>
      <c r="S20" s="6"/>
      <c r="T20" s="6"/>
      <c r="U20" s="6"/>
      <c r="V20" s="6"/>
      <c r="W20" s="6"/>
      <c r="X20" s="72">
        <v>241.0</v>
      </c>
      <c r="Y20" s="72">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3"/>
      <c r="D21" s="80" t="s">
        <v>27</v>
      </c>
      <c r="E21" s="9"/>
      <c r="F21" s="9"/>
      <c r="G21" s="9"/>
      <c r="H21" s="9"/>
      <c r="I21" s="9"/>
      <c r="J21" s="9"/>
      <c r="K21" s="59"/>
      <c r="L21" s="59"/>
      <c r="M21" s="59"/>
      <c r="N21" s="59"/>
      <c r="O21" s="81" t="s">
        <v>28</v>
      </c>
      <c r="P21" s="82"/>
      <c r="Q21" s="62"/>
      <c r="R21" s="83" t="s">
        <v>29</v>
      </c>
      <c r="S21" s="9"/>
      <c r="T21" s="9"/>
      <c r="U21" s="6"/>
      <c r="V21" s="6"/>
      <c r="W21" s="6"/>
      <c r="X21" s="72">
        <v>301.0</v>
      </c>
      <c r="Y21" s="72">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3"/>
      <c r="D22" s="84" t="s">
        <v>30</v>
      </c>
      <c r="E22" s="9"/>
      <c r="F22" s="9"/>
      <c r="G22" s="9"/>
      <c r="H22" s="9"/>
      <c r="I22" s="9"/>
      <c r="J22" s="68"/>
      <c r="K22" s="65">
        <v>30.0</v>
      </c>
      <c r="L22" s="59"/>
      <c r="M22" s="59"/>
      <c r="N22" s="59"/>
      <c r="O22" s="77"/>
      <c r="P22" s="61"/>
      <c r="Q22" s="62"/>
      <c r="R22" s="62"/>
      <c r="S22" s="6"/>
      <c r="T22" s="6"/>
      <c r="U22" s="6"/>
      <c r="V22" s="6"/>
      <c r="W22" s="6"/>
      <c r="X22" s="72">
        <v>361.0</v>
      </c>
      <c r="Y22" s="72">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3"/>
      <c r="D23" s="85"/>
      <c r="E23" s="75"/>
      <c r="F23" s="75"/>
      <c r="G23" s="75"/>
      <c r="H23" s="75"/>
      <c r="I23" s="75"/>
      <c r="J23" s="75"/>
      <c r="K23" s="58"/>
      <c r="L23" s="59"/>
      <c r="M23" s="59"/>
      <c r="N23" s="59"/>
      <c r="O23" s="77"/>
      <c r="P23" s="61"/>
      <c r="Q23" s="62"/>
      <c r="R23" s="62"/>
      <c r="S23" s="6"/>
      <c r="T23" s="6"/>
      <c r="U23" s="6"/>
      <c r="V23" s="6"/>
      <c r="W23" s="6"/>
      <c r="X23" s="86">
        <v>421.0</v>
      </c>
      <c r="Y23" s="86">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3"/>
      <c r="D24" s="84" t="s">
        <v>31</v>
      </c>
      <c r="E24" s="9"/>
      <c r="F24" s="9"/>
      <c r="G24" s="9"/>
      <c r="H24" s="9"/>
      <c r="I24" s="9"/>
      <c r="J24" s="68"/>
      <c r="K24" s="65">
        <v>30.0</v>
      </c>
      <c r="L24" s="59"/>
      <c r="M24" s="59"/>
      <c r="N24" s="59"/>
      <c r="O24" s="77"/>
      <c r="P24" s="61"/>
      <c r="Q24" s="62"/>
      <c r="R24" s="62"/>
      <c r="S24" s="6"/>
      <c r="T24" s="6"/>
      <c r="U24" s="6"/>
      <c r="V24" s="6"/>
      <c r="W24" s="6"/>
      <c r="X24" s="72">
        <v>480.0</v>
      </c>
      <c r="Y24" s="72">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3"/>
      <c r="D25" s="75"/>
      <c r="E25" s="75"/>
      <c r="F25" s="75"/>
      <c r="G25" s="75"/>
      <c r="H25" s="75"/>
      <c r="I25" s="75"/>
      <c r="J25" s="76"/>
      <c r="K25" s="59"/>
      <c r="L25" s="59"/>
      <c r="M25" s="59"/>
      <c r="N25" s="59"/>
      <c r="O25" s="77"/>
      <c r="P25" s="61"/>
      <c r="Q25" s="62"/>
      <c r="R25" s="62"/>
      <c r="S25" s="6"/>
      <c r="T25" s="6"/>
      <c r="U25" s="6"/>
      <c r="V25" s="6"/>
      <c r="W25" s="6"/>
      <c r="X25" s="87"/>
      <c r="Y25" s="87"/>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3"/>
      <c r="D26" s="73" t="s">
        <v>32</v>
      </c>
      <c r="E26" s="9"/>
      <c r="F26" s="9"/>
      <c r="G26" s="9"/>
      <c r="H26" s="9"/>
      <c r="I26" s="9"/>
      <c r="J26" s="68"/>
      <c r="K26" s="65"/>
      <c r="L26" s="59"/>
      <c r="M26" s="59"/>
      <c r="N26" s="59"/>
      <c r="O26" s="77"/>
      <c r="P26" s="61"/>
      <c r="Q26" s="62"/>
      <c r="R26" s="62"/>
      <c r="S26" s="6"/>
      <c r="T26" s="6"/>
      <c r="U26" s="6"/>
      <c r="V26" s="6"/>
      <c r="W26" s="6"/>
      <c r="X26" s="88" t="s">
        <v>33</v>
      </c>
      <c r="Y26" s="89"/>
      <c r="Z26" s="90" t="s">
        <v>34</v>
      </c>
      <c r="AA26" s="89"/>
      <c r="AB26" s="89"/>
      <c r="AC26" s="89"/>
      <c r="AD26" s="89"/>
      <c r="AE26" s="89"/>
      <c r="AF26" s="89"/>
      <c r="AG26" s="89"/>
      <c r="AH26" s="89"/>
      <c r="AI26" s="89"/>
      <c r="AJ26" s="89"/>
      <c r="AK26" s="89"/>
      <c r="AL26" s="89"/>
      <c r="AM26" s="89"/>
      <c r="AN26" s="89"/>
      <c r="AO26" s="89"/>
      <c r="AP26" s="89"/>
      <c r="AQ26" s="89"/>
      <c r="AR26" s="89"/>
      <c r="AS26" s="89"/>
      <c r="AT26" s="89"/>
      <c r="AU26" s="89"/>
      <c r="AV26" s="89"/>
      <c r="AW26" s="89"/>
      <c r="AX26" s="89"/>
      <c r="AY26" s="89"/>
      <c r="AZ26" s="89"/>
      <c r="BA26" s="89"/>
      <c r="BB26" s="6"/>
      <c r="BC26" s="6"/>
      <c r="BD26" s="6"/>
      <c r="BE26" s="6"/>
      <c r="BF26" s="6"/>
      <c r="BG26" s="6"/>
      <c r="BH26" s="6"/>
      <c r="BI26" s="6"/>
      <c r="BJ26" s="1"/>
      <c r="BK26" s="1"/>
      <c r="BL26" s="1"/>
      <c r="BM26" s="1"/>
      <c r="BN26" s="1"/>
      <c r="BO26" s="1"/>
      <c r="BP26" s="1"/>
      <c r="BQ26" s="1"/>
      <c r="BR26" s="1"/>
      <c r="BS26" s="1"/>
      <c r="BT26" s="1"/>
    </row>
    <row r="27" ht="28.5" customHeight="1">
      <c r="A27" s="1"/>
      <c r="B27" s="7"/>
      <c r="C27" s="13"/>
      <c r="D27" s="91"/>
      <c r="E27" s="91"/>
      <c r="F27" s="91"/>
      <c r="G27" s="91"/>
      <c r="H27" s="91"/>
      <c r="I27" s="91"/>
      <c r="J27" s="91"/>
      <c r="K27" s="13"/>
      <c r="L27" s="59"/>
      <c r="M27" s="59"/>
      <c r="N27" s="59"/>
      <c r="O27" s="77"/>
      <c r="P27" s="61"/>
      <c r="Q27" s="62"/>
      <c r="R27" s="62"/>
      <c r="S27" s="6"/>
      <c r="T27" s="6"/>
      <c r="U27" s="6"/>
      <c r="V27" s="6"/>
      <c r="W27" s="6"/>
      <c r="X27" s="92" t="s">
        <v>35</v>
      </c>
      <c r="Y27" s="93">
        <f>I43</f>
        <v>20.83333333</v>
      </c>
      <c r="Z27" s="94">
        <f>LOOKUP(Y27,$AA$27:$AZ$27,$AA$28:$AZ$28)</f>
        <v>0</v>
      </c>
      <c r="AA27" s="93">
        <v>0.0</v>
      </c>
      <c r="AB27" s="93">
        <v>2.5</v>
      </c>
      <c r="AC27" s="93">
        <v>7.5</v>
      </c>
      <c r="AD27" s="93">
        <v>12.5</v>
      </c>
      <c r="AE27" s="93">
        <v>17.5</v>
      </c>
      <c r="AF27" s="93">
        <v>20.0</v>
      </c>
      <c r="AG27" s="93">
        <v>22.5</v>
      </c>
      <c r="AH27" s="93">
        <v>27.5</v>
      </c>
      <c r="AI27" s="93">
        <v>30.0</v>
      </c>
      <c r="AJ27" s="93">
        <v>32.5</v>
      </c>
      <c r="AK27" s="93">
        <v>35.0</v>
      </c>
      <c r="AL27" s="93">
        <v>37.5</v>
      </c>
      <c r="AM27" s="93">
        <v>40.0</v>
      </c>
      <c r="AN27" s="93">
        <v>42.5</v>
      </c>
      <c r="AO27" s="93">
        <v>45.0</v>
      </c>
      <c r="AP27" s="93">
        <v>47.5</v>
      </c>
      <c r="AQ27" s="93">
        <v>50.0</v>
      </c>
      <c r="AR27" s="93">
        <v>52.5</v>
      </c>
      <c r="AS27" s="93">
        <v>55.0</v>
      </c>
      <c r="AT27" s="93">
        <v>57.5</v>
      </c>
      <c r="AU27" s="93">
        <v>60.0</v>
      </c>
      <c r="AV27" s="93">
        <v>62.5</v>
      </c>
      <c r="AW27" s="93">
        <v>65.0</v>
      </c>
      <c r="AX27" s="93">
        <v>67.5</v>
      </c>
      <c r="AY27" s="93">
        <v>70.0</v>
      </c>
      <c r="AZ27" s="93">
        <v>72.5</v>
      </c>
      <c r="BA27" s="93"/>
      <c r="BB27" s="6"/>
      <c r="BC27" s="6"/>
      <c r="BD27" s="6"/>
      <c r="BE27" s="6"/>
      <c r="BF27" s="6"/>
      <c r="BG27" s="6"/>
      <c r="BH27" s="6"/>
      <c r="BI27" s="6"/>
      <c r="BJ27" s="1"/>
      <c r="BK27" s="1"/>
      <c r="BL27" s="1"/>
      <c r="BM27" s="1"/>
      <c r="BN27" s="1"/>
      <c r="BO27" s="1"/>
      <c r="BP27" s="1"/>
      <c r="BQ27" s="1"/>
      <c r="BR27" s="1"/>
      <c r="BS27" s="1"/>
      <c r="BT27" s="1"/>
    </row>
    <row r="28" ht="24.0" customHeight="1">
      <c r="A28" s="1"/>
      <c r="B28" s="7"/>
      <c r="C28" s="13"/>
      <c r="D28" s="95" t="s">
        <v>36</v>
      </c>
      <c r="E28" s="13"/>
      <c r="F28" s="91"/>
      <c r="G28" s="91"/>
      <c r="H28" s="91"/>
      <c r="I28" s="91"/>
      <c r="J28" s="91"/>
      <c r="K28" s="91"/>
      <c r="L28" s="59"/>
      <c r="M28" s="59"/>
      <c r="N28" s="59"/>
      <c r="O28" s="96" t="s">
        <v>37</v>
      </c>
      <c r="P28" s="61"/>
      <c r="Q28" s="62"/>
      <c r="R28" s="62"/>
      <c r="S28" s="6"/>
      <c r="T28" s="6"/>
      <c r="U28" s="6"/>
      <c r="V28" s="6"/>
      <c r="W28" s="6"/>
      <c r="X28" s="92" t="s">
        <v>38</v>
      </c>
      <c r="Y28" s="92" t="str">
        <f>+U148</f>
        <v/>
      </c>
      <c r="Z28" s="97"/>
      <c r="AA28" s="93">
        <v>0.0</v>
      </c>
      <c r="AB28" s="98">
        <v>0.0</v>
      </c>
      <c r="AC28" s="92">
        <v>0.0</v>
      </c>
      <c r="AD28" s="92">
        <v>0.0</v>
      </c>
      <c r="AE28" s="98">
        <v>0.0</v>
      </c>
      <c r="AF28" s="98">
        <v>0.0</v>
      </c>
      <c r="AG28" s="98">
        <v>0.5</v>
      </c>
      <c r="AH28" s="98">
        <v>1.0</v>
      </c>
      <c r="AI28" s="98">
        <v>1.0</v>
      </c>
      <c r="AJ28" s="98">
        <v>2.0</v>
      </c>
      <c r="AK28" s="98">
        <v>2.0</v>
      </c>
      <c r="AL28" s="98">
        <v>3.0</v>
      </c>
      <c r="AM28" s="98">
        <v>3.0</v>
      </c>
      <c r="AN28" s="98">
        <v>4.0</v>
      </c>
      <c r="AO28" s="98">
        <v>4.0</v>
      </c>
      <c r="AP28" s="98">
        <v>5.0</v>
      </c>
      <c r="AQ28" s="98">
        <v>5.0</v>
      </c>
      <c r="AR28" s="98">
        <v>6.0</v>
      </c>
      <c r="AS28" s="98">
        <v>6.0</v>
      </c>
      <c r="AT28" s="98">
        <v>7.0</v>
      </c>
      <c r="AU28" s="98">
        <v>7.0</v>
      </c>
      <c r="AV28" s="98">
        <v>8.0</v>
      </c>
      <c r="AW28" s="98">
        <v>8.0</v>
      </c>
      <c r="AX28" s="98">
        <v>9.0</v>
      </c>
      <c r="AY28" s="98">
        <v>9.0</v>
      </c>
      <c r="AZ28" s="98">
        <v>9.0</v>
      </c>
      <c r="BA28" s="92"/>
      <c r="BB28" s="6"/>
      <c r="BC28" s="6"/>
      <c r="BD28" s="6"/>
      <c r="BE28" s="6"/>
      <c r="BF28" s="6"/>
      <c r="BG28" s="6"/>
      <c r="BH28" s="6"/>
      <c r="BI28" s="6"/>
      <c r="BJ28" s="1"/>
      <c r="BK28" s="1"/>
      <c r="BL28" s="1"/>
      <c r="BM28" s="1"/>
      <c r="BN28" s="1"/>
      <c r="BO28" s="1"/>
      <c r="BP28" s="1"/>
      <c r="BQ28" s="1"/>
      <c r="BR28" s="1"/>
      <c r="BS28" s="1"/>
      <c r="BT28" s="1"/>
    </row>
    <row r="29" ht="105.75" customHeight="1">
      <c r="A29" s="1"/>
      <c r="B29" s="7"/>
      <c r="C29" s="13"/>
      <c r="D29" s="99" t="s">
        <v>39</v>
      </c>
      <c r="E29" s="100"/>
      <c r="F29" s="101">
        <v>500.0</v>
      </c>
      <c r="G29" s="102"/>
      <c r="H29" s="103" t="s">
        <v>40</v>
      </c>
      <c r="I29" s="9"/>
      <c r="J29" s="68"/>
      <c r="K29" s="104">
        <f>K16-K18-K22-K24</f>
        <v>480</v>
      </c>
      <c r="L29" s="59"/>
      <c r="M29" s="59"/>
      <c r="N29" s="59"/>
      <c r="O29" s="105">
        <f>IF(K29=0,1,LOOKUP(K29,$X$17:$X$24,$Y$17:$Y$24))</f>
        <v>1.5</v>
      </c>
      <c r="P29" s="61"/>
      <c r="Q29" s="62"/>
      <c r="R29" s="62"/>
      <c r="S29" s="6"/>
      <c r="T29" s="6"/>
      <c r="U29" s="6"/>
      <c r="V29" s="6"/>
      <c r="W29" s="6"/>
      <c r="X29" s="106" t="s">
        <v>41</v>
      </c>
      <c r="Y29" s="6"/>
      <c r="Z29" s="10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3"/>
      <c r="D30" s="107" t="s">
        <v>42</v>
      </c>
      <c r="E30" s="108"/>
      <c r="F30" s="109">
        <v>29.2</v>
      </c>
      <c r="G30" s="102"/>
      <c r="H30" s="110"/>
      <c r="I30" s="110"/>
      <c r="J30" s="111"/>
      <c r="K30" s="112"/>
      <c r="L30" s="59"/>
      <c r="M30" s="59"/>
      <c r="N30" s="59"/>
      <c r="O30" s="77"/>
      <c r="P30" s="61"/>
      <c r="Q30" s="62"/>
      <c r="R30" s="62"/>
      <c r="S30" s="6"/>
      <c r="T30" s="6"/>
      <c r="U30" s="6"/>
      <c r="V30" s="6"/>
      <c r="W30" s="6"/>
      <c r="X30" s="92" t="s">
        <v>35</v>
      </c>
      <c r="Y30" s="113">
        <f>I43</f>
        <v>20.83333333</v>
      </c>
      <c r="Z30" s="114">
        <f>LOOKUP(Y30,$AA$30:$AZ$30,$AA$31:$AZ$31)</f>
        <v>0</v>
      </c>
      <c r="AA30" s="113">
        <v>0.0</v>
      </c>
      <c r="AB30" s="113">
        <v>2.5</v>
      </c>
      <c r="AC30" s="113">
        <v>7.5</v>
      </c>
      <c r="AD30" s="113">
        <v>12.5</v>
      </c>
      <c r="AE30" s="113">
        <v>17.5</v>
      </c>
      <c r="AF30" s="113">
        <v>20.0</v>
      </c>
      <c r="AG30" s="113">
        <v>22.5</v>
      </c>
      <c r="AH30" s="113">
        <v>27.5</v>
      </c>
      <c r="AI30" s="113">
        <v>30.0</v>
      </c>
      <c r="AJ30" s="113">
        <v>32.5</v>
      </c>
      <c r="AK30" s="113">
        <v>35.0</v>
      </c>
      <c r="AL30" s="113">
        <v>37.5</v>
      </c>
      <c r="AM30" s="113">
        <v>40.0</v>
      </c>
      <c r="AN30" s="113">
        <v>42.5</v>
      </c>
      <c r="AO30" s="113">
        <v>45.0</v>
      </c>
      <c r="AP30" s="113">
        <v>47.5</v>
      </c>
      <c r="AQ30" s="113">
        <v>50.0</v>
      </c>
      <c r="AR30" s="113">
        <v>52.5</v>
      </c>
      <c r="AS30" s="113">
        <v>55.0</v>
      </c>
      <c r="AT30" s="113">
        <v>57.5</v>
      </c>
      <c r="AU30" s="113">
        <v>60.0</v>
      </c>
      <c r="AV30" s="113">
        <v>62.5</v>
      </c>
      <c r="AW30" s="113">
        <v>65.0</v>
      </c>
      <c r="AX30" s="113">
        <v>67.5</v>
      </c>
      <c r="AY30" s="113">
        <v>70.0</v>
      </c>
      <c r="AZ30" s="113">
        <v>72.5</v>
      </c>
      <c r="BA30" s="93"/>
      <c r="BB30" s="6"/>
      <c r="BC30" s="6"/>
      <c r="BD30" s="6"/>
      <c r="BE30" s="6"/>
      <c r="BF30" s="6"/>
      <c r="BG30" s="6"/>
      <c r="BH30" s="6"/>
      <c r="BI30" s="6"/>
      <c r="BJ30" s="1"/>
      <c r="BK30" s="1"/>
      <c r="BL30" s="1"/>
      <c r="BM30" s="1"/>
      <c r="BN30" s="1"/>
      <c r="BO30" s="1"/>
      <c r="BP30" s="1"/>
      <c r="BQ30" s="1"/>
      <c r="BR30" s="1"/>
      <c r="BS30" s="1"/>
      <c r="BT30" s="1"/>
    </row>
    <row r="31" ht="129.0" customHeight="1">
      <c r="A31" s="1"/>
      <c r="B31" s="7"/>
      <c r="C31" s="13"/>
      <c r="D31" s="107" t="s">
        <v>43</v>
      </c>
      <c r="E31" s="108"/>
      <c r="F31" s="101"/>
      <c r="G31" s="102"/>
      <c r="H31" s="115" t="s">
        <v>44</v>
      </c>
      <c r="I31" s="116"/>
      <c r="J31" s="100"/>
      <c r="K31" s="117">
        <f>IF(F29="","",K29*60/F29)</f>
        <v>57.6</v>
      </c>
      <c r="L31" s="59"/>
      <c r="M31" s="118" t="s">
        <v>45</v>
      </c>
      <c r="N31" s="59"/>
      <c r="O31" s="77"/>
      <c r="P31" s="61"/>
      <c r="Q31" s="62"/>
      <c r="R31" s="62"/>
      <c r="S31" s="6"/>
      <c r="T31" s="6"/>
      <c r="U31" s="6"/>
      <c r="V31" s="6"/>
      <c r="W31" s="6"/>
      <c r="X31" s="92" t="s">
        <v>38</v>
      </c>
      <c r="Y31" s="92" t="str">
        <f>+U151</f>
        <v/>
      </c>
      <c r="Z31" s="97"/>
      <c r="AA31" s="93">
        <v>0.0</v>
      </c>
      <c r="AB31" s="98">
        <v>0.0</v>
      </c>
      <c r="AC31" s="92">
        <v>0.0</v>
      </c>
      <c r="AD31" s="92">
        <v>0.0</v>
      </c>
      <c r="AE31" s="98">
        <v>0.0</v>
      </c>
      <c r="AF31" s="98">
        <v>0.0</v>
      </c>
      <c r="AG31" s="98">
        <f t="shared" ref="AG31:AH31" si="1">AG28</f>
        <v>0.5</v>
      </c>
      <c r="AH31" s="98">
        <f t="shared" si="1"/>
        <v>1</v>
      </c>
      <c r="AI31" s="98">
        <v>2.0</v>
      </c>
      <c r="AJ31" s="98">
        <f t="shared" ref="AJ31:AK31" si="2">AJ28</f>
        <v>2</v>
      </c>
      <c r="AK31" s="98">
        <f t="shared" si="2"/>
        <v>2</v>
      </c>
      <c r="AL31" s="98">
        <f t="shared" ref="AL31:AV31" si="3">AL28+1</f>
        <v>4</v>
      </c>
      <c r="AM31" s="98">
        <f t="shared" si="3"/>
        <v>4</v>
      </c>
      <c r="AN31" s="98">
        <f t="shared" si="3"/>
        <v>5</v>
      </c>
      <c r="AO31" s="98">
        <f t="shared" si="3"/>
        <v>5</v>
      </c>
      <c r="AP31" s="98">
        <f t="shared" si="3"/>
        <v>6</v>
      </c>
      <c r="AQ31" s="98">
        <f t="shared" si="3"/>
        <v>6</v>
      </c>
      <c r="AR31" s="98">
        <f t="shared" si="3"/>
        <v>7</v>
      </c>
      <c r="AS31" s="98">
        <f t="shared" si="3"/>
        <v>7</v>
      </c>
      <c r="AT31" s="98">
        <f t="shared" si="3"/>
        <v>8</v>
      </c>
      <c r="AU31" s="98">
        <f t="shared" si="3"/>
        <v>8</v>
      </c>
      <c r="AV31" s="98">
        <f t="shared" si="3"/>
        <v>9</v>
      </c>
      <c r="AW31" s="98">
        <v>9.0</v>
      </c>
      <c r="AX31" s="98">
        <f t="shared" ref="AX31:AY31" si="4">AX28+1</f>
        <v>10</v>
      </c>
      <c r="AY31" s="98">
        <f t="shared" si="4"/>
        <v>10</v>
      </c>
      <c r="AZ31" s="98">
        <v>10.0</v>
      </c>
      <c r="BA31" s="92"/>
      <c r="BB31" s="6"/>
      <c r="BC31" s="6"/>
      <c r="BD31" s="6"/>
      <c r="BE31" s="6"/>
      <c r="BF31" s="6"/>
      <c r="BG31" s="6"/>
      <c r="BH31" s="6"/>
      <c r="BI31" s="6"/>
      <c r="BJ31" s="1"/>
      <c r="BK31" s="1"/>
      <c r="BL31" s="1"/>
      <c r="BM31" s="1"/>
      <c r="BN31" s="1"/>
      <c r="BO31" s="1"/>
      <c r="BP31" s="1"/>
      <c r="BQ31" s="1"/>
      <c r="BR31" s="1"/>
      <c r="BS31" s="1"/>
      <c r="BT31" s="1"/>
    </row>
    <row r="32" ht="84.0" customHeight="1">
      <c r="A32" s="1"/>
      <c r="B32" s="7"/>
      <c r="C32" s="13"/>
      <c r="D32" s="107" t="s">
        <v>46</v>
      </c>
      <c r="E32" s="108"/>
      <c r="F32" s="101"/>
      <c r="G32" s="102"/>
      <c r="H32" s="119" t="s">
        <v>47</v>
      </c>
      <c r="I32" s="16"/>
      <c r="J32" s="17"/>
      <c r="K32" s="120">
        <f>IF(F29="","",(K31-F30)/K31)</f>
        <v>0.4930555556</v>
      </c>
      <c r="L32" s="59"/>
      <c r="M32" s="121">
        <f>IF(F29="","",K29*K32)</f>
        <v>236.6666667</v>
      </c>
      <c r="N32" s="59"/>
      <c r="O32" s="77"/>
      <c r="P32" s="61"/>
      <c r="Q32" s="62"/>
      <c r="R32" s="62"/>
      <c r="S32" s="6"/>
      <c r="T32" s="6"/>
      <c r="U32" s="6"/>
      <c r="V32" s="6"/>
      <c r="W32" s="6"/>
      <c r="X32" s="122" t="s">
        <v>33</v>
      </c>
      <c r="Y32" s="123"/>
      <c r="Z32" s="122"/>
      <c r="AA32" s="124"/>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6"/>
      <c r="BC32" s="6"/>
      <c r="BD32" s="6"/>
      <c r="BE32" s="6"/>
      <c r="BF32" s="6"/>
      <c r="BG32" s="6"/>
      <c r="BH32" s="6"/>
      <c r="BI32" s="6"/>
      <c r="BJ32" s="1"/>
      <c r="BK32" s="1"/>
      <c r="BL32" s="1"/>
      <c r="BM32" s="1"/>
      <c r="BN32" s="1"/>
      <c r="BO32" s="1"/>
      <c r="BP32" s="1"/>
      <c r="BQ32" s="1"/>
      <c r="BR32" s="1"/>
      <c r="BS32" s="1"/>
      <c r="BT32" s="1"/>
    </row>
    <row r="33" ht="12.75" customHeight="1">
      <c r="A33" s="1"/>
      <c r="B33" s="7"/>
      <c r="C33" s="13"/>
      <c r="D33" s="56"/>
      <c r="E33" s="57"/>
      <c r="F33" s="57"/>
      <c r="G33" s="57"/>
      <c r="H33" s="57"/>
      <c r="I33" s="57"/>
      <c r="J33" s="58"/>
      <c r="K33" s="59"/>
      <c r="L33" s="59"/>
      <c r="M33" s="59"/>
      <c r="N33" s="59"/>
      <c r="O33" s="77"/>
      <c r="P33" s="61"/>
      <c r="Q33" s="62"/>
      <c r="R33" s="62"/>
      <c r="S33" s="6"/>
      <c r="T33" s="6"/>
      <c r="U33" s="6"/>
      <c r="V33" s="6"/>
      <c r="W33" s="6"/>
      <c r="X33" s="92" t="s">
        <v>48</v>
      </c>
      <c r="Y33" s="92">
        <f>M43</f>
        <v>10.41666667</v>
      </c>
      <c r="Z33" s="94">
        <f>LOOKUP(Y33,$AA$33:$AZ$33,$AA$34:$AZ$34)</f>
        <v>0</v>
      </c>
      <c r="AA33" s="92">
        <v>0.0</v>
      </c>
      <c r="AB33" s="92">
        <v>2.5</v>
      </c>
      <c r="AC33" s="92">
        <v>7.5</v>
      </c>
      <c r="AD33" s="92">
        <v>12.5</v>
      </c>
      <c r="AE33" s="92">
        <v>17.5</v>
      </c>
      <c r="AF33" s="92">
        <v>20.0</v>
      </c>
      <c r="AG33" s="92">
        <v>22.5</v>
      </c>
      <c r="AH33" s="92">
        <v>27.5</v>
      </c>
      <c r="AI33" s="92">
        <v>30.0</v>
      </c>
      <c r="AJ33" s="92">
        <v>32.5</v>
      </c>
      <c r="AK33" s="92">
        <v>35.0</v>
      </c>
      <c r="AL33" s="92">
        <v>37.5</v>
      </c>
      <c r="AM33" s="92">
        <v>40.0</v>
      </c>
      <c r="AN33" s="92">
        <v>42.5</v>
      </c>
      <c r="AO33" s="92">
        <v>45.0</v>
      </c>
      <c r="AP33" s="92">
        <v>47.5</v>
      </c>
      <c r="AQ33" s="92">
        <v>50.0</v>
      </c>
      <c r="AR33" s="92">
        <v>52.5</v>
      </c>
      <c r="AS33" s="92">
        <v>55.0</v>
      </c>
      <c r="AT33" s="92">
        <v>57.5</v>
      </c>
      <c r="AU33" s="92">
        <v>60.0</v>
      </c>
      <c r="AV33" s="92">
        <v>62.5</v>
      </c>
      <c r="AW33" s="92">
        <v>65.0</v>
      </c>
      <c r="AX33" s="92">
        <v>67.5</v>
      </c>
      <c r="AY33" s="92">
        <v>70.0</v>
      </c>
      <c r="AZ33" s="92">
        <v>72.5</v>
      </c>
      <c r="BA33" s="93"/>
      <c r="BB33" s="6"/>
      <c r="BC33" s="6"/>
      <c r="BD33" s="6"/>
      <c r="BE33" s="6"/>
      <c r="BF33" s="6"/>
      <c r="BG33" s="6"/>
      <c r="BH33" s="6"/>
      <c r="BI33" s="6"/>
      <c r="BJ33" s="1"/>
      <c r="BK33" s="1"/>
      <c r="BL33" s="1"/>
      <c r="BM33" s="1"/>
      <c r="BN33" s="1"/>
      <c r="BO33" s="1"/>
      <c r="BP33" s="1"/>
      <c r="BQ33" s="1"/>
      <c r="BR33" s="1"/>
      <c r="BS33" s="1"/>
      <c r="BT33" s="1"/>
    </row>
    <row r="34" ht="41.25" customHeight="1">
      <c r="A34" s="1"/>
      <c r="B34" s="7"/>
      <c r="C34" s="125" t="s">
        <v>49</v>
      </c>
      <c r="D34" s="9"/>
      <c r="E34" s="9"/>
      <c r="F34" s="9"/>
      <c r="G34" s="9"/>
      <c r="H34" s="9"/>
      <c r="I34" s="9"/>
      <c r="J34" s="9"/>
      <c r="K34" s="9"/>
      <c r="L34" s="9"/>
      <c r="M34" s="9"/>
      <c r="N34" s="59"/>
      <c r="O34" s="126"/>
      <c r="P34" s="127"/>
      <c r="Q34" s="128"/>
      <c r="R34" s="128"/>
      <c r="S34" s="6"/>
      <c r="T34" s="6"/>
      <c r="U34" s="6"/>
      <c r="V34" s="6"/>
      <c r="W34" s="6"/>
      <c r="X34" s="92" t="s">
        <v>38</v>
      </c>
      <c r="Y34" s="92" t="str">
        <f>+U154</f>
        <v/>
      </c>
      <c r="Z34" s="97"/>
      <c r="AA34" s="93">
        <v>0.0</v>
      </c>
      <c r="AB34" s="98">
        <v>0.0</v>
      </c>
      <c r="AC34" s="92">
        <v>0.0</v>
      </c>
      <c r="AD34" s="92">
        <v>0.0</v>
      </c>
      <c r="AE34" s="98">
        <v>0.0</v>
      </c>
      <c r="AF34" s="98">
        <v>0.0</v>
      </c>
      <c r="AG34" s="98">
        <v>0.5</v>
      </c>
      <c r="AH34" s="98">
        <v>1.0</v>
      </c>
      <c r="AI34" s="98">
        <v>1.0</v>
      </c>
      <c r="AJ34" s="98">
        <v>2.0</v>
      </c>
      <c r="AK34" s="98">
        <v>2.0</v>
      </c>
      <c r="AL34" s="98">
        <v>3.0</v>
      </c>
      <c r="AM34" s="98">
        <v>3.0</v>
      </c>
      <c r="AN34" s="98">
        <v>4.0</v>
      </c>
      <c r="AO34" s="98">
        <v>4.0</v>
      </c>
      <c r="AP34" s="98">
        <v>5.0</v>
      </c>
      <c r="AQ34" s="98">
        <v>5.0</v>
      </c>
      <c r="AR34" s="98">
        <v>6.0</v>
      </c>
      <c r="AS34" s="98">
        <v>6.0</v>
      </c>
      <c r="AT34" s="98">
        <v>7.0</v>
      </c>
      <c r="AU34" s="98">
        <v>7.0</v>
      </c>
      <c r="AV34" s="98">
        <v>8.0</v>
      </c>
      <c r="AW34" s="98">
        <v>8.0</v>
      </c>
      <c r="AX34" s="98">
        <v>9.0</v>
      </c>
      <c r="AY34" s="98">
        <v>9.0</v>
      </c>
      <c r="AZ34" s="98">
        <v>9.0</v>
      </c>
      <c r="BA34" s="92"/>
      <c r="BB34" s="6"/>
      <c r="BC34" s="6"/>
      <c r="BD34" s="6"/>
      <c r="BE34" s="6"/>
      <c r="BF34" s="6"/>
      <c r="BG34" s="6"/>
      <c r="BH34" s="6"/>
      <c r="BI34" s="6"/>
      <c r="BJ34" s="1"/>
      <c r="BK34" s="1"/>
      <c r="BL34" s="1"/>
      <c r="BM34" s="1"/>
      <c r="BN34" s="1"/>
      <c r="BO34" s="1"/>
      <c r="BP34" s="1"/>
      <c r="BQ34" s="1"/>
      <c r="BR34" s="1"/>
      <c r="BS34" s="1"/>
      <c r="BT34" s="1"/>
    </row>
    <row r="35" ht="15.0" customHeight="1">
      <c r="A35" s="1"/>
      <c r="B35" s="7"/>
      <c r="C35" s="13"/>
      <c r="D35" s="56"/>
      <c r="E35" s="57"/>
      <c r="F35" s="57"/>
      <c r="G35" s="57"/>
      <c r="H35" s="57"/>
      <c r="I35" s="57"/>
      <c r="J35" s="58"/>
      <c r="K35" s="59"/>
      <c r="L35" s="129"/>
      <c r="M35" s="129"/>
      <c r="N35" s="59"/>
      <c r="O35" s="130"/>
      <c r="P35" s="127"/>
      <c r="Q35" s="128"/>
      <c r="R35" s="128"/>
      <c r="S35" s="6"/>
      <c r="T35" s="6"/>
      <c r="U35" s="6"/>
      <c r="V35" s="6"/>
      <c r="W35" s="6"/>
      <c r="X35" s="106" t="s">
        <v>41</v>
      </c>
      <c r="Y35" s="6"/>
      <c r="Z35" s="10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3"/>
      <c r="D36" s="131" t="s">
        <v>50</v>
      </c>
      <c r="E36" s="132"/>
      <c r="F36" s="132"/>
      <c r="G36" s="132"/>
      <c r="H36" s="132"/>
      <c r="I36" s="132"/>
      <c r="J36" s="132"/>
      <c r="K36" s="133"/>
      <c r="L36" s="129"/>
      <c r="M36" s="129"/>
      <c r="N36" s="59"/>
      <c r="O36" s="134"/>
      <c r="P36" s="127"/>
      <c r="Q36" s="128"/>
      <c r="R36" s="128"/>
      <c r="S36" s="128"/>
      <c r="T36" s="6"/>
      <c r="U36" s="6"/>
      <c r="V36" s="6"/>
      <c r="W36" s="6"/>
      <c r="X36" s="92" t="s">
        <v>48</v>
      </c>
      <c r="Y36" s="93">
        <f>M43</f>
        <v>10.41666667</v>
      </c>
      <c r="Z36" s="94">
        <f>LOOKUP(Y36,$AA$36:$AZ$36,$AA$37:$AZ$37)</f>
        <v>0</v>
      </c>
      <c r="AA36" s="93">
        <v>0.0</v>
      </c>
      <c r="AB36" s="93">
        <v>2.5</v>
      </c>
      <c r="AC36" s="93">
        <v>7.5</v>
      </c>
      <c r="AD36" s="93">
        <v>12.5</v>
      </c>
      <c r="AE36" s="93">
        <v>17.5</v>
      </c>
      <c r="AF36" s="93">
        <v>20.0</v>
      </c>
      <c r="AG36" s="93">
        <v>22.5</v>
      </c>
      <c r="AH36" s="93">
        <v>27.5</v>
      </c>
      <c r="AI36" s="93">
        <v>30.0</v>
      </c>
      <c r="AJ36" s="93">
        <v>32.5</v>
      </c>
      <c r="AK36" s="93">
        <v>35.0</v>
      </c>
      <c r="AL36" s="93">
        <v>37.5</v>
      </c>
      <c r="AM36" s="93">
        <v>40.0</v>
      </c>
      <c r="AN36" s="93">
        <v>42.5</v>
      </c>
      <c r="AO36" s="93">
        <v>45.0</v>
      </c>
      <c r="AP36" s="93">
        <v>47.5</v>
      </c>
      <c r="AQ36" s="93">
        <v>50.0</v>
      </c>
      <c r="AR36" s="93">
        <v>52.5</v>
      </c>
      <c r="AS36" s="93">
        <v>55.0</v>
      </c>
      <c r="AT36" s="93">
        <v>57.5</v>
      </c>
      <c r="AU36" s="93">
        <v>60.0</v>
      </c>
      <c r="AV36" s="93">
        <v>62.5</v>
      </c>
      <c r="AW36" s="93">
        <v>65.0</v>
      </c>
      <c r="AX36" s="93">
        <v>67.5</v>
      </c>
      <c r="AY36" s="93">
        <v>70.0</v>
      </c>
      <c r="AZ36" s="93">
        <v>72.5</v>
      </c>
      <c r="BA36" s="93"/>
      <c r="BB36" s="6"/>
      <c r="BC36" s="6"/>
      <c r="BD36" s="6"/>
      <c r="BE36" s="6"/>
      <c r="BF36" s="6"/>
      <c r="BG36" s="6"/>
      <c r="BH36" s="6"/>
      <c r="BI36" s="6"/>
      <c r="BJ36" s="1"/>
      <c r="BK36" s="1"/>
      <c r="BL36" s="1"/>
      <c r="BM36" s="1"/>
      <c r="BN36" s="1"/>
      <c r="BO36" s="1"/>
      <c r="BP36" s="1"/>
      <c r="BQ36" s="1"/>
      <c r="BR36" s="1"/>
      <c r="BS36" s="1"/>
      <c r="BT36" s="1"/>
    </row>
    <row r="37" ht="12.75" customHeight="1">
      <c r="A37" s="1"/>
      <c r="B37" s="7"/>
      <c r="C37" s="13"/>
      <c r="D37" s="135"/>
      <c r="E37" s="136"/>
      <c r="F37" s="136"/>
      <c r="G37" s="136"/>
      <c r="H37" s="136"/>
      <c r="I37" s="136"/>
      <c r="J37" s="136"/>
      <c r="K37" s="137"/>
      <c r="L37" s="129"/>
      <c r="M37" s="129"/>
      <c r="N37" s="59"/>
      <c r="O37" s="134"/>
      <c r="P37" s="127"/>
      <c r="Q37" s="128"/>
      <c r="R37" s="128"/>
      <c r="S37" s="128"/>
      <c r="T37" s="6"/>
      <c r="U37" s="6"/>
      <c r="V37" s="6"/>
      <c r="W37" s="6"/>
      <c r="X37" s="92" t="s">
        <v>38</v>
      </c>
      <c r="Y37" s="92" t="str">
        <f>+U157</f>
        <v/>
      </c>
      <c r="Z37" s="97"/>
      <c r="AA37" s="93">
        <v>0.0</v>
      </c>
      <c r="AB37" s="98">
        <v>0.0</v>
      </c>
      <c r="AC37" s="92">
        <v>0.0</v>
      </c>
      <c r="AD37" s="92">
        <v>0.0</v>
      </c>
      <c r="AE37" s="98">
        <v>0.0</v>
      </c>
      <c r="AF37" s="98">
        <v>0.0</v>
      </c>
      <c r="AG37" s="98">
        <f t="shared" ref="AG37:AH37" si="5">AG34</f>
        <v>0.5</v>
      </c>
      <c r="AH37" s="98">
        <f t="shared" si="5"/>
        <v>1</v>
      </c>
      <c r="AI37" s="98">
        <v>2.0</v>
      </c>
      <c r="AJ37" s="98">
        <f t="shared" ref="AJ37:AK37" si="6">AJ34</f>
        <v>2</v>
      </c>
      <c r="AK37" s="98">
        <f t="shared" si="6"/>
        <v>2</v>
      </c>
      <c r="AL37" s="98">
        <f t="shared" ref="AL37:AY37" si="7">AL34+1</f>
        <v>4</v>
      </c>
      <c r="AM37" s="98">
        <f t="shared" si="7"/>
        <v>4</v>
      </c>
      <c r="AN37" s="98">
        <f t="shared" si="7"/>
        <v>5</v>
      </c>
      <c r="AO37" s="98">
        <f t="shared" si="7"/>
        <v>5</v>
      </c>
      <c r="AP37" s="98">
        <f t="shared" si="7"/>
        <v>6</v>
      </c>
      <c r="AQ37" s="98">
        <f t="shared" si="7"/>
        <v>6</v>
      </c>
      <c r="AR37" s="98">
        <f t="shared" si="7"/>
        <v>7</v>
      </c>
      <c r="AS37" s="98">
        <f t="shared" si="7"/>
        <v>7</v>
      </c>
      <c r="AT37" s="98">
        <f t="shared" si="7"/>
        <v>8</v>
      </c>
      <c r="AU37" s="98">
        <f t="shared" si="7"/>
        <v>8</v>
      </c>
      <c r="AV37" s="98">
        <f t="shared" si="7"/>
        <v>9</v>
      </c>
      <c r="AW37" s="98">
        <f t="shared" si="7"/>
        <v>9</v>
      </c>
      <c r="AX37" s="98">
        <f t="shared" si="7"/>
        <v>10</v>
      </c>
      <c r="AY37" s="98">
        <f t="shared" si="7"/>
        <v>10</v>
      </c>
      <c r="AZ37" s="98">
        <v>10.0</v>
      </c>
      <c r="BA37" s="92"/>
      <c r="BB37" s="6"/>
      <c r="BC37" s="6"/>
      <c r="BD37" s="6"/>
      <c r="BE37" s="6"/>
      <c r="BF37" s="6"/>
      <c r="BG37" s="6"/>
      <c r="BH37" s="6"/>
      <c r="BI37" s="6"/>
      <c r="BJ37" s="1"/>
      <c r="BK37" s="1"/>
      <c r="BL37" s="1"/>
      <c r="BM37" s="1"/>
      <c r="BN37" s="1"/>
      <c r="BO37" s="1"/>
      <c r="BP37" s="1"/>
      <c r="BQ37" s="1"/>
      <c r="BR37" s="1"/>
      <c r="BS37" s="1"/>
      <c r="BT37" s="1"/>
    </row>
    <row r="38" ht="16.5" customHeight="1">
      <c r="A38" s="1"/>
      <c r="B38" s="7"/>
      <c r="C38" s="13"/>
      <c r="D38" s="56"/>
      <c r="E38" s="57"/>
      <c r="F38" s="57"/>
      <c r="G38" s="57"/>
      <c r="H38" s="57"/>
      <c r="I38" s="57"/>
      <c r="J38" s="58"/>
      <c r="K38" s="59"/>
      <c r="L38" s="129"/>
      <c r="M38" s="129"/>
      <c r="N38" s="59"/>
      <c r="O38" s="138"/>
      <c r="P38" s="139"/>
      <c r="Q38" s="89"/>
      <c r="R38" s="89"/>
      <c r="S38" s="89"/>
      <c r="T38" s="89"/>
      <c r="U38" s="89"/>
      <c r="V38" s="89"/>
      <c r="W38" s="89"/>
      <c r="X38" s="89"/>
      <c r="Y38" s="89"/>
      <c r="Z38" s="89"/>
      <c r="AA38" s="89"/>
      <c r="AB38" s="89"/>
      <c r="AC38" s="89"/>
      <c r="AD38" s="89"/>
      <c r="AE38" s="89"/>
      <c r="AF38" s="89"/>
      <c r="AG38" s="89"/>
      <c r="AH38" s="89"/>
      <c r="AI38" s="89"/>
      <c r="AJ38" s="89"/>
      <c r="AK38" s="89"/>
      <c r="AL38" s="89"/>
      <c r="AM38" s="89"/>
      <c r="AN38" s="89"/>
      <c r="AO38" s="89"/>
      <c r="AP38" s="89"/>
      <c r="AQ38" s="89"/>
      <c r="AR38" s="89"/>
      <c r="AS38" s="89"/>
      <c r="AT38" s="89"/>
      <c r="AU38" s="89"/>
      <c r="AV38" s="89"/>
      <c r="AW38" s="89"/>
      <c r="AX38" s="89"/>
      <c r="AY38" s="89"/>
      <c r="AZ38" s="89"/>
      <c r="BA38" s="89"/>
      <c r="BB38" s="89"/>
      <c r="BC38" s="89"/>
      <c r="BD38" s="89"/>
      <c r="BE38" s="89"/>
      <c r="BF38" s="89"/>
      <c r="BG38" s="89"/>
      <c r="BH38" s="89"/>
      <c r="BI38" s="89"/>
      <c r="BJ38" s="1"/>
      <c r="BK38" s="1"/>
      <c r="BL38" s="1"/>
      <c r="BM38" s="1"/>
      <c r="BN38" s="1"/>
      <c r="BO38" s="1"/>
      <c r="BP38" s="1"/>
      <c r="BQ38" s="1"/>
      <c r="BR38" s="1"/>
      <c r="BS38" s="1"/>
      <c r="BT38" s="1"/>
    </row>
    <row r="39" ht="50.25" customHeight="1">
      <c r="A39" s="1"/>
      <c r="B39" s="7"/>
      <c r="C39" s="11" t="s">
        <v>51</v>
      </c>
      <c r="D39" s="9"/>
      <c r="E39" s="9"/>
      <c r="F39" s="9"/>
      <c r="G39" s="9"/>
      <c r="H39" s="9"/>
      <c r="I39" s="9"/>
      <c r="J39" s="9"/>
      <c r="K39" s="9"/>
      <c r="L39" s="9"/>
      <c r="M39" s="9"/>
      <c r="N39" s="59"/>
      <c r="O39" s="138"/>
      <c r="P39" s="139"/>
      <c r="Q39" s="6"/>
      <c r="R39" s="6"/>
      <c r="S39" s="6"/>
      <c r="T39" s="6"/>
      <c r="U39" s="6"/>
      <c r="V39" s="6"/>
      <c r="W39" s="6"/>
      <c r="X39" s="6"/>
      <c r="Y39" s="6"/>
      <c r="Z39" s="6"/>
      <c r="AA39" s="6"/>
      <c r="AB39" s="6"/>
      <c r="AC39" s="6"/>
      <c r="AD39" s="6"/>
      <c r="AE39" s="6"/>
      <c r="AF39" s="140">
        <v>1.0</v>
      </c>
      <c r="AG39" s="141">
        <v>9.0</v>
      </c>
      <c r="AH39" s="141">
        <v>600.0</v>
      </c>
      <c r="AI39" s="142">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3"/>
      <c r="D40" s="56"/>
      <c r="E40" s="57"/>
      <c r="F40" s="57"/>
      <c r="G40" s="57"/>
      <c r="H40" s="57"/>
      <c r="I40" s="57"/>
      <c r="J40" s="58"/>
      <c r="K40" s="59"/>
      <c r="L40" s="143"/>
      <c r="M40" s="144"/>
      <c r="N40" s="59"/>
      <c r="O40" s="138"/>
      <c r="P40" s="139"/>
      <c r="Q40" s="6"/>
      <c r="R40" s="106" t="s">
        <v>52</v>
      </c>
      <c r="S40" s="106"/>
      <c r="T40" s="6"/>
      <c r="U40" s="6"/>
      <c r="V40" s="6"/>
      <c r="W40" s="6"/>
      <c r="X40" s="145"/>
      <c r="Y40" s="146"/>
      <c r="Z40" s="147"/>
      <c r="AA40" s="147"/>
      <c r="AB40" s="147"/>
      <c r="AC40" s="140"/>
      <c r="AD40" s="140"/>
      <c r="AE40" s="140"/>
      <c r="AF40" s="140">
        <v>2.0</v>
      </c>
      <c r="AG40" s="141">
        <v>8.0</v>
      </c>
      <c r="AH40" s="141">
        <v>540.0</v>
      </c>
      <c r="AI40" s="142">
        <f t="shared" si="8"/>
        <v>4</v>
      </c>
      <c r="AJ40" s="140"/>
      <c r="AK40" s="140"/>
      <c r="AL40" s="140"/>
      <c r="AM40" s="140"/>
      <c r="AN40" s="148"/>
      <c r="AO40" s="6"/>
      <c r="AP40" s="149" t="s">
        <v>53</v>
      </c>
      <c r="AQ40" s="17"/>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0"/>
      <c r="D41" s="151" t="s">
        <v>54</v>
      </c>
      <c r="E41" s="152" t="s">
        <v>55</v>
      </c>
      <c r="F41" s="29"/>
      <c r="G41" s="153"/>
      <c r="H41" s="152" t="s">
        <v>56</v>
      </c>
      <c r="I41" s="29"/>
      <c r="J41" s="153"/>
      <c r="K41" s="152" t="s">
        <v>57</v>
      </c>
      <c r="L41" s="29" t="s">
        <v>14</v>
      </c>
      <c r="M41" s="150"/>
      <c r="N41" s="59"/>
      <c r="O41" s="138"/>
      <c r="P41" s="139"/>
      <c r="Q41" s="6"/>
      <c r="R41" s="154">
        <f>IF(F29="",F31,K31)</f>
        <v>57.6</v>
      </c>
      <c r="S41" s="106"/>
      <c r="T41" s="6"/>
      <c r="U41" s="6"/>
      <c r="V41" s="6"/>
      <c r="W41" s="6"/>
      <c r="X41" s="155"/>
      <c r="Y41" s="156">
        <f>K20</f>
        <v>3</v>
      </c>
      <c r="Z41" s="157" t="s">
        <v>58</v>
      </c>
      <c r="AA41" s="158"/>
      <c r="AB41" s="159"/>
      <c r="AC41" s="160"/>
      <c r="AD41" s="160"/>
      <c r="AE41" s="160"/>
      <c r="AF41" s="140">
        <v>3.0</v>
      </c>
      <c r="AG41" s="161">
        <v>7.0</v>
      </c>
      <c r="AH41" s="161">
        <v>480.0</v>
      </c>
      <c r="AI41" s="162">
        <f t="shared" si="8"/>
        <v>3</v>
      </c>
      <c r="AJ41" s="160"/>
      <c r="AK41" s="162">
        <f t="shared" ref="AK41:AL41" si="9">AH55</f>
        <v>0</v>
      </c>
      <c r="AL41" s="156">
        <f t="shared" si="9"/>
        <v>0</v>
      </c>
      <c r="AM41" s="160"/>
      <c r="AN41" s="163"/>
      <c r="AO41" s="6"/>
      <c r="AP41" s="164">
        <v>0.0</v>
      </c>
      <c r="AQ41" s="165">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0"/>
      <c r="D42" s="166"/>
      <c r="E42" s="166"/>
      <c r="F42" s="166"/>
      <c r="G42" s="166"/>
      <c r="H42" s="166" t="s">
        <v>59</v>
      </c>
      <c r="I42" s="166" t="s">
        <v>60</v>
      </c>
      <c r="J42" s="166"/>
      <c r="K42" s="166"/>
      <c r="L42" s="166" t="s">
        <v>59</v>
      </c>
      <c r="M42" s="166" t="s">
        <v>60</v>
      </c>
      <c r="N42" s="166"/>
      <c r="O42" s="138"/>
      <c r="P42" s="139"/>
      <c r="Q42" s="6"/>
      <c r="R42" s="6"/>
      <c r="S42" s="6"/>
      <c r="T42" s="6"/>
      <c r="U42" s="6"/>
      <c r="V42" s="6"/>
      <c r="W42" s="6"/>
      <c r="X42" s="155"/>
      <c r="Y42" s="156">
        <f>IF(K24="","",1)</f>
        <v>1</v>
      </c>
      <c r="Z42" s="167" t="s">
        <v>61</v>
      </c>
      <c r="AA42" s="16"/>
      <c r="AB42" s="17"/>
      <c r="AC42" s="160"/>
      <c r="AD42" s="160"/>
      <c r="AE42" s="160"/>
      <c r="AF42" s="140">
        <v>4.0</v>
      </c>
      <c r="AG42" s="161">
        <v>7.0</v>
      </c>
      <c r="AH42" s="161">
        <v>460.0</v>
      </c>
      <c r="AI42" s="162">
        <f t="shared" si="8"/>
        <v>3</v>
      </c>
      <c r="AJ42" s="160"/>
      <c r="AK42" s="162">
        <f t="shared" ref="AK42:AL42" si="10">AH54</f>
        <v>120</v>
      </c>
      <c r="AL42" s="156">
        <f t="shared" si="10"/>
        <v>-3</v>
      </c>
      <c r="AM42" s="160"/>
      <c r="AN42" s="163"/>
      <c r="AO42" s="6"/>
      <c r="AP42" s="164">
        <v>0.5</v>
      </c>
      <c r="AQ42" s="165">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68" t="s">
        <v>62</v>
      </c>
      <c r="D43" s="169" t="s">
        <v>63</v>
      </c>
      <c r="E43" s="68"/>
      <c r="F43" s="170" t="s">
        <v>64</v>
      </c>
      <c r="G43" s="17"/>
      <c r="H43" s="29">
        <v>20.0</v>
      </c>
      <c r="I43" s="171">
        <f>IF(H44="",IF($R$41=0,0,H43*60/$R$41),I44)</f>
        <v>20.83333333</v>
      </c>
      <c r="J43" s="13"/>
      <c r="K43" s="172" t="s">
        <v>65</v>
      </c>
      <c r="L43" s="29">
        <v>10.0</v>
      </c>
      <c r="M43" s="171">
        <f>IF(L44="",IF($R$41=0,0,L43*60/$R$41),M44)</f>
        <v>10.41666667</v>
      </c>
      <c r="N43" s="59"/>
      <c r="O43" s="96" t="s">
        <v>60</v>
      </c>
      <c r="P43" s="139"/>
      <c r="Q43" s="6"/>
      <c r="R43" s="173" t="s">
        <v>66</v>
      </c>
      <c r="S43" s="173" t="s">
        <v>67</v>
      </c>
      <c r="T43" s="6"/>
      <c r="U43" s="6" t="s">
        <v>68</v>
      </c>
      <c r="V43" s="6"/>
      <c r="W43" s="6"/>
      <c r="X43" s="155"/>
      <c r="Y43" s="156" t="str">
        <f>K26</f>
        <v/>
      </c>
      <c r="Z43" s="167" t="s">
        <v>69</v>
      </c>
      <c r="AA43" s="16"/>
      <c r="AB43" s="17"/>
      <c r="AC43" s="160"/>
      <c r="AD43" s="160"/>
      <c r="AE43" s="160"/>
      <c r="AF43" s="140">
        <v>5.0</v>
      </c>
      <c r="AG43" s="161">
        <v>6.5</v>
      </c>
      <c r="AH43" s="161">
        <v>440.0</v>
      </c>
      <c r="AI43" s="162">
        <f t="shared" si="8"/>
        <v>2.5</v>
      </c>
      <c r="AJ43" s="160"/>
      <c r="AK43" s="162">
        <f t="shared" ref="AK43:AL43" si="11">AH53</f>
        <v>180</v>
      </c>
      <c r="AL43" s="156">
        <f t="shared" si="11"/>
        <v>-2</v>
      </c>
      <c r="AM43" s="160"/>
      <c r="AN43" s="163"/>
      <c r="AO43" s="6"/>
      <c r="AP43" s="164">
        <v>1.0</v>
      </c>
      <c r="AQ43" s="165">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3"/>
      <c r="D44" s="174" t="s">
        <v>70</v>
      </c>
      <c r="E44" s="68"/>
      <c r="F44" s="170" t="s">
        <v>64</v>
      </c>
      <c r="G44" s="17"/>
      <c r="H44" s="29"/>
      <c r="I44" s="175" t="str">
        <f>IF(H44="","",72)</f>
        <v/>
      </c>
      <c r="J44" s="13"/>
      <c r="K44" s="172" t="s">
        <v>65</v>
      </c>
      <c r="L44" s="29"/>
      <c r="M44" s="176" t="str">
        <f>IF(L44="","",72)</f>
        <v/>
      </c>
      <c r="N44" s="59"/>
      <c r="O44" s="96" t="s">
        <v>71</v>
      </c>
      <c r="P44" s="139"/>
      <c r="Q44" s="6"/>
      <c r="R44" s="6"/>
      <c r="S44" s="6"/>
      <c r="T44" s="6"/>
      <c r="U44" s="6" t="s">
        <v>55</v>
      </c>
      <c r="V44" s="6" t="s">
        <v>72</v>
      </c>
      <c r="W44" s="6"/>
      <c r="X44" s="155"/>
      <c r="Y44" s="177">
        <f>SUM(Y40:Y43)</f>
        <v>4</v>
      </c>
      <c r="Z44" s="167" t="s">
        <v>73</v>
      </c>
      <c r="AA44" s="16"/>
      <c r="AB44" s="17"/>
      <c r="AC44" s="160"/>
      <c r="AD44" s="160"/>
      <c r="AE44" s="160"/>
      <c r="AF44" s="140">
        <v>6.0</v>
      </c>
      <c r="AG44" s="161">
        <v>6.0</v>
      </c>
      <c r="AH44" s="161">
        <v>420.0</v>
      </c>
      <c r="AI44" s="162">
        <f t="shared" si="8"/>
        <v>2</v>
      </c>
      <c r="AJ44" s="160"/>
      <c r="AK44" s="142">
        <f t="shared" ref="AK44:AL44" si="12">AH52</f>
        <v>210</v>
      </c>
      <c r="AL44" s="178">
        <f t="shared" si="12"/>
        <v>-1.5</v>
      </c>
      <c r="AM44" s="160"/>
      <c r="AN44" s="163"/>
      <c r="AO44" s="6"/>
      <c r="AP44" s="164">
        <v>1.5</v>
      </c>
      <c r="AQ44" s="165">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79"/>
      <c r="D45" s="180" t="s">
        <v>74</v>
      </c>
      <c r="E45" s="44"/>
      <c r="F45" s="44"/>
      <c r="G45" s="181"/>
      <c r="H45" s="172" t="s">
        <v>15</v>
      </c>
      <c r="I45" s="172" t="s">
        <v>13</v>
      </c>
      <c r="J45" s="182"/>
      <c r="K45" s="179"/>
      <c r="L45" s="179"/>
      <c r="M45" s="183" t="str">
        <f>IF(J45="","",J45*60/K32)</f>
        <v/>
      </c>
      <c r="N45" s="59"/>
      <c r="O45" s="184">
        <f t="shared" ref="O45:P45" si="13">U45</f>
        <v>0</v>
      </c>
      <c r="P45" s="185">
        <f t="shared" si="13"/>
        <v>0</v>
      </c>
      <c r="Q45" s="6"/>
      <c r="R45" s="94">
        <f>IF(I46="",Z30,Z27)</f>
        <v>0</v>
      </c>
      <c r="S45" s="94">
        <f>IF(I46="",Z36,Z33)</f>
        <v>0</v>
      </c>
      <c r="T45" s="6"/>
      <c r="U45" s="186">
        <f t="shared" ref="U45:V45" si="14">MAX(R45:R46)</f>
        <v>0</v>
      </c>
      <c r="V45" s="186">
        <f t="shared" si="14"/>
        <v>0</v>
      </c>
      <c r="W45" s="6"/>
      <c r="X45" s="155"/>
      <c r="Y45" s="160"/>
      <c r="Z45" s="160"/>
      <c r="AA45" s="187">
        <f>$K$16</f>
        <v>540</v>
      </c>
      <c r="AB45" s="188">
        <f>LOOKUP(AA45,AK41:AK57,AL41:AL57)</f>
        <v>4</v>
      </c>
      <c r="AC45" s="189"/>
      <c r="AD45" s="189"/>
      <c r="AE45" s="189"/>
      <c r="AF45" s="140">
        <v>7.0</v>
      </c>
      <c r="AG45" s="161">
        <v>5.5</v>
      </c>
      <c r="AH45" s="161">
        <v>390.0</v>
      </c>
      <c r="AI45" s="162">
        <f t="shared" si="8"/>
        <v>1.5</v>
      </c>
      <c r="AJ45" s="160"/>
      <c r="AK45" s="142">
        <f t="shared" ref="AK45:AL45" si="15">AH51</f>
        <v>240</v>
      </c>
      <c r="AL45" s="178">
        <f t="shared" si="15"/>
        <v>-1</v>
      </c>
      <c r="AM45" s="160"/>
      <c r="AN45" s="163"/>
      <c r="AO45" s="6"/>
      <c r="AP45" s="164">
        <v>2.0</v>
      </c>
      <c r="AQ45" s="165">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79"/>
      <c r="D46" s="49"/>
      <c r="G46" s="190"/>
      <c r="H46" s="191" t="s">
        <v>14</v>
      </c>
      <c r="I46" s="191"/>
      <c r="J46" s="192"/>
      <c r="K46" s="179"/>
      <c r="L46" s="179"/>
      <c r="M46" s="192"/>
      <c r="N46" s="59"/>
      <c r="O46" s="193" t="s">
        <v>55</v>
      </c>
      <c r="P46" s="194" t="s">
        <v>56</v>
      </c>
      <c r="Q46" s="6"/>
      <c r="R46" s="195">
        <f t="shared" ref="R46:S46" si="16">R52</f>
        <v>0</v>
      </c>
      <c r="S46" s="195">
        <f t="shared" si="16"/>
        <v>0</v>
      </c>
      <c r="T46" s="6"/>
      <c r="U46" s="6"/>
      <c r="V46" s="6"/>
      <c r="W46" s="6"/>
      <c r="X46" s="196"/>
      <c r="Y46" s="197"/>
      <c r="Z46" s="160"/>
      <c r="AA46" s="160"/>
      <c r="AB46" s="160"/>
      <c r="AC46" s="189"/>
      <c r="AD46" s="198"/>
      <c r="AE46" s="198"/>
      <c r="AF46" s="140">
        <v>8.0</v>
      </c>
      <c r="AG46" s="161">
        <v>5.0</v>
      </c>
      <c r="AH46" s="161">
        <v>360.0</v>
      </c>
      <c r="AI46" s="162">
        <f t="shared" si="8"/>
        <v>1</v>
      </c>
      <c r="AJ46" s="160"/>
      <c r="AK46" s="142">
        <f t="shared" ref="AK46:AL46" si="17">AH50</f>
        <v>250</v>
      </c>
      <c r="AL46" s="178">
        <f t="shared" si="17"/>
        <v>-1</v>
      </c>
      <c r="AM46" s="160"/>
      <c r="AN46" s="163"/>
      <c r="AO46" s="6"/>
      <c r="AP46" s="164">
        <v>2.5</v>
      </c>
      <c r="AQ46" s="165">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3"/>
      <c r="D47" s="13"/>
      <c r="E47" s="13"/>
      <c r="F47" s="13"/>
      <c r="G47" s="13"/>
      <c r="H47" s="199" t="s">
        <v>75</v>
      </c>
      <c r="I47" s="13"/>
      <c r="J47" s="13"/>
      <c r="K47" s="199" t="s">
        <v>76</v>
      </c>
      <c r="L47" s="13"/>
      <c r="M47" s="13"/>
      <c r="N47" s="59"/>
      <c r="O47" s="200"/>
      <c r="P47" s="139"/>
      <c r="Q47" s="6"/>
      <c r="R47" s="6"/>
      <c r="S47" s="6"/>
      <c r="T47" s="6"/>
      <c r="U47" s="6"/>
      <c r="V47" s="6"/>
      <c r="W47" s="6"/>
      <c r="X47" s="155"/>
      <c r="Y47" s="160"/>
      <c r="Z47" s="160"/>
      <c r="AA47" s="160"/>
      <c r="AB47" s="160"/>
      <c r="AC47" s="189"/>
      <c r="AD47" s="192"/>
      <c r="AE47" s="192"/>
      <c r="AF47" s="140">
        <v>9.0</v>
      </c>
      <c r="AG47" s="161">
        <v>4.5</v>
      </c>
      <c r="AH47" s="161">
        <v>330.0</v>
      </c>
      <c r="AI47" s="162">
        <f t="shared" si="8"/>
        <v>0.5</v>
      </c>
      <c r="AJ47" s="160"/>
      <c r="AK47" s="142">
        <f t="shared" ref="AK47:AL47" si="18">AH49</f>
        <v>270</v>
      </c>
      <c r="AL47" s="178">
        <f t="shared" si="18"/>
        <v>-0.5</v>
      </c>
      <c r="AM47" s="160"/>
      <c r="AN47" s="163"/>
      <c r="AO47" s="6"/>
      <c r="AP47" s="164">
        <v>3.0</v>
      </c>
      <c r="AQ47" s="165">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3"/>
      <c r="D48" s="13"/>
      <c r="E48" s="13"/>
      <c r="F48" s="13"/>
      <c r="G48" s="13"/>
      <c r="H48" s="172" t="s">
        <v>15</v>
      </c>
      <c r="I48" s="172" t="s">
        <v>13</v>
      </c>
      <c r="J48" s="13"/>
      <c r="K48" s="172" t="s">
        <v>15</v>
      </c>
      <c r="L48" s="172" t="s">
        <v>13</v>
      </c>
      <c r="M48" s="13"/>
      <c r="N48" s="59"/>
      <c r="O48" s="200"/>
      <c r="P48" s="139"/>
      <c r="Q48" s="6"/>
      <c r="R48" s="6"/>
      <c r="S48" s="6"/>
      <c r="T48" s="6"/>
      <c r="U48" s="6"/>
      <c r="V48" s="6"/>
      <c r="W48" s="6"/>
      <c r="X48" s="155"/>
      <c r="Y48" s="160"/>
      <c r="Z48" s="160"/>
      <c r="AA48" s="160"/>
      <c r="AB48" s="160"/>
      <c r="AC48" s="189"/>
      <c r="AD48" s="192"/>
      <c r="AE48" s="192"/>
      <c r="AF48" s="140">
        <v>10.0</v>
      </c>
      <c r="AG48" s="161">
        <v>4.0</v>
      </c>
      <c r="AH48" s="161">
        <v>300.0</v>
      </c>
      <c r="AI48" s="162">
        <f t="shared" si="8"/>
        <v>0</v>
      </c>
      <c r="AJ48" s="160"/>
      <c r="AK48" s="142">
        <f t="shared" ref="AK48:AL48" si="19">AH48</f>
        <v>300</v>
      </c>
      <c r="AL48" s="178">
        <f t="shared" si="19"/>
        <v>0</v>
      </c>
      <c r="AM48" s="160"/>
      <c r="AN48" s="163"/>
      <c r="AO48" s="6"/>
      <c r="AP48" s="164">
        <v>3.5</v>
      </c>
      <c r="AQ48" s="165">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1" t="s">
        <v>77</v>
      </c>
      <c r="D49" s="202" t="s">
        <v>78</v>
      </c>
      <c r="E49" s="116"/>
      <c r="F49" s="116"/>
      <c r="G49" s="100"/>
      <c r="H49" s="191" t="s">
        <v>14</v>
      </c>
      <c r="I49" s="191"/>
      <c r="J49" s="13"/>
      <c r="K49" s="191" t="s">
        <v>14</v>
      </c>
      <c r="L49" s="191"/>
      <c r="M49" s="13"/>
      <c r="N49" s="59"/>
      <c r="O49" s="200"/>
      <c r="P49" s="139"/>
      <c r="Q49" s="6"/>
      <c r="R49" s="203" t="str">
        <f>IF(I49="","",2.5)</f>
        <v/>
      </c>
      <c r="S49" s="203" t="str">
        <f>IF(L49="","",2.5)</f>
        <v/>
      </c>
      <c r="T49" s="6"/>
      <c r="U49" s="6"/>
      <c r="V49" s="6"/>
      <c r="W49" s="6"/>
      <c r="X49" s="155"/>
      <c r="Y49" s="160"/>
      <c r="Z49" s="160"/>
      <c r="AA49" s="160"/>
      <c r="AB49" s="160"/>
      <c r="AC49" s="189"/>
      <c r="AD49" s="192"/>
      <c r="AE49" s="192"/>
      <c r="AF49" s="140">
        <v>11.0</v>
      </c>
      <c r="AG49" s="161">
        <v>3.5</v>
      </c>
      <c r="AH49" s="161">
        <v>270.0</v>
      </c>
      <c r="AI49" s="162">
        <f t="shared" si="8"/>
        <v>-0.5</v>
      </c>
      <c r="AJ49" s="160"/>
      <c r="AK49" s="142">
        <f t="shared" ref="AK49:AL49" si="20">AH47</f>
        <v>330</v>
      </c>
      <c r="AL49" s="178">
        <f t="shared" si="20"/>
        <v>0.5</v>
      </c>
      <c r="AM49" s="160"/>
      <c r="AN49" s="163"/>
      <c r="AO49" s="6"/>
      <c r="AP49" s="204">
        <v>4.0</v>
      </c>
      <c r="AQ49" s="205">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2"/>
      <c r="D50" s="206" t="s">
        <v>79</v>
      </c>
      <c r="E50" s="9"/>
      <c r="F50" s="9"/>
      <c r="G50" s="68"/>
      <c r="H50" s="191" t="s">
        <v>14</v>
      </c>
      <c r="I50" s="191"/>
      <c r="J50" s="13"/>
      <c r="K50" s="191" t="s">
        <v>14</v>
      </c>
      <c r="L50" s="191"/>
      <c r="M50" s="13"/>
      <c r="N50" s="59"/>
      <c r="O50" s="200"/>
      <c r="P50" s="139"/>
      <c r="Q50" s="6"/>
      <c r="R50" s="203" t="str">
        <f>IF(I50="","",4.5)</f>
        <v/>
      </c>
      <c r="S50" s="203" t="str">
        <f>IF(L50="","",4.5)</f>
        <v/>
      </c>
      <c r="T50" s="6"/>
      <c r="U50" s="6"/>
      <c r="V50" s="6"/>
      <c r="W50" s="6"/>
      <c r="X50" s="155"/>
      <c r="Y50" s="160"/>
      <c r="Z50" s="160"/>
      <c r="AA50" s="160"/>
      <c r="AB50" s="160"/>
      <c r="AC50" s="189"/>
      <c r="AD50" s="192"/>
      <c r="AE50" s="192"/>
      <c r="AF50" s="140">
        <v>12.0</v>
      </c>
      <c r="AG50" s="161">
        <v>3.0</v>
      </c>
      <c r="AH50" s="161">
        <v>250.0</v>
      </c>
      <c r="AI50" s="162">
        <f t="shared" si="8"/>
        <v>-1</v>
      </c>
      <c r="AJ50" s="160"/>
      <c r="AK50" s="142">
        <f t="shared" ref="AK50:AL50" si="21">AH46</f>
        <v>360</v>
      </c>
      <c r="AL50" s="178">
        <f t="shared" si="21"/>
        <v>1</v>
      </c>
      <c r="AM50" s="160"/>
      <c r="AN50" s="163"/>
      <c r="AO50" s="6"/>
      <c r="AP50" s="164">
        <v>4.5</v>
      </c>
      <c r="AQ50" s="165">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3"/>
      <c r="D51" s="13"/>
      <c r="E51" s="13"/>
      <c r="F51" s="13"/>
      <c r="G51" s="13"/>
      <c r="H51" s="13"/>
      <c r="I51" s="13"/>
      <c r="J51" s="13"/>
      <c r="K51" s="13"/>
      <c r="L51" s="13"/>
      <c r="M51" s="13"/>
      <c r="N51" s="59"/>
      <c r="O51" s="200"/>
      <c r="P51" s="139"/>
      <c r="Q51" s="6"/>
      <c r="R51" s="6"/>
      <c r="S51" s="6"/>
      <c r="T51" s="6"/>
      <c r="U51" s="6"/>
      <c r="V51" s="6"/>
      <c r="W51" s="6"/>
      <c r="X51" s="155"/>
      <c r="Y51" s="160"/>
      <c r="Z51" s="160"/>
      <c r="AA51" s="160"/>
      <c r="AB51" s="160"/>
      <c r="AC51" s="189"/>
      <c r="AD51" s="192"/>
      <c r="AE51" s="192"/>
      <c r="AF51" s="140">
        <v>13.0</v>
      </c>
      <c r="AG51" s="161">
        <v>3.0</v>
      </c>
      <c r="AH51" s="161">
        <v>240.0</v>
      </c>
      <c r="AI51" s="162">
        <f t="shared" si="8"/>
        <v>-1</v>
      </c>
      <c r="AJ51" s="160"/>
      <c r="AK51" s="142">
        <f t="shared" ref="AK51:AL51" si="22">AH45</f>
        <v>390</v>
      </c>
      <c r="AL51" s="178">
        <f t="shared" si="22"/>
        <v>1.5</v>
      </c>
      <c r="AM51" s="160"/>
      <c r="AN51" s="163"/>
      <c r="AO51" s="6"/>
      <c r="AP51" s="164">
        <v>5.0</v>
      </c>
      <c r="AQ51" s="165">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07" t="s">
        <v>80</v>
      </c>
      <c r="D52" s="208" t="s">
        <v>81</v>
      </c>
      <c r="E52" s="209" t="s">
        <v>82</v>
      </c>
      <c r="F52" s="210"/>
      <c r="G52" s="211"/>
      <c r="H52" s="209" t="s">
        <v>83</v>
      </c>
      <c r="I52" s="210"/>
      <c r="J52" s="210"/>
      <c r="K52" s="210"/>
      <c r="L52" s="210"/>
      <c r="M52" s="212"/>
      <c r="N52" s="59"/>
      <c r="O52" s="200"/>
      <c r="P52" s="139"/>
      <c r="Q52" s="6"/>
      <c r="R52" s="195">
        <f t="shared" ref="R52:S52" si="23">SUM(R49:R50)</f>
        <v>0</v>
      </c>
      <c r="S52" s="195">
        <f t="shared" si="23"/>
        <v>0</v>
      </c>
      <c r="T52" s="213"/>
      <c r="U52" s="213"/>
      <c r="V52" s="6"/>
      <c r="W52" s="6"/>
      <c r="X52" s="155"/>
      <c r="Y52" s="160"/>
      <c r="Z52" s="160"/>
      <c r="AA52" s="160"/>
      <c r="AB52" s="160"/>
      <c r="AC52" s="189"/>
      <c r="AD52" s="214"/>
      <c r="AE52" s="214"/>
      <c r="AF52" s="140">
        <v>14.0</v>
      </c>
      <c r="AG52" s="161">
        <v>2.5</v>
      </c>
      <c r="AH52" s="161">
        <v>210.0</v>
      </c>
      <c r="AI52" s="162">
        <f t="shared" si="8"/>
        <v>-1.5</v>
      </c>
      <c r="AJ52" s="160"/>
      <c r="AK52" s="142">
        <f t="shared" ref="AK52:AL52" si="24">AH44</f>
        <v>420</v>
      </c>
      <c r="AL52" s="178">
        <f t="shared" si="24"/>
        <v>2</v>
      </c>
      <c r="AM52" s="160"/>
      <c r="AN52" s="163"/>
      <c r="AO52" s="89"/>
      <c r="AP52" s="164">
        <v>5.5</v>
      </c>
      <c r="AQ52" s="165">
        <v>1.58</v>
      </c>
      <c r="AR52" s="89"/>
      <c r="AS52" s="89"/>
      <c r="AT52" s="89"/>
      <c r="AU52" s="89"/>
      <c r="AV52" s="89"/>
      <c r="AW52" s="89"/>
      <c r="AX52" s="89"/>
      <c r="AY52" s="89"/>
      <c r="AZ52" s="89"/>
      <c r="BA52" s="89"/>
      <c r="BB52" s="6"/>
      <c r="BC52" s="6"/>
      <c r="BD52" s="6"/>
      <c r="BE52" s="6"/>
      <c r="BF52" s="89"/>
      <c r="BG52" s="89"/>
      <c r="BH52" s="89"/>
      <c r="BI52" s="89"/>
      <c r="BJ52" s="1"/>
      <c r="BK52" s="1"/>
      <c r="BL52" s="1"/>
      <c r="BM52" s="1"/>
      <c r="BN52" s="1"/>
      <c r="BO52" s="1"/>
      <c r="BP52" s="1"/>
      <c r="BQ52" s="1"/>
      <c r="BR52" s="1"/>
      <c r="BS52" s="1"/>
      <c r="BT52" s="1"/>
    </row>
    <row r="53" ht="39.0" customHeight="1">
      <c r="A53" s="1"/>
      <c r="B53" s="7"/>
      <c r="C53" s="215" t="s">
        <v>84</v>
      </c>
      <c r="D53" s="216" t="s">
        <v>85</v>
      </c>
      <c r="E53" s="217" t="s">
        <v>86</v>
      </c>
      <c r="F53" s="116"/>
      <c r="G53" s="100"/>
      <c r="H53" s="218" t="s">
        <v>87</v>
      </c>
      <c r="I53" s="16"/>
      <c r="J53" s="16"/>
      <c r="K53" s="16"/>
      <c r="L53" s="16"/>
      <c r="M53" s="17"/>
      <c r="N53" s="59"/>
      <c r="O53" s="200"/>
      <c r="P53" s="139"/>
      <c r="Q53" s="6"/>
      <c r="R53" s="6"/>
      <c r="S53" s="213"/>
      <c r="T53" s="213"/>
      <c r="U53" s="213"/>
      <c r="V53" s="6"/>
      <c r="W53" s="6"/>
      <c r="X53" s="155"/>
      <c r="Y53" s="160"/>
      <c r="Z53" s="160"/>
      <c r="AA53" s="160"/>
      <c r="AB53" s="160"/>
      <c r="AC53" s="189"/>
      <c r="AD53" s="214"/>
      <c r="AE53" s="214"/>
      <c r="AF53" s="140">
        <v>15.0</v>
      </c>
      <c r="AG53" s="161">
        <v>2.0</v>
      </c>
      <c r="AH53" s="161">
        <v>180.0</v>
      </c>
      <c r="AI53" s="162">
        <f t="shared" si="8"/>
        <v>-2</v>
      </c>
      <c r="AJ53" s="160"/>
      <c r="AK53" s="142">
        <f t="shared" ref="AK53:AL53" si="25">AH43</f>
        <v>440</v>
      </c>
      <c r="AL53" s="178">
        <f t="shared" si="25"/>
        <v>2.5</v>
      </c>
      <c r="AM53" s="160"/>
      <c r="AN53" s="163"/>
      <c r="AO53" s="89"/>
      <c r="AP53" s="164">
        <v>6.0</v>
      </c>
      <c r="AQ53" s="165">
        <v>1.7</v>
      </c>
      <c r="AR53" s="89"/>
      <c r="AS53" s="89"/>
      <c r="AT53" s="89"/>
      <c r="AU53" s="89"/>
      <c r="AV53" s="89"/>
      <c r="AW53" s="89"/>
      <c r="AX53" s="89"/>
      <c r="AY53" s="89"/>
      <c r="AZ53" s="89"/>
      <c r="BA53" s="89"/>
      <c r="BB53" s="6"/>
      <c r="BC53" s="6"/>
      <c r="BD53" s="6"/>
      <c r="BE53" s="6"/>
      <c r="BF53" s="89"/>
      <c r="BG53" s="89"/>
      <c r="BH53" s="89"/>
      <c r="BI53" s="89"/>
      <c r="BJ53" s="1"/>
      <c r="BK53" s="1"/>
      <c r="BL53" s="1"/>
      <c r="BM53" s="1"/>
      <c r="BN53" s="1"/>
      <c r="BO53" s="1"/>
      <c r="BP53" s="1"/>
      <c r="BQ53" s="1"/>
      <c r="BR53" s="1"/>
      <c r="BS53" s="1"/>
      <c r="BT53" s="1"/>
    </row>
    <row r="54" ht="33.75" customHeight="1">
      <c r="A54" s="1"/>
      <c r="B54" s="7"/>
      <c r="C54" s="219"/>
      <c r="D54" s="220"/>
      <c r="E54" s="220"/>
      <c r="F54" s="221"/>
      <c r="G54" s="222"/>
      <c r="H54" s="220"/>
      <c r="I54" s="221"/>
      <c r="J54" s="222"/>
      <c r="K54" s="223"/>
      <c r="L54" s="221"/>
      <c r="M54" s="224"/>
      <c r="N54" s="59"/>
      <c r="O54" s="200"/>
      <c r="P54" s="139"/>
      <c r="Q54" s="6"/>
      <c r="R54" s="6"/>
      <c r="S54" s="213"/>
      <c r="T54" s="213"/>
      <c r="U54" s="213"/>
      <c r="V54" s="6"/>
      <c r="W54" s="6"/>
      <c r="X54" s="155"/>
      <c r="Y54" s="160"/>
      <c r="Z54" s="160"/>
      <c r="AA54" s="160"/>
      <c r="AB54" s="160"/>
      <c r="AC54" s="189"/>
      <c r="AD54" s="214"/>
      <c r="AE54" s="214"/>
      <c r="AF54" s="140">
        <v>16.0</v>
      </c>
      <c r="AG54" s="161">
        <v>1.0</v>
      </c>
      <c r="AH54" s="161">
        <v>120.0</v>
      </c>
      <c r="AI54" s="162">
        <f t="shared" si="8"/>
        <v>-3</v>
      </c>
      <c r="AJ54" s="160"/>
      <c r="AK54" s="142">
        <f t="shared" ref="AK54:AL54" si="26">AH42</f>
        <v>460</v>
      </c>
      <c r="AL54" s="178">
        <f t="shared" si="26"/>
        <v>3</v>
      </c>
      <c r="AM54" s="160"/>
      <c r="AN54" s="163"/>
      <c r="AO54" s="89"/>
      <c r="AP54" s="164">
        <v>6.5</v>
      </c>
      <c r="AQ54" s="165">
        <v>1.83</v>
      </c>
      <c r="AR54" s="89"/>
      <c r="AS54" s="89"/>
      <c r="AT54" s="89"/>
      <c r="AU54" s="6"/>
      <c r="AV54" s="6"/>
      <c r="AW54" s="6"/>
      <c r="AX54" s="6"/>
      <c r="AY54" s="6"/>
      <c r="AZ54" s="6"/>
      <c r="BA54" s="6"/>
      <c r="BB54" s="6"/>
      <c r="BC54" s="6"/>
      <c r="BD54" s="6"/>
      <c r="BE54" s="6"/>
      <c r="BF54" s="89"/>
      <c r="BG54" s="89"/>
      <c r="BH54" s="89"/>
      <c r="BI54" s="89"/>
      <c r="BJ54" s="1"/>
      <c r="BK54" s="1"/>
      <c r="BL54" s="1"/>
      <c r="BM54" s="1"/>
      <c r="BN54" s="1"/>
      <c r="BO54" s="1"/>
      <c r="BP54" s="1"/>
      <c r="BQ54" s="1"/>
      <c r="BR54" s="1"/>
      <c r="BS54" s="1"/>
      <c r="BT54" s="1"/>
    </row>
    <row r="55" ht="69.0" customHeight="1">
      <c r="A55" s="1"/>
      <c r="B55" s="7"/>
      <c r="C55" s="225" t="s">
        <v>88</v>
      </c>
      <c r="D55" s="17"/>
      <c r="E55" s="226" t="s">
        <v>89</v>
      </c>
      <c r="F55" s="227" t="s">
        <v>90</v>
      </c>
      <c r="G55" s="17"/>
      <c r="H55" s="226" t="s">
        <v>91</v>
      </c>
      <c r="I55" s="227" t="s">
        <v>92</v>
      </c>
      <c r="J55" s="17"/>
      <c r="K55" s="226" t="s">
        <v>93</v>
      </c>
      <c r="L55" s="228"/>
      <c r="M55" s="229"/>
      <c r="N55" s="59"/>
      <c r="O55" s="230" t="s">
        <v>55</v>
      </c>
      <c r="P55" s="139"/>
      <c r="Q55" s="6"/>
      <c r="R55" s="6"/>
      <c r="S55" s="231"/>
      <c r="T55" s="231"/>
      <c r="U55" s="231"/>
      <c r="V55" s="6"/>
      <c r="W55" s="6"/>
      <c r="X55" s="155"/>
      <c r="Y55" s="160"/>
      <c r="Z55" s="160"/>
      <c r="AA55" s="160"/>
      <c r="AB55" s="160"/>
      <c r="AC55" s="189"/>
      <c r="AD55" s="214"/>
      <c r="AE55" s="214"/>
      <c r="AF55" s="140">
        <v>17.0</v>
      </c>
      <c r="AG55" s="161">
        <v>0.0</v>
      </c>
      <c r="AH55" s="161">
        <v>0.0</v>
      </c>
      <c r="AI55" s="162">
        <f>IF((AG55-Y$46)&lt;=0,0,(AG55-Y$44))</f>
        <v>0</v>
      </c>
      <c r="AJ55" s="160"/>
      <c r="AK55" s="162">
        <f t="shared" ref="AK55:AL55" si="27">AH41</f>
        <v>480</v>
      </c>
      <c r="AL55" s="156">
        <f t="shared" si="27"/>
        <v>3</v>
      </c>
      <c r="AM55" s="160"/>
      <c r="AN55" s="163"/>
      <c r="AO55" s="89"/>
      <c r="AP55" s="164">
        <v>7.0</v>
      </c>
      <c r="AQ55" s="165">
        <v>2.0</v>
      </c>
      <c r="AR55" s="89"/>
      <c r="AS55" s="89"/>
      <c r="AT55" s="89"/>
      <c r="AU55" s="6"/>
      <c r="AV55" s="6"/>
      <c r="AW55" s="6"/>
      <c r="AX55" s="6"/>
      <c r="AY55" s="6"/>
      <c r="AZ55" s="6"/>
      <c r="BA55" s="6"/>
      <c r="BB55" s="6"/>
      <c r="BC55" s="6"/>
      <c r="BD55" s="6"/>
      <c r="BE55" s="6"/>
      <c r="BF55" s="89"/>
      <c r="BG55" s="89"/>
      <c r="BH55" s="89"/>
      <c r="BI55" s="89"/>
      <c r="BJ55" s="1"/>
      <c r="BK55" s="1"/>
      <c r="BL55" s="1"/>
      <c r="BM55" s="1"/>
      <c r="BN55" s="1"/>
      <c r="BO55" s="1"/>
      <c r="BP55" s="1"/>
      <c r="BQ55" s="1"/>
      <c r="BR55" s="1"/>
      <c r="BS55" s="1"/>
      <c r="BT55" s="1"/>
    </row>
    <row r="56" ht="94.5" customHeight="1">
      <c r="A56" s="1"/>
      <c r="B56" s="7"/>
      <c r="C56" s="232"/>
      <c r="D56" s="233" t="s">
        <v>94</v>
      </c>
      <c r="E56" s="234"/>
      <c r="F56" s="235"/>
      <c r="G56" s="17"/>
      <c r="H56" s="234" t="s">
        <v>14</v>
      </c>
      <c r="I56" s="235"/>
      <c r="J56" s="17"/>
      <c r="K56" s="234"/>
      <c r="L56" s="236"/>
      <c r="M56" s="229"/>
      <c r="N56" s="59"/>
      <c r="O56" s="237">
        <f>SUM(R56:V56)</f>
        <v>3</v>
      </c>
      <c r="P56" s="139"/>
      <c r="Q56" s="6"/>
      <c r="R56" s="203" t="str">
        <f>IF(E56="","",1)</f>
        <v/>
      </c>
      <c r="S56" s="203" t="str">
        <f>IF(F56="","",2)</f>
        <v/>
      </c>
      <c r="T56" s="203">
        <f>IF(H56="","",3)</f>
        <v>3</v>
      </c>
      <c r="U56" s="203" t="str">
        <f>IF(I56="","",4)</f>
        <v/>
      </c>
      <c r="V56" s="203" t="str">
        <f>IF(K56="","",8)</f>
        <v/>
      </c>
      <c r="W56" s="6"/>
      <c r="X56" s="155"/>
      <c r="Y56" s="160"/>
      <c r="Z56" s="160"/>
      <c r="AA56" s="160"/>
      <c r="AB56" s="160"/>
      <c r="AC56" s="189"/>
      <c r="AD56" s="238"/>
      <c r="AE56" s="238"/>
      <c r="AF56" s="160"/>
      <c r="AG56" s="160"/>
      <c r="AH56" s="160"/>
      <c r="AI56" s="160"/>
      <c r="AJ56" s="160"/>
      <c r="AK56" s="142">
        <f t="shared" ref="AK56:AL56" si="28">AH40</f>
        <v>540</v>
      </c>
      <c r="AL56" s="178">
        <f t="shared" si="28"/>
        <v>4</v>
      </c>
      <c r="AM56" s="160"/>
      <c r="AN56" s="163"/>
      <c r="AO56" s="6"/>
      <c r="AP56" s="164">
        <v>7.5</v>
      </c>
      <c r="AQ56" s="165">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2"/>
      <c r="D57" s="233" t="s">
        <v>95</v>
      </c>
      <c r="E57" s="234"/>
      <c r="F57" s="235"/>
      <c r="G57" s="17"/>
      <c r="H57" s="234"/>
      <c r="I57" s="235"/>
      <c r="J57" s="17"/>
      <c r="K57" s="234"/>
      <c r="L57" s="236"/>
      <c r="M57" s="229"/>
      <c r="N57" s="59"/>
      <c r="O57" s="237">
        <f>IF(SUM(R57:V57)&lt;2,Q57,SUM(Q57:V57)-Q57)</f>
        <v>1</v>
      </c>
      <c r="P57" s="139"/>
      <c r="Q57" s="239">
        <f>IF(E57="",1,0)</f>
        <v>1</v>
      </c>
      <c r="R57" s="203" t="str">
        <f>IF(E57="x",2,"")</f>
        <v/>
      </c>
      <c r="S57" s="203" t="str">
        <f>IF(F57="","",6)</f>
        <v/>
      </c>
      <c r="T57" s="203" t="str">
        <f>IF(H57="","",8)</f>
        <v/>
      </c>
      <c r="U57" s="203" t="str">
        <f>IF(I57="","",12)</f>
        <v/>
      </c>
      <c r="V57" s="203" t="str">
        <f>IF(K57="","",24)</f>
        <v/>
      </c>
      <c r="W57" s="6"/>
      <c r="X57" s="155"/>
      <c r="Y57" s="160"/>
      <c r="Z57" s="160"/>
      <c r="AA57" s="160"/>
      <c r="AB57" s="160"/>
      <c r="AC57" s="160"/>
      <c r="AD57" s="160"/>
      <c r="AE57" s="160"/>
      <c r="AF57" s="160"/>
      <c r="AG57" s="160"/>
      <c r="AH57" s="160"/>
      <c r="AI57" s="160"/>
      <c r="AJ57" s="160"/>
      <c r="AK57" s="142">
        <f t="shared" ref="AK57:AL57" si="29">AH39</f>
        <v>600</v>
      </c>
      <c r="AL57" s="178">
        <f t="shared" si="29"/>
        <v>5</v>
      </c>
      <c r="AM57" s="160"/>
      <c r="AN57" s="163"/>
      <c r="AO57" s="6"/>
      <c r="AP57" s="240">
        <v>8.0</v>
      </c>
      <c r="AQ57" s="241">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2"/>
      <c r="D58" s="233" t="s">
        <v>96</v>
      </c>
      <c r="E58" s="234"/>
      <c r="F58" s="235" t="s">
        <v>14</v>
      </c>
      <c r="G58" s="17"/>
      <c r="H58" s="234"/>
      <c r="I58" s="235"/>
      <c r="J58" s="17"/>
      <c r="K58" s="234"/>
      <c r="L58" s="236"/>
      <c r="M58" s="229"/>
      <c r="N58" s="59"/>
      <c r="O58" s="237">
        <f t="shared" ref="O58:O59" si="30">SUM(R58:V58)</f>
        <v>2</v>
      </c>
      <c r="P58" s="139"/>
      <c r="Q58" s="6"/>
      <c r="R58" s="203" t="str">
        <f t="shared" ref="R58:R59" si="31">IF(E58="","",1)</f>
        <v/>
      </c>
      <c r="S58" s="203">
        <f t="shared" ref="S58:S59" si="32">IF(F58="","",2)</f>
        <v>2</v>
      </c>
      <c r="T58" s="203" t="str">
        <f t="shared" ref="T58:T59" si="33">IF(H58="","",3)</f>
        <v/>
      </c>
      <c r="U58" s="203" t="str">
        <f t="shared" ref="U58:U59" si="34">IF(I58="","",4)</f>
        <v/>
      </c>
      <c r="V58" s="203" t="str">
        <f t="shared" ref="V58:V59" si="35">IF(K58="","",8)</f>
        <v/>
      </c>
      <c r="W58" s="6"/>
      <c r="X58" s="242"/>
      <c r="Y58" s="243"/>
      <c r="Z58" s="243"/>
      <c r="AA58" s="243"/>
      <c r="AB58" s="243"/>
      <c r="AC58" s="243"/>
      <c r="AD58" s="243"/>
      <c r="AE58" s="243"/>
      <c r="AF58" s="243"/>
      <c r="AG58" s="243"/>
      <c r="AH58" s="243"/>
      <c r="AI58" s="243"/>
      <c r="AJ58" s="243"/>
      <c r="AK58" s="243"/>
      <c r="AL58" s="243"/>
      <c r="AM58" s="243"/>
      <c r="AN58" s="244"/>
      <c r="AO58" s="6"/>
      <c r="AP58" s="245">
        <v>9.0</v>
      </c>
      <c r="AQ58" s="246">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47"/>
      <c r="D59" s="248" t="s">
        <v>97</v>
      </c>
      <c r="E59" s="234"/>
      <c r="F59" s="249" t="s">
        <v>14</v>
      </c>
      <c r="G59" s="108"/>
      <c r="H59" s="250"/>
      <c r="I59" s="249"/>
      <c r="J59" s="108"/>
      <c r="K59" s="250"/>
      <c r="L59" s="236"/>
      <c r="M59" s="229"/>
      <c r="N59" s="59"/>
      <c r="O59" s="237">
        <f t="shared" si="30"/>
        <v>2</v>
      </c>
      <c r="P59" s="139"/>
      <c r="Q59" s="6"/>
      <c r="R59" s="203" t="str">
        <f t="shared" si="31"/>
        <v/>
      </c>
      <c r="S59" s="203">
        <f t="shared" si="32"/>
        <v>2</v>
      </c>
      <c r="T59" s="203" t="str">
        <f t="shared" si="33"/>
        <v/>
      </c>
      <c r="U59" s="203" t="str">
        <f t="shared" si="34"/>
        <v/>
      </c>
      <c r="V59" s="203" t="str">
        <f t="shared" si="35"/>
        <v/>
      </c>
      <c r="W59" s="6"/>
      <c r="X59" s="6"/>
      <c r="Y59" s="6"/>
      <c r="Z59" s="6"/>
      <c r="AA59" s="6"/>
      <c r="AB59" s="6"/>
      <c r="AC59" s="6"/>
      <c r="AD59" s="6"/>
      <c r="AE59" s="6"/>
      <c r="AF59" s="6"/>
      <c r="AG59" s="6"/>
      <c r="AH59" s="6"/>
      <c r="AI59" s="6"/>
      <c r="AJ59" s="6"/>
      <c r="AK59" s="6"/>
      <c r="AL59" s="6"/>
      <c r="AM59" s="6"/>
      <c r="AN59" s="6"/>
      <c r="AO59" s="6"/>
      <c r="AP59" s="251" t="s">
        <v>98</v>
      </c>
      <c r="AQ59" s="251"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2" t="s">
        <v>99</v>
      </c>
      <c r="D60" s="253" t="s">
        <v>100</v>
      </c>
      <c r="E60" s="254" t="s">
        <v>101</v>
      </c>
      <c r="F60" s="255">
        <v>0.0</v>
      </c>
      <c r="G60" s="256" t="s">
        <v>14</v>
      </c>
      <c r="H60" s="254" t="s">
        <v>102</v>
      </c>
      <c r="I60" s="257">
        <v>1.5</v>
      </c>
      <c r="J60" s="256"/>
      <c r="K60" s="254" t="s">
        <v>103</v>
      </c>
      <c r="L60" s="258">
        <v>3.0</v>
      </c>
      <c r="M60" s="259"/>
      <c r="N60" s="59"/>
      <c r="O60" s="237">
        <f t="shared" ref="O60:O61" si="36">SUM(S60:U60)</f>
        <v>0</v>
      </c>
      <c r="P60" s="139"/>
      <c r="Q60" s="6"/>
      <c r="R60" s="260"/>
      <c r="S60" s="203">
        <f>IF(G60="","",F60)</f>
        <v>0</v>
      </c>
      <c r="T60" s="203" t="str">
        <f t="shared" ref="T60:T61" si="37">IF(J60="","",I60)</f>
        <v/>
      </c>
      <c r="U60" s="203" t="str">
        <f t="shared" ref="U60:U61" si="38">IF(M60="","",L60)</f>
        <v/>
      </c>
      <c r="V60" s="260"/>
      <c r="W60" s="6"/>
      <c r="X60" s="6"/>
      <c r="Y60" s="6"/>
      <c r="Z60" s="6"/>
      <c r="AA60" s="6"/>
      <c r="AB60" s="6"/>
      <c r="AC60" s="6"/>
      <c r="AD60" s="6"/>
      <c r="AE60" s="6"/>
      <c r="AF60" s="6"/>
      <c r="AG60" s="6"/>
      <c r="AH60" s="6"/>
      <c r="AI60" s="6"/>
      <c r="AJ60" s="6"/>
      <c r="AK60" s="6"/>
      <c r="AL60" s="6"/>
      <c r="AM60" s="6"/>
      <c r="AN60" s="6"/>
      <c r="AO60" s="6"/>
      <c r="AP60" s="261">
        <f>VLOOKUP($O$16,AP41:AQ57,2)*D94*$O$29</f>
        <v>8.9775</v>
      </c>
      <c r="AQ60" s="261">
        <f>VLOOKUP($O$16,AP41:AQ57,2)*D95*$O$29</f>
        <v>8.9775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2"/>
      <c r="D61" s="263" t="s">
        <v>104</v>
      </c>
      <c r="E61" s="264"/>
      <c r="F61" s="265"/>
      <c r="G61" s="265"/>
      <c r="H61" s="266" t="s">
        <v>105</v>
      </c>
      <c r="I61" s="267">
        <v>1.5</v>
      </c>
      <c r="J61" s="268"/>
      <c r="K61" s="269" t="s">
        <v>106</v>
      </c>
      <c r="L61" s="270">
        <v>3.0</v>
      </c>
      <c r="M61" s="271"/>
      <c r="N61" s="59"/>
      <c r="O61" s="237">
        <f t="shared" si="36"/>
        <v>0</v>
      </c>
      <c r="P61" s="139"/>
      <c r="Q61" s="6"/>
      <c r="R61" s="260"/>
      <c r="S61" s="203"/>
      <c r="T61" s="203" t="str">
        <f t="shared" si="37"/>
        <v/>
      </c>
      <c r="U61" s="203" t="str">
        <f t="shared" si="38"/>
        <v/>
      </c>
      <c r="V61" s="260"/>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2" t="s">
        <v>107</v>
      </c>
      <c r="D62" s="210"/>
      <c r="E62" s="210"/>
      <c r="F62" s="210"/>
      <c r="G62" s="210"/>
      <c r="H62" s="210"/>
      <c r="I62" s="210"/>
      <c r="J62" s="210"/>
      <c r="K62" s="210"/>
      <c r="L62" s="210"/>
      <c r="M62" s="210"/>
      <c r="N62" s="59"/>
      <c r="O62" s="184">
        <f>MAX(O56:O59)+T62</f>
        <v>3</v>
      </c>
      <c r="P62" s="273" t="s">
        <v>108</v>
      </c>
      <c r="Q62" s="6"/>
      <c r="R62" s="106"/>
      <c r="S62" s="106"/>
      <c r="T62" s="274">
        <f>MAX(S60:U60,S61:U61)</f>
        <v>0</v>
      </c>
      <c r="U62" s="106"/>
      <c r="V62" s="10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25" t="s">
        <v>109</v>
      </c>
      <c r="D63" s="17"/>
      <c r="E63" s="226" t="s">
        <v>89</v>
      </c>
      <c r="F63" s="275" t="s">
        <v>90</v>
      </c>
      <c r="G63" s="100"/>
      <c r="H63" s="276" t="s">
        <v>91</v>
      </c>
      <c r="I63" s="275" t="s">
        <v>92</v>
      </c>
      <c r="J63" s="100"/>
      <c r="K63" s="276" t="s">
        <v>93</v>
      </c>
      <c r="L63" s="228"/>
      <c r="M63" s="229"/>
      <c r="N63" s="59"/>
      <c r="O63" s="230" t="s">
        <v>56</v>
      </c>
      <c r="P63" s="139"/>
      <c r="Q63" s="6"/>
      <c r="R63" s="6"/>
      <c r="S63" s="231"/>
      <c r="T63" s="231"/>
      <c r="U63" s="231"/>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2"/>
      <c r="D64" s="233" t="s">
        <v>94</v>
      </c>
      <c r="E64" s="234"/>
      <c r="F64" s="235"/>
      <c r="G64" s="17"/>
      <c r="H64" s="234" t="s">
        <v>14</v>
      </c>
      <c r="I64" s="235"/>
      <c r="J64" s="17"/>
      <c r="K64" s="234"/>
      <c r="L64" s="236"/>
      <c r="M64" s="229"/>
      <c r="N64" s="59"/>
      <c r="O64" s="277">
        <f>SUM(R64:V64)</f>
        <v>3</v>
      </c>
      <c r="P64" s="139"/>
      <c r="Q64" s="6"/>
      <c r="R64" s="203" t="str">
        <f>IF(E64="","",1)</f>
        <v/>
      </c>
      <c r="S64" s="203" t="str">
        <f>IF(F64="","",2)</f>
        <v/>
      </c>
      <c r="T64" s="203">
        <f>IF(H64="","",3)</f>
        <v>3</v>
      </c>
      <c r="U64" s="203" t="str">
        <f>IF(I64="","",4)</f>
        <v/>
      </c>
      <c r="V64" s="203"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2"/>
      <c r="D65" s="233" t="s">
        <v>95</v>
      </c>
      <c r="E65" s="234"/>
      <c r="F65" s="235"/>
      <c r="G65" s="17"/>
      <c r="H65" s="234"/>
      <c r="I65" s="235"/>
      <c r="J65" s="17"/>
      <c r="K65" s="234"/>
      <c r="L65" s="236"/>
      <c r="M65" s="229"/>
      <c r="N65" s="59"/>
      <c r="O65" s="237">
        <f>IF(SUM(R65:V65)&lt;2,Q65,SUM(Q65:V65)-Q65)</f>
        <v>1</v>
      </c>
      <c r="P65" s="139"/>
      <c r="Q65" s="239">
        <f>IF(E65="",1,0)</f>
        <v>1</v>
      </c>
      <c r="R65" s="203" t="str">
        <f>IF(E65="x",2,"")</f>
        <v/>
      </c>
      <c r="S65" s="203" t="str">
        <f>IF(F65="","",6)</f>
        <v/>
      </c>
      <c r="T65" s="203" t="str">
        <f>IF(H65="","",8)</f>
        <v/>
      </c>
      <c r="U65" s="203" t="str">
        <f>IF(I65="","",12)</f>
        <v/>
      </c>
      <c r="V65" s="203"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2"/>
      <c r="D66" s="233" t="s">
        <v>96</v>
      </c>
      <c r="E66" s="234"/>
      <c r="F66" s="235" t="s">
        <v>14</v>
      </c>
      <c r="G66" s="17"/>
      <c r="H66" s="234"/>
      <c r="I66" s="235"/>
      <c r="J66" s="17"/>
      <c r="K66" s="234"/>
      <c r="L66" s="236"/>
      <c r="M66" s="229"/>
      <c r="N66" s="59"/>
      <c r="O66" s="277">
        <f t="shared" ref="O66:O67" si="39">SUM(R66:V66)</f>
        <v>2</v>
      </c>
      <c r="P66" s="139"/>
      <c r="Q66" s="6"/>
      <c r="R66" s="203" t="str">
        <f t="shared" ref="R66:R67" si="40">IF(E66="","",1)</f>
        <v/>
      </c>
      <c r="S66" s="203">
        <f t="shared" ref="S66:S67" si="41">IF(F66="","",2)</f>
        <v>2</v>
      </c>
      <c r="T66" s="203" t="str">
        <f t="shared" ref="T66:T67" si="42">IF(H66="","",3)</f>
        <v/>
      </c>
      <c r="U66" s="203" t="str">
        <f t="shared" ref="U66:U67" si="43">IF(I66="","",4)</f>
        <v/>
      </c>
      <c r="V66" s="203"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47"/>
      <c r="D67" s="248" t="s">
        <v>97</v>
      </c>
      <c r="E67" s="234"/>
      <c r="F67" s="249" t="s">
        <v>14</v>
      </c>
      <c r="G67" s="108"/>
      <c r="H67" s="250"/>
      <c r="I67" s="249"/>
      <c r="J67" s="108"/>
      <c r="K67" s="250"/>
      <c r="L67" s="236"/>
      <c r="M67" s="229"/>
      <c r="N67" s="59"/>
      <c r="O67" s="277">
        <f t="shared" si="39"/>
        <v>2</v>
      </c>
      <c r="P67" s="139"/>
      <c r="Q67" s="6"/>
      <c r="R67" s="203" t="str">
        <f t="shared" si="40"/>
        <v/>
      </c>
      <c r="S67" s="203">
        <f t="shared" si="41"/>
        <v>2</v>
      </c>
      <c r="T67" s="203" t="str">
        <f t="shared" si="42"/>
        <v/>
      </c>
      <c r="U67" s="203" t="str">
        <f t="shared" si="43"/>
        <v/>
      </c>
      <c r="V67" s="203"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78" t="s">
        <v>99</v>
      </c>
      <c r="D68" s="253" t="s">
        <v>100</v>
      </c>
      <c r="E68" s="254" t="s">
        <v>101</v>
      </c>
      <c r="F68" s="255">
        <v>0.0</v>
      </c>
      <c r="G68" s="256" t="s">
        <v>14</v>
      </c>
      <c r="H68" s="254" t="s">
        <v>102</v>
      </c>
      <c r="I68" s="257">
        <v>1.5</v>
      </c>
      <c r="J68" s="256"/>
      <c r="K68" s="254" t="s">
        <v>103</v>
      </c>
      <c r="L68" s="258">
        <v>3.0</v>
      </c>
      <c r="M68" s="259"/>
      <c r="N68" s="59"/>
      <c r="O68" s="277">
        <f t="shared" ref="O68:O69" si="45">SUM(S68:U68)</f>
        <v>0</v>
      </c>
      <c r="P68" s="139"/>
      <c r="Q68" s="6"/>
      <c r="R68" s="260"/>
      <c r="S68" s="203">
        <f>IF(G68="","",F68)</f>
        <v>0</v>
      </c>
      <c r="T68" s="203" t="str">
        <f t="shared" ref="T68:T69" si="46">IF(J68="","",I68)</f>
        <v/>
      </c>
      <c r="U68" s="203" t="str">
        <f t="shared" ref="U68:U69" si="47">IF(M68="","",L68)</f>
        <v/>
      </c>
      <c r="V68" s="260"/>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79"/>
      <c r="D69" s="263" t="s">
        <v>104</v>
      </c>
      <c r="E69" s="264"/>
      <c r="F69" s="265"/>
      <c r="G69" s="265"/>
      <c r="H69" s="266" t="s">
        <v>105</v>
      </c>
      <c r="I69" s="267">
        <v>1.5</v>
      </c>
      <c r="J69" s="268"/>
      <c r="K69" s="269" t="s">
        <v>106</v>
      </c>
      <c r="L69" s="270">
        <v>3.0</v>
      </c>
      <c r="M69" s="271"/>
      <c r="N69" s="59"/>
      <c r="O69" s="277">
        <f t="shared" si="45"/>
        <v>0</v>
      </c>
      <c r="P69" s="139"/>
      <c r="Q69" s="6"/>
      <c r="R69" s="260"/>
      <c r="S69" s="203"/>
      <c r="T69" s="203" t="str">
        <f t="shared" si="46"/>
        <v/>
      </c>
      <c r="U69" s="203" t="str">
        <f t="shared" si="47"/>
        <v/>
      </c>
      <c r="V69" s="260"/>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0" t="s">
        <v>107</v>
      </c>
      <c r="D70" s="281"/>
      <c r="E70" s="281"/>
      <c r="F70" s="281"/>
      <c r="G70" s="281"/>
      <c r="H70" s="281"/>
      <c r="I70" s="281"/>
      <c r="J70" s="281"/>
      <c r="K70" s="281"/>
      <c r="L70" s="281"/>
      <c r="M70" s="282"/>
      <c r="N70" s="59"/>
      <c r="O70" s="184">
        <f>MAX(O64:O67)+T70</f>
        <v>3</v>
      </c>
      <c r="P70" s="273" t="s">
        <v>110</v>
      </c>
      <c r="Q70" s="6"/>
      <c r="R70" s="106"/>
      <c r="S70" s="106"/>
      <c r="T70" s="274">
        <f>MAX(S68:U68,S69:U69)</f>
        <v>0</v>
      </c>
      <c r="U70" s="106"/>
      <c r="V70" s="10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3"/>
      <c r="D71" s="284"/>
      <c r="E71" s="284"/>
      <c r="F71" s="284"/>
      <c r="G71" s="284"/>
      <c r="H71" s="284"/>
      <c r="I71" s="284"/>
      <c r="J71" s="284"/>
      <c r="K71" s="284"/>
      <c r="L71" s="284"/>
      <c r="M71" s="285"/>
      <c r="N71" s="59"/>
      <c r="O71" s="286"/>
      <c r="P71" s="139"/>
      <c r="Q71" s="6"/>
      <c r="R71" s="6"/>
      <c r="S71" s="213"/>
      <c r="T71" s="213"/>
      <c r="U71" s="213"/>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87"/>
      <c r="D72" s="288"/>
      <c r="E72" s="226" t="s">
        <v>111</v>
      </c>
      <c r="F72" s="227" t="s">
        <v>90</v>
      </c>
      <c r="G72" s="17"/>
      <c r="H72" s="226" t="s">
        <v>91</v>
      </c>
      <c r="I72" s="227" t="s">
        <v>92</v>
      </c>
      <c r="J72" s="17"/>
      <c r="K72" s="226" t="s">
        <v>93</v>
      </c>
      <c r="L72" s="289">
        <v>7.0</v>
      </c>
      <c r="M72" s="290"/>
      <c r="N72" s="59"/>
      <c r="O72" s="291"/>
      <c r="P72" s="139"/>
      <c r="Q72" s="6"/>
      <c r="R72" s="6"/>
      <c r="S72" s="213"/>
      <c r="T72" s="213"/>
      <c r="U72" s="213"/>
      <c r="V72" s="6"/>
      <c r="W72" s="6"/>
      <c r="X72" s="89"/>
      <c r="Y72" s="89"/>
      <c r="Z72" s="89"/>
      <c r="AA72" s="89"/>
      <c r="AB72" s="89"/>
      <c r="AC72" s="89"/>
      <c r="AD72" s="89"/>
      <c r="AE72" s="89"/>
      <c r="AF72" s="89"/>
      <c r="AG72" s="89"/>
      <c r="AH72" s="89"/>
      <c r="AI72" s="89"/>
      <c r="AJ72" s="89"/>
      <c r="AK72" s="89"/>
      <c r="AL72" s="89"/>
      <c r="AM72" s="89"/>
      <c r="AN72" s="89"/>
      <c r="AO72" s="89"/>
      <c r="AP72" s="89"/>
      <c r="AQ72" s="89"/>
      <c r="AR72" s="89"/>
      <c r="AS72" s="89"/>
      <c r="AT72" s="89"/>
      <c r="AU72" s="89"/>
      <c r="AV72" s="89"/>
      <c r="AW72" s="89"/>
      <c r="AX72" s="89"/>
      <c r="AY72" s="89"/>
      <c r="AZ72" s="89"/>
      <c r="BA72" s="89"/>
      <c r="BB72" s="89"/>
      <c r="BC72" s="89"/>
      <c r="BD72" s="89"/>
      <c r="BE72" s="89"/>
      <c r="BF72" s="89"/>
      <c r="BG72" s="89"/>
      <c r="BH72" s="89"/>
      <c r="BI72" s="89"/>
      <c r="BJ72" s="1"/>
      <c r="BK72" s="1"/>
      <c r="BL72" s="1"/>
      <c r="BM72" s="1"/>
      <c r="BN72" s="1"/>
      <c r="BO72" s="1"/>
      <c r="BP72" s="1"/>
      <c r="BQ72" s="1"/>
      <c r="BR72" s="1"/>
      <c r="BS72" s="1"/>
      <c r="BT72" s="1"/>
    </row>
    <row r="73" ht="100.5" customHeight="1">
      <c r="A73" s="1"/>
      <c r="B73" s="7"/>
      <c r="C73" s="292" t="s">
        <v>112</v>
      </c>
      <c r="D73" s="293" t="s">
        <v>113</v>
      </c>
      <c r="E73" s="234"/>
      <c r="F73" s="294"/>
      <c r="G73" s="17"/>
      <c r="H73" s="234"/>
      <c r="I73" s="294"/>
      <c r="J73" s="17"/>
      <c r="K73" s="234"/>
      <c r="L73" s="295">
        <v>8.0</v>
      </c>
      <c r="M73" s="296"/>
      <c r="N73" s="59"/>
      <c r="O73" s="277">
        <f>SUM(R73:V73)</f>
        <v>0</v>
      </c>
      <c r="P73" s="139"/>
      <c r="Q73" s="6"/>
      <c r="R73" s="203" t="str">
        <f>IF(E73="","",1)</f>
        <v/>
      </c>
      <c r="S73" s="203" t="str">
        <f>IF(F73="","",2)</f>
        <v/>
      </c>
      <c r="T73" s="203" t="str">
        <f>IF(H73="","",4)</f>
        <v/>
      </c>
      <c r="U73" s="203" t="str">
        <f>IF(I73="","",6)</f>
        <v/>
      </c>
      <c r="V73" s="203"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297" t="s">
        <v>114</v>
      </c>
      <c r="D74" s="298" t="s">
        <v>115</v>
      </c>
      <c r="E74" s="234"/>
      <c r="F74" s="298" t="s">
        <v>116</v>
      </c>
      <c r="G74" s="234"/>
      <c r="H74" s="298" t="s">
        <v>117</v>
      </c>
      <c r="I74" s="235"/>
      <c r="J74" s="17"/>
      <c r="K74" s="298" t="s">
        <v>118</v>
      </c>
      <c r="L74" s="235"/>
      <c r="M74" s="299"/>
      <c r="N74" s="59"/>
      <c r="O74" s="277">
        <f t="shared" ref="O74:O75" si="48">SUM(R74:U74)</f>
        <v>0</v>
      </c>
      <c r="P74" s="139"/>
      <c r="Q74" s="6"/>
      <c r="R74" s="203" t="str">
        <f>IF(E74="","",4)</f>
        <v/>
      </c>
      <c r="S74" s="203" t="str">
        <f>IF(G74="","",8)</f>
        <v/>
      </c>
      <c r="T74" s="203" t="str">
        <f>IF(I74="","",16)</f>
        <v/>
      </c>
      <c r="U74" s="203" t="str">
        <f>IF(L74="","",24)</f>
        <v/>
      </c>
      <c r="V74" s="10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297" t="s">
        <v>119</v>
      </c>
      <c r="D75" s="298" t="s">
        <v>115</v>
      </c>
      <c r="E75" s="234"/>
      <c r="F75" s="300" t="s">
        <v>116</v>
      </c>
      <c r="G75" s="234"/>
      <c r="H75" s="300" t="s">
        <v>117</v>
      </c>
      <c r="I75" s="235"/>
      <c r="J75" s="17"/>
      <c r="K75" s="300" t="s">
        <v>118</v>
      </c>
      <c r="L75" s="235"/>
      <c r="M75" s="299"/>
      <c r="N75" s="59"/>
      <c r="O75" s="277">
        <f t="shared" si="48"/>
        <v>0</v>
      </c>
      <c r="P75" s="139"/>
      <c r="Q75" s="6"/>
      <c r="R75" s="203" t="str">
        <f>IF(E75="","",6)</f>
        <v/>
      </c>
      <c r="S75" s="203" t="str">
        <f>IF(G75="","",12)</f>
        <v/>
      </c>
      <c r="T75" s="203" t="str">
        <f>IF(I75="","",24)</f>
        <v/>
      </c>
      <c r="U75" s="203" t="str">
        <f>IF(L75="","",32)</f>
        <v/>
      </c>
      <c r="V75" s="301"/>
      <c r="W75" s="301"/>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2" t="s">
        <v>120</v>
      </c>
      <c r="E76" s="16"/>
      <c r="F76" s="16"/>
      <c r="G76" s="16"/>
      <c r="H76" s="16"/>
      <c r="I76" s="16"/>
      <c r="J76" s="16"/>
      <c r="K76" s="17"/>
      <c r="L76" s="59"/>
      <c r="M76" s="303"/>
      <c r="N76" s="59"/>
      <c r="O76" s="184">
        <f>SUM(O73:O75)</f>
        <v>0</v>
      </c>
      <c r="P76" s="304" t="s">
        <v>121</v>
      </c>
      <c r="Q76" s="6"/>
      <c r="R76" s="106"/>
      <c r="S76" s="106"/>
      <c r="T76" s="106"/>
      <c r="U76" s="106"/>
      <c r="V76" s="301"/>
      <c r="W76" s="301"/>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87"/>
      <c r="D77" s="288"/>
      <c r="E77" s="305" t="s">
        <v>111</v>
      </c>
      <c r="F77" s="306" t="s">
        <v>90</v>
      </c>
      <c r="G77" s="100"/>
      <c r="H77" s="305" t="s">
        <v>91</v>
      </c>
      <c r="I77" s="306" t="s">
        <v>92</v>
      </c>
      <c r="J77" s="100"/>
      <c r="K77" s="305" t="s">
        <v>93</v>
      </c>
      <c r="L77" s="289">
        <v>7.0</v>
      </c>
      <c r="M77" s="290"/>
      <c r="N77" s="59"/>
      <c r="O77" s="291"/>
      <c r="P77" s="307"/>
      <c r="Q77" s="6"/>
      <c r="R77" s="6"/>
      <c r="S77" s="213"/>
      <c r="T77" s="213"/>
      <c r="U77" s="213"/>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08" t="s">
        <v>122</v>
      </c>
      <c r="D78" s="293" t="s">
        <v>123</v>
      </c>
      <c r="E78" s="234"/>
      <c r="F78" s="309"/>
      <c r="G78" s="17"/>
      <c r="H78" s="191"/>
      <c r="I78" s="309"/>
      <c r="J78" s="17"/>
      <c r="K78" s="191"/>
      <c r="L78" s="289">
        <v>8.0</v>
      </c>
      <c r="M78" s="296"/>
      <c r="N78" s="59"/>
      <c r="O78" s="277">
        <f>SUM(R78:V78)</f>
        <v>0</v>
      </c>
      <c r="P78" s="139"/>
      <c r="Q78" s="6"/>
      <c r="R78" s="310" t="str">
        <f>IF(E78="","",1)</f>
        <v/>
      </c>
      <c r="S78" s="310" t="str">
        <f>IF(F78="","",2)</f>
        <v/>
      </c>
      <c r="T78" s="310" t="str">
        <f>IF(H78="","",4)</f>
        <v/>
      </c>
      <c r="U78" s="310" t="str">
        <f>IF(I78="","",6)</f>
        <v/>
      </c>
      <c r="V78" s="310"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297" t="s">
        <v>124</v>
      </c>
      <c r="D79" s="298" t="s">
        <v>115</v>
      </c>
      <c r="E79" s="234"/>
      <c r="F79" s="298" t="s">
        <v>116</v>
      </c>
      <c r="G79" s="234"/>
      <c r="H79" s="298" t="s">
        <v>117</v>
      </c>
      <c r="I79" s="235"/>
      <c r="J79" s="17"/>
      <c r="K79" s="298" t="s">
        <v>118</v>
      </c>
      <c r="L79" s="235"/>
      <c r="M79" s="299"/>
      <c r="N79" s="59"/>
      <c r="O79" s="277">
        <f t="shared" ref="O79:O80" si="49">SUM(R79:U79)</f>
        <v>0</v>
      </c>
      <c r="P79" s="139"/>
      <c r="Q79" s="6"/>
      <c r="R79" s="203" t="str">
        <f>IF(E79="","",4)</f>
        <v/>
      </c>
      <c r="S79" s="203" t="str">
        <f>IF(G79="","",8)</f>
        <v/>
      </c>
      <c r="T79" s="203" t="str">
        <f>IF(I79="","",16)</f>
        <v/>
      </c>
      <c r="U79" s="203"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297" t="s">
        <v>125</v>
      </c>
      <c r="D80" s="298" t="s">
        <v>115</v>
      </c>
      <c r="E80" s="234"/>
      <c r="F80" s="300" t="s">
        <v>116</v>
      </c>
      <c r="G80" s="234"/>
      <c r="H80" s="300" t="s">
        <v>117</v>
      </c>
      <c r="I80" s="235"/>
      <c r="J80" s="17"/>
      <c r="K80" s="300" t="s">
        <v>118</v>
      </c>
      <c r="L80" s="235"/>
      <c r="M80" s="299"/>
      <c r="N80" s="59"/>
      <c r="O80" s="277">
        <f t="shared" si="49"/>
        <v>0</v>
      </c>
      <c r="P80" s="139"/>
      <c r="Q80" s="6"/>
      <c r="R80" s="203" t="str">
        <f>IF(E80="","",6)</f>
        <v/>
      </c>
      <c r="S80" s="203" t="str">
        <f>IF(G80="","",12)</f>
        <v/>
      </c>
      <c r="T80" s="203" t="str">
        <f>IF(I80="","",24)</f>
        <v/>
      </c>
      <c r="U80" s="203" t="str">
        <f>IF(L80="","",32)</f>
        <v/>
      </c>
      <c r="V80" s="301"/>
      <c r="W80" s="301"/>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1"/>
      <c r="D81" s="312" t="s">
        <v>120</v>
      </c>
      <c r="E81" s="313"/>
      <c r="F81" s="313"/>
      <c r="G81" s="313"/>
      <c r="H81" s="313"/>
      <c r="I81" s="313"/>
      <c r="J81" s="313"/>
      <c r="K81" s="314"/>
      <c r="L81" s="315"/>
      <c r="M81" s="316"/>
      <c r="N81" s="59"/>
      <c r="O81" s="184">
        <f>SUM(O78:O80)</f>
        <v>0</v>
      </c>
      <c r="P81" s="304" t="s">
        <v>126</v>
      </c>
      <c r="Q81" s="6"/>
      <c r="R81" s="106"/>
      <c r="S81" s="106"/>
      <c r="T81" s="106"/>
      <c r="U81" s="106"/>
      <c r="V81" s="301"/>
      <c r="W81" s="301"/>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17"/>
      <c r="C82" s="59"/>
      <c r="D82" s="59"/>
      <c r="E82" s="59"/>
      <c r="F82" s="59"/>
      <c r="G82" s="59"/>
      <c r="H82" s="59"/>
      <c r="I82" s="59"/>
      <c r="J82" s="59"/>
      <c r="K82" s="59"/>
      <c r="L82" s="318" t="s">
        <v>55</v>
      </c>
      <c r="M82" s="318" t="s">
        <v>56</v>
      </c>
      <c r="N82" s="59"/>
      <c r="O82" s="59"/>
      <c r="P82" s="139"/>
      <c r="Q82" s="6"/>
      <c r="R82" s="106"/>
      <c r="S82" s="106"/>
      <c r="T82" s="106"/>
      <c r="U82" s="106"/>
      <c r="V82" s="301"/>
      <c r="W82" s="301"/>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19" t="s">
        <v>127</v>
      </c>
      <c r="D83" s="320" t="s">
        <v>128</v>
      </c>
      <c r="E83" s="321" t="s">
        <v>129</v>
      </c>
      <c r="F83" s="210"/>
      <c r="G83" s="210"/>
      <c r="H83" s="210"/>
      <c r="I83" s="210"/>
      <c r="J83" s="210"/>
      <c r="K83" s="211"/>
      <c r="L83" s="31"/>
      <c r="M83" s="322"/>
      <c r="N83" s="59"/>
      <c r="O83" s="59"/>
      <c r="P83" s="139"/>
      <c r="Q83" s="6"/>
      <c r="R83" s="323">
        <f t="shared" ref="R83:S83" si="50">IF(L83="x",2,0)</f>
        <v>0</v>
      </c>
      <c r="S83" s="323">
        <f t="shared" si="50"/>
        <v>0</v>
      </c>
      <c r="T83" s="6"/>
      <c r="U83" s="6"/>
      <c r="V83" s="324"/>
      <c r="W83" s="301"/>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25"/>
      <c r="D84" s="326" t="s">
        <v>130</v>
      </c>
      <c r="E84" s="327" t="s">
        <v>131</v>
      </c>
      <c r="F84" s="16"/>
      <c r="G84" s="16"/>
      <c r="H84" s="16"/>
      <c r="I84" s="16"/>
      <c r="J84" s="16"/>
      <c r="K84" s="17"/>
      <c r="L84" s="328"/>
      <c r="M84" s="329"/>
      <c r="N84" s="59"/>
      <c r="O84" s="59"/>
      <c r="P84" s="139"/>
      <c r="Q84" s="6"/>
      <c r="R84" s="323">
        <f t="shared" ref="R84:S84" si="51">IF(L84="x",2,0)</f>
        <v>0</v>
      </c>
      <c r="S84" s="323">
        <f t="shared" si="51"/>
        <v>0</v>
      </c>
      <c r="T84" s="6"/>
      <c r="U84" s="6"/>
      <c r="V84" s="324"/>
      <c r="W84" s="301"/>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0" t="s">
        <v>132</v>
      </c>
      <c r="D85" s="326" t="s">
        <v>133</v>
      </c>
      <c r="E85" s="327" t="s">
        <v>129</v>
      </c>
      <c r="F85" s="16"/>
      <c r="G85" s="16"/>
      <c r="H85" s="16"/>
      <c r="I85" s="16"/>
      <c r="J85" s="16"/>
      <c r="K85" s="17"/>
      <c r="L85" s="29"/>
      <c r="M85" s="331"/>
      <c r="N85" s="59"/>
      <c r="O85" s="59"/>
      <c r="P85" s="139"/>
      <c r="Q85" s="6"/>
      <c r="R85" s="323">
        <f t="shared" ref="R85:S85" si="52">IF(L85="x",2,0)</f>
        <v>0</v>
      </c>
      <c r="S85" s="323">
        <f t="shared" si="52"/>
        <v>0</v>
      </c>
      <c r="T85" s="6"/>
      <c r="U85" s="6"/>
      <c r="V85" s="324"/>
      <c r="W85" s="301"/>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2"/>
      <c r="D86" s="326" t="s">
        <v>134</v>
      </c>
      <c r="E86" s="333"/>
      <c r="F86" s="16"/>
      <c r="G86" s="16"/>
      <c r="H86" s="17"/>
      <c r="I86" s="334" t="s">
        <v>129</v>
      </c>
      <c r="J86" s="16"/>
      <c r="K86" s="17"/>
      <c r="L86" s="335"/>
      <c r="M86" s="336"/>
      <c r="N86" s="59"/>
      <c r="O86" s="59"/>
      <c r="P86" s="139"/>
      <c r="Q86" s="6"/>
      <c r="R86" s="323">
        <f t="shared" ref="R86:S86" si="53">IF(L86="x",2,0)</f>
        <v>0</v>
      </c>
      <c r="S86" s="323">
        <f t="shared" si="53"/>
        <v>0</v>
      </c>
      <c r="T86" s="6"/>
      <c r="U86" s="6"/>
      <c r="V86" s="324"/>
      <c r="W86" s="301"/>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37" t="s">
        <v>135</v>
      </c>
      <c r="D87" s="338" t="s">
        <v>136</v>
      </c>
      <c r="E87" s="339" t="s">
        <v>137</v>
      </c>
      <c r="F87" s="340"/>
      <c r="G87" s="341"/>
      <c r="H87" s="342" t="s">
        <v>138</v>
      </c>
      <c r="I87" s="343" t="s">
        <v>14</v>
      </c>
      <c r="J87" s="340"/>
      <c r="K87" s="344" t="s">
        <v>139</v>
      </c>
      <c r="L87" s="343"/>
      <c r="M87" s="282"/>
      <c r="N87" s="59"/>
      <c r="O87" s="323">
        <f>IF(G87="x",1,IF(I87="x",1.5,IF(L87="x",2,0)))</f>
        <v>1.5</v>
      </c>
      <c r="P87" s="345" t="s">
        <v>140</v>
      </c>
      <c r="Q87" s="6"/>
      <c r="R87" s="323">
        <f t="shared" ref="R87:S87" si="54">IF(L87="x",2,0)</f>
        <v>0</v>
      </c>
      <c r="S87" s="323">
        <f t="shared" si="54"/>
        <v>0</v>
      </c>
      <c r="T87" s="6"/>
      <c r="U87" s="6"/>
      <c r="V87" s="324"/>
      <c r="W87" s="301"/>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46" t="s">
        <v>141</v>
      </c>
      <c r="D88" s="44"/>
      <c r="E88" s="44"/>
      <c r="F88" s="44"/>
      <c r="G88" s="44"/>
      <c r="H88" s="44"/>
      <c r="I88" s="44"/>
      <c r="J88" s="44"/>
      <c r="K88" s="44"/>
      <c r="L88" s="44"/>
      <c r="M88" s="44"/>
      <c r="N88" s="13"/>
      <c r="O88" s="347"/>
      <c r="P88" s="139"/>
      <c r="Q88" s="6"/>
      <c r="R88" s="6"/>
      <c r="S88" s="6" t="str">
        <f>IF(G88="","",F88)</f>
        <v/>
      </c>
      <c r="T88" s="6" t="str">
        <f>IF(J88="","",I88)</f>
        <v/>
      </c>
      <c r="U88" s="6" t="str">
        <f>IF(M88="","",L88)</f>
        <v/>
      </c>
      <c r="V88" s="324"/>
      <c r="W88" s="301"/>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49"/>
      <c r="N89" s="13"/>
      <c r="O89" s="184">
        <f t="shared" ref="O89:P89" si="55">R90</f>
        <v>1.5</v>
      </c>
      <c r="P89" s="185">
        <f t="shared" si="55"/>
        <v>1.5</v>
      </c>
      <c r="Q89" s="6"/>
      <c r="R89" s="348">
        <f t="shared" ref="R89:S89" si="56">IF(SUM(R83:R86)&gt;2,3,SUM(R83:R86))</f>
        <v>0</v>
      </c>
      <c r="S89" s="348">
        <f t="shared" si="56"/>
        <v>0</v>
      </c>
      <c r="T89" s="6"/>
      <c r="U89" s="6"/>
      <c r="V89" s="324"/>
      <c r="W89" s="301"/>
      <c r="X89" s="349"/>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0" t="s">
        <v>142</v>
      </c>
      <c r="C90" s="9"/>
      <c r="D90" s="9"/>
      <c r="E90" s="9"/>
      <c r="F90" s="9"/>
      <c r="G90" s="9"/>
      <c r="H90" s="9"/>
      <c r="I90" s="9"/>
      <c r="J90" s="9"/>
      <c r="K90" s="9"/>
      <c r="L90" s="9"/>
      <c r="M90" s="9"/>
      <c r="N90" s="9"/>
      <c r="O90" s="9"/>
      <c r="P90" s="82"/>
      <c r="Q90" s="351"/>
      <c r="R90" s="352">
        <f>R89+O87</f>
        <v>1.5</v>
      </c>
      <c r="S90" s="352">
        <f>S89+O87</f>
        <v>1.5</v>
      </c>
      <c r="T90" s="6"/>
      <c r="U90" s="6"/>
      <c r="V90" s="351"/>
      <c r="W90" s="6"/>
      <c r="X90" s="6"/>
      <c r="Y90" s="6"/>
      <c r="Z90" s="6"/>
      <c r="AA90" s="6"/>
      <c r="AB90" s="353"/>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54"/>
      <c r="D91" s="355"/>
      <c r="E91" s="356"/>
      <c r="F91" s="144"/>
      <c r="G91" s="144"/>
      <c r="H91" s="13"/>
      <c r="I91" s="13"/>
      <c r="J91" s="13"/>
      <c r="K91" s="13"/>
      <c r="L91" s="13"/>
      <c r="M91" s="13"/>
      <c r="N91" s="13"/>
      <c r="O91" s="13"/>
      <c r="P91" s="10"/>
      <c r="Q91" s="357"/>
      <c r="R91" s="358" t="s">
        <v>55</v>
      </c>
      <c r="S91" s="358" t="s">
        <v>72</v>
      </c>
      <c r="T91" s="6"/>
      <c r="U91" s="6"/>
      <c r="V91" s="353"/>
      <c r="X91" s="353"/>
      <c r="Z91" s="353"/>
      <c r="AB91" s="353"/>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54"/>
      <c r="D92" s="355"/>
      <c r="E92" s="356"/>
      <c r="F92" s="359"/>
      <c r="G92" s="13"/>
      <c r="H92" s="13"/>
      <c r="I92" s="13"/>
      <c r="J92" s="13"/>
      <c r="K92" s="13"/>
      <c r="L92" s="13"/>
      <c r="M92" s="13"/>
      <c r="N92" s="13"/>
      <c r="O92" s="13"/>
      <c r="P92" s="10"/>
      <c r="Q92" s="360"/>
      <c r="R92" s="361"/>
      <c r="S92" s="361"/>
      <c r="T92" s="6"/>
      <c r="U92" s="6"/>
      <c r="V92" s="362"/>
      <c r="W92" s="363"/>
      <c r="X92" s="362"/>
      <c r="Y92" s="364"/>
      <c r="Z92" s="362"/>
      <c r="AA92" s="364"/>
      <c r="AB92" s="362"/>
      <c r="AC92" s="364"/>
      <c r="AD92" s="349"/>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3"/>
      <c r="D93" s="365" t="s">
        <v>143</v>
      </c>
      <c r="E93" s="356"/>
      <c r="F93" s="13"/>
      <c r="G93" s="13"/>
      <c r="H93" s="13"/>
      <c r="I93" s="13"/>
      <c r="J93" s="13"/>
      <c r="K93" s="13"/>
      <c r="L93" s="13"/>
      <c r="M93" s="13"/>
      <c r="N93" s="13"/>
      <c r="O93" s="13"/>
      <c r="P93" s="10"/>
      <c r="Q93" s="360"/>
      <c r="R93" s="361"/>
      <c r="S93" s="361"/>
      <c r="T93" s="6"/>
      <c r="U93" s="6"/>
      <c r="V93" s="366"/>
      <c r="W93" s="367"/>
      <c r="X93" s="366"/>
      <c r="Y93" s="364"/>
      <c r="Z93" s="366"/>
      <c r="AA93" s="364"/>
      <c r="AB93" s="366"/>
      <c r="AC93" s="364"/>
      <c r="AD93" s="349"/>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68" t="s">
        <v>75</v>
      </c>
      <c r="D94" s="369">
        <f>O45+O62+O76+O89</f>
        <v>4.5</v>
      </c>
      <c r="E94" s="13"/>
      <c r="F94" s="370" t="s">
        <v>144</v>
      </c>
      <c r="G94" s="371"/>
      <c r="H94" s="371"/>
      <c r="I94" s="371"/>
      <c r="J94" s="371"/>
      <c r="K94" s="371"/>
      <c r="L94" s="108"/>
      <c r="M94" s="13"/>
      <c r="N94" s="13"/>
      <c r="O94" s="13"/>
      <c r="P94" s="10"/>
      <c r="Q94" s="360"/>
      <c r="R94" s="361"/>
      <c r="S94" s="361"/>
      <c r="T94" s="6"/>
      <c r="U94" s="6"/>
      <c r="V94" s="366"/>
      <c r="W94" s="367"/>
      <c r="X94" s="366"/>
      <c r="Y94" s="364"/>
      <c r="Z94" s="366"/>
      <c r="AA94" s="364"/>
      <c r="AB94" s="366"/>
      <c r="AC94" s="364"/>
      <c r="AD94" s="349"/>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68" t="s">
        <v>76</v>
      </c>
      <c r="D95" s="369">
        <f>P45+O70+O81+P89</f>
        <v>4.5</v>
      </c>
      <c r="E95" s="13"/>
      <c r="F95" s="18"/>
      <c r="G95" s="13"/>
      <c r="H95" s="13"/>
      <c r="I95" s="13"/>
      <c r="J95" s="13"/>
      <c r="K95" s="13"/>
      <c r="L95" s="372"/>
      <c r="M95" s="13"/>
      <c r="N95" s="13"/>
      <c r="O95" s="13"/>
      <c r="P95" s="10"/>
      <c r="Q95" s="373"/>
      <c r="R95" s="361"/>
      <c r="S95" s="361"/>
      <c r="T95" s="361"/>
      <c r="U95" s="361"/>
      <c r="V95" s="366"/>
      <c r="W95" s="367"/>
      <c r="X95" s="366"/>
      <c r="Y95" s="364"/>
      <c r="Z95" s="366"/>
      <c r="AA95" s="364"/>
      <c r="AB95" s="366"/>
      <c r="AC95" s="364"/>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3"/>
      <c r="D96" s="374" t="s">
        <v>145</v>
      </c>
      <c r="E96" s="13"/>
      <c r="F96" s="375"/>
      <c r="G96" s="376" t="s">
        <v>75</v>
      </c>
      <c r="H96" s="377">
        <f>D94*O18*O29</f>
        <v>8.9775</v>
      </c>
      <c r="I96" s="16"/>
      <c r="J96" s="17"/>
      <c r="K96" s="13"/>
      <c r="L96" s="372"/>
      <c r="M96" s="13"/>
      <c r="N96" s="13"/>
      <c r="O96" s="13"/>
      <c r="P96" s="10"/>
      <c r="Q96" s="378"/>
      <c r="R96" s="6"/>
      <c r="S96" s="361"/>
      <c r="T96" s="361"/>
      <c r="U96" s="361"/>
      <c r="V96" s="366"/>
      <c r="W96" s="367"/>
      <c r="X96" s="366"/>
      <c r="Y96" s="364"/>
      <c r="Z96" s="366"/>
      <c r="AA96" s="364"/>
      <c r="AB96" s="366"/>
      <c r="AC96" s="364"/>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68" t="s">
        <v>75</v>
      </c>
      <c r="D97" s="369">
        <f>D94*O18</f>
        <v>5.985</v>
      </c>
      <c r="E97" s="13"/>
      <c r="F97" s="18"/>
      <c r="G97" s="376" t="s">
        <v>76</v>
      </c>
      <c r="H97" s="377">
        <f>D95*O18*O29</f>
        <v>8.9775</v>
      </c>
      <c r="I97" s="16"/>
      <c r="J97" s="17"/>
      <c r="K97" s="13"/>
      <c r="L97" s="372"/>
      <c r="M97" s="13"/>
      <c r="N97" s="13"/>
      <c r="O97" s="13"/>
      <c r="P97" s="10"/>
      <c r="Q97" s="351"/>
      <c r="R97" s="6"/>
      <c r="S97" s="379"/>
      <c r="T97" s="6"/>
      <c r="U97" s="6"/>
      <c r="V97" s="366"/>
      <c r="W97" s="367"/>
      <c r="X97" s="366"/>
      <c r="Y97" s="364"/>
      <c r="Z97" s="366"/>
      <c r="AA97" s="364"/>
      <c r="AB97" s="366"/>
      <c r="AC97" s="367"/>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68" t="s">
        <v>76</v>
      </c>
      <c r="D98" s="369">
        <f>D95*O18</f>
        <v>5.985</v>
      </c>
      <c r="E98" s="13"/>
      <c r="F98" s="380"/>
      <c r="G98" s="381"/>
      <c r="H98" s="116"/>
      <c r="I98" s="382"/>
      <c r="J98" s="381"/>
      <c r="K98" s="116"/>
      <c r="L98" s="383"/>
      <c r="M98" s="13"/>
      <c r="N98" s="13"/>
      <c r="O98" s="13"/>
      <c r="P98" s="10"/>
      <c r="Q98" s="357"/>
      <c r="R98" s="361"/>
      <c r="S98" s="361"/>
      <c r="T98" s="6"/>
      <c r="U98" s="6"/>
      <c r="V98" s="366"/>
      <c r="W98" s="367"/>
      <c r="X98" s="366"/>
      <c r="Y98" s="364"/>
      <c r="Z98" s="366"/>
      <c r="AA98" s="364"/>
      <c r="AB98" s="366"/>
      <c r="AC98" s="367"/>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1"/>
      <c r="C99" s="384"/>
      <c r="D99" s="384"/>
      <c r="E99" s="384"/>
      <c r="F99" s="384"/>
      <c r="G99" s="384"/>
      <c r="H99" s="384"/>
      <c r="I99" s="384"/>
      <c r="J99" s="384"/>
      <c r="K99" s="384"/>
      <c r="L99" s="384"/>
      <c r="M99" s="385"/>
      <c r="N99" s="384"/>
      <c r="O99" s="384"/>
      <c r="P99" s="386"/>
      <c r="Q99" s="360"/>
      <c r="R99" s="361"/>
      <c r="S99" s="361"/>
      <c r="T99" s="387"/>
      <c r="U99" s="387"/>
      <c r="V99" s="366"/>
      <c r="W99" s="367"/>
      <c r="X99" s="366"/>
      <c r="Y99" s="364"/>
      <c r="Z99" s="366"/>
      <c r="AA99" s="364"/>
      <c r="AB99" s="366"/>
      <c r="AC99" s="367"/>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88"/>
      <c r="C100" s="389"/>
      <c r="D100" s="389"/>
      <c r="E100" s="389"/>
      <c r="F100" s="389"/>
      <c r="G100" s="390"/>
      <c r="H100" s="390" t="s">
        <v>146</v>
      </c>
      <c r="I100" s="389"/>
      <c r="J100" s="389"/>
      <c r="K100" s="389"/>
      <c r="L100" s="389"/>
      <c r="M100" s="389"/>
      <c r="N100" s="389"/>
      <c r="O100" s="389"/>
      <c r="P100" s="391"/>
      <c r="Q100" s="360"/>
      <c r="R100" s="361"/>
      <c r="S100" s="361"/>
      <c r="T100" s="6"/>
      <c r="U100" s="6"/>
      <c r="V100" s="366"/>
      <c r="W100" s="367"/>
      <c r="X100" s="366"/>
      <c r="Y100" s="364"/>
      <c r="Z100" s="366"/>
      <c r="AA100" s="364"/>
      <c r="AB100" s="366"/>
      <c r="AC100" s="367"/>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2"/>
      <c r="C101" s="393" t="s">
        <v>147</v>
      </c>
      <c r="D101" s="394" t="s">
        <v>24</v>
      </c>
      <c r="E101" s="395" t="s">
        <v>148</v>
      </c>
      <c r="F101" s="395" t="s">
        <v>149</v>
      </c>
      <c r="G101" s="395" t="s">
        <v>150</v>
      </c>
      <c r="H101" s="396" t="s">
        <v>151</v>
      </c>
      <c r="I101" s="396" t="s">
        <v>152</v>
      </c>
      <c r="J101" s="396" t="s">
        <v>153</v>
      </c>
      <c r="K101" s="396" t="s">
        <v>154</v>
      </c>
      <c r="L101" s="396" t="s">
        <v>155</v>
      </c>
      <c r="M101" s="396" t="s">
        <v>156</v>
      </c>
      <c r="N101" s="395" t="s">
        <v>157</v>
      </c>
      <c r="O101" s="395" t="s">
        <v>158</v>
      </c>
      <c r="P101" s="397" t="s">
        <v>159</v>
      </c>
      <c r="Q101" s="360"/>
      <c r="R101" s="361"/>
      <c r="S101" s="361"/>
      <c r="T101" s="6"/>
      <c r="U101" s="6"/>
      <c r="V101" s="398"/>
      <c r="W101" s="399"/>
      <c r="X101" s="399"/>
      <c r="Y101" s="399"/>
      <c r="Z101" s="399"/>
      <c r="AA101" s="399"/>
      <c r="AB101" s="399"/>
      <c r="AC101" s="399"/>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2"/>
      <c r="C102" s="400"/>
      <c r="D102" s="400"/>
      <c r="E102" s="400"/>
      <c r="F102" s="400"/>
      <c r="G102" s="400"/>
      <c r="H102" s="400"/>
      <c r="I102" s="400"/>
      <c r="J102" s="400"/>
      <c r="K102" s="400"/>
      <c r="L102" s="400"/>
      <c r="M102" s="400"/>
      <c r="N102" s="400"/>
      <c r="O102" s="400"/>
      <c r="P102" s="401"/>
      <c r="Q102" s="373"/>
      <c r="R102" s="361"/>
      <c r="S102" s="361"/>
      <c r="T102" s="6"/>
      <c r="U102" s="6"/>
      <c r="V102" s="402"/>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2"/>
      <c r="C103" s="400"/>
      <c r="D103" s="400"/>
      <c r="E103" s="400"/>
      <c r="F103" s="400"/>
      <c r="G103" s="400"/>
      <c r="H103" s="400"/>
      <c r="I103" s="400"/>
      <c r="J103" s="400"/>
      <c r="K103" s="400"/>
      <c r="L103" s="400"/>
      <c r="M103" s="400"/>
      <c r="N103" s="400"/>
      <c r="O103" s="400"/>
      <c r="P103" s="401"/>
      <c r="Q103" s="6"/>
      <c r="R103" s="6"/>
      <c r="S103" s="6"/>
      <c r="T103" s="6"/>
      <c r="U103" s="6"/>
      <c r="V103" s="351"/>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2"/>
      <c r="C104" s="70"/>
      <c r="D104" s="70"/>
      <c r="E104" s="70"/>
      <c r="F104" s="70"/>
      <c r="G104" s="70"/>
      <c r="H104" s="70"/>
      <c r="I104" s="70"/>
      <c r="J104" s="70"/>
      <c r="K104" s="70"/>
      <c r="L104" s="70"/>
      <c r="M104" s="70"/>
      <c r="N104" s="70"/>
      <c r="O104" s="70"/>
      <c r="P104" s="401"/>
      <c r="Q104" s="6"/>
      <c r="R104" s="6"/>
      <c r="S104" s="6"/>
      <c r="T104" s="6"/>
      <c r="U104" s="6"/>
      <c r="V104" s="353"/>
      <c r="X104" s="353"/>
      <c r="Z104" s="353"/>
      <c r="AB104" s="353"/>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2"/>
      <c r="C105" s="6"/>
      <c r="D105" s="403"/>
      <c r="E105" s="404"/>
      <c r="F105" s="16"/>
      <c r="G105" s="405"/>
      <c r="H105" s="405"/>
      <c r="I105" s="405"/>
      <c r="J105" s="405"/>
      <c r="K105" s="405"/>
      <c r="L105" s="405"/>
      <c r="M105" s="405"/>
      <c r="N105" s="405"/>
      <c r="O105" s="405"/>
      <c r="P105" s="406"/>
      <c r="Q105" s="6"/>
      <c r="R105" s="6"/>
      <c r="S105" s="6"/>
      <c r="T105" s="6"/>
      <c r="U105" s="6"/>
      <c r="V105" s="362"/>
      <c r="W105" s="363"/>
      <c r="X105" s="362"/>
      <c r="Y105" s="364"/>
      <c r="Z105" s="362"/>
      <c r="AA105" s="364"/>
      <c r="AB105" s="362"/>
      <c r="AC105" s="364"/>
      <c r="AD105" s="407"/>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2"/>
      <c r="C106" s="408" t="str">
        <f t="shared" ref="C106:C107" si="57">$E$9</f>
        <v>Toma cubierta, conecta lector de huellas, coloca cubierta trasera, coloca materiales y escanea.</v>
      </c>
      <c r="D106" s="409">
        <f>$O$18</f>
        <v>1.33</v>
      </c>
      <c r="E106" s="410">
        <f t="shared" ref="E106:E107" si="58">$O$16</f>
        <v>4</v>
      </c>
      <c r="F106" s="237">
        <f>$O$45</f>
        <v>0</v>
      </c>
      <c r="G106" s="237">
        <f>$O$76</f>
        <v>0</v>
      </c>
      <c r="H106" s="411" t="s">
        <v>55</v>
      </c>
      <c r="I106" s="237">
        <f>$O$57</f>
        <v>1</v>
      </c>
      <c r="J106" s="237">
        <f>$O$59</f>
        <v>2</v>
      </c>
      <c r="K106" s="237">
        <f>$O$58</f>
        <v>2</v>
      </c>
      <c r="L106" s="237">
        <f>$O$56</f>
        <v>3</v>
      </c>
      <c r="M106" s="410">
        <f>$T$62</f>
        <v>0</v>
      </c>
      <c r="N106" s="237">
        <f t="shared" ref="N106:N107" si="59">MAX(I106:L106)+M106</f>
        <v>3</v>
      </c>
      <c r="O106" s="410">
        <f>R90</f>
        <v>1.5</v>
      </c>
      <c r="P106" s="412">
        <f>$H$96</f>
        <v>8.9775</v>
      </c>
      <c r="Q106" s="6"/>
      <c r="R106" s="6"/>
      <c r="S106" s="6"/>
      <c r="T106" s="6"/>
      <c r="U106" s="6"/>
      <c r="V106" s="366"/>
      <c r="W106" s="367"/>
      <c r="X106" s="366"/>
      <c r="Y106" s="364"/>
      <c r="Z106" s="366"/>
      <c r="AA106" s="364"/>
      <c r="AB106" s="366"/>
      <c r="AC106" s="364"/>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13"/>
      <c r="C107" s="414" t="str">
        <f t="shared" si="57"/>
        <v>Toma cubierta, conecta lector de huellas, coloca cubierta trasera, coloca materiales y escanea.</v>
      </c>
      <c r="D107" s="415">
        <f>D106</f>
        <v>1.33</v>
      </c>
      <c r="E107" s="416">
        <f t="shared" si="58"/>
        <v>4</v>
      </c>
      <c r="F107" s="417">
        <f>$P$45</f>
        <v>0</v>
      </c>
      <c r="G107" s="417">
        <f>$O$81</f>
        <v>0</v>
      </c>
      <c r="H107" s="418" t="s">
        <v>56</v>
      </c>
      <c r="I107" s="417">
        <f>$O$65</f>
        <v>1</v>
      </c>
      <c r="J107" s="417">
        <f>$O$67</f>
        <v>2</v>
      </c>
      <c r="K107" s="417">
        <f>$O$66</f>
        <v>2</v>
      </c>
      <c r="L107" s="417">
        <f>$O$64</f>
        <v>3</v>
      </c>
      <c r="M107" s="416">
        <f>$T$70</f>
        <v>0</v>
      </c>
      <c r="N107" s="417">
        <f t="shared" si="59"/>
        <v>3</v>
      </c>
      <c r="O107" s="416">
        <f>S90</f>
        <v>1.5</v>
      </c>
      <c r="P107" s="419">
        <f>H97</f>
        <v>8.9775</v>
      </c>
      <c r="Q107" s="6"/>
      <c r="R107" s="6"/>
      <c r="S107" s="6"/>
      <c r="T107" s="6"/>
      <c r="U107" s="6"/>
      <c r="V107" s="366"/>
      <c r="W107" s="367"/>
      <c r="X107" s="366"/>
      <c r="Y107" s="364"/>
      <c r="Z107" s="366"/>
      <c r="AA107" s="364"/>
      <c r="AB107" s="366"/>
      <c r="AC107" s="364"/>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0"/>
      <c r="C108" s="421"/>
      <c r="D108" s="421"/>
      <c r="E108" s="422"/>
      <c r="F108" s="422"/>
      <c r="G108" s="422"/>
      <c r="H108" s="423"/>
      <c r="I108" s="422"/>
      <c r="J108" s="422"/>
      <c r="K108" s="422"/>
      <c r="L108" s="422"/>
      <c r="M108" s="422"/>
      <c r="N108" s="422"/>
      <c r="O108" s="422"/>
      <c r="P108" s="424"/>
      <c r="Q108" s="6"/>
      <c r="R108" s="6"/>
      <c r="S108" s="6"/>
      <c r="T108" s="6"/>
      <c r="U108" s="6"/>
      <c r="V108" s="366"/>
      <c r="W108" s="367"/>
      <c r="X108" s="366"/>
      <c r="Y108" s="364"/>
      <c r="Z108" s="366"/>
      <c r="AA108" s="364"/>
      <c r="AB108" s="366"/>
      <c r="AC108" s="364"/>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0"/>
      <c r="C109" s="425"/>
      <c r="D109" s="426" t="s">
        <v>160</v>
      </c>
      <c r="E109" s="427"/>
      <c r="F109" s="427"/>
      <c r="G109" s="427"/>
      <c r="H109" s="427"/>
      <c r="I109" s="427"/>
      <c r="J109" s="427"/>
      <c r="K109" s="427"/>
      <c r="L109" s="427"/>
      <c r="M109" s="34"/>
      <c r="N109" s="428"/>
      <c r="O109" s="428"/>
      <c r="P109" s="429"/>
      <c r="Q109" s="6"/>
      <c r="R109" s="6"/>
      <c r="S109" s="6"/>
      <c r="T109" s="6"/>
      <c r="U109" s="6"/>
      <c r="V109" s="366"/>
      <c r="W109" s="367"/>
      <c r="X109" s="366"/>
      <c r="Y109" s="364"/>
      <c r="Z109" s="366"/>
      <c r="AA109" s="364"/>
      <c r="AB109" s="366"/>
      <c r="AC109" s="364"/>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0"/>
      <c r="C110" s="34"/>
      <c r="D110" s="430"/>
      <c r="E110" s="430"/>
      <c r="F110" s="430"/>
      <c r="G110" s="430"/>
      <c r="H110" s="430"/>
      <c r="I110" s="430"/>
      <c r="J110" s="430"/>
      <c r="K110" s="430"/>
      <c r="L110" s="430"/>
      <c r="M110" s="34"/>
      <c r="N110" s="428"/>
      <c r="O110" s="428"/>
      <c r="P110" s="429"/>
      <c r="Q110" s="6"/>
      <c r="R110" s="6"/>
      <c r="S110" s="6"/>
      <c r="T110" s="6"/>
      <c r="U110" s="6"/>
      <c r="V110" s="366"/>
      <c r="W110" s="367"/>
      <c r="X110" s="366"/>
      <c r="Y110" s="364"/>
      <c r="Z110" s="366"/>
      <c r="AA110" s="364"/>
      <c r="AB110" s="366"/>
      <c r="AC110" s="367"/>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0"/>
      <c r="C111" s="34"/>
      <c r="D111" s="431" t="s">
        <v>161</v>
      </c>
      <c r="E111" s="426"/>
      <c r="F111" s="426"/>
      <c r="G111" s="426"/>
      <c r="H111" s="426"/>
      <c r="I111" s="426"/>
      <c r="J111" s="426"/>
      <c r="K111" s="426"/>
      <c r="L111" s="432" t="s">
        <v>162</v>
      </c>
      <c r="M111" s="34"/>
      <c r="N111" s="428"/>
      <c r="O111" s="428"/>
      <c r="P111" s="429"/>
      <c r="Q111" s="6"/>
      <c r="R111" s="6"/>
      <c r="S111" s="6"/>
      <c r="T111" s="6"/>
      <c r="U111" s="6"/>
      <c r="V111" s="366"/>
      <c r="W111" s="367"/>
      <c r="X111" s="366"/>
      <c r="Y111" s="364"/>
      <c r="Z111" s="366"/>
      <c r="AA111" s="364"/>
      <c r="AB111" s="366"/>
      <c r="AC111" s="367"/>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33"/>
      <c r="C112" s="434"/>
      <c r="D112" s="435"/>
      <c r="E112" s="436"/>
      <c r="F112" s="436"/>
      <c r="G112" s="436"/>
      <c r="H112" s="436"/>
      <c r="I112" s="436"/>
      <c r="J112" s="436"/>
      <c r="K112" s="436"/>
      <c r="L112" s="436"/>
      <c r="M112" s="434"/>
      <c r="N112" s="437"/>
      <c r="O112" s="437"/>
      <c r="P112" s="438"/>
      <c r="Q112" s="6"/>
      <c r="R112" s="6"/>
      <c r="S112" s="6"/>
      <c r="T112" s="6"/>
      <c r="U112" s="6"/>
      <c r="V112" s="366"/>
      <c r="W112" s="367"/>
      <c r="X112" s="366"/>
      <c r="Y112" s="364"/>
      <c r="Z112" s="366"/>
      <c r="AA112" s="364"/>
      <c r="AB112" s="366"/>
      <c r="AC112" s="367"/>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0"/>
      <c r="C113" s="34"/>
      <c r="D113" s="439"/>
      <c r="E113" s="440"/>
      <c r="F113" s="34"/>
      <c r="G113" s="34"/>
      <c r="H113" s="34"/>
      <c r="I113" s="34"/>
      <c r="J113" s="34"/>
      <c r="K113" s="34"/>
      <c r="L113" s="34"/>
      <c r="M113" s="34"/>
      <c r="N113" s="34"/>
      <c r="O113" s="34"/>
      <c r="P113" s="441"/>
      <c r="Q113" s="6"/>
      <c r="R113" s="6"/>
      <c r="S113" s="6"/>
      <c r="T113" s="6"/>
      <c r="U113" s="6"/>
      <c r="V113" s="366"/>
      <c r="W113" s="367"/>
      <c r="X113" s="366"/>
      <c r="Y113" s="364"/>
      <c r="Z113" s="366"/>
      <c r="AA113" s="364"/>
      <c r="AB113" s="366"/>
      <c r="AC113" s="367"/>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0"/>
      <c r="C114" s="442" t="s">
        <v>163</v>
      </c>
      <c r="D114" s="439"/>
      <c r="E114" s="440"/>
      <c r="F114" s="34"/>
      <c r="G114" s="34"/>
      <c r="H114" s="34"/>
      <c r="I114" s="34"/>
      <c r="J114" s="34"/>
      <c r="K114" s="34"/>
      <c r="L114" s="34"/>
      <c r="M114" s="34"/>
      <c r="N114" s="34"/>
      <c r="O114" s="34"/>
      <c r="P114" s="441"/>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0"/>
      <c r="C115" s="443"/>
      <c r="D115" s="132"/>
      <c r="E115" s="132"/>
      <c r="F115" s="132"/>
      <c r="G115" s="132"/>
      <c r="H115" s="132"/>
      <c r="I115" s="132"/>
      <c r="J115" s="132"/>
      <c r="K115" s="132"/>
      <c r="L115" s="132"/>
      <c r="M115" s="132"/>
      <c r="N115" s="132"/>
      <c r="O115" s="133"/>
      <c r="P115" s="441"/>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0"/>
      <c r="C116" s="444"/>
      <c r="O116" s="190"/>
      <c r="P116" s="441"/>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0"/>
      <c r="C117" s="444"/>
      <c r="O117" s="190"/>
      <c r="P117" s="441"/>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0"/>
      <c r="C118" s="444"/>
      <c r="O118" s="190"/>
      <c r="P118" s="441"/>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0"/>
      <c r="C119" s="444"/>
      <c r="O119" s="190"/>
      <c r="P119" s="441"/>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0"/>
      <c r="C120" s="444"/>
      <c r="O120" s="190"/>
      <c r="P120" s="441"/>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0"/>
      <c r="C121" s="444"/>
      <c r="O121" s="190"/>
      <c r="P121" s="441"/>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0"/>
      <c r="C122" s="444"/>
      <c r="O122" s="190"/>
      <c r="P122" s="441"/>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0"/>
      <c r="C123" s="135"/>
      <c r="D123" s="136"/>
      <c r="E123" s="136"/>
      <c r="F123" s="136"/>
      <c r="G123" s="136"/>
      <c r="H123" s="136"/>
      <c r="I123" s="136"/>
      <c r="J123" s="136"/>
      <c r="K123" s="136"/>
      <c r="L123" s="136"/>
      <c r="M123" s="136"/>
      <c r="N123" s="136"/>
      <c r="O123" s="137"/>
      <c r="P123" s="441"/>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0"/>
      <c r="C124" s="445"/>
      <c r="D124" s="445"/>
      <c r="E124" s="445"/>
      <c r="F124" s="445"/>
      <c r="G124" s="445"/>
      <c r="H124" s="445"/>
      <c r="I124" s="445"/>
      <c r="J124" s="445"/>
      <c r="K124" s="445"/>
      <c r="L124" s="445"/>
      <c r="M124" s="445"/>
      <c r="N124" s="445"/>
      <c r="O124" s="445"/>
      <c r="P124" s="441"/>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0"/>
      <c r="C125" s="446" t="s">
        <v>164</v>
      </c>
      <c r="D125" s="447" t="s">
        <v>165</v>
      </c>
      <c r="E125" s="448"/>
      <c r="F125" s="449"/>
      <c r="G125" s="410" t="s">
        <v>166</v>
      </c>
      <c r="H125" s="450" t="s">
        <v>167</v>
      </c>
      <c r="I125" s="16"/>
      <c r="J125" s="16"/>
      <c r="K125" s="17"/>
      <c r="L125" s="34"/>
      <c r="M125" s="451" t="s">
        <v>168</v>
      </c>
      <c r="N125" s="371"/>
      <c r="O125" s="371"/>
      <c r="P125" s="452"/>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0"/>
      <c r="C126" s="453">
        <v>1.0</v>
      </c>
      <c r="D126" s="454" t="s">
        <v>169</v>
      </c>
      <c r="E126" s="17"/>
      <c r="F126" s="449"/>
      <c r="G126" s="455">
        <v>1.0</v>
      </c>
      <c r="H126" s="456" t="s">
        <v>170</v>
      </c>
      <c r="I126" s="16"/>
      <c r="J126" s="16"/>
      <c r="K126" s="17"/>
      <c r="L126" s="34"/>
      <c r="M126" s="457"/>
      <c r="N126" s="458"/>
      <c r="O126" s="458"/>
      <c r="P126" s="459"/>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0"/>
      <c r="C127" s="453">
        <v>6.0</v>
      </c>
      <c r="D127" s="454" t="s">
        <v>171</v>
      </c>
      <c r="E127" s="17"/>
      <c r="F127" s="449"/>
      <c r="G127" s="455">
        <v>2.0</v>
      </c>
      <c r="H127" s="456" t="s">
        <v>172</v>
      </c>
      <c r="I127" s="16"/>
      <c r="J127" s="16"/>
      <c r="K127" s="17"/>
      <c r="L127" s="34"/>
      <c r="M127" s="460" t="s">
        <v>173</v>
      </c>
      <c r="N127" s="461" t="s">
        <v>14</v>
      </c>
      <c r="O127" s="462" t="s">
        <v>174</v>
      </c>
      <c r="P127" s="4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0"/>
      <c r="C128" s="453">
        <v>1.0</v>
      </c>
      <c r="D128" s="454" t="s">
        <v>175</v>
      </c>
      <c r="E128" s="17"/>
      <c r="F128" s="449"/>
      <c r="G128" s="455">
        <v>5.0</v>
      </c>
      <c r="H128" s="456" t="s">
        <v>176</v>
      </c>
      <c r="I128" s="16"/>
      <c r="J128" s="16"/>
      <c r="K128" s="17"/>
      <c r="L128" s="34"/>
      <c r="M128" s="457"/>
      <c r="N128" s="458"/>
      <c r="O128" s="458"/>
      <c r="P128" s="459"/>
      <c r="Q128" s="464">
        <v>3.0</v>
      </c>
      <c r="R128" s="465" t="s">
        <v>177</v>
      </c>
      <c r="S128" s="466"/>
      <c r="T128" s="467"/>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0"/>
      <c r="C129" s="453">
        <v>1.0</v>
      </c>
      <c r="D129" s="454" t="s">
        <v>178</v>
      </c>
      <c r="E129" s="17"/>
      <c r="F129" s="449"/>
      <c r="G129" s="455">
        <v>2.0</v>
      </c>
      <c r="H129" s="456" t="s">
        <v>179</v>
      </c>
      <c r="I129" s="16"/>
      <c r="J129" s="16"/>
      <c r="K129" s="17"/>
      <c r="L129" s="34"/>
      <c r="M129" s="460" t="s">
        <v>180</v>
      </c>
      <c r="N129" s="463"/>
      <c r="O129" s="462" t="s">
        <v>181</v>
      </c>
      <c r="P129" s="461" t="s">
        <v>14</v>
      </c>
      <c r="Q129" s="468">
        <v>4.0</v>
      </c>
      <c r="R129" s="469" t="s">
        <v>182</v>
      </c>
      <c r="S129" s="470"/>
      <c r="T129" s="471"/>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0"/>
      <c r="C130" s="453">
        <v>8.0</v>
      </c>
      <c r="D130" s="454" t="s">
        <v>176</v>
      </c>
      <c r="E130" s="17"/>
      <c r="F130" s="449"/>
      <c r="G130" s="455"/>
      <c r="H130" s="456"/>
      <c r="I130" s="16"/>
      <c r="J130" s="16"/>
      <c r="K130" s="17"/>
      <c r="L130" s="34"/>
      <c r="M130" s="457"/>
      <c r="N130" s="458"/>
      <c r="O130" s="458"/>
      <c r="P130" s="459"/>
      <c r="Q130" s="472">
        <v>26.0</v>
      </c>
      <c r="R130" s="473" t="s">
        <v>183</v>
      </c>
      <c r="S130" s="474"/>
      <c r="T130" s="475"/>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0"/>
      <c r="C131" s="453">
        <v>1.0</v>
      </c>
      <c r="D131" s="454" t="s">
        <v>184</v>
      </c>
      <c r="E131" s="17"/>
      <c r="F131" s="449"/>
      <c r="G131" s="455"/>
      <c r="H131" s="456"/>
      <c r="I131" s="16"/>
      <c r="J131" s="16"/>
      <c r="K131" s="17"/>
      <c r="L131" s="34"/>
      <c r="M131" s="460" t="s">
        <v>185</v>
      </c>
      <c r="N131" s="461" t="s">
        <v>14</v>
      </c>
      <c r="O131" s="458"/>
      <c r="P131" s="459"/>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0"/>
      <c r="C132" s="453">
        <v>1.0</v>
      </c>
      <c r="D132" s="454" t="s">
        <v>186</v>
      </c>
      <c r="E132" s="17"/>
      <c r="F132" s="449"/>
      <c r="G132" s="455"/>
      <c r="H132" s="456"/>
      <c r="I132" s="16"/>
      <c r="J132" s="16"/>
      <c r="K132" s="17"/>
      <c r="L132" s="34"/>
      <c r="M132" s="457"/>
      <c r="N132" s="458"/>
      <c r="O132" s="458"/>
      <c r="P132" s="459"/>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0"/>
      <c r="C133" s="453">
        <v>1.0</v>
      </c>
      <c r="D133" s="454" t="s">
        <v>187</v>
      </c>
      <c r="E133" s="17"/>
      <c r="F133" s="449"/>
      <c r="G133" s="455"/>
      <c r="H133" s="456"/>
      <c r="I133" s="16"/>
      <c r="J133" s="16"/>
      <c r="K133" s="17"/>
      <c r="L133" s="34"/>
      <c r="M133" s="460" t="s">
        <v>188</v>
      </c>
      <c r="N133" s="463"/>
      <c r="O133" s="458"/>
      <c r="P133" s="459"/>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0"/>
      <c r="C134" s="453"/>
      <c r="D134" s="454"/>
      <c r="E134" s="17"/>
      <c r="F134" s="449"/>
      <c r="G134" s="455"/>
      <c r="H134" s="456"/>
      <c r="I134" s="16"/>
      <c r="J134" s="16"/>
      <c r="K134" s="17"/>
      <c r="L134" s="34"/>
      <c r="M134" s="457"/>
      <c r="N134" s="458"/>
      <c r="O134" s="458"/>
      <c r="P134" s="459"/>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0"/>
      <c r="C135" s="453"/>
      <c r="D135" s="454"/>
      <c r="E135" s="17"/>
      <c r="F135" s="449"/>
      <c r="G135" s="455"/>
      <c r="H135" s="456"/>
      <c r="I135" s="16"/>
      <c r="J135" s="16"/>
      <c r="K135" s="17"/>
      <c r="L135" s="34"/>
      <c r="M135" s="460" t="s">
        <v>189</v>
      </c>
      <c r="N135" s="463"/>
      <c r="O135" s="462" t="s">
        <v>190</v>
      </c>
      <c r="P135" s="461" t="s">
        <v>14</v>
      </c>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0"/>
      <c r="C136" s="453"/>
      <c r="D136" s="454"/>
      <c r="E136" s="17"/>
      <c r="F136" s="449"/>
      <c r="G136" s="455"/>
      <c r="H136" s="456"/>
      <c r="I136" s="16"/>
      <c r="J136" s="16"/>
      <c r="K136" s="17"/>
      <c r="L136" s="34"/>
      <c r="M136" s="457"/>
      <c r="N136" s="458"/>
      <c r="O136" s="458"/>
      <c r="P136" s="459"/>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0"/>
      <c r="C137" s="453"/>
      <c r="D137" s="454"/>
      <c r="E137" s="17"/>
      <c r="F137" s="449"/>
      <c r="G137" s="455"/>
      <c r="H137" s="456"/>
      <c r="I137" s="16"/>
      <c r="J137" s="16"/>
      <c r="K137" s="17"/>
      <c r="L137" s="34"/>
      <c r="M137" s="460" t="s">
        <v>191</v>
      </c>
      <c r="N137" s="463"/>
      <c r="O137" s="458"/>
      <c r="P137" s="459"/>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0"/>
      <c r="C138" s="453"/>
      <c r="D138" s="454"/>
      <c r="E138" s="17"/>
      <c r="F138" s="449"/>
      <c r="G138" s="455"/>
      <c r="H138" s="456"/>
      <c r="I138" s="16"/>
      <c r="J138" s="16"/>
      <c r="K138" s="17"/>
      <c r="L138" s="34"/>
      <c r="M138" s="457"/>
      <c r="N138" s="458"/>
      <c r="O138" s="458"/>
      <c r="P138" s="459"/>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0"/>
      <c r="C139" s="453"/>
      <c r="D139" s="454"/>
      <c r="E139" s="17"/>
      <c r="F139" s="449"/>
      <c r="G139" s="455"/>
      <c r="H139" s="456"/>
      <c r="I139" s="16"/>
      <c r="J139" s="16"/>
      <c r="K139" s="17"/>
      <c r="L139" s="34"/>
      <c r="M139" s="460" t="s">
        <v>192</v>
      </c>
      <c r="N139" s="463"/>
      <c r="O139" s="458"/>
      <c r="P139" s="459"/>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0"/>
      <c r="C140" s="453"/>
      <c r="D140" s="454"/>
      <c r="E140" s="17"/>
      <c r="F140" s="449"/>
      <c r="G140" s="455"/>
      <c r="H140" s="456"/>
      <c r="I140" s="16"/>
      <c r="J140" s="16"/>
      <c r="K140" s="17"/>
      <c r="L140" s="34"/>
      <c r="M140" s="457"/>
      <c r="N140" s="458"/>
      <c r="O140" s="458"/>
      <c r="P140" s="459"/>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0"/>
      <c r="C141" s="453"/>
      <c r="D141" s="454"/>
      <c r="E141" s="17"/>
      <c r="F141" s="449"/>
      <c r="G141" s="455"/>
      <c r="H141" s="456"/>
      <c r="I141" s="16"/>
      <c r="J141" s="16"/>
      <c r="K141" s="17"/>
      <c r="L141" s="34"/>
      <c r="M141" s="460" t="s">
        <v>193</v>
      </c>
      <c r="N141" s="463"/>
      <c r="O141" s="458"/>
      <c r="P141" s="459"/>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0"/>
      <c r="C142" s="453"/>
      <c r="D142" s="454"/>
      <c r="E142" s="17"/>
      <c r="F142" s="449"/>
      <c r="G142" s="455"/>
      <c r="H142" s="456"/>
      <c r="I142" s="16"/>
      <c r="J142" s="16"/>
      <c r="K142" s="17"/>
      <c r="L142" s="34"/>
      <c r="M142" s="457"/>
      <c r="N142" s="458"/>
      <c r="O142" s="458"/>
      <c r="P142" s="459"/>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0"/>
      <c r="C143" s="453"/>
      <c r="D143" s="454"/>
      <c r="E143" s="17"/>
      <c r="F143" s="449"/>
      <c r="G143" s="455"/>
      <c r="H143" s="456"/>
      <c r="I143" s="16"/>
      <c r="J143" s="16"/>
      <c r="K143" s="17"/>
      <c r="L143" s="34"/>
      <c r="M143" s="460" t="s">
        <v>194</v>
      </c>
      <c r="N143" s="463"/>
      <c r="O143" s="458"/>
      <c r="P143" s="459"/>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0"/>
      <c r="C144" s="453"/>
      <c r="D144" s="454"/>
      <c r="E144" s="17"/>
      <c r="F144" s="449"/>
      <c r="G144" s="455"/>
      <c r="H144" s="456"/>
      <c r="I144" s="16"/>
      <c r="J144" s="16"/>
      <c r="K144" s="17"/>
      <c r="L144" s="34"/>
      <c r="M144" s="457"/>
      <c r="N144" s="458"/>
      <c r="O144" s="458"/>
      <c r="P144" s="459"/>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0"/>
      <c r="C145" s="453"/>
      <c r="D145" s="454"/>
      <c r="E145" s="17"/>
      <c r="F145" s="449"/>
      <c r="G145" s="455"/>
      <c r="H145" s="456"/>
      <c r="I145" s="16"/>
      <c r="J145" s="16"/>
      <c r="K145" s="17"/>
      <c r="L145" s="34"/>
      <c r="M145" s="460" t="s">
        <v>195</v>
      </c>
      <c r="N145" s="463"/>
      <c r="O145" s="458"/>
      <c r="P145" s="459"/>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0"/>
      <c r="C146" s="453"/>
      <c r="D146" s="454"/>
      <c r="E146" s="17"/>
      <c r="F146" s="449"/>
      <c r="G146" s="455"/>
      <c r="H146" s="456"/>
      <c r="I146" s="16"/>
      <c r="J146" s="16"/>
      <c r="K146" s="17"/>
      <c r="L146" s="34"/>
      <c r="M146" s="457"/>
      <c r="N146" s="458"/>
      <c r="O146" s="458"/>
      <c r="P146" s="459"/>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0"/>
      <c r="C147" s="453"/>
      <c r="D147" s="454"/>
      <c r="E147" s="17"/>
      <c r="F147" s="449"/>
      <c r="G147" s="455"/>
      <c r="H147" s="456"/>
      <c r="I147" s="16"/>
      <c r="J147" s="16"/>
      <c r="K147" s="17"/>
      <c r="L147" s="34"/>
      <c r="M147" s="460" t="s">
        <v>196</v>
      </c>
      <c r="N147" s="461" t="s">
        <v>14</v>
      </c>
      <c r="O147" s="462" t="s">
        <v>197</v>
      </c>
      <c r="P147" s="463"/>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0"/>
      <c r="C148" s="453"/>
      <c r="D148" s="454"/>
      <c r="E148" s="17"/>
      <c r="F148" s="449"/>
      <c r="G148" s="455"/>
      <c r="H148" s="456"/>
      <c r="I148" s="16"/>
      <c r="J148" s="16"/>
      <c r="K148" s="17"/>
      <c r="L148" s="34"/>
      <c r="M148" s="457"/>
      <c r="N148" s="458"/>
      <c r="O148" s="458"/>
      <c r="P148" s="459"/>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0"/>
      <c r="C149" s="453"/>
      <c r="D149" s="454"/>
      <c r="E149" s="17"/>
      <c r="F149" s="449"/>
      <c r="G149" s="455"/>
      <c r="H149" s="456"/>
      <c r="I149" s="16"/>
      <c r="J149" s="16"/>
      <c r="K149" s="17"/>
      <c r="L149" s="34"/>
      <c r="M149" s="460" t="s">
        <v>198</v>
      </c>
      <c r="N149" s="463"/>
      <c r="O149" s="458"/>
      <c r="P149" s="459"/>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6"/>
      <c r="C150" s="477">
        <f>SUM(C126:C149)</f>
        <v>20</v>
      </c>
      <c r="D150" s="449"/>
      <c r="E150" s="449"/>
      <c r="F150" s="449"/>
      <c r="G150" s="478">
        <f>SUM(G126:G149)</f>
        <v>10</v>
      </c>
      <c r="H150" s="449"/>
      <c r="I150" s="449"/>
      <c r="J150" s="449"/>
      <c r="K150" s="34"/>
      <c r="L150" s="34"/>
      <c r="M150" s="34"/>
      <c r="N150" s="428"/>
      <c r="O150" s="428"/>
      <c r="P150" s="429"/>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33"/>
      <c r="C151" s="434"/>
      <c r="D151" s="434"/>
      <c r="E151" s="434"/>
      <c r="F151" s="434"/>
      <c r="G151" s="434"/>
      <c r="H151" s="434"/>
      <c r="I151" s="434"/>
      <c r="J151" s="434"/>
      <c r="K151" s="434"/>
      <c r="L151" s="434"/>
      <c r="M151" s="479"/>
      <c r="N151" s="434"/>
      <c r="O151" s="434"/>
      <c r="P151" s="480"/>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7">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H142:K142"/>
    <mergeCell ref="H143:K143"/>
    <mergeCell ref="H135:K135"/>
    <mergeCell ref="H136:K136"/>
    <mergeCell ref="H137:K137"/>
    <mergeCell ref="H138:K138"/>
    <mergeCell ref="H139:K139"/>
    <mergeCell ref="H140:K140"/>
    <mergeCell ref="H141:K141"/>
    <mergeCell ref="H145:K145"/>
    <mergeCell ref="H146:K146"/>
    <mergeCell ref="D148:E148"/>
    <mergeCell ref="H148:K148"/>
    <mergeCell ref="D149:E149"/>
    <mergeCell ref="H149:K149"/>
    <mergeCell ref="D141:E141"/>
    <mergeCell ref="D142:E142"/>
    <mergeCell ref="D143:E143"/>
    <mergeCell ref="D144:E144"/>
    <mergeCell ref="H144:K144"/>
    <mergeCell ref="D145:E145"/>
    <mergeCell ref="D146:E146"/>
    <mergeCell ref="K101:K104"/>
    <mergeCell ref="L101:L104"/>
    <mergeCell ref="M101:M104"/>
    <mergeCell ref="N101:N104"/>
    <mergeCell ref="O101:O104"/>
    <mergeCell ref="P101:P104"/>
    <mergeCell ref="V104:W104"/>
    <mergeCell ref="I101:I104"/>
    <mergeCell ref="J101:J104"/>
    <mergeCell ref="C115:O123"/>
    <mergeCell ref="D125:E125"/>
    <mergeCell ref="H125:K125"/>
    <mergeCell ref="M125:P125"/>
    <mergeCell ref="H126:K126"/>
    <mergeCell ref="H129:K129"/>
    <mergeCell ref="H130:K130"/>
    <mergeCell ref="D126:E126"/>
    <mergeCell ref="D127:E127"/>
    <mergeCell ref="H127:K127"/>
    <mergeCell ref="D128:E128"/>
    <mergeCell ref="H128:K128"/>
    <mergeCell ref="D129:E129"/>
    <mergeCell ref="D130:E130"/>
    <mergeCell ref="D131:E131"/>
    <mergeCell ref="H131:K131"/>
    <mergeCell ref="D132:E132"/>
    <mergeCell ref="H132:K132"/>
    <mergeCell ref="D133:E133"/>
    <mergeCell ref="H133:K133"/>
    <mergeCell ref="H134:K134"/>
    <mergeCell ref="D134:E134"/>
    <mergeCell ref="D135:E135"/>
    <mergeCell ref="D136:E136"/>
    <mergeCell ref="D137:E137"/>
    <mergeCell ref="D138:E138"/>
    <mergeCell ref="D139:E139"/>
    <mergeCell ref="D140:E140"/>
    <mergeCell ref="D147:E147"/>
    <mergeCell ref="H147:K147"/>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