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rinel-PC\Documents\"/>
    </mc:Choice>
  </mc:AlternateContent>
  <bookViews>
    <workbookView xWindow="0" yWindow="0" windowWidth="28800" windowHeight="12450"/>
  </bookViews>
  <sheets>
    <sheet name="Sheet1" sheetId="1" r:id="rId1"/>
  </sheets>
  <definedNames>
    <definedName name="icc">Sheet1!$D$8</definedName>
    <definedName name="Nunghiuri">Sheet1!$D$6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D8" i="1"/>
  <c r="I30" i="1" s="1"/>
  <c r="K30" i="1" s="1"/>
  <c r="D5" i="1"/>
  <c r="I26" i="1"/>
  <c r="K26" i="1" s="1"/>
  <c r="I27" i="1"/>
  <c r="K27" i="1" s="1"/>
  <c r="I23" i="1"/>
  <c r="K23" i="1" s="1"/>
  <c r="I22" i="1"/>
  <c r="K22" i="1" s="1"/>
  <c r="I19" i="1"/>
  <c r="K19" i="1" s="1"/>
  <c r="I18" i="1"/>
  <c r="K18" i="1" s="1"/>
  <c r="I15" i="1"/>
  <c r="K15" i="1" s="1"/>
  <c r="I14" i="1"/>
  <c r="K14" i="1" s="1"/>
  <c r="I11" i="1"/>
  <c r="K11" i="1" s="1"/>
  <c r="H30" i="1"/>
  <c r="J30" i="1" s="1"/>
  <c r="H27" i="1"/>
  <c r="J27" i="1" s="1"/>
  <c r="H26" i="1"/>
  <c r="J26" i="1" s="1"/>
  <c r="N26" i="1" s="1"/>
  <c r="H23" i="1"/>
  <c r="J23" i="1" s="1"/>
  <c r="H22" i="1"/>
  <c r="J22" i="1" s="1"/>
  <c r="H20" i="1"/>
  <c r="J20" i="1" s="1"/>
  <c r="H18" i="1"/>
  <c r="J18" i="1" s="1"/>
  <c r="H15" i="1"/>
  <c r="J15" i="1" s="1"/>
  <c r="H14" i="1"/>
  <c r="J14" i="1" s="1"/>
  <c r="H11" i="1"/>
  <c r="J11" i="1" s="1"/>
  <c r="N15" i="1" l="1"/>
  <c r="N23" i="1"/>
  <c r="I28" i="1"/>
  <c r="K28" i="1" s="1"/>
  <c r="N14" i="1"/>
  <c r="N22" i="1"/>
  <c r="N27" i="1"/>
  <c r="H12" i="1"/>
  <c r="J12" i="1" s="1"/>
  <c r="H16" i="1"/>
  <c r="J16" i="1" s="1"/>
  <c r="H19" i="1"/>
  <c r="J19" i="1" s="1"/>
  <c r="N19" i="1" s="1"/>
  <c r="H24" i="1"/>
  <c r="J24" i="1" s="1"/>
  <c r="H28" i="1"/>
  <c r="J28" i="1" s="1"/>
  <c r="N28" i="1" s="1"/>
  <c r="I12" i="1"/>
  <c r="K12" i="1" s="1"/>
  <c r="I16" i="1"/>
  <c r="K16" i="1" s="1"/>
  <c r="I20" i="1"/>
  <c r="K20" i="1" s="1"/>
  <c r="N20" i="1" s="1"/>
  <c r="I24" i="1"/>
  <c r="K24" i="1" s="1"/>
  <c r="I29" i="1"/>
  <c r="K29" i="1" s="1"/>
  <c r="H13" i="1"/>
  <c r="J13" i="1" s="1"/>
  <c r="H17" i="1"/>
  <c r="J17" i="1" s="1"/>
  <c r="H21" i="1"/>
  <c r="J21" i="1" s="1"/>
  <c r="H25" i="1"/>
  <c r="J25" i="1" s="1"/>
  <c r="H29" i="1"/>
  <c r="J29" i="1" s="1"/>
  <c r="N29" i="1" s="1"/>
  <c r="I13" i="1"/>
  <c r="K13" i="1" s="1"/>
  <c r="I17" i="1"/>
  <c r="K17" i="1" s="1"/>
  <c r="I21" i="1"/>
  <c r="K21" i="1" s="1"/>
  <c r="I25" i="1"/>
  <c r="K25" i="1" s="1"/>
  <c r="N18" i="1"/>
  <c r="N11" i="1"/>
  <c r="O11" i="1" s="1"/>
  <c r="P11" i="1" s="1"/>
  <c r="Q11" i="1" s="1"/>
  <c r="N30" i="1"/>
  <c r="N13" i="1" l="1"/>
  <c r="N25" i="1"/>
  <c r="N16" i="1"/>
  <c r="O16" i="1" s="1"/>
  <c r="P16" i="1" s="1"/>
  <c r="Q16" i="1" s="1"/>
  <c r="N21" i="1"/>
  <c r="N12" i="1"/>
  <c r="N17" i="1"/>
  <c r="N24" i="1"/>
  <c r="O26" i="1"/>
  <c r="P26" i="1" s="1"/>
  <c r="Q26" i="1" s="1"/>
  <c r="R15" i="1"/>
  <c r="S15" i="1" s="1"/>
  <c r="R11" i="1"/>
  <c r="S11" i="1" s="1"/>
  <c r="R13" i="1"/>
  <c r="S13" i="1" s="1"/>
  <c r="R12" i="1"/>
  <c r="R14" i="1"/>
  <c r="S14" i="1" s="1"/>
  <c r="T15" i="1" l="1"/>
  <c r="S12" i="1"/>
  <c r="T12" i="1" s="1"/>
  <c r="R20" i="1"/>
  <c r="S20" i="1" s="1"/>
  <c r="R18" i="1"/>
  <c r="S18" i="1" s="1"/>
  <c r="R16" i="1"/>
  <c r="S16" i="1" s="1"/>
  <c r="R17" i="1"/>
  <c r="S17" i="1" s="1"/>
  <c r="T17" i="1" s="1"/>
  <c r="R19" i="1"/>
  <c r="S19" i="1" s="1"/>
  <c r="O21" i="1"/>
  <c r="P21" i="1" s="1"/>
  <c r="Q21" i="1" s="1"/>
  <c r="R27" i="1"/>
  <c r="S27" i="1" s="1"/>
  <c r="R28" i="1"/>
  <c r="S28" i="1" s="1"/>
  <c r="T28" i="1" s="1"/>
  <c r="R29" i="1"/>
  <c r="S29" i="1" s="1"/>
  <c r="R26" i="1"/>
  <c r="S26" i="1" s="1"/>
  <c r="R30" i="1"/>
  <c r="S30" i="1" s="1"/>
  <c r="T13" i="1"/>
  <c r="T14" i="1"/>
  <c r="T19" i="1" l="1"/>
  <c r="T30" i="1"/>
  <c r="T20" i="1"/>
  <c r="U16" i="1" s="1"/>
  <c r="R22" i="1"/>
  <c r="S22" i="1" s="1"/>
  <c r="R23" i="1"/>
  <c r="S23" i="1" s="1"/>
  <c r="R24" i="1"/>
  <c r="S24" i="1" s="1"/>
  <c r="R21" i="1"/>
  <c r="S21" i="1" s="1"/>
  <c r="R25" i="1"/>
  <c r="S25" i="1" s="1"/>
  <c r="T18" i="1"/>
  <c r="T29" i="1"/>
  <c r="U11" i="1"/>
  <c r="T27" i="1"/>
  <c r="T23" i="1" l="1"/>
  <c r="V13" i="1" s="1"/>
  <c r="T25" i="1"/>
  <c r="V15" i="1" s="1"/>
  <c r="T24" i="1"/>
  <c r="V14" i="1" s="1"/>
  <c r="T22" i="1"/>
  <c r="V12" i="1" s="1"/>
  <c r="U26" i="1"/>
  <c r="U21" i="1" l="1"/>
</calcChain>
</file>

<file path=xl/sharedStrings.xml><?xml version="1.0" encoding="utf-8"?>
<sst xmlns="http://schemas.openxmlformats.org/spreadsheetml/2006/main" count="61" uniqueCount="39">
  <si>
    <t>n =</t>
  </si>
  <si>
    <t>p =</t>
  </si>
  <si>
    <t>Nr. Tururi de orizont =</t>
  </si>
  <si>
    <t>Ta =</t>
  </si>
  <si>
    <t>Nr. De unghiuri masurate =</t>
  </si>
  <si>
    <t>icc =</t>
  </si>
  <si>
    <r>
      <t>50</t>
    </r>
    <r>
      <rPr>
        <vertAlign val="superscript"/>
        <sz val="11"/>
        <color theme="1"/>
        <rFont val="Calibri"/>
        <family val="2"/>
        <scheme val="minor"/>
      </rPr>
      <t>CC</t>
    </r>
  </si>
  <si>
    <r>
      <t>100</t>
    </r>
    <r>
      <rPr>
        <vertAlign val="superscript"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= 1</t>
    </r>
    <r>
      <rPr>
        <vertAlign val="superscript"/>
        <sz val="11"/>
        <color theme="1"/>
        <rFont val="Calibri"/>
        <family val="2"/>
        <scheme val="minor"/>
      </rPr>
      <t>C</t>
    </r>
  </si>
  <si>
    <t>Seria</t>
  </si>
  <si>
    <t>Vize</t>
  </si>
  <si>
    <t>Statia</t>
  </si>
  <si>
    <t>Schita</t>
  </si>
  <si>
    <t>Citiri limb orizontal</t>
  </si>
  <si>
    <t>Citiri reduse la "0"</t>
  </si>
  <si>
    <t>Cadran</t>
  </si>
  <si>
    <t>Media</t>
  </si>
  <si>
    <t>citirilor</t>
  </si>
  <si>
    <t>CVS</t>
  </si>
  <si>
    <t>CVD</t>
  </si>
  <si>
    <t>Corectii</t>
  </si>
  <si>
    <t>Citiri</t>
  </si>
  <si>
    <t>Corectate</t>
  </si>
  <si>
    <t>Valori</t>
  </si>
  <si>
    <t>unghiuri</t>
  </si>
  <si>
    <t>i student =</t>
  </si>
  <si>
    <t>Suma</t>
  </si>
  <si>
    <t>Valori medii</t>
  </si>
  <si>
    <t>A</t>
  </si>
  <si>
    <t>B</t>
  </si>
  <si>
    <t>C</t>
  </si>
  <si>
    <t>D</t>
  </si>
  <si>
    <t>I</t>
  </si>
  <si>
    <t>II</t>
  </si>
  <si>
    <t>III</t>
  </si>
  <si>
    <t>IV</t>
  </si>
  <si>
    <t>S</t>
  </si>
  <si>
    <r>
      <rPr>
        <b/>
        <sz val="16"/>
        <color theme="1"/>
        <rFont val="Calibri"/>
        <family val="2"/>
        <scheme val="minor"/>
      </rPr>
      <t>e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</si>
  <si>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rPr>
        <b/>
        <sz val="18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Ta</t>
    </r>
  </si>
  <si>
    <r>
      <rPr>
        <b/>
        <sz val="18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Ua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</si>
</sst>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0.0000"/>
    <numFmt numFmtId="168" formatCode="0.000000"/>
    <numFmt numFmtId="170" formatCode="0.00000000"/>
    <numFmt numFmtId="177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14" xfId="0" applyBorder="1"/>
    <xf numFmtId="0" fontId="0" fillId="0" borderId="5" xfId="0" applyBorder="1"/>
    <xf numFmtId="0" fontId="0" fillId="0" borderId="9" xfId="0" applyBorder="1"/>
    <xf numFmtId="0" fontId="2" fillId="0" borderId="4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5" xfId="0" applyFont="1" applyBorder="1"/>
    <xf numFmtId="0" fontId="0" fillId="0" borderId="14" xfId="0" applyFont="1" applyBorder="1"/>
    <xf numFmtId="0" fontId="0" fillId="0" borderId="14" xfId="0" applyBorder="1" applyAlignment="1">
      <alignment horizontal="right"/>
    </xf>
    <xf numFmtId="168" fontId="0" fillId="0" borderId="9" xfId="0" applyNumberFormat="1" applyBorder="1"/>
    <xf numFmtId="168" fontId="0" fillId="0" borderId="14" xfId="0" applyNumberFormat="1" applyBorder="1"/>
    <xf numFmtId="170" fontId="0" fillId="0" borderId="14" xfId="0" applyNumberFormat="1" applyBorder="1"/>
    <xf numFmtId="177" fontId="0" fillId="0" borderId="9" xfId="1" applyNumberFormat="1" applyFont="1" applyBorder="1"/>
    <xf numFmtId="168" fontId="0" fillId="0" borderId="5" xfId="0" applyNumberFormat="1" applyBorder="1"/>
    <xf numFmtId="166" fontId="0" fillId="0" borderId="14" xfId="0" applyNumberFormat="1" applyBorder="1"/>
    <xf numFmtId="166" fontId="0" fillId="0" borderId="5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285749</xdr:rowOff>
    </xdr:from>
    <xdr:to>
      <xdr:col>3</xdr:col>
      <xdr:colOff>0</xdr:colOff>
      <xdr:row>29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2649"/>
          <a:ext cx="1828800" cy="381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1"/>
  <sheetViews>
    <sheetView tabSelected="1" workbookViewId="0">
      <selection activeCell="E33" sqref="E33"/>
    </sheetView>
  </sheetViews>
  <sheetFormatPr defaultRowHeight="15" x14ac:dyDescent="0.25"/>
  <cols>
    <col min="4" max="4" width="9.85546875" bestFit="1" customWidth="1"/>
    <col min="5" max="5" width="11.140625" customWidth="1"/>
    <col min="6" max="6" width="5.28515625" customWidth="1"/>
    <col min="7" max="7" width="3.140625" customWidth="1"/>
    <col min="12" max="12" width="5.5703125" customWidth="1"/>
    <col min="13" max="13" width="5" customWidth="1"/>
    <col min="16" max="16" width="11.28515625" bestFit="1" customWidth="1"/>
    <col min="17" max="17" width="11.7109375" bestFit="1" customWidth="1"/>
    <col min="18" max="20" width="11.28515625" customWidth="1"/>
    <col min="21" max="21" width="12" customWidth="1"/>
    <col min="22" max="22" width="12.85546875" customWidth="1"/>
  </cols>
  <sheetData>
    <row r="2" spans="1:22" x14ac:dyDescent="0.25">
      <c r="A2" s="7" t="s">
        <v>2</v>
      </c>
      <c r="B2" s="8"/>
      <c r="C2" s="8"/>
      <c r="D2" s="11">
        <v>4</v>
      </c>
    </row>
    <row r="3" spans="1:22" x14ac:dyDescent="0.25">
      <c r="A3" s="7" t="s">
        <v>0</v>
      </c>
      <c r="B3" s="8"/>
      <c r="C3" s="8"/>
      <c r="D3" s="11">
        <v>4</v>
      </c>
    </row>
    <row r="4" spans="1:22" ht="17.25" x14ac:dyDescent="0.25">
      <c r="A4" s="7" t="s">
        <v>1</v>
      </c>
      <c r="B4" s="8"/>
      <c r="C4" s="8"/>
      <c r="D4" s="10">
        <v>5.0000000000000001E-3</v>
      </c>
      <c r="E4" s="9" t="s">
        <v>6</v>
      </c>
    </row>
    <row r="5" spans="1:22" ht="17.25" x14ac:dyDescent="0.25">
      <c r="A5" s="7" t="s">
        <v>3</v>
      </c>
      <c r="B5" s="8"/>
      <c r="C5" s="8"/>
      <c r="D5" s="10">
        <f>D4 * SQRT(D3)</f>
        <v>0.01</v>
      </c>
      <c r="E5" s="9" t="s">
        <v>7</v>
      </c>
    </row>
    <row r="6" spans="1:22" x14ac:dyDescent="0.25">
      <c r="A6" s="4" t="s">
        <v>4</v>
      </c>
      <c r="B6" s="5"/>
      <c r="C6" s="5"/>
      <c r="D6" s="10">
        <v>4</v>
      </c>
    </row>
    <row r="7" spans="1:22" ht="18.75" x14ac:dyDescent="0.3">
      <c r="A7" s="12" t="s">
        <v>24</v>
      </c>
      <c r="B7" s="13"/>
      <c r="C7" s="13"/>
      <c r="D7" s="14">
        <v>5</v>
      </c>
    </row>
    <row r="8" spans="1:22" ht="18.75" x14ac:dyDescent="0.3">
      <c r="A8" s="12" t="s">
        <v>5</v>
      </c>
      <c r="B8" s="13"/>
      <c r="C8" s="13"/>
      <c r="D8" s="14">
        <f>D7*0.0001</f>
        <v>5.0000000000000001E-4</v>
      </c>
    </row>
    <row r="9" spans="1:22" x14ac:dyDescent="0.25">
      <c r="A9" s="15" t="s">
        <v>11</v>
      </c>
      <c r="B9" s="15"/>
      <c r="C9" s="15"/>
      <c r="D9" t="s">
        <v>10</v>
      </c>
      <c r="E9" s="2" t="s">
        <v>8</v>
      </c>
      <c r="F9" s="1" t="s">
        <v>9</v>
      </c>
      <c r="G9" s="1"/>
      <c r="H9" s="41" t="s">
        <v>12</v>
      </c>
      <c r="I9" s="41"/>
      <c r="J9" s="45" t="s">
        <v>13</v>
      </c>
      <c r="K9" s="45"/>
      <c r="L9" s="39" t="s">
        <v>14</v>
      </c>
      <c r="M9" s="39"/>
      <c r="N9" s="48" t="s">
        <v>15</v>
      </c>
      <c r="O9" s="48"/>
      <c r="P9" s="48"/>
      <c r="Q9" s="49"/>
      <c r="R9" s="48"/>
      <c r="S9" s="48" t="s">
        <v>20</v>
      </c>
      <c r="T9" s="48" t="s">
        <v>22</v>
      </c>
      <c r="U9" s="48" t="s">
        <v>25</v>
      </c>
      <c r="V9" s="48" t="s">
        <v>26</v>
      </c>
    </row>
    <row r="10" spans="1:22" ht="23.25" x14ac:dyDescent="0.25">
      <c r="A10" s="5"/>
      <c r="B10" s="5"/>
      <c r="C10" s="6"/>
      <c r="D10" s="17"/>
      <c r="E10" s="2"/>
      <c r="F10" s="17"/>
      <c r="G10" s="9"/>
      <c r="H10" s="42" t="s">
        <v>17</v>
      </c>
      <c r="I10" s="42" t="s">
        <v>18</v>
      </c>
      <c r="J10" s="46" t="s">
        <v>17</v>
      </c>
      <c r="K10" s="46" t="s">
        <v>18</v>
      </c>
      <c r="L10" s="40" t="s">
        <v>17</v>
      </c>
      <c r="M10" s="40" t="s">
        <v>18</v>
      </c>
      <c r="N10" s="50" t="s">
        <v>16</v>
      </c>
      <c r="O10" s="50" t="s">
        <v>36</v>
      </c>
      <c r="P10" s="50" t="s">
        <v>37</v>
      </c>
      <c r="Q10" s="51" t="s">
        <v>38</v>
      </c>
      <c r="R10" s="50" t="s">
        <v>19</v>
      </c>
      <c r="S10" s="50" t="s">
        <v>21</v>
      </c>
      <c r="T10" s="50" t="s">
        <v>23</v>
      </c>
      <c r="U10" s="50" t="s">
        <v>23</v>
      </c>
      <c r="V10" s="50" t="s">
        <v>23</v>
      </c>
    </row>
    <row r="11" spans="1:22" x14ac:dyDescent="0.25">
      <c r="D11" s="16" t="s">
        <v>35</v>
      </c>
      <c r="E11" s="18" t="s">
        <v>31</v>
      </c>
      <c r="G11" s="26" t="s">
        <v>27</v>
      </c>
      <c r="H11" s="43">
        <f>0 + icc</f>
        <v>5.0000000000000001E-4</v>
      </c>
      <c r="I11" s="44">
        <f>200.0002+icc</f>
        <v>200.00069999999999</v>
      </c>
      <c r="J11" s="47">
        <f>H11-100*(L11-$L$11)</f>
        <v>5.0000000000000001E-4</v>
      </c>
      <c r="K11" s="47">
        <f>I11-100*(L11-$L$11) - 200</f>
        <v>6.9999999999481588E-4</v>
      </c>
      <c r="L11" s="3">
        <v>1</v>
      </c>
      <c r="M11" s="3">
        <v>3</v>
      </c>
      <c r="N11" s="28">
        <f>AVERAGE(J11:K11)</f>
        <v>5.9999999999740795E-4</v>
      </c>
      <c r="O11" s="28">
        <f>N15-N11</f>
        <v>8.9999999999574817E-4</v>
      </c>
      <c r="P11" s="34">
        <f>-O11</f>
        <v>-8.9999999999574817E-4</v>
      </c>
      <c r="Q11" s="32">
        <f>P11/Nunghiuri</f>
        <v>-2.2499999999893704E-4</v>
      </c>
      <c r="R11" s="33">
        <f>0*Q11</f>
        <v>0</v>
      </c>
      <c r="S11" s="37">
        <f>N11+R11</f>
        <v>5.9999999999740795E-4</v>
      </c>
      <c r="T11" s="37">
        <v>0</v>
      </c>
      <c r="U11" s="37">
        <f>T15+T14+T13+T12</f>
        <v>400</v>
      </c>
      <c r="V11" s="37">
        <f>AVERAGE(T11,T16,T21,T26)</f>
        <v>0</v>
      </c>
    </row>
    <row r="12" spans="1:22" x14ac:dyDescent="0.25">
      <c r="D12" s="16"/>
      <c r="E12" s="19"/>
      <c r="G12" s="22" t="s">
        <v>28</v>
      </c>
      <c r="H12" s="44">
        <f>48.3324 + icc</f>
        <v>48.332900000000002</v>
      </c>
      <c r="I12" s="44">
        <f>248.3324+icc</f>
        <v>248.3329</v>
      </c>
      <c r="J12" s="47">
        <f t="shared" ref="J12:J20" si="0">H12-100*(L12-$L$11)</f>
        <v>48.332900000000002</v>
      </c>
      <c r="K12" s="47">
        <f t="shared" ref="K12:K18" si="1">I12-100*(L12-$L$11) - 200</f>
        <v>48.332899999999995</v>
      </c>
      <c r="L12" s="3">
        <v>1</v>
      </c>
      <c r="M12" s="3">
        <v>3</v>
      </c>
      <c r="N12" s="30">
        <f t="shared" ref="N12:N30" si="2">AVERAGE(J12:K12)</f>
        <v>48.332899999999995</v>
      </c>
      <c r="O12" s="31"/>
      <c r="P12" s="23"/>
      <c r="Q12" s="25"/>
      <c r="R12" s="33">
        <f>1*Q11</f>
        <v>-2.2499999999893704E-4</v>
      </c>
      <c r="S12" s="37">
        <f t="shared" ref="S12:S30" si="3">N12+R12</f>
        <v>48.332674999999995</v>
      </c>
      <c r="T12" s="37">
        <f>S12-S11</f>
        <v>48.332074999999996</v>
      </c>
      <c r="U12" s="23"/>
      <c r="V12" s="37">
        <f t="shared" ref="V12:V15" si="4">AVERAGE(T12,T17,T22,T27)</f>
        <v>48.331637500000006</v>
      </c>
    </row>
    <row r="13" spans="1:22" x14ac:dyDescent="0.25">
      <c r="D13" s="16"/>
      <c r="E13" s="19"/>
      <c r="G13" s="22" t="s">
        <v>29</v>
      </c>
      <c r="H13" s="44">
        <f>207.4315 + icc</f>
        <v>207.43199999999999</v>
      </c>
      <c r="I13" s="44">
        <f>7.4309+icc</f>
        <v>7.4314</v>
      </c>
      <c r="J13" s="47">
        <f>H13</f>
        <v>207.43199999999999</v>
      </c>
      <c r="K13" s="47">
        <f>I13+100*(L13-$L$11)</f>
        <v>207.4314</v>
      </c>
      <c r="L13" s="3">
        <v>3</v>
      </c>
      <c r="M13" s="3">
        <v>1</v>
      </c>
      <c r="N13" s="30">
        <f t="shared" si="2"/>
        <v>207.43169999999998</v>
      </c>
      <c r="O13" s="23"/>
      <c r="P13" s="23"/>
      <c r="Q13" s="25"/>
      <c r="R13" s="33">
        <f>2*Q11</f>
        <v>-4.4999999999787408E-4</v>
      </c>
      <c r="S13" s="37">
        <f t="shared" si="3"/>
        <v>207.43124999999998</v>
      </c>
      <c r="T13" s="37">
        <f>S13-S12</f>
        <v>159.09857499999998</v>
      </c>
      <c r="U13" s="23"/>
      <c r="V13" s="37">
        <f t="shared" si="4"/>
        <v>159.16143750000001</v>
      </c>
    </row>
    <row r="14" spans="1:22" x14ac:dyDescent="0.25">
      <c r="D14" s="16"/>
      <c r="E14" s="19"/>
      <c r="G14" s="22" t="s">
        <v>30</v>
      </c>
      <c r="H14" s="44">
        <f>296.6375+icc</f>
        <v>296.63799999999998</v>
      </c>
      <c r="I14" s="44">
        <f>96.6371+icc</f>
        <v>96.637600000000006</v>
      </c>
      <c r="J14" s="47">
        <f>H14</f>
        <v>296.63799999999998</v>
      </c>
      <c r="K14" s="47">
        <f>I14+100*(L14-$L$11)</f>
        <v>296.63760000000002</v>
      </c>
      <c r="L14" s="3">
        <v>3</v>
      </c>
      <c r="M14" s="3">
        <v>1</v>
      </c>
      <c r="N14" s="30">
        <f t="shared" si="2"/>
        <v>296.63779999999997</v>
      </c>
      <c r="O14" s="23"/>
      <c r="P14" s="23"/>
      <c r="Q14" s="25"/>
      <c r="R14" s="33">
        <f>3*Q11</f>
        <v>-6.7499999999681118E-4</v>
      </c>
      <c r="S14" s="37">
        <f t="shared" si="3"/>
        <v>296.63712499999997</v>
      </c>
      <c r="T14" s="37">
        <f>S14-S13</f>
        <v>89.205874999999992</v>
      </c>
      <c r="U14" s="23"/>
      <c r="V14" s="37">
        <f t="shared" si="4"/>
        <v>89.142762499999975</v>
      </c>
    </row>
    <row r="15" spans="1:22" x14ac:dyDescent="0.25">
      <c r="D15" s="16"/>
      <c r="E15" s="20"/>
      <c r="F15" s="21"/>
      <c r="G15" s="22" t="s">
        <v>27</v>
      </c>
      <c r="H15" s="44">
        <f>0.0012+icc</f>
        <v>1.6999999999999999E-3</v>
      </c>
      <c r="I15" s="44">
        <f>200.0008+icc</f>
        <v>200.00129999999999</v>
      </c>
      <c r="J15" s="47">
        <f>H15</f>
        <v>1.6999999999999999E-3</v>
      </c>
      <c r="K15" s="47">
        <f t="shared" si="1"/>
        <v>1.2999999999863121E-3</v>
      </c>
      <c r="L15" s="3">
        <v>1</v>
      </c>
      <c r="M15" s="3">
        <v>3</v>
      </c>
      <c r="N15" s="29">
        <f t="shared" si="2"/>
        <v>1.4999999999931561E-3</v>
      </c>
      <c r="O15" s="24"/>
      <c r="P15" s="24"/>
      <c r="Q15" s="22"/>
      <c r="R15" s="36">
        <f>4*Q11</f>
        <v>-8.9999999999574817E-4</v>
      </c>
      <c r="S15" s="38">
        <f t="shared" si="3"/>
        <v>5.9999999999740795E-4</v>
      </c>
      <c r="T15" s="38">
        <f>400+S15-S14</f>
        <v>103.36347500000005</v>
      </c>
      <c r="U15" s="24"/>
      <c r="V15" s="38">
        <f t="shared" si="4"/>
        <v>103.36416250000002</v>
      </c>
    </row>
    <row r="16" spans="1:22" x14ac:dyDescent="0.25">
      <c r="D16" s="16"/>
      <c r="E16" s="18" t="s">
        <v>32</v>
      </c>
      <c r="G16" s="26" t="s">
        <v>27</v>
      </c>
      <c r="H16" s="43">
        <f>100+icc</f>
        <v>100.0005</v>
      </c>
      <c r="I16" s="44">
        <f>300.001+icc</f>
        <v>300.00149999999996</v>
      </c>
      <c r="J16" s="47">
        <f t="shared" si="0"/>
        <v>5.0000000000238742E-4</v>
      </c>
      <c r="K16" s="47">
        <f t="shared" si="1"/>
        <v>1.4999999999645297E-3</v>
      </c>
      <c r="L16" s="3">
        <v>2</v>
      </c>
      <c r="M16" s="3">
        <v>4</v>
      </c>
      <c r="N16" s="28">
        <f t="shared" si="2"/>
        <v>9.9999999998345857E-4</v>
      </c>
      <c r="O16" s="28">
        <f>N20-N16</f>
        <v>2.0000000002085017E-4</v>
      </c>
      <c r="P16" s="33">
        <f>-O16</f>
        <v>-2.0000000002085017E-4</v>
      </c>
      <c r="Q16" s="35">
        <f>P16/Nunghiuri</f>
        <v>-5.0000000005212542E-5</v>
      </c>
      <c r="R16" s="33">
        <f t="shared" ref="R16" si="5">0*Q16</f>
        <v>0</v>
      </c>
      <c r="S16" s="37">
        <f t="shared" si="3"/>
        <v>9.9999999998345857E-4</v>
      </c>
      <c r="T16" s="37">
        <v>0</v>
      </c>
      <c r="U16" s="37">
        <f>T20+T19+T18+T17</f>
        <v>400</v>
      </c>
    </row>
    <row r="17" spans="1:21" x14ac:dyDescent="0.25">
      <c r="D17" s="16"/>
      <c r="E17" s="19"/>
      <c r="G17" s="9" t="s">
        <v>28</v>
      </c>
      <c r="H17" s="44">
        <f>148.3325+icc</f>
        <v>148.333</v>
      </c>
      <c r="I17" s="44">
        <f>348.3319+icc</f>
        <v>348.33240000000001</v>
      </c>
      <c r="J17" s="47">
        <f t="shared" si="0"/>
        <v>48.332999999999998</v>
      </c>
      <c r="K17" s="47">
        <f t="shared" si="1"/>
        <v>48.332400000000007</v>
      </c>
      <c r="L17" s="3">
        <v>2</v>
      </c>
      <c r="M17" s="3">
        <v>4</v>
      </c>
      <c r="N17" s="30">
        <f t="shared" si="2"/>
        <v>48.332700000000003</v>
      </c>
      <c r="O17" s="31"/>
      <c r="P17" s="23"/>
      <c r="Q17" s="25"/>
      <c r="R17" s="33">
        <f t="shared" ref="R17:R30" si="6">1*Q16</f>
        <v>-5.0000000005212542E-5</v>
      </c>
      <c r="S17" s="37">
        <f t="shared" si="3"/>
        <v>48.332650000000001</v>
      </c>
      <c r="T17" s="37">
        <f>S17-S16</f>
        <v>48.331650000000018</v>
      </c>
      <c r="U17" s="23"/>
    </row>
    <row r="18" spans="1:21" x14ac:dyDescent="0.25">
      <c r="D18" s="16"/>
      <c r="E18" s="19"/>
      <c r="G18" s="9" t="s">
        <v>29</v>
      </c>
      <c r="H18" s="44">
        <f>307.432+icc</f>
        <v>307.4325</v>
      </c>
      <c r="I18" s="44">
        <f>107.4316+icc</f>
        <v>107.43210000000001</v>
      </c>
      <c r="J18" s="47">
        <f>H18-100*(L18-$L$11)+200</f>
        <v>207.4325</v>
      </c>
      <c r="K18" s="47">
        <f>I18-100*(L18-$L$11) +400</f>
        <v>207.43209999999999</v>
      </c>
      <c r="L18" s="3">
        <v>4</v>
      </c>
      <c r="M18" s="3">
        <v>2</v>
      </c>
      <c r="N18" s="30">
        <f t="shared" si="2"/>
        <v>207.4323</v>
      </c>
      <c r="O18" s="23"/>
      <c r="P18" s="23"/>
      <c r="Q18" s="25"/>
      <c r="R18" s="33">
        <f t="shared" ref="R18" si="7">2*Q16</f>
        <v>-1.0000000001042508E-4</v>
      </c>
      <c r="S18" s="37">
        <f t="shared" si="3"/>
        <v>207.43219999999999</v>
      </c>
      <c r="T18" s="37">
        <f>S18-S17</f>
        <v>159.09954999999999</v>
      </c>
      <c r="U18" s="23"/>
    </row>
    <row r="19" spans="1:21" x14ac:dyDescent="0.25">
      <c r="D19" s="16"/>
      <c r="E19" s="19"/>
      <c r="G19" s="9" t="s">
        <v>30</v>
      </c>
      <c r="H19" s="44">
        <f>396.6379+icc</f>
        <v>396.63839999999999</v>
      </c>
      <c r="I19" s="44">
        <f>196.6375+icc</f>
        <v>196.63799999999998</v>
      </c>
      <c r="J19" s="47">
        <f>H19-100*(L19-$L$11)+200</f>
        <v>296.63839999999999</v>
      </c>
      <c r="K19" s="47">
        <f>I19-100*(L19-$L$11) +400</f>
        <v>296.63799999999998</v>
      </c>
      <c r="L19" s="3">
        <v>4</v>
      </c>
      <c r="M19" s="3">
        <v>2</v>
      </c>
      <c r="N19" s="30">
        <f t="shared" si="2"/>
        <v>296.63819999999998</v>
      </c>
      <c r="O19" s="23"/>
      <c r="P19" s="23"/>
      <c r="Q19" s="25"/>
      <c r="R19" s="33">
        <f t="shared" ref="R19" si="8">3*Q16</f>
        <v>-1.5000000001563762E-4</v>
      </c>
      <c r="S19" s="37">
        <f t="shared" si="3"/>
        <v>296.63804999999996</v>
      </c>
      <c r="T19" s="37">
        <f>S19-S18</f>
        <v>89.20584999999997</v>
      </c>
      <c r="U19" s="23"/>
    </row>
    <row r="20" spans="1:21" x14ac:dyDescent="0.25">
      <c r="D20" s="16"/>
      <c r="E20" s="20"/>
      <c r="F20" s="21"/>
      <c r="G20" s="9" t="s">
        <v>27</v>
      </c>
      <c r="H20" s="44">
        <f>100.0008+icc</f>
        <v>100.0013</v>
      </c>
      <c r="I20" s="44">
        <f>300.0006+icc</f>
        <v>300.00110000000001</v>
      </c>
      <c r="J20" s="47">
        <f t="shared" si="0"/>
        <v>1.300000000000523E-3</v>
      </c>
      <c r="K20" s="47">
        <f>I20-100*(L20-$L$11)-200</f>
        <v>1.1000000000080945E-3</v>
      </c>
      <c r="L20" s="3">
        <v>2</v>
      </c>
      <c r="M20" s="3">
        <v>4</v>
      </c>
      <c r="N20" s="29">
        <f t="shared" si="2"/>
        <v>1.2000000000043087E-3</v>
      </c>
      <c r="O20" s="24"/>
      <c r="P20" s="24"/>
      <c r="Q20" s="22"/>
      <c r="R20" s="36">
        <f t="shared" ref="R20" si="9">4*Q16</f>
        <v>-2.0000000002085017E-4</v>
      </c>
      <c r="S20" s="38">
        <f t="shared" si="3"/>
        <v>9.9999999998345857E-4</v>
      </c>
      <c r="T20" s="38">
        <f>400+S20-S19</f>
        <v>103.36295000000001</v>
      </c>
      <c r="U20" s="24"/>
    </row>
    <row r="21" spans="1:21" x14ac:dyDescent="0.25">
      <c r="D21" s="16"/>
      <c r="E21" s="18" t="s">
        <v>33</v>
      </c>
      <c r="G21" s="26" t="s">
        <v>27</v>
      </c>
      <c r="H21" s="43">
        <f>200+icc</f>
        <v>200.00049999999999</v>
      </c>
      <c r="I21" s="44">
        <f>0.0002+icc</f>
        <v>6.9999999999999999E-4</v>
      </c>
      <c r="J21" s="47">
        <f>H21-100*(L21-$L$11)</f>
        <v>4.9999999998817657E-4</v>
      </c>
      <c r="K21" s="47">
        <f>I21-100*(L21-$L$11)+200</f>
        <v>6.9999999999481588E-4</v>
      </c>
      <c r="L21" s="3">
        <v>3</v>
      </c>
      <c r="M21" s="3">
        <v>1</v>
      </c>
      <c r="N21" s="28">
        <f t="shared" si="2"/>
        <v>5.9999999999149622E-4</v>
      </c>
      <c r="O21" s="28">
        <f>N25-N21</f>
        <v>3.9999999999906777E-4</v>
      </c>
      <c r="P21" s="34">
        <f>-O21</f>
        <v>-3.9999999999906777E-4</v>
      </c>
      <c r="Q21" s="32">
        <f>P21/Nunghiuri</f>
        <v>-9.9999999999766942E-5</v>
      </c>
      <c r="R21" s="33">
        <f t="shared" ref="R21" si="10">0*Q21</f>
        <v>0</v>
      </c>
      <c r="S21" s="37">
        <f t="shared" si="3"/>
        <v>5.9999999999149622E-4</v>
      </c>
      <c r="T21" s="37">
        <v>0</v>
      </c>
      <c r="U21" s="37">
        <f>T25+T24+T23+T22</f>
        <v>400</v>
      </c>
    </row>
    <row r="22" spans="1:21" x14ac:dyDescent="0.25">
      <c r="D22" s="16"/>
      <c r="E22" s="19"/>
      <c r="G22" s="9" t="s">
        <v>28</v>
      </c>
      <c r="H22" s="44">
        <f>248.3322+icc</f>
        <v>248.33269999999999</v>
      </c>
      <c r="I22" s="44">
        <f>48.3328+icc</f>
        <v>48.333300000000001</v>
      </c>
      <c r="J22" s="47">
        <f t="shared" ref="J22:J30" si="11">H22-100*(L22-$L$11)</f>
        <v>48.332699999999988</v>
      </c>
      <c r="K22" s="47">
        <f>I22-100*(L22-$L$11)+200</f>
        <v>48.333300000000008</v>
      </c>
      <c r="L22" s="3">
        <v>3</v>
      </c>
      <c r="M22" s="3">
        <v>1</v>
      </c>
      <c r="N22" s="30">
        <f t="shared" si="2"/>
        <v>48.332999999999998</v>
      </c>
      <c r="O22" s="31"/>
      <c r="P22" s="23"/>
      <c r="Q22" s="25"/>
      <c r="R22" s="33">
        <f t="shared" ref="R22:R30" si="12">1*Q21</f>
        <v>-9.9999999999766942E-5</v>
      </c>
      <c r="S22" s="37">
        <f t="shared" si="3"/>
        <v>48.332899999999995</v>
      </c>
      <c r="T22" s="37">
        <f>S22-S21</f>
        <v>48.332300000000004</v>
      </c>
      <c r="U22" s="23"/>
    </row>
    <row r="23" spans="1:21" x14ac:dyDescent="0.25">
      <c r="D23" s="16"/>
      <c r="E23" s="19"/>
      <c r="G23" s="22" t="s">
        <v>29</v>
      </c>
      <c r="H23" s="44">
        <f>7.7314+icc</f>
        <v>7.7318999999999996</v>
      </c>
      <c r="I23" s="44">
        <f>207.732+icc</f>
        <v>207.73249999999999</v>
      </c>
      <c r="J23" s="47">
        <f>H23-100*(L23-$L$11)+200</f>
        <v>207.7319</v>
      </c>
      <c r="K23" s="47">
        <f>I23-100*(L23-$L$11)</f>
        <v>207.73249999999999</v>
      </c>
      <c r="L23" s="3">
        <v>1</v>
      </c>
      <c r="M23" s="3">
        <v>3</v>
      </c>
      <c r="N23" s="30">
        <f t="shared" si="2"/>
        <v>207.73219999999998</v>
      </c>
      <c r="O23" s="23"/>
      <c r="P23" s="23"/>
      <c r="Q23" s="25"/>
      <c r="R23" s="33">
        <f t="shared" ref="R23" si="13">2*Q21</f>
        <v>-1.9999999999953388E-4</v>
      </c>
      <c r="S23" s="37">
        <f t="shared" si="3"/>
        <v>207.73199999999997</v>
      </c>
      <c r="T23" s="37">
        <f t="shared" ref="T23:T24" si="14">S23-S22</f>
        <v>159.39909999999998</v>
      </c>
      <c r="U23" s="23"/>
    </row>
    <row r="24" spans="1:21" x14ac:dyDescent="0.25">
      <c r="D24" s="16"/>
      <c r="E24" s="19"/>
      <c r="G24" s="22" t="s">
        <v>30</v>
      </c>
      <c r="H24" s="44">
        <f>96.6373+icc</f>
        <v>96.637799999999999</v>
      </c>
      <c r="I24" s="44">
        <f>296.6377+icc</f>
        <v>296.63819999999998</v>
      </c>
      <c r="J24" s="47">
        <f>H24-100*(L24-$L$11)+200</f>
        <v>296.63779999999997</v>
      </c>
      <c r="K24" s="47">
        <f>I24-100*(L24-$L$11)</f>
        <v>296.63819999999998</v>
      </c>
      <c r="L24" s="3">
        <v>1</v>
      </c>
      <c r="M24" s="3">
        <v>3</v>
      </c>
      <c r="N24" s="30">
        <f t="shared" si="2"/>
        <v>296.63799999999998</v>
      </c>
      <c r="O24" s="23"/>
      <c r="P24" s="23"/>
      <c r="Q24" s="25"/>
      <c r="R24" s="33">
        <f t="shared" ref="R24" si="15">3*Q21</f>
        <v>-2.9999999999930083E-4</v>
      </c>
      <c r="S24" s="37">
        <f t="shared" si="3"/>
        <v>296.6377</v>
      </c>
      <c r="T24" s="37">
        <f t="shared" si="14"/>
        <v>88.905700000000024</v>
      </c>
      <c r="U24" s="23"/>
    </row>
    <row r="25" spans="1:21" x14ac:dyDescent="0.25">
      <c r="D25" s="16"/>
      <c r="E25" s="20"/>
      <c r="F25" s="21"/>
      <c r="G25" s="22" t="s">
        <v>27</v>
      </c>
      <c r="H25" s="44">
        <f>200+icc</f>
        <v>200.00049999999999</v>
      </c>
      <c r="I25" s="44">
        <f>0.001+icc</f>
        <v>1.5E-3</v>
      </c>
      <c r="J25" s="47">
        <f t="shared" si="11"/>
        <v>4.9999999998817657E-4</v>
      </c>
      <c r="K25" s="47">
        <f>I25-100*(L25-$L$11)+200</f>
        <v>1.4999999999929514E-3</v>
      </c>
      <c r="L25" s="3">
        <v>3</v>
      </c>
      <c r="M25" s="3">
        <v>1</v>
      </c>
      <c r="N25" s="29">
        <f t="shared" si="2"/>
        <v>9.9999999999056399E-4</v>
      </c>
      <c r="O25" s="24"/>
      <c r="P25" s="24"/>
      <c r="Q25" s="22"/>
      <c r="R25" s="36">
        <f t="shared" ref="R25" si="16">4*Q21</f>
        <v>-3.9999999999906777E-4</v>
      </c>
      <c r="S25" s="38">
        <f t="shared" si="3"/>
        <v>5.9999999999149622E-4</v>
      </c>
      <c r="T25" s="38">
        <f>400+S25-S24</f>
        <v>103.36289999999997</v>
      </c>
      <c r="U25" s="24"/>
    </row>
    <row r="26" spans="1:21" x14ac:dyDescent="0.25">
      <c r="D26" s="16"/>
      <c r="E26" s="18" t="s">
        <v>34</v>
      </c>
      <c r="G26" s="27" t="s">
        <v>27</v>
      </c>
      <c r="H26" s="43">
        <f>300+icc</f>
        <v>300.00049999999999</v>
      </c>
      <c r="I26" s="44">
        <f>100.0008+icc</f>
        <v>100.0013</v>
      </c>
      <c r="J26" s="47">
        <f t="shared" si="11"/>
        <v>4.9999999998817657E-4</v>
      </c>
      <c r="K26" s="47">
        <f>I26-100*(L26-$L$11)+200</f>
        <v>1.3000000000147338E-3</v>
      </c>
      <c r="L26" s="3">
        <v>4</v>
      </c>
      <c r="M26" s="3">
        <v>2</v>
      </c>
      <c r="N26" s="28">
        <f>AVERAGE(J26:K26)</f>
        <v>9.0000000000145519E-4</v>
      </c>
      <c r="O26" s="28">
        <f>N30-N26</f>
        <v>5.8999999999969077E-3</v>
      </c>
      <c r="P26" s="34">
        <f>-O26</f>
        <v>-5.8999999999969077E-3</v>
      </c>
      <c r="Q26" s="32">
        <f>P26/Nunghiuri</f>
        <v>-1.4749999999992269E-3</v>
      </c>
      <c r="R26" s="33">
        <f t="shared" ref="R26" si="17">0*Q26</f>
        <v>0</v>
      </c>
      <c r="S26" s="37">
        <f t="shared" si="3"/>
        <v>9.0000000000145519E-4</v>
      </c>
      <c r="T26" s="37">
        <v>0</v>
      </c>
      <c r="U26" s="37">
        <f>T30+T29+T28+T27</f>
        <v>400</v>
      </c>
    </row>
    <row r="27" spans="1:21" x14ac:dyDescent="0.25">
      <c r="D27" s="16"/>
      <c r="E27" s="19"/>
      <c r="G27" s="22" t="s">
        <v>28</v>
      </c>
      <c r="H27" s="44">
        <f>348.3328+icc</f>
        <v>348.33330000000001</v>
      </c>
      <c r="I27" s="44">
        <f>148.332+icc</f>
        <v>148.33249999999998</v>
      </c>
      <c r="J27" s="47">
        <f t="shared" si="11"/>
        <v>48.333300000000008</v>
      </c>
      <c r="K27" s="47">
        <f>I27-100*(L27-$L$11)+200</f>
        <v>48.332499999999982</v>
      </c>
      <c r="L27" s="3">
        <v>4</v>
      </c>
      <c r="M27" s="3">
        <v>2</v>
      </c>
      <c r="N27" s="30">
        <f t="shared" si="2"/>
        <v>48.332899999999995</v>
      </c>
      <c r="O27" s="31"/>
      <c r="P27" s="23"/>
      <c r="Q27" s="25"/>
      <c r="R27" s="33">
        <f t="shared" ref="R27:R30" si="18">1*Q26</f>
        <v>-1.4749999999992269E-3</v>
      </c>
      <c r="S27" s="37">
        <f t="shared" si="3"/>
        <v>48.331424999999996</v>
      </c>
      <c r="T27" s="37">
        <f>S27-S26</f>
        <v>48.330524999999994</v>
      </c>
      <c r="U27" s="23"/>
    </row>
    <row r="28" spans="1:21" x14ac:dyDescent="0.25">
      <c r="D28" s="16"/>
      <c r="E28" s="19"/>
      <c r="G28" s="22" t="s">
        <v>29</v>
      </c>
      <c r="H28" s="44">
        <f>107.4322+icc</f>
        <v>107.4327</v>
      </c>
      <c r="I28" s="44">
        <f>307.3326+icc</f>
        <v>307.3331</v>
      </c>
      <c r="J28" s="47">
        <f>H28-100*(L28-$L$11)+200</f>
        <v>207.43270000000001</v>
      </c>
      <c r="K28" s="47">
        <f>I28-100*(L28-$L$11)</f>
        <v>207.3331</v>
      </c>
      <c r="L28" s="3">
        <v>2</v>
      </c>
      <c r="M28" s="3">
        <v>4</v>
      </c>
      <c r="N28" s="30">
        <f t="shared" si="2"/>
        <v>207.38290000000001</v>
      </c>
      <c r="O28" s="23"/>
      <c r="P28" s="23"/>
      <c r="Q28" s="25"/>
      <c r="R28" s="33">
        <f t="shared" ref="R28" si="19">2*Q26</f>
        <v>-2.9499999999984539E-3</v>
      </c>
      <c r="S28" s="37">
        <f t="shared" si="3"/>
        <v>207.37995000000001</v>
      </c>
      <c r="T28" s="37">
        <f t="shared" ref="T28:T29" si="20">S28-S27</f>
        <v>159.04852500000001</v>
      </c>
      <c r="U28" s="23"/>
    </row>
    <row r="29" spans="1:21" x14ac:dyDescent="0.25">
      <c r="D29" s="16"/>
      <c r="E29" s="19"/>
      <c r="G29" s="22" t="s">
        <v>30</v>
      </c>
      <c r="H29" s="44">
        <f>196.6379+icc</f>
        <v>196.63839999999999</v>
      </c>
      <c r="I29" s="44">
        <f>396.6371+icc</f>
        <v>396.63759999999996</v>
      </c>
      <c r="J29" s="47">
        <f>H29-100*(L29-$L$11)+200</f>
        <v>296.63839999999999</v>
      </c>
      <c r="K29" s="47">
        <f>I29-100*(L29-$L$11)</f>
        <v>296.63759999999996</v>
      </c>
      <c r="L29" s="3">
        <v>2</v>
      </c>
      <c r="M29" s="3">
        <v>4</v>
      </c>
      <c r="N29" s="30">
        <f t="shared" si="2"/>
        <v>296.63799999999998</v>
      </c>
      <c r="O29" s="23"/>
      <c r="P29" s="23"/>
      <c r="Q29" s="25"/>
      <c r="R29" s="33">
        <f t="shared" ref="R29" si="21">3*Q26</f>
        <v>-4.4249999999976808E-3</v>
      </c>
      <c r="S29" s="37">
        <f t="shared" si="3"/>
        <v>296.63357499999995</v>
      </c>
      <c r="T29" s="37">
        <f t="shared" si="20"/>
        <v>89.253624999999943</v>
      </c>
      <c r="U29" s="23"/>
    </row>
    <row r="30" spans="1:21" x14ac:dyDescent="0.25">
      <c r="D30" s="16"/>
      <c r="E30" s="20"/>
      <c r="F30" s="21"/>
      <c r="G30" s="22" t="s">
        <v>27</v>
      </c>
      <c r="H30" s="44">
        <f>299.988+icc</f>
        <v>299.98849999999999</v>
      </c>
      <c r="I30" s="44">
        <f>100.0016+icc</f>
        <v>100.0021</v>
      </c>
      <c r="J30" s="47">
        <f>300- H30-100*(L30-$L$11)+200</f>
        <v>1.1500000000012278E-2</v>
      </c>
      <c r="K30" s="47">
        <f xml:space="preserve"> I30-100*(M30-$M$11) - 200</f>
        <v>2.0999999999844476E-3</v>
      </c>
      <c r="L30" s="3">
        <v>3</v>
      </c>
      <c r="M30" s="3">
        <v>2</v>
      </c>
      <c r="N30" s="29">
        <f t="shared" si="2"/>
        <v>6.7999999999983629E-3</v>
      </c>
      <c r="O30" s="24"/>
      <c r="P30" s="24"/>
      <c r="Q30" s="22"/>
      <c r="R30" s="36">
        <f t="shared" ref="R30" si="22">4*Q26</f>
        <v>-5.8999999999969077E-3</v>
      </c>
      <c r="S30" s="38">
        <f t="shared" si="3"/>
        <v>9.0000000000145519E-4</v>
      </c>
      <c r="T30" s="38">
        <f>400+S30-S29</f>
        <v>103.36732500000005</v>
      </c>
      <c r="U30" s="24"/>
    </row>
    <row r="31" spans="1:21" x14ac:dyDescent="0.25">
      <c r="A31" s="52"/>
      <c r="B31" s="52"/>
      <c r="C31" s="52"/>
    </row>
  </sheetData>
  <mergeCells count="18">
    <mergeCell ref="A10:C10"/>
    <mergeCell ref="E11:E15"/>
    <mergeCell ref="E16:E20"/>
    <mergeCell ref="E21:E25"/>
    <mergeCell ref="E26:E30"/>
    <mergeCell ref="D11:D30"/>
    <mergeCell ref="A9:C9"/>
    <mergeCell ref="F9:G9"/>
    <mergeCell ref="H9:I9"/>
    <mergeCell ref="J9:K9"/>
    <mergeCell ref="L9:M9"/>
    <mergeCell ref="A3:C3"/>
    <mergeCell ref="A4:C4"/>
    <mergeCell ref="A2:C2"/>
    <mergeCell ref="A5:C5"/>
    <mergeCell ref="A6:C6"/>
    <mergeCell ref="A7:C7"/>
    <mergeCell ref="A8:C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icc</vt:lpstr>
      <vt:lpstr>Nunghiuri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Florinel-PC</dc:creator>
  <cp:lastModifiedBy>Florinel-PC</cp:lastModifiedBy>
  <dcterms:created xsi:type="dcterms:W3CDTF">2020-05-29T18:25:09Z</dcterms:created>
  <dcterms:modified xsi:type="dcterms:W3CDTF">2020-05-29T21:07:58Z</dcterms:modified>
</cp:coreProperties>
</file>