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docs\"/>
    </mc:Choice>
  </mc:AlternateContent>
  <xr:revisionPtr revIDLastSave="0" documentId="13_ncr:1_{9B6FB3AB-61A4-4C9E-A2DB-FE56D7F75C30}" xr6:coauthVersionLast="47" xr6:coauthVersionMax="47" xr10:uidLastSave="{00000000-0000-0000-0000-000000000000}"/>
  <bookViews>
    <workbookView xWindow="-110" yWindow="-110" windowWidth="25820" windowHeight="15500" tabRatio="783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CAL_Vbat" sheetId="29" r:id="rId9"/>
    <sheet name="DB_LIMITS" sheetId="9" r:id="rId10"/>
    <sheet name="DB_GD" sheetId="17" r:id="rId11"/>
    <sheet name="DB_R" sheetId="26" r:id="rId12"/>
    <sheet name="DB_D" sheetId="19" r:id="rId13"/>
    <sheet name="DB_FETS" sheetId="7" r:id="rId14"/>
    <sheet name="DB_ADC" sheetId="11" r:id="rId15"/>
    <sheet name="Mosfet" sheetId="3" state="hidden" r:id="rId16"/>
  </sheets>
  <definedNames>
    <definedName name="Radc">HMI!$U$19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6" l="1"/>
  <c r="N23" i="6"/>
  <c r="N27" i="6"/>
  <c r="Q9" i="6"/>
  <c r="G3" i="29"/>
  <c r="G11" i="29"/>
  <c r="G19" i="29"/>
  <c r="G18" i="29"/>
  <c r="Q8" i="6"/>
  <c r="Q7" i="6"/>
  <c r="G10" i="29"/>
  <c r="G4" i="29"/>
  <c r="G2" i="29"/>
  <c r="A77" i="26"/>
  <c r="D8" i="20"/>
  <c r="H2" i="20" s="1"/>
  <c r="D10" i="29"/>
  <c r="D8" i="29"/>
  <c r="D6" i="29"/>
  <c r="H12" i="29" s="1"/>
  <c r="C6" i="29"/>
  <c r="G12" i="29" s="1"/>
  <c r="C10" i="29"/>
  <c r="C8" i="29"/>
  <c r="D5" i="29"/>
  <c r="H4" i="29" s="1"/>
  <c r="C5" i="29"/>
  <c r="D4" i="29"/>
  <c r="C18" i="6"/>
  <c r="B18" i="6"/>
  <c r="D19" i="18"/>
  <c r="Q13" i="18" s="1"/>
  <c r="C19" i="18"/>
  <c r="P13" i="18" s="1"/>
  <c r="C18" i="20"/>
  <c r="M10" i="20" s="1"/>
  <c r="C20" i="18"/>
  <c r="M2" i="18" s="1"/>
  <c r="C6" i="6"/>
  <c r="D5" i="20" s="1"/>
  <c r="E25" i="6"/>
  <c r="P22" i="18"/>
  <c r="P14" i="18"/>
  <c r="P12" i="18"/>
  <c r="D18" i="18"/>
  <c r="Q7" i="18" s="1"/>
  <c r="C7" i="6"/>
  <c r="D6" i="20" s="1"/>
  <c r="H16" i="6"/>
  <c r="H15" i="6"/>
  <c r="G27" i="28"/>
  <c r="G26" i="28"/>
  <c r="G25" i="28"/>
  <c r="G24" i="28"/>
  <c r="D12" i="28"/>
  <c r="D13" i="28" s="1"/>
  <c r="H4" i="28" s="1"/>
  <c r="C12" i="28"/>
  <c r="C13" i="28"/>
  <c r="G4" i="28" s="1"/>
  <c r="C11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E41" i="6"/>
  <c r="E40" i="6"/>
  <c r="P19" i="20"/>
  <c r="P18" i="20"/>
  <c r="P12" i="20"/>
  <c r="E36" i="6"/>
  <c r="E35" i="6"/>
  <c r="E38" i="6"/>
  <c r="C16" i="28" s="1"/>
  <c r="G17" i="28" s="1"/>
  <c r="E37" i="6"/>
  <c r="C15" i="28" s="1"/>
  <c r="G16" i="28" s="1"/>
  <c r="C22" i="20"/>
  <c r="J22" i="20" s="1"/>
  <c r="J24" i="20"/>
  <c r="J23" i="20"/>
  <c r="J14" i="20"/>
  <c r="J13" i="20"/>
  <c r="J4" i="20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9" i="6"/>
  <c r="O13" i="6"/>
  <c r="D14" i="25" s="1"/>
  <c r="Q3" i="25" s="1"/>
  <c r="O12" i="6"/>
  <c r="D13" i="25" s="1"/>
  <c r="Q2" i="25" s="1"/>
  <c r="D25" i="25"/>
  <c r="N26" i="25" s="1"/>
  <c r="C25" i="25"/>
  <c r="M26" i="25" s="1"/>
  <c r="N38" i="6"/>
  <c r="N36" i="6"/>
  <c r="M29" i="25"/>
  <c r="D23" i="25"/>
  <c r="N21" i="25" s="1"/>
  <c r="C23" i="25"/>
  <c r="M21" i="25" s="1"/>
  <c r="D24" i="25"/>
  <c r="Q9" i="25" s="1"/>
  <c r="N37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4" i="6"/>
  <c r="J4" i="25"/>
  <c r="J3" i="25"/>
  <c r="N22" i="6"/>
  <c r="J11" i="25"/>
  <c r="J12" i="25"/>
  <c r="J10" i="25"/>
  <c r="N25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6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6" i="6"/>
  <c r="D9" i="20"/>
  <c r="H11" i="20" s="1"/>
  <c r="D11" i="21"/>
  <c r="K5" i="21" s="1"/>
  <c r="K19" i="6"/>
  <c r="K18" i="6"/>
  <c r="K17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9" i="6"/>
  <c r="C11" i="21"/>
  <c r="G2" i="21" s="1"/>
  <c r="E39" i="6"/>
  <c r="P24" i="20"/>
  <c r="P4" i="20"/>
  <c r="M9" i="20"/>
  <c r="D18" i="20"/>
  <c r="N10" i="20" s="1"/>
  <c r="E42" i="6"/>
  <c r="P25" i="20"/>
  <c r="P3" i="20"/>
  <c r="P2" i="20"/>
  <c r="M27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C9" i="20"/>
  <c r="G3" i="20" s="1"/>
  <c r="M26" i="20" s="1"/>
  <c r="C8" i="20"/>
  <c r="G2" i="20" s="1"/>
  <c r="D4" i="20"/>
  <c r="P6" i="18"/>
  <c r="E24" i="6"/>
  <c r="C17" i="20" s="1"/>
  <c r="E26" i="6"/>
  <c r="E23" i="6"/>
  <c r="E27" i="6"/>
  <c r="E22" i="6"/>
  <c r="C16" i="20" s="1"/>
  <c r="E21" i="6"/>
  <c r="D20" i="18"/>
  <c r="N2" i="18" s="1"/>
  <c r="C18" i="18"/>
  <c r="M3" i="18" s="1"/>
  <c r="D4" i="18"/>
  <c r="D6" i="18" s="1"/>
  <c r="K7" i="18" s="1"/>
  <c r="N11" i="18" s="1"/>
  <c r="D7" i="18"/>
  <c r="N12" i="18" s="1"/>
  <c r="C7" i="18"/>
  <c r="M12" i="18" s="1"/>
  <c r="D27" i="18"/>
  <c r="N18" i="18" s="1"/>
  <c r="C27" i="18"/>
  <c r="M18" i="18" s="1"/>
  <c r="D25" i="18"/>
  <c r="H23" i="18" s="1"/>
  <c r="C25" i="18"/>
  <c r="G23" i="18" s="1"/>
  <c r="D13" i="18"/>
  <c r="H2" i="18" s="1"/>
  <c r="H10" i="18" s="1"/>
  <c r="C13" i="18"/>
  <c r="G2" i="18" s="1"/>
  <c r="D22" i="18"/>
  <c r="D23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9" i="18"/>
  <c r="D30" i="18" s="1"/>
  <c r="K2" i="18" s="1"/>
  <c r="C23" i="18"/>
  <c r="G3" i="18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C10" i="6"/>
  <c r="C11" i="6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B13" i="6"/>
  <c r="M2" i="1" s="1"/>
  <c r="H7" i="6"/>
  <c r="H8" i="6"/>
  <c r="H6" i="6"/>
  <c r="C30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2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H21" i="25" l="1"/>
  <c r="D13" i="20"/>
  <c r="D18" i="25"/>
  <c r="K4" i="25" s="1"/>
  <c r="D11" i="29"/>
  <c r="H3" i="29" s="1"/>
  <c r="H19" i="29" s="1"/>
  <c r="D9" i="29"/>
  <c r="H2" i="29" s="1"/>
  <c r="N3" i="18"/>
  <c r="P15" i="18"/>
  <c r="Q15" i="18"/>
  <c r="P20" i="18"/>
  <c r="Q20" i="18"/>
  <c r="P21" i="18"/>
  <c r="P7" i="18"/>
  <c r="C8" i="28"/>
  <c r="G12" i="28" s="1"/>
  <c r="D10" i="28"/>
  <c r="H15" i="28" s="1"/>
  <c r="C5" i="28"/>
  <c r="C10" i="28"/>
  <c r="G15" i="28" s="1"/>
  <c r="D8" i="28"/>
  <c r="H12" i="28" s="1"/>
  <c r="C6" i="28"/>
  <c r="C9" i="28"/>
  <c r="G5" i="28" s="1"/>
  <c r="D7" i="28"/>
  <c r="D6" i="28"/>
  <c r="Q11" i="20"/>
  <c r="P10" i="20"/>
  <c r="N4" i="20"/>
  <c r="C6" i="25"/>
  <c r="G22" i="25" s="1"/>
  <c r="P11" i="20"/>
  <c r="H5" i="18"/>
  <c r="H17" i="18" s="1"/>
  <c r="Q10" i="20"/>
  <c r="D22" i="20"/>
  <c r="K22" i="20" s="1"/>
  <c r="G12" i="20"/>
  <c r="D23" i="20"/>
  <c r="K12" i="20" s="1"/>
  <c r="D24" i="20"/>
  <c r="N20" i="25"/>
  <c r="N22" i="25" s="1"/>
  <c r="O36" i="6" s="1"/>
  <c r="M20" i="25"/>
  <c r="Q5" i="25"/>
  <c r="Q12" i="25" s="1"/>
  <c r="D11" i="25"/>
  <c r="C13" i="25"/>
  <c r="P2" i="25" s="1"/>
  <c r="L15" i="6"/>
  <c r="K6" i="21"/>
  <c r="L17" i="6" s="1"/>
  <c r="J22" i="25"/>
  <c r="K22" i="25"/>
  <c r="J24" i="25"/>
  <c r="K24" i="25"/>
  <c r="G21" i="25"/>
  <c r="D20" i="25"/>
  <c r="N13" i="25" s="1"/>
  <c r="N28" i="25" s="1"/>
  <c r="Q11" i="25" s="1"/>
  <c r="O5" i="6"/>
  <c r="O7" i="6"/>
  <c r="G13" i="25"/>
  <c r="H13" i="25"/>
  <c r="D5" i="21"/>
  <c r="H3" i="21" s="1"/>
  <c r="D6" i="21"/>
  <c r="K20" i="21" s="1"/>
  <c r="D7" i="21"/>
  <c r="K12" i="21" s="1"/>
  <c r="D8" i="21"/>
  <c r="K11" i="21"/>
  <c r="K19" i="21" s="1"/>
  <c r="H2" i="21"/>
  <c r="J5" i="21"/>
  <c r="J11" i="21"/>
  <c r="J19" i="21" s="1"/>
  <c r="K13" i="21"/>
  <c r="G21" i="21"/>
  <c r="H21" i="21"/>
  <c r="C9" i="21"/>
  <c r="G15" i="21"/>
  <c r="H15" i="21"/>
  <c r="N21" i="1"/>
  <c r="R7" i="1" s="1"/>
  <c r="C5" i="20"/>
  <c r="C6" i="20"/>
  <c r="M4" i="20" s="1"/>
  <c r="H3" i="20"/>
  <c r="N26" i="20" s="1"/>
  <c r="M3" i="20"/>
  <c r="J2" i="20"/>
  <c r="G11" i="20"/>
  <c r="D12" i="20"/>
  <c r="H9" i="20" s="1"/>
  <c r="N16" i="20" s="1"/>
  <c r="D14" i="20"/>
  <c r="H18" i="20" s="1"/>
  <c r="H10" i="20"/>
  <c r="D5" i="18"/>
  <c r="K6" i="18" s="1"/>
  <c r="N10" i="18" s="1"/>
  <c r="N13" i="18" s="1"/>
  <c r="D16" i="18"/>
  <c r="H16" i="18"/>
  <c r="H18" i="18" s="1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H10" i="29" l="1"/>
  <c r="H18" i="29"/>
  <c r="H20" i="29" s="1"/>
  <c r="R9" i="6" s="1"/>
  <c r="H11" i="29"/>
  <c r="H5" i="29"/>
  <c r="R7" i="6" s="1"/>
  <c r="N19" i="18"/>
  <c r="N20" i="18" s="1"/>
  <c r="Q5" i="18" s="1"/>
  <c r="Q21" i="18"/>
  <c r="H4" i="20"/>
  <c r="H2" i="28"/>
  <c r="H6" i="28" s="1"/>
  <c r="H24" i="28" s="1"/>
  <c r="H13" i="28"/>
  <c r="H3" i="28"/>
  <c r="H7" i="28" s="1"/>
  <c r="H25" i="28" s="1"/>
  <c r="H14" i="28"/>
  <c r="G2" i="28"/>
  <c r="G13" i="28"/>
  <c r="J2" i="25"/>
  <c r="M15" i="20"/>
  <c r="M25" i="20" s="1"/>
  <c r="N15" i="20"/>
  <c r="N25" i="20" s="1"/>
  <c r="H21" i="20"/>
  <c r="H12" i="20"/>
  <c r="H13" i="20" s="1"/>
  <c r="N29" i="25"/>
  <c r="K12" i="25"/>
  <c r="N3" i="25"/>
  <c r="H20" i="25"/>
  <c r="H12" i="25"/>
  <c r="H2" i="25"/>
  <c r="H5" i="25" s="1"/>
  <c r="H6" i="25" s="1"/>
  <c r="O21" i="6" s="1"/>
  <c r="H4" i="21"/>
  <c r="H8" i="21" s="1"/>
  <c r="H10" i="21" s="1"/>
  <c r="K14" i="21"/>
  <c r="L18" i="6" s="1"/>
  <c r="K21" i="21"/>
  <c r="J13" i="21"/>
  <c r="J21" i="21"/>
  <c r="H14" i="21"/>
  <c r="H16" i="21" s="1"/>
  <c r="H20" i="21" s="1"/>
  <c r="H22" i="21" s="1"/>
  <c r="L16" i="6" s="1"/>
  <c r="N22" i="1"/>
  <c r="R6" i="1" s="1"/>
  <c r="R8" i="1" s="1"/>
  <c r="H6" i="18"/>
  <c r="N17" i="20"/>
  <c r="N18" i="20"/>
  <c r="Q4" i="18"/>
  <c r="F26" i="6"/>
  <c r="B7" i="2"/>
  <c r="H13" i="29" l="1"/>
  <c r="R8" i="6" s="1"/>
  <c r="H11" i="18"/>
  <c r="H12" i="18" s="1"/>
  <c r="Q3" i="18" s="1"/>
  <c r="Q14" i="18"/>
  <c r="F22" i="6"/>
  <c r="D16" i="20" s="1"/>
  <c r="N3" i="20" s="1"/>
  <c r="N5" i="20" s="1"/>
  <c r="N9" i="20" s="1"/>
  <c r="N11" i="20" s="1"/>
  <c r="F39" i="6" s="1"/>
  <c r="H22" i="18"/>
  <c r="H24" i="18" s="1"/>
  <c r="K5" i="18" s="1"/>
  <c r="K8" i="18" s="1"/>
  <c r="K13" i="18" s="1"/>
  <c r="Q2" i="18"/>
  <c r="K3" i="20"/>
  <c r="K13" i="20"/>
  <c r="K15" i="20" s="1"/>
  <c r="K23" i="20" s="1"/>
  <c r="K25" i="20" s="1"/>
  <c r="F37" i="6" s="1"/>
  <c r="D15" i="28" s="1"/>
  <c r="H16" i="28" s="1"/>
  <c r="O20" i="6"/>
  <c r="K22" i="21"/>
  <c r="L19" i="6" s="1"/>
  <c r="N20" i="20"/>
  <c r="Q3" i="20" s="1"/>
  <c r="H20" i="20"/>
  <c r="H22" i="20" s="1"/>
  <c r="N27" i="20"/>
  <c r="N28" i="20" s="1"/>
  <c r="Q2" i="20" s="1"/>
  <c r="K14" i="18"/>
  <c r="B8" i="2"/>
  <c r="H11" i="25" l="1"/>
  <c r="K3" i="25"/>
  <c r="F21" i="6"/>
  <c r="K2" i="20"/>
  <c r="K5" i="20" s="1"/>
  <c r="F35" i="6" s="1"/>
  <c r="Q24" i="20"/>
  <c r="Q4" i="20"/>
  <c r="Q5" i="20" s="1"/>
  <c r="K15" i="18"/>
  <c r="N4" i="18" s="1"/>
  <c r="F23" i="6" s="1"/>
  <c r="K4" i="20"/>
  <c r="K14" i="20"/>
  <c r="K16" i="20" s="1"/>
  <c r="K24" i="20" s="1"/>
  <c r="K26" i="20" s="1"/>
  <c r="F38" i="6" s="1"/>
  <c r="D16" i="28" s="1"/>
  <c r="H17" i="28" s="1"/>
  <c r="H19" i="28" s="1"/>
  <c r="H27" i="28" s="1"/>
  <c r="H29" i="28" s="1"/>
  <c r="I16" i="6" s="1"/>
  <c r="H19" i="25"/>
  <c r="N2" i="25"/>
  <c r="N4" i="25" s="1"/>
  <c r="B9" i="2"/>
  <c r="N12" i="25" l="1"/>
  <c r="N15" i="25" s="1"/>
  <c r="O27" i="6"/>
  <c r="H14" i="25"/>
  <c r="O26" i="6" s="1"/>
  <c r="N5" i="18"/>
  <c r="Q12" i="18" s="1"/>
  <c r="Q6" i="18"/>
  <c r="Q8" i="18" s="1"/>
  <c r="F27" i="6" s="1"/>
  <c r="H18" i="28"/>
  <c r="H26" i="28" s="1"/>
  <c r="H28" i="28" s="1"/>
  <c r="I15" i="6" s="1"/>
  <c r="Q18" i="20"/>
  <c r="Q12" i="20"/>
  <c r="Q13" i="20" s="1"/>
  <c r="K6" i="20"/>
  <c r="F36" i="6" s="1"/>
  <c r="N27" i="25"/>
  <c r="Q10" i="25" s="1"/>
  <c r="Q13" i="25" s="1"/>
  <c r="H23" i="25"/>
  <c r="K10" i="25" s="1"/>
  <c r="K13" i="25" s="1"/>
  <c r="Q25" i="20"/>
  <c r="Q26" i="20" s="1"/>
  <c r="F42" i="6" s="1"/>
  <c r="B10" i="2"/>
  <c r="Q16" i="18" l="1"/>
  <c r="Q22" i="18" s="1"/>
  <c r="F24" i="6"/>
  <c r="D17" i="20" s="1"/>
  <c r="Q19" i="20"/>
  <c r="Q20" i="20" s="1"/>
  <c r="F40" i="6"/>
  <c r="N30" i="25"/>
  <c r="O37" i="6" s="1"/>
  <c r="K21" i="25"/>
  <c r="K25" i="25" s="1"/>
  <c r="O25" i="6" s="1"/>
  <c r="B11" i="2"/>
  <c r="Q23" i="18" l="1"/>
  <c r="F25" i="6" s="1"/>
  <c r="F41" i="6"/>
  <c r="O38" i="6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D5" i="28" s="1"/>
  <c r="C14" i="6"/>
  <c r="J4" i="2" s="1"/>
  <c r="C8" i="6"/>
  <c r="B14" i="6"/>
  <c r="C5" i="6"/>
  <c r="B15" i="6"/>
  <c r="C7" i="28" s="1"/>
  <c r="B16" i="6"/>
  <c r="G3" i="28" l="1"/>
  <c r="G14" i="28"/>
  <c r="C5" i="21"/>
  <c r="D6" i="25"/>
  <c r="I5" i="2"/>
  <c r="C6" i="21"/>
  <c r="J20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K5" i="25" s="1"/>
  <c r="G14" i="21"/>
  <c r="N5" i="1"/>
  <c r="C11" i="1" s="1"/>
  <c r="D11" i="1" s="1"/>
  <c r="R4" i="1"/>
  <c r="R5" i="1" s="1"/>
  <c r="N13" i="1"/>
  <c r="N12" i="1"/>
  <c r="G9" i="2"/>
  <c r="I35" i="1"/>
  <c r="O24" i="6" l="1"/>
  <c r="K11" i="25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11" i="1"/>
  <c r="H11" i="1"/>
  <c r="E11" i="1"/>
  <c r="K35" i="1"/>
  <c r="J35" i="1"/>
  <c r="K33" i="1" l="1"/>
  <c r="I28" i="1"/>
  <c r="K28" i="1" s="1"/>
  <c r="M33" i="1"/>
  <c r="H28" i="1"/>
  <c r="D33" i="1"/>
  <c r="H33" i="1" s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F33" i="1" l="1"/>
  <c r="E33" i="1"/>
  <c r="J25" i="1"/>
  <c r="E4" i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<sst xmlns="http://schemas.openxmlformats.org/spreadsheetml/2006/main" count="700" uniqueCount="340">
  <si>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</si>
  <si>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</si>
  <si>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</si>
  <si>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</si>
  <si>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</si>
  <si>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</si>
  <si>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</si>
  <si>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</si>
  <si>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</si>
  <si>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</si>
  <si>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</si>
  <si>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</si>
  <si>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</si>
  <si>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</si>
  <si>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</si>
  <si>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</si>
  <si>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</si>
  <si>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</si>
  <si>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</si>
  <si>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</si>
  <si>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</si>
  <si>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</si>
  <si>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</si>
  <si>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</si>
  <si>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</si>
  <si>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</si>
  <si>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</si>
  <si>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</si>
  <si>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</si>
  <si>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</si>
  <si>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</si>
  <si>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</si>
  <si>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</si>
  <si>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</si>
  <si>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</si>
  <si>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</si>
  <si>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</si>
  <si>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</si>
  <si>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</si>
  <si>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</si>
  <si>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</si>
  <si>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</si>
  <si>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</si>
  <si>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</si>
  <si>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</si>
  <si>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</si>
  <si>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</si>
  <si>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</si>
  <si>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</si>
  <si>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</si>
  <si>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</si>
  <si>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</si>
  <si>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</si>
  <si>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</si>
  <si>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</si>
  <si>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</si>
  <si>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</si>
  <si>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</si>
  <si>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</si>
  <si>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</si>
  <si>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</si>
  <si>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</si>
  <si>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</si>
  <si>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</si>
  <si>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</si>
  <si>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</si>
  <si>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</si>
  <si>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</si>
  <si>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</si>
  <si>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</si>
  <si>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</si>
  <si>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</si>
  <si>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</si>
  <si>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</si>
  <si>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</si>
  <si>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</si>
  <si>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</si>
  <si>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</si>
  <si>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</si>
  <si>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</si>
  <si>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</si>
  <si>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</si>
  <si>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</si>
  <si>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</si>
  <si>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</si>
  <si>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</si>
  <si>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</si>
  <si>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</si>
  <si>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</si>
  <si>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</si>
  <si>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</si>
  <si>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</si>
  <si>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</si>
  <si>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</si>
  <si>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</si>
  <si>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</si>
  <si>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</si>
  <si>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</si>
  <si>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</si>
  <si>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</si>
  <si>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</si>
  <si>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</si>
  <si>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</si>
  <si>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</si>
  <si>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</si>
  <si>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</si>
  <si>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</si>
  <si>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</si>
  <si>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</si>
  <si>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</si>
  <si>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</si>
  <si>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</si>
  <si>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</si>
  <si>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</si>
  <si>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</si>
  <si>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</si>
  <si>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</si>
  <si>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</si>
  <si>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</si>
  <si>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</si>
  <si>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</si>
  <si>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</si>
  <si>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</si>
  <si>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</si>
  <si>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</si>
  <si>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</si>
  <si>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</si>
  <si>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</si>
  <si>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</si>
  <si>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</si>
  <si>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</si>
  <si>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</si>
  <si>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</si>
  <si>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</si>
  <si>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</si>
  <si>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</si>
  <si>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</si>
  <si>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</si>
  <si>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</si>
  <si>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</si>
  <si>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ADC/OpAmp Isense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</si>
  <si>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</si>
  <si>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</si>
  <si>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</si>
  <si>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</si>
  <si>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</si>
  <si>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</si>
  <si>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</si>
  <si>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</si>
  <si>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</si>
  <si>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</si>
  <si>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</si>
  <si>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</si>
  <si>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</si>
  <si>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</si>
  <si>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</si>
  <si>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</si>
  <si>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</si>
  <si>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</si>
  <si>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</si>
  <si>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</si>
  <si>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</si>
  <si>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</si>
  <si>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</si>
  <si>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</si>
  <si>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</si>
  <si>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</si>
  <si>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</si>
  <si>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</si>
  <si>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</si>
  <si>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</si>
  <si>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</si>
  <si>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</si>
  <si>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</si>
  <si>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</si>
  <si>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</si>
  <si>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</si>
  <si>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</si>
  <si>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</si>
  <si>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</si>
  <si>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</si>
  <si>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</si>
  <si>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</si>
  <si>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</si>
  <si>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</si>
  <si>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</si>
  <si>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</si>
  <si>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</si>
  <si>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</si>
  <si>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</si>
  <si>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</si>
  <si>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</si>
  <si>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</si>
  <si>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</si>
  <si>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</si>
  <si>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</si>
  <si>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</si>
  <si>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</si>
  <si>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</si>
  <si>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</si>
  <si>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</si>
  <si>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</si>
  <si>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</si>
  <si>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</si>
  <si>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</si>
  <si>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</si>
  <si>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</si>
  <si>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</si>
  <si>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</si>
  <si>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</si>
  <si>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</si>
  <si>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</si>
  <si>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</si>
  <si>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</si>
  <si>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</si>
  <si>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</si>
  <si>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</si>
  <si>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</si>
  <si>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</si>
  <si>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</si>
  <si>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</si>
  <si>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</si>
  <si>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</si>
  <si>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</si>
  <si>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</si>
  <si>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</si>
  <si>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</si>
  <si>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</si>
  <si>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</si>
  <si>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</si>
  <si>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</si>
  <si>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</si>
  <si>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</si>
  <si>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</si>
  <si>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</si>
  <si>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</si>
  <si>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</si>
  <si>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</si>
  <si>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</si>
  <si>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</si>
  <si>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</si>
  <si>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</si>
  <si>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</si>
  <si>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</si>
  <si>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</si>
  <si>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</si>
  <si>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</si>
  <si>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</si>
  <si>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</si>
  <si>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</si>
  <si>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</si>
  <si>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</si>
  <si>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</si>
  <si>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</si>
  <si>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r>
      <t>Rv2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</si>
  <si>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</si>
  <si>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</si>
  <si>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t>Description</t>
  </si>
  <si>
    <t>Package (inch)</t>
  </si>
  <si>
    <t>Package (m)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</si>
  <si>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</si>
  <si>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</si>
  <si>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</si>
  <si>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</si>
  <si>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</si>
  <si>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</si>
  <si>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</si>
  <si>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</si>
  <si>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</si>
  <si>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</si>
  <si>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</si>
  <si>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</si>
  <si>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</si>
  <si>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</si>
  <si>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</si>
  <si>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</si>
  <si>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</si>
  <si>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</si>
  <si>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</si>
  <si>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</si>
  <si>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</si>
  <si>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</si>
  <si>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</si>
  <si>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</si>
  <si>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</si>
  <si>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</si>
  <si>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</si>
  <si>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</si>
  <si>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</si>
  <si>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</si>
  <si>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</si>
  <si>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</si>
  <si>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</si>
  <si>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</si>
  <si>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</si>
  <si>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</si>
  <si>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</si>
  <si>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</si>
  <si>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</si>
  <si>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</si>
  <si>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</si>
  <si>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</si>
  <si>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</si>
  <si>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</si>
  <si>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</si>
  <si>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</si>
  <si>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</si>
  <si>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</si>
  <si>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</si>
  <si>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</si>
  <si>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</si>
  <si>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</si>
  <si>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</si>
  <si>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</si>
  <si>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</si>
  <si>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</si>
  <si>
    <t>Pboot (mW)</t>
  </si>
  <si>
    <t>Prboot (mW)</t>
  </si>
  <si>
    <t>Expected derating max (%)</t>
  </si>
  <si>
    <t>Expected derating min (%)</t>
  </si>
  <si>
    <t>Termistors</t>
  </si>
  <si>
    <t>1 (at a FET)</t>
  </si>
  <si>
    <r>
      <t>Rv1 (</t>
    </r>
    <r>
      <rPr>
        <sz val="11"/>
        <color theme="1"/>
        <rFont val="Aptos Narrow"/>
        <family val="2"/>
      </rPr>
      <t>Ω)</t>
    </r>
  </si>
  <si>
    <r>
      <t>Rv1,th (</t>
    </r>
    <r>
      <rPr>
        <sz val="11"/>
        <color theme="1"/>
        <rFont val="Aptos Narrow"/>
        <family val="2"/>
      </rPr>
      <t>Ω)</t>
    </r>
  </si>
  <si>
    <t>VBAT sensing</t>
  </si>
  <si>
    <t>R1 name</t>
  </si>
  <si>
    <t>R2 name</t>
  </si>
  <si>
    <t>VBAT Sensing</t>
  </si>
  <si>
    <t>0402</t>
  </si>
  <si>
    <t>1005m</t>
  </si>
  <si>
    <t>1kΩ, 1005m</t>
  </si>
  <si>
    <t>33Ω, 1005m</t>
  </si>
  <si>
    <t>22kΩ, 1005m</t>
  </si>
  <si>
    <t>R1 (Ω)</t>
  </si>
  <si>
    <t>R2 (Ω)</t>
  </si>
  <si>
    <t>Vbat,adc,max (V)</t>
  </si>
  <si>
    <t>Vbat,adc,typ (V)</t>
  </si>
  <si>
    <t>Rbat,adc,thev (Ω)</t>
  </si>
  <si>
    <t>Prated@70°C (mW)</t>
  </si>
  <si>
    <t>ADC Vsense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</si>
</sst>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2" fontId="0" fillId="0" borderId="9" xfId="0" applyNumberFormat="1" applyBorder="1" applyAlignment="1">
      <alignment horizontal="center"/>
    </xf>
    <xf numFmtId="0" fontId="1" fillId="12" borderId="0" xfId="0" applyFont="1" applyFill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2" fillId="12" borderId="0" xfId="0" applyFont="1" applyFill="1"/>
    <xf numFmtId="0" fontId="1" fillId="12" borderId="0" xfId="0" applyFont="1" applyFill="1"/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9" fillId="8" borderId="5" xfId="0" applyFont="1" applyFill="1" applyBorder="1"/>
    <xf numFmtId="167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2" fillId="12" borderId="0" xfId="0" applyFont="1" applyFill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0" xfId="0" applyFill="1" applyBorder="1"/>
    <xf numFmtId="0" fontId="0" fillId="0" borderId="0" xfId="0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0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49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8.png"/><Relationship Id="rId5" Type="http://schemas.openxmlformats.org/officeDocument/2006/relationships/image" Target="../media/image43.png"/><Relationship Id="rId15" Type="http://schemas.openxmlformats.org/officeDocument/2006/relationships/image" Target="../media/image52.png"/><Relationship Id="rId10" Type="http://schemas.openxmlformats.org/officeDocument/2006/relationships/image" Target="../media/image47.png"/><Relationship Id="rId4" Type="http://schemas.openxmlformats.org/officeDocument/2006/relationships/image" Target="../media/image42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5.png"/><Relationship Id="rId2" Type="http://schemas.openxmlformats.org/officeDocument/2006/relationships/image" Target="../media/image54.png"/><Relationship Id="rId1" Type="http://schemas.openxmlformats.org/officeDocument/2006/relationships/image" Target="../media/image5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7.png"/><Relationship Id="rId1" Type="http://schemas.openxmlformats.org/officeDocument/2006/relationships/image" Target="../media/image5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132227</xdr:colOff>
      <xdr:row>40</xdr:row>
      <xdr:rowOff>39966</xdr:rowOff>
    </xdr:from>
    <xdr:to>
      <xdr:col>16</xdr:col>
      <xdr:colOff>193499</xdr:colOff>
      <xdr:row>45</xdr:row>
      <xdr:rowOff>69313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26051" y="7622613"/>
          <a:ext cx="3049507" cy="97064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561976</xdr:colOff>
      <xdr:row>7</xdr:row>
      <xdr:rowOff>101748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107949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483168</xdr:colOff>
      <xdr:row>13</xdr:row>
      <xdr:rowOff>101601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177800</xdr:colOff>
      <xdr:row>20</xdr:row>
      <xdr:rowOff>50467</xdr:rowOff>
    </xdr:from>
    <xdr:to>
      <xdr:col>13</xdr:col>
      <xdr:colOff>276225</xdr:colOff>
      <xdr:row>22</xdr:row>
      <xdr:rowOff>151810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12175" y="4736767"/>
          <a:ext cx="1771650" cy="47599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352425</xdr:colOff>
      <xdr:row>25</xdr:row>
      <xdr:rowOff>121409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447675</xdr:colOff>
      <xdr:row>10</xdr:row>
      <xdr:rowOff>55676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142875</xdr:colOff>
      <xdr:row>17</xdr:row>
      <xdr:rowOff>83236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68317</xdr:rowOff>
    </xdr:from>
    <xdr:to>
      <xdr:col>13</xdr:col>
      <xdr:colOff>352426</xdr:colOff>
      <xdr:row>15</xdr:row>
      <xdr:rowOff>105888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467726" y="3621142"/>
          <a:ext cx="1892300" cy="41539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76198</xdr:colOff>
      <xdr:row>8</xdr:row>
      <xdr:rowOff>75453</xdr:rowOff>
    </xdr:from>
    <xdr:to>
      <xdr:col>16</xdr:col>
      <xdr:colOff>733425</xdr:colOff>
      <xdr:row>9</xdr:row>
      <xdr:rowOff>114715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E5D9B0-E0E7-CCCF-B1BB-E05297CE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72773" y="1380378"/>
          <a:ext cx="2428877" cy="229762"/>
        </a:xfrm>
        <a:prstGeom prst="rect">
          <a:avLst/>
        </a:prstGeom>
      </xdr:spPr>
    </xdr:pic>
    <xdr:clientData/>
  </xdr:twoCellAnchor>
  <xdr:twoCellAnchor editAs="oneCell">
    <xdr:from>
      <xdr:col>15</xdr:col>
      <xdr:colOff>159800</xdr:colOff>
      <xdr:row>16</xdr:row>
      <xdr:rowOff>31749</xdr:rowOff>
    </xdr:from>
    <xdr:to>
      <xdr:col>16</xdr:col>
      <xdr:colOff>615950</xdr:colOff>
      <xdr:row>17</xdr:row>
      <xdr:rowOff>160120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F515383-F3AE-280A-2BD9-D0BAC00E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894475" y="3232149"/>
          <a:ext cx="2230975" cy="32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190499</xdr:colOff>
      <xdr:row>23</xdr:row>
      <xdr:rowOff>46089</xdr:rowOff>
    </xdr:from>
    <xdr:to>
      <xdr:col>16</xdr:col>
      <xdr:colOff>712328</xdr:colOff>
      <xdr:row>25</xdr:row>
      <xdr:rowOff>111339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4329D55-4ACC-E6DB-7D60-DFECA17AD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115674" y="4570464"/>
          <a:ext cx="2293479" cy="436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2200275</xdr:colOff>
      <xdr:row>6</xdr:row>
      <xdr:rowOff>158766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1990794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520839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5</xdr:row>
      <xdr:rowOff>53975</xdr:rowOff>
    </xdr:from>
    <xdr:to>
      <xdr:col>16</xdr:col>
      <xdr:colOff>768467</xdr:colOff>
      <xdr:row>7</xdr:row>
      <xdr:rowOff>92096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987425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12</xdr:col>
      <xdr:colOff>57151</xdr:colOff>
      <xdr:row>28</xdr:row>
      <xdr:rowOff>66675</xdr:rowOff>
    </xdr:from>
    <xdr:to>
      <xdr:col>13</xdr:col>
      <xdr:colOff>482601</xdr:colOff>
      <xdr:row>30</xdr:row>
      <xdr:rowOff>93067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39451" y="1000125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457200</xdr:colOff>
      <xdr:row>26</xdr:row>
      <xdr:rowOff>65840</xdr:rowOff>
    </xdr:from>
    <xdr:to>
      <xdr:col>16</xdr:col>
      <xdr:colOff>447764</xdr:colOff>
      <xdr:row>27</xdr:row>
      <xdr:rowOff>162774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39500" y="4961690"/>
          <a:ext cx="1743164" cy="277909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598924</xdr:colOff>
      <xdr:row>15</xdr:row>
      <xdr:rowOff>76199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16203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333318</xdr:colOff>
      <xdr:row>9</xdr:row>
      <xdr:rowOff>85724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409431</xdr:colOff>
      <xdr:row>19</xdr:row>
      <xdr:rowOff>115379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390988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  <xdr:twoCellAnchor editAs="oneCell">
    <xdr:from>
      <xdr:col>15</xdr:col>
      <xdr:colOff>173188</xdr:colOff>
      <xdr:row>13</xdr:row>
      <xdr:rowOff>100392</xdr:rowOff>
    </xdr:from>
    <xdr:to>
      <xdr:col>16</xdr:col>
      <xdr:colOff>770546</xdr:colOff>
      <xdr:row>15</xdr:row>
      <xdr:rowOff>112331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27E104-8EDF-7CFE-8639-599EB32E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050738" y="2548317"/>
          <a:ext cx="2349958" cy="383414"/>
        </a:xfrm>
        <a:prstGeom prst="rect">
          <a:avLst/>
        </a:prstGeom>
      </xdr:spPr>
    </xdr:pic>
    <xdr:clientData/>
  </xdr:twoCellAnchor>
  <xdr:twoCellAnchor editAs="oneCell">
    <xdr:from>
      <xdr:col>15</xdr:col>
      <xdr:colOff>514350</xdr:colOff>
      <xdr:row>20</xdr:row>
      <xdr:rowOff>50782</xdr:rowOff>
    </xdr:from>
    <xdr:to>
      <xdr:col>16</xdr:col>
      <xdr:colOff>467185</xdr:colOff>
      <xdr:row>21</xdr:row>
      <xdr:rowOff>111193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2FB7DC0-F979-958A-705C-4E0E5061A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296650" y="3803632"/>
          <a:ext cx="1705435" cy="2509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172779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131043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14</xdr:row>
      <xdr:rowOff>133350</xdr:rowOff>
    </xdr:from>
    <xdr:to>
      <xdr:col>10</xdr:col>
      <xdr:colOff>390525</xdr:colOff>
      <xdr:row>16</xdr:row>
      <xdr:rowOff>94355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123825</xdr:colOff>
      <xdr:row>22</xdr:row>
      <xdr:rowOff>114301</xdr:rowOff>
    </xdr:from>
    <xdr:to>
      <xdr:col>10</xdr:col>
      <xdr:colOff>342900</xdr:colOff>
      <xdr:row>24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0350" y="4419601"/>
          <a:ext cx="1933575" cy="31530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381000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106879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393141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183153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275667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390525</xdr:colOff>
      <xdr:row>27</xdr:row>
      <xdr:rowOff>85842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488391</xdr:colOff>
      <xdr:row>28</xdr:row>
      <xdr:rowOff>50683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120650</xdr:colOff>
      <xdr:row>18</xdr:row>
      <xdr:rowOff>47092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104775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1288876</xdr:colOff>
      <xdr:row>31</xdr:row>
      <xdr:rowOff>85538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1134698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866590</xdr:colOff>
      <xdr:row>6</xdr:row>
      <xdr:rowOff>159369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88527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616376</xdr:colOff>
      <xdr:row>17</xdr:row>
      <xdr:rowOff>83297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620059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1113119</xdr:colOff>
      <xdr:row>15</xdr:row>
      <xdr:rowOff>103835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5</xdr:row>
      <xdr:rowOff>66014</xdr:rowOff>
    </xdr:from>
    <xdr:to>
      <xdr:col>7</xdr:col>
      <xdr:colOff>1206500</xdr:colOff>
      <xdr:row>7</xdr:row>
      <xdr:rowOff>99880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24E0AD-1EE2-5C29-75C7-3DB8BA011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40150" y="999464"/>
          <a:ext cx="2413000" cy="402166"/>
        </a:xfrm>
        <a:prstGeom prst="rect">
          <a:avLst/>
        </a:prstGeom>
      </xdr:spPr>
    </xdr:pic>
    <xdr:clientData/>
  </xdr:twoCellAnchor>
  <xdr:oneCellAnchor>
    <xdr:from>
      <xdr:col>6</xdr:col>
      <xdr:colOff>436418</xdr:colOff>
      <xdr:row>13</xdr:row>
      <xdr:rowOff>57150</xdr:rowOff>
    </xdr:from>
    <xdr:ext cx="1921163" cy="419895"/>
    <xdr:pic>
      <xdr:nvPicPr>
        <xdr:cNvPr id="4" name="Picture 3">
          <a:extLst>
            <a:ext uri="{FF2B5EF4-FFF2-40B4-BE49-F238E27FC236}">
              <a16:creationId xmlns:a16="http://schemas.microsoft.com/office/drawing/2014/main" id="{86098BD2-B46E-4998-AD93-E3CB0041B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986068" y="2482850"/>
          <a:ext cx="1921163" cy="419895"/>
        </a:xfrm>
        <a:prstGeom prst="rect">
          <a:avLst/>
        </a:prstGeom>
      </xdr:spPr>
    </xdr:pic>
    <xdr:clientData/>
  </xdr:oneCellAnchor>
  <xdr:twoCellAnchor editAs="oneCell">
    <xdr:from>
      <xdr:col>6</xdr:col>
      <xdr:colOff>679450</xdr:colOff>
      <xdr:row>20</xdr:row>
      <xdr:rowOff>44450</xdr:rowOff>
    </xdr:from>
    <xdr:to>
      <xdr:col>7</xdr:col>
      <xdr:colOff>647700</xdr:colOff>
      <xdr:row>21</xdr:row>
      <xdr:rowOff>156325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940680-670D-9D86-2D3E-110874648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29100" y="3778250"/>
          <a:ext cx="1365250" cy="2960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3" dataDxfId="32" tableBorderDxfId="31">
  <autoFilter ref="B41:H42" xr:uid="{E3A51FEF-4642-4801-A998-5B5D5B7E25A4}"/>
  <tableColumns count="7">
    <tableColumn id="1" xr3:uid="{72CE8DA8-6563-4322-AABC-36ACF43055CB}" name="Rbot (Ω)" dataDxfId="30">
      <calculatedColumnFormula>HMI!U17</calculatedColumnFormula>
    </tableColumn>
    <tableColumn id="2" xr3:uid="{24747B59-61B7-4C72-90DC-263488210056}" name="Rbot/Rtop" dataDxfId="29"/>
    <tableColumn id="3" xr3:uid="{DDE3289D-88E0-4C7D-87FD-D3D69E79F10D}" name="Rtop (Ω)" dataDxfId="28">
      <calculatedColumnFormula>HMI!U18</calculatedColumnFormula>
    </tableColumn>
    <tableColumn id="4" xr3:uid="{6958CE2B-2C13-409D-93AE-44178BFFDA66}" name="Rth (Ω)" dataDxfId="27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6">
      <calculatedColumnFormula array="1">DB_ADC[Vref,adc (V)]/CAL_Vsense[[#This Row],[Rth (Ω)]]*1000</calculatedColumnFormula>
    </tableColumn>
    <tableColumn id="6" xr3:uid="{C0D5F77C-6884-4436-8011-5E3C9BAF9068}" name="R_CinToAdc (Ω)" dataDxfId="25">
      <calculatedColumnFormula array="1">HMI!U21*#REF!/1000</calculatedColumnFormula>
    </tableColumn>
    <tableColumn id="7" xr3:uid="{33243AAC-B51F-4185-98EF-90101F594D74}" name="S*RCint (ps)" dataDxfId="24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3" dataDxfId="21" headerRowBorderDxfId="22" tableBorderDxfId="20" totalsRowBorderDxfId="19">
  <autoFilter ref="B3:G14" xr:uid="{E81DD96E-7100-4CD1-9FCC-4539084BC6B8}"/>
  <tableColumns count="6">
    <tableColumn id="1" xr3:uid="{11F74BC1-EDA3-4B09-9543-C91ACD28F6D6}" name="Rshunt (µOhm)" dataDxfId="18">
      <calculatedColumnFormula>B3+100</calculatedColumnFormula>
    </tableColumn>
    <tableColumn id="2" xr3:uid="{F22209D4-D5F7-4A24-A22E-BCB1F60E1A02}" name="Disspated power (W)" dataDxfId="17">
      <calculatedColumnFormula>B4*$J$5*$J$5/1000/1000*$J$3/100</calculatedColumnFormula>
    </tableColumn>
    <tableColumn id="3" xr3:uid="{D529F738-8D82-4F6B-AFA8-BE5DBAB5E958}" name="Voltage drop spike amp (V)" dataDxfId="16">
      <calculatedColumnFormula>$J$6*B4/1000*$J$12/1000</calculatedColumnFormula>
    </tableColumn>
    <tableColumn id="4" xr3:uid="{DA16F6C7-9239-4007-9C54-6D51F73E46DA}" name="Voltage drop max amp (V)" dataDxfId="15">
      <calculatedColumnFormula>$J$5*B4/1000*$J$12/1000</calculatedColumnFormula>
    </tableColumn>
    <tableColumn id="6" xr3:uid="{B27B3633-2D8E-48A1-A695-660FCB0A39C1}" name="Voltage drop typ amp (V)2" dataDxfId="14">
      <calculatedColumnFormula>$J$4*B4/1000*$J$12/1000</calculatedColumnFormula>
    </tableColumn>
    <tableColumn id="5" xr3:uid="{F4370240-49C3-4C3D-A378-B3808740E62D}" name="mA/step" dataDxfId="13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35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34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ermisto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12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1">
      <calculatedColumnFormula>DB_R[[#This Row],[R (Ω)]]/1000</calculatedColumnFormula>
    </tableColumn>
    <tableColumn id="3" xr3:uid="{1869FA9B-CD3D-4490-9D7D-AF79F51E8B42}" name="Prated@70°C (mW)"/>
    <tableColumn id="4" xr3:uid="{FFB77188-A967-4E66-B819-72B42AD6014E}" name="Package (inch)" dataDxfId="10"/>
    <tableColumn id="5" xr3:uid="{E4155B5D-359A-41BB-92C6-28261E84BA95}" name="Package (m)" dataDxfId="9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8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7"/>
    <tableColumn id="14" xr3:uid="{6F591E39-1B6D-4062-9BE0-8B0277C5FCF7}" name="Id @ Ta&gt;70°C (A)" dataDxfId="6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5"/>
    <tableColumn id="2" xr3:uid="{F391904B-0620-4A43-9BB6-C6F0F8B772B8}" name="Tadc,clock (ns)" dataDxfId="4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2"/>
  <sheetViews>
    <sheetView tabSelected="1" zoomScale="85" zoomScaleNormal="85" workbookViewId="0">
      <selection activeCell="R16" sqref="R16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16.1796875" style="67" bestFit="1" customWidth="1"/>
    <col min="4" max="4" width="3.1796875" style="67" customWidth="1"/>
    <col min="5" max="5" width="22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3.08984375" style="67" customWidth="1"/>
    <col min="15" max="15" width="13.26953125" style="67" customWidth="1"/>
    <col min="16" max="16" width="3.1796875" style="67" customWidth="1"/>
    <col min="17" max="17" width="15.6328125" style="67" bestFit="1" customWidth="1"/>
    <col min="18" max="18" width="14.36328125" style="67" customWidth="1"/>
    <col min="19" max="16384" width="10.90625" style="67"/>
  </cols>
  <sheetData>
    <row r="1" spans="2:21" ht="15" thickBot="1" x14ac:dyDescent="0.4"/>
    <row r="2" spans="2:21" x14ac:dyDescent="0.35">
      <c r="B2" s="138" t="s">
        <v>117</v>
      </c>
      <c r="C2" s="139"/>
      <c r="E2" s="138" t="s">
        <v>145</v>
      </c>
      <c r="F2" s="139"/>
      <c r="H2" s="138" t="s">
        <v>102</v>
      </c>
      <c r="I2" s="139"/>
      <c r="K2" s="138" t="s">
        <v>226</v>
      </c>
      <c r="L2" s="139"/>
      <c r="N2" s="138" t="s">
        <v>255</v>
      </c>
      <c r="O2" s="139"/>
      <c r="Q2" s="138" t="s">
        <v>324</v>
      </c>
      <c r="R2" s="139"/>
      <c r="T2" s="151"/>
      <c r="U2" s="151"/>
    </row>
    <row r="3" spans="2:21" x14ac:dyDescent="0.35">
      <c r="B3" s="142" t="s">
        <v>201</v>
      </c>
      <c r="C3" s="143"/>
      <c r="D3" s="113"/>
      <c r="E3" s="140" t="s">
        <v>204</v>
      </c>
      <c r="F3" s="141"/>
      <c r="H3" s="142" t="s">
        <v>202</v>
      </c>
      <c r="I3" s="143"/>
      <c r="K3" s="142" t="s">
        <v>131</v>
      </c>
      <c r="L3" s="143"/>
      <c r="N3" s="142" t="s">
        <v>131</v>
      </c>
      <c r="O3" s="143"/>
      <c r="Q3" s="142" t="s">
        <v>131</v>
      </c>
      <c r="R3" s="143"/>
      <c r="T3" s="137"/>
      <c r="U3" s="137"/>
    </row>
    <row r="4" spans="2:21" ht="15" thickBot="1" x14ac:dyDescent="0.4">
      <c r="B4" s="152" t="s">
        <v>118</v>
      </c>
      <c r="C4" s="153"/>
      <c r="E4" s="142" t="s">
        <v>131</v>
      </c>
      <c r="F4" s="143"/>
      <c r="H4" s="152" t="s">
        <v>203</v>
      </c>
      <c r="I4" s="153"/>
      <c r="K4" s="118" t="s">
        <v>243</v>
      </c>
      <c r="L4" s="119">
        <v>850</v>
      </c>
      <c r="N4" s="117" t="s">
        <v>261</v>
      </c>
      <c r="O4" s="61" t="s">
        <v>330</v>
      </c>
      <c r="Q4" s="117" t="s">
        <v>325</v>
      </c>
      <c r="R4" s="61" t="s">
        <v>332</v>
      </c>
      <c r="T4" s="150"/>
      <c r="U4" s="150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18" t="s">
        <v>97</v>
      </c>
      <c r="F5" s="119">
        <v>10.5</v>
      </c>
      <c r="H5" s="70" t="str">
        <f>DB_Mostfet[[#Headers],[Vds (V)]]</f>
        <v>Vds (V)</v>
      </c>
      <c r="I5" s="61">
        <f>_xlfn.XLOOKUP(H4, DB_Mostfet[Part], DB_Mostfet[Vds (V)])</f>
        <v>60</v>
      </c>
      <c r="N5" s="70" t="str">
        <f>DB_R[[#Headers],[Prated@70°C (mW)]]</f>
        <v>Prated@70°C (mW)</v>
      </c>
      <c r="O5" s="61">
        <f>_xlfn.XLOOKUP(O4, DB_R[Description], DB_R[Prated@70°C (mW)])</f>
        <v>65</v>
      </c>
      <c r="Q5" s="117" t="s">
        <v>326</v>
      </c>
      <c r="R5" s="61" t="s">
        <v>330</v>
      </c>
      <c r="U5" s="93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20">
        <f>_xlfn.XLOOKUP(H4, DB_Mostfet[Part], DB_Mostfet[Qg,typ @ 10V (nC)])</f>
        <v>41</v>
      </c>
      <c r="K6" s="144" t="s">
        <v>140</v>
      </c>
      <c r="L6" s="145"/>
      <c r="N6" s="117" t="s">
        <v>280</v>
      </c>
      <c r="O6" s="61" t="s">
        <v>331</v>
      </c>
      <c r="Q6" s="146" t="s">
        <v>130</v>
      </c>
      <c r="R6" s="147"/>
      <c r="U6" s="93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38" t="s">
        <v>225</v>
      </c>
      <c r="F7" s="139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46" t="s">
        <v>113</v>
      </c>
      <c r="L7" s="147"/>
      <c r="N7" s="121" t="str">
        <f>N5</f>
        <v>Prated@70°C (mW)</v>
      </c>
      <c r="O7" s="119">
        <f>_xlfn.XLOOKUP(O4, DB_R[Description], DB_R[Prated@70°C (mW)])</f>
        <v>65</v>
      </c>
      <c r="Q7" s="73" t="str">
        <f>CAL_Vbat!G5</f>
        <v>Vbat,adc,max (V)</v>
      </c>
      <c r="R7" s="74">
        <f>CAL_Vbat!H5</f>
        <v>1.9565217391304348</v>
      </c>
      <c r="U7" s="93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148" t="s">
        <v>207</v>
      </c>
      <c r="F8" s="149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52" t="s">
        <v>132</v>
      </c>
      <c r="L8" s="153"/>
      <c r="Q8" s="73" t="str">
        <f>CAL_Vbat!G13</f>
        <v>Vbat,adc,typ (V)</v>
      </c>
      <c r="R8" s="74">
        <f>CAL_Vbat!H13</f>
        <v>1.0956521739130436</v>
      </c>
      <c r="U8" s="93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20">
        <f>_xlfn.XLOOKUP(H4, DB_Mostfet[Part], DB_Mostfet[Rds,on@10V max (mΩ)])</f>
        <v>2.2000000000000002</v>
      </c>
      <c r="K9" s="70" t="str">
        <f>DB_ADC[[#Headers],[Vmax (V)]]</f>
        <v>Vmax (V)</v>
      </c>
      <c r="L9" s="61">
        <f>_xlfn.XLOOKUP($K$8, DB_ADC[Name], DB_ADC[Vmax (V)])</f>
        <v>3.5999999999999996</v>
      </c>
      <c r="N9" s="144" t="s">
        <v>339</v>
      </c>
      <c r="O9" s="145"/>
      <c r="Q9" s="87" t="str">
        <f>CAL_Vbat!G20</f>
        <v>Rbat,adc,thev (Ω)</v>
      </c>
      <c r="R9" s="88">
        <f>CAL_Vbat!H20</f>
        <v>956.52173913043475</v>
      </c>
      <c r="T9" s="113"/>
      <c r="U9" s="113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44" t="s">
        <v>216</v>
      </c>
      <c r="F10" s="145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46" t="s">
        <v>131</v>
      </c>
      <c r="L10" s="147"/>
      <c r="N10" s="146" t="s">
        <v>113</v>
      </c>
      <c r="O10" s="147"/>
      <c r="R10" s="93"/>
      <c r="U10" s="93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46" t="s">
        <v>131</v>
      </c>
      <c r="F11" s="147"/>
      <c r="H11" s="70" t="str">
        <f>DB_Mostfet[[#Headers],[Id @ Ta&gt;70°C (A)]]</f>
        <v>Id @ Ta&gt;70°C (A)</v>
      </c>
      <c r="I11" s="120" t="str">
        <f>_xlfn.XLOOKUP(H4, DB_Mostfet[Part], DB_Mostfet[Id @ Ta&gt;70°C (A)])</f>
        <v>(est ~21A)</v>
      </c>
      <c r="K11" s="117" t="s">
        <v>127</v>
      </c>
      <c r="L11" s="61">
        <v>12</v>
      </c>
      <c r="N11" s="140" t="s">
        <v>132</v>
      </c>
      <c r="O11" s="141"/>
      <c r="R11" s="93"/>
      <c r="U11" s="93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18" t="s">
        <v>228</v>
      </c>
      <c r="F12" s="119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117" t="s">
        <v>278</v>
      </c>
      <c r="L12" s="61">
        <v>2.5</v>
      </c>
      <c r="N12" s="70" t="str">
        <f>DB_ADC[[#Headers],[Csamp (pF)]]</f>
        <v>Csamp (pF)</v>
      </c>
      <c r="O12" s="61">
        <f>_xlfn.XLOOKUP($N$11, DB_ADC[Name], DB_ADC[Csamp (pF)])</f>
        <v>5</v>
      </c>
      <c r="R12" s="93"/>
      <c r="T12" s="113"/>
      <c r="U12" s="113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92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17" t="s">
        <v>141</v>
      </c>
      <c r="L13" s="61">
        <v>64</v>
      </c>
      <c r="N13" s="70" t="str">
        <f>DB_ADC[[#Headers],[Cpad (pF)]]</f>
        <v>Cpad (pF)</v>
      </c>
      <c r="O13" s="61">
        <f>_xlfn.XLOOKUP($N$11, DB_ADC[Name], DB_ADC[Cpad (pF)])</f>
        <v>5</v>
      </c>
      <c r="Q13" s="113"/>
      <c r="R13" s="113"/>
      <c r="U13" s="94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44" t="s">
        <v>253</v>
      </c>
      <c r="F14" s="145"/>
      <c r="H14" s="142" t="s">
        <v>130</v>
      </c>
      <c r="I14" s="143"/>
      <c r="K14" s="146" t="s">
        <v>130</v>
      </c>
      <c r="L14" s="147"/>
      <c r="N14" s="146" t="s">
        <v>131</v>
      </c>
      <c r="O14" s="147"/>
      <c r="R14" s="94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46" t="s">
        <v>131</v>
      </c>
      <c r="F15" s="147"/>
      <c r="H15" s="73" t="str">
        <f>CAL_Fets!G28</f>
        <v>Ptot,typ (mW)</v>
      </c>
      <c r="I15" s="74">
        <f>CAL_Fets!H28</f>
        <v>1667.2220807894741</v>
      </c>
      <c r="K15" s="73" t="s">
        <v>294</v>
      </c>
      <c r="L15" s="78">
        <f>(L11+L12+0.5)*_xlfn.XLOOKUP(K8,DB_ADC[Name],DB_ADC[Tadc,clock (ns)])</f>
        <v>250.00000000000003</v>
      </c>
      <c r="N15" s="117" t="s">
        <v>127</v>
      </c>
      <c r="O15" s="61">
        <v>8</v>
      </c>
      <c r="T15" s="114"/>
      <c r="U15" s="114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34" t="s">
        <v>318</v>
      </c>
      <c r="F16" s="136">
        <v>60</v>
      </c>
      <c r="H16" s="126" t="str">
        <f>CAL_Fets!G29</f>
        <v>Ptot,max (mW)</v>
      </c>
      <c r="I16" s="127">
        <f>CAL_Fets!H29</f>
        <v>3145.7629473684219</v>
      </c>
      <c r="K16" s="124" t="str">
        <f>CAL_Rshunt!G22</f>
        <v>Vshunt,amp,spike (V)</v>
      </c>
      <c r="L16" s="128">
        <f>CAL_Rshunt!H22</f>
        <v>2.72</v>
      </c>
      <c r="N16" s="117" t="s">
        <v>278</v>
      </c>
      <c r="O16" s="61">
        <v>2.5</v>
      </c>
      <c r="Q16" s="106"/>
      <c r="R16" s="106"/>
      <c r="T16" s="113"/>
      <c r="U16" s="113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34" t="s">
        <v>319</v>
      </c>
      <c r="F17" s="136">
        <v>30</v>
      </c>
      <c r="K17" s="124" t="str">
        <f>CAL_Rshunt!J6</f>
        <v>ΔIlsb (mA/bit)</v>
      </c>
      <c r="L17" s="128">
        <f>CAL_Rshunt!K6</f>
        <v>14.813617754794226</v>
      </c>
      <c r="N17" s="130" t="s">
        <v>284</v>
      </c>
      <c r="O17" s="131">
        <v>5</v>
      </c>
      <c r="Q17" s="113"/>
      <c r="R17" s="113"/>
      <c r="U17" s="93"/>
    </row>
    <row r="18" spans="2:21" x14ac:dyDescent="0.35">
      <c r="B18" s="70" t="str">
        <f>DB_limits[[#Headers],[Termistors]]</f>
        <v>Termistors</v>
      </c>
      <c r="C18" s="78" t="str">
        <f>_xlfn.XLOOKUP($B$4, DB_limits[Name], DB_limits[Termistors])</f>
        <v>1 (at a FET)</v>
      </c>
      <c r="E18" s="134" t="s">
        <v>239</v>
      </c>
      <c r="F18" s="135">
        <v>3</v>
      </c>
      <c r="K18" s="73" t="str">
        <f>CAL_Rshunt!J14</f>
        <v>Pshunt,mean (mW)</v>
      </c>
      <c r="L18" s="78">
        <f>CAL_Rshunt!K14</f>
        <v>84.934902750000006</v>
      </c>
      <c r="N18" s="146" t="s">
        <v>130</v>
      </c>
      <c r="O18" s="147"/>
      <c r="R18" s="92"/>
      <c r="U18" s="93"/>
    </row>
    <row r="19" spans="2:21" ht="15" thickBot="1" x14ac:dyDescent="0.4">
      <c r="B19" s="146" t="s">
        <v>131</v>
      </c>
      <c r="C19" s="147"/>
      <c r="E19" s="117" t="s">
        <v>146</v>
      </c>
      <c r="F19" s="61">
        <v>3.3</v>
      </c>
      <c r="K19" s="126" t="str">
        <f>CAL_Rshunt!J22</f>
        <v>Pshunt,max (mW@Xs)</v>
      </c>
      <c r="L19" s="129">
        <f>CAL_Rshunt!K22</f>
        <v>204</v>
      </c>
      <c r="N19" s="73" t="s">
        <v>294</v>
      </c>
      <c r="O19" s="78">
        <f>(O15+O16+0.5)*_xlfn.XLOOKUP(N11,DB_ADC[Name],DB_ADC[Tadc,clock (ns)])</f>
        <v>183.33333333333334</v>
      </c>
      <c r="R19" s="91"/>
      <c r="U19" s="93"/>
    </row>
    <row r="20" spans="2:21" x14ac:dyDescent="0.35">
      <c r="B20" s="117" t="s">
        <v>139</v>
      </c>
      <c r="C20" s="61">
        <v>480</v>
      </c>
      <c r="E20" s="146" t="s">
        <v>130</v>
      </c>
      <c r="F20" s="147"/>
      <c r="N20" s="73" t="str">
        <f>'CAL_Rv1-2'!G5</f>
        <v>Rv1,th (Ω)</v>
      </c>
      <c r="O20" s="74">
        <f>'CAL_Rv1-2'!H5</f>
        <v>9606.0606060606078</v>
      </c>
      <c r="R20" s="91"/>
      <c r="U20" s="93"/>
    </row>
    <row r="21" spans="2:21" ht="15" thickBot="1" x14ac:dyDescent="0.4">
      <c r="B21" s="118" t="s">
        <v>224</v>
      </c>
      <c r="C21" s="119">
        <v>300</v>
      </c>
      <c r="E21" s="124" t="str">
        <f>CAL_Cboot!G12</f>
        <v>Vboot,min (V)</v>
      </c>
      <c r="F21" s="125">
        <f>CAL_Cboot!H12</f>
        <v>6.74</v>
      </c>
      <c r="N21" s="73" t="str">
        <f>'CAL_Rv1-2'!G6</f>
        <v>Rv1 (Ω)</v>
      </c>
      <c r="O21" s="74">
        <f>'CAL_Rv1-2'!H6</f>
        <v>10000</v>
      </c>
      <c r="R21" s="91"/>
      <c r="U21" s="93"/>
    </row>
    <row r="22" spans="2:21" x14ac:dyDescent="0.35">
      <c r="E22" s="124" t="str">
        <f>CAL_Cboot!G18</f>
        <v>Vboot,max (V)</v>
      </c>
      <c r="F22" s="125">
        <f>CAL_Cboot!H18</f>
        <v>10.26</v>
      </c>
      <c r="N22" s="73" t="str">
        <f>'CAL_Rv1-2'!G24</f>
        <v>Vdivider,typ (V)</v>
      </c>
      <c r="O22" s="74">
        <f>'CAL_Rv1-2'!H24</f>
        <v>2.2909090909090915</v>
      </c>
      <c r="R22" s="92"/>
      <c r="U22" s="93"/>
    </row>
    <row r="23" spans="2:21" x14ac:dyDescent="0.35">
      <c r="E23" s="73" t="str">
        <f>CAL_Cboot!M4</f>
        <v>Cboot,th (nF)</v>
      </c>
      <c r="F23" s="85">
        <f>CAL_Cboot!N4</f>
        <v>167.44099069148933</v>
      </c>
      <c r="N23" s="73" t="str">
        <f>'CAL_Rv1-2'!G23</f>
        <v>Vdivider,spike (V)</v>
      </c>
      <c r="O23" s="74">
        <f>'CAL_Rv1-2'!H23</f>
        <v>3.1818181818181817</v>
      </c>
      <c r="R23" s="91"/>
      <c r="T23" s="137"/>
      <c r="U23" s="137"/>
    </row>
    <row r="24" spans="2:21" x14ac:dyDescent="0.35">
      <c r="E24" s="73" t="str">
        <f>CAL_Cboot!M5</f>
        <v>Cboot (nF)</v>
      </c>
      <c r="F24" s="85">
        <f>CAL_Cboot!N5</f>
        <v>180</v>
      </c>
      <c r="N24" s="73" t="str">
        <f>'CAL_Rv1-2'!J5</f>
        <v>Idivider,typ (mA)</v>
      </c>
      <c r="O24" s="74">
        <f>'CAL_Rv1-2'!K5</f>
        <v>2.2909090909090915</v>
      </c>
      <c r="Q24" s="113"/>
      <c r="U24" s="92"/>
    </row>
    <row r="25" spans="2:21" x14ac:dyDescent="0.35">
      <c r="E25" s="73" t="str">
        <f>CAL_Cboot!P23</f>
        <v>Prboot (mW)</v>
      </c>
      <c r="F25" s="85">
        <f>CAL_Cboot!Q23</f>
        <v>49.417752774193538</v>
      </c>
      <c r="N25" s="124" t="str">
        <f>'CAL_Rv1-2'!J25</f>
        <v>ΔVlsb,fullscale (mV/bit)</v>
      </c>
      <c r="O25" s="133">
        <f>'CAL_Rv1-2'!K25</f>
        <v>142.35294117647058</v>
      </c>
      <c r="U25" s="92"/>
    </row>
    <row r="26" spans="2:21" x14ac:dyDescent="0.35">
      <c r="E26" s="73" t="str">
        <f>CAL_Cboot!M13</f>
        <v>t_recharge (µs)</v>
      </c>
      <c r="F26" s="78">
        <f>CAL_Cboot!N13</f>
        <v>1.2624999999999995</v>
      </c>
      <c r="N26" s="124" t="str">
        <f>'CAL_Rv1-2'!G14</f>
        <v>Prv1,rv2 (mW)</v>
      </c>
      <c r="O26" s="133">
        <f>'CAL_Rv1-2'!H14</f>
        <v>111.36363636363636</v>
      </c>
      <c r="U26" s="92"/>
    </row>
    <row r="27" spans="2:21" ht="15" thickBot="1" x14ac:dyDescent="0.4">
      <c r="E27" s="126" t="str">
        <f>CAL_Cboot!P8</f>
        <v>Vboot,max@Dmax (V)</v>
      </c>
      <c r="F27" s="127">
        <f>CAL_Cboot!Q8</f>
        <v>10.255157760457088</v>
      </c>
      <c r="N27" s="126" t="str">
        <f>'CAL_Rv1-2'!M4</f>
        <v>Rthvn (Ω)</v>
      </c>
      <c r="O27" s="132">
        <f>'CAL_Rv1-2'!N4</f>
        <v>909.09090909090912</v>
      </c>
      <c r="U27" s="92"/>
    </row>
    <row r="28" spans="2:21" ht="15" thickBot="1" x14ac:dyDescent="0.4">
      <c r="U28" s="94"/>
    </row>
    <row r="29" spans="2:21" x14ac:dyDescent="0.35">
      <c r="E29" s="144" t="s">
        <v>230</v>
      </c>
      <c r="F29" s="145"/>
      <c r="N29" s="122" t="s">
        <v>265</v>
      </c>
      <c r="O29" s="123"/>
      <c r="U29" s="91"/>
    </row>
    <row r="30" spans="2:21" x14ac:dyDescent="0.35">
      <c r="E30" s="146" t="s">
        <v>131</v>
      </c>
      <c r="F30" s="147"/>
      <c r="N30" s="115" t="s">
        <v>131</v>
      </c>
      <c r="O30" s="116"/>
    </row>
    <row r="31" spans="2:21" x14ac:dyDescent="0.35">
      <c r="E31" s="117" t="s">
        <v>149</v>
      </c>
      <c r="F31" s="61">
        <v>3.3</v>
      </c>
      <c r="N31" s="117" t="s">
        <v>264</v>
      </c>
      <c r="O31" s="61">
        <v>100</v>
      </c>
    </row>
    <row r="32" spans="2:21" x14ac:dyDescent="0.35">
      <c r="E32" s="117" t="s">
        <v>142</v>
      </c>
      <c r="F32" s="61">
        <v>10</v>
      </c>
      <c r="N32" s="134" t="s">
        <v>214</v>
      </c>
      <c r="O32" s="136">
        <v>40</v>
      </c>
    </row>
    <row r="33" spans="5:15" x14ac:dyDescent="0.35">
      <c r="E33" s="134" t="s">
        <v>240</v>
      </c>
      <c r="F33" s="135">
        <v>1.5</v>
      </c>
      <c r="N33" s="134" t="s">
        <v>290</v>
      </c>
      <c r="O33" s="136">
        <v>12</v>
      </c>
    </row>
    <row r="34" spans="5:15" x14ac:dyDescent="0.35">
      <c r="E34" s="146" t="s">
        <v>130</v>
      </c>
      <c r="F34" s="147"/>
      <c r="N34" s="134" t="s">
        <v>291</v>
      </c>
      <c r="O34" s="136">
        <v>5</v>
      </c>
    </row>
    <row r="35" spans="5:15" x14ac:dyDescent="0.35">
      <c r="E35" s="73" t="str">
        <f>CAL_Rg!J5</f>
        <v>Ig,max,on (A)</v>
      </c>
      <c r="F35" s="78">
        <f>CAL_Rg!K5</f>
        <v>1.7389830508474575</v>
      </c>
      <c r="N35" s="115" t="s">
        <v>130</v>
      </c>
      <c r="O35" s="116"/>
    </row>
    <row r="36" spans="5:15" x14ac:dyDescent="0.35">
      <c r="E36" s="73" t="str">
        <f>CAL_Rg!J6</f>
        <v>Ig,max,off (A)</v>
      </c>
      <c r="F36" s="78">
        <f>CAL_Rg!K6</f>
        <v>2.2768614691527969</v>
      </c>
      <c r="N36" s="73" t="str">
        <f>'CAL_Rv1-2'!M22</f>
        <v>Cadc,ext,real (pF)</v>
      </c>
      <c r="O36" s="85">
        <f>'CAL_Rv1-2'!N22</f>
        <v>60</v>
      </c>
    </row>
    <row r="37" spans="5:15" x14ac:dyDescent="0.35">
      <c r="E37" s="124" t="str">
        <f>CAL_Rg!J25</f>
        <v>t_rise (ns)</v>
      </c>
      <c r="F37" s="128">
        <f>CAL_Rg!K25</f>
        <v>9.8825000000000003</v>
      </c>
      <c r="N37" s="124" t="str">
        <f>'CAL_Rv1-2'!M30</f>
        <v>Tfill,adc,ext (ns)</v>
      </c>
      <c r="O37" s="133">
        <f>'CAL_Rv1-2'!N30</f>
        <v>282.62727272727278</v>
      </c>
    </row>
    <row r="38" spans="5:15" ht="15" thickBot="1" x14ac:dyDescent="0.4">
      <c r="E38" s="124" t="str">
        <f>CAL_Rg!J26</f>
        <v>t_fall (ns)</v>
      </c>
      <c r="F38" s="128">
        <f>CAL_Rg!K26</f>
        <v>7.5478900375939855</v>
      </c>
      <c r="N38" s="87" t="str">
        <f>'CAL_Rv1-2'!P13</f>
        <v>Tfill,samp (ns)</v>
      </c>
      <c r="O38" s="88">
        <f>'CAL_Rv1-2'!Q13</f>
        <v>169.57636363636365</v>
      </c>
    </row>
    <row r="39" spans="5:15" x14ac:dyDescent="0.35">
      <c r="E39" s="73" t="str">
        <f>CAL_Rg!M11</f>
        <v>Pg,loss (mW)</v>
      </c>
      <c r="F39" s="78">
        <f>CAL_Rg!N11</f>
        <v>40.383359999999996</v>
      </c>
      <c r="N39" s="67" t="s">
        <v>293</v>
      </c>
    </row>
    <row r="40" spans="5:15" x14ac:dyDescent="0.35">
      <c r="E40" s="124" t="str">
        <f>CAL_Rg!P13</f>
        <v>Prg,on+off (mW)</v>
      </c>
      <c r="F40" s="128">
        <f>CAL_Rg!Q13</f>
        <v>27.360304480749178</v>
      </c>
      <c r="N40" s="67" t="s">
        <v>292</v>
      </c>
    </row>
    <row r="41" spans="5:15" x14ac:dyDescent="0.35">
      <c r="E41" s="124" t="str">
        <f>CAL_Rg!P20</f>
        <v>Prg,off (mW)</v>
      </c>
      <c r="F41" s="128">
        <f>CAL_Rg!Q20</f>
        <v>3.8750645831104009</v>
      </c>
    </row>
    <row r="42" spans="5:15" ht="15" thickBot="1" x14ac:dyDescent="0.4">
      <c r="E42" s="87" t="str">
        <f>CAL_Rg!P26</f>
        <v>Prgdint,mean (mW)</v>
      </c>
      <c r="F42" s="89">
        <f>CAL_Rg!Q26</f>
        <v>9.1479909361404168</v>
      </c>
    </row>
  </sheetData>
  <mergeCells count="42">
    <mergeCell ref="E20:F20"/>
    <mergeCell ref="E34:F34"/>
    <mergeCell ref="E30:F30"/>
    <mergeCell ref="E29:F29"/>
    <mergeCell ref="Q2:R2"/>
    <mergeCell ref="Q3:R3"/>
    <mergeCell ref="Q6:R6"/>
    <mergeCell ref="K8:L8"/>
    <mergeCell ref="K10:L10"/>
    <mergeCell ref="H14:I14"/>
    <mergeCell ref="T4:U4"/>
    <mergeCell ref="T2:U2"/>
    <mergeCell ref="T3:U3"/>
    <mergeCell ref="N3:O3"/>
    <mergeCell ref="B19:C19"/>
    <mergeCell ref="N10:O10"/>
    <mergeCell ref="E14:F14"/>
    <mergeCell ref="E15:F15"/>
    <mergeCell ref="K14:L14"/>
    <mergeCell ref="H4:I4"/>
    <mergeCell ref="H2:I2"/>
    <mergeCell ref="H3:I3"/>
    <mergeCell ref="B3:C3"/>
    <mergeCell ref="B4:C4"/>
    <mergeCell ref="B2:C2"/>
    <mergeCell ref="N18:O18"/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K7:L7"/>
    <mergeCell ref="N14:O14"/>
    <mergeCell ref="E8:F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K8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 R4:R5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G16" sqref="G16:H20"/>
    </sheetView>
  </sheetViews>
  <sheetFormatPr defaultRowHeight="14.5" x14ac:dyDescent="0.35"/>
  <cols>
    <col min="1" max="2" width="3.1796875" style="67" customWidth="1"/>
    <col min="3" max="3" width="23.26953125" style="67" bestFit="1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10.5</v>
      </c>
      <c r="J2" s="68" t="str">
        <f>C30</f>
        <v>Qg,typ @ 10V (nC)</v>
      </c>
      <c r="K2" s="84">
        <f>D30</f>
        <v>41</v>
      </c>
      <c r="M2" s="68" t="str">
        <f>C20</f>
        <v>Safety margin on Cboot</v>
      </c>
      <c r="N2" s="84">
        <f>D20</f>
        <v>3</v>
      </c>
      <c r="P2" s="68" t="str">
        <f>G18</f>
        <v>Vboot,max (V)</v>
      </c>
      <c r="Q2" s="90">
        <f>H18</f>
        <v>10.26</v>
      </c>
    </row>
    <row r="3" spans="2:17" x14ac:dyDescent="0.35">
      <c r="B3" s="63"/>
      <c r="C3" s="154" t="s">
        <v>117</v>
      </c>
      <c r="D3" s="155"/>
      <c r="E3" s="64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max (%)</v>
      </c>
      <c r="N3" s="61">
        <f>D18</f>
        <v>60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65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263</v>
      </c>
      <c r="N4" s="85">
        <f>K15/(1-N3%)*N2</f>
        <v>167.44099069148933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65"/>
      <c r="G5" s="70" t="s">
        <v>208</v>
      </c>
      <c r="H5" s="61">
        <f>D23</f>
        <v>0.24</v>
      </c>
      <c r="J5" s="70" t="str">
        <f>G24</f>
        <v>Ipd (mA)</v>
      </c>
      <c r="K5" s="78">
        <f>H24</f>
        <v>1.026</v>
      </c>
      <c r="M5" s="87" t="s">
        <v>215</v>
      </c>
      <c r="N5" s="88">
        <f>_xlfn.MINIFS(J21:J32,J21:J32,"&gt;="&amp;N4)</f>
        <v>180</v>
      </c>
      <c r="P5" s="70" t="str">
        <f>M20</f>
        <v>Req (Ω)</v>
      </c>
      <c r="Q5" s="78">
        <f>N20</f>
        <v>2.8608870967741935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65"/>
      <c r="G6" s="87" t="s">
        <v>219</v>
      </c>
      <c r="H6" s="89">
        <f>H2-H3-H4-H5</f>
        <v>3.76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N4</f>
        <v>167.44099069148933</v>
      </c>
    </row>
    <row r="7" spans="2:17" x14ac:dyDescent="0.35">
      <c r="B7" s="63"/>
      <c r="C7" s="36" t="str">
        <f>HMI!B21</f>
        <v>t_blank@V_sw=0 (ns)</v>
      </c>
      <c r="D7" s="2">
        <f>HMI!C21</f>
        <v>300</v>
      </c>
      <c r="E7" s="65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70" t="str">
        <f>C18</f>
        <v>Expected derating max (%)</v>
      </c>
      <c r="Q7" s="85">
        <f>D18</f>
        <v>60</v>
      </c>
    </row>
    <row r="8" spans="2:17" ht="15" thickBot="1" x14ac:dyDescent="0.4">
      <c r="B8" s="63"/>
      <c r="C8" s="154" t="s">
        <v>205</v>
      </c>
      <c r="D8" s="155"/>
      <c r="E8" s="64"/>
      <c r="G8" s="75"/>
      <c r="H8" s="76"/>
      <c r="J8" s="87" t="s">
        <v>223</v>
      </c>
      <c r="K8" s="88">
        <f>K2+(K3+(K4+K5)*K6%)/K7*10^3</f>
        <v>83.943749999999994</v>
      </c>
      <c r="M8" s="75"/>
      <c r="N8" s="76"/>
      <c r="P8" s="87" t="s">
        <v>221</v>
      </c>
      <c r="Q8" s="105">
        <f>Q2-(Q2-Q3)*EXP(-Q4/Q5/Q6/(1-Q7%)*10^3)</f>
        <v>10.255157760457088</v>
      </c>
    </row>
    <row r="9" spans="2:17" ht="15" thickBot="1" x14ac:dyDescent="0.4">
      <c r="B9" s="63"/>
      <c r="C9" s="36" t="s">
        <v>206</v>
      </c>
      <c r="D9" s="2" t="str">
        <f>HMI!E3</f>
        <v>Infineon 2EDL8024</v>
      </c>
      <c r="E9" s="65"/>
      <c r="J9" s="81"/>
      <c r="K9" s="82"/>
      <c r="P9" s="81"/>
      <c r="Q9" s="82"/>
    </row>
    <row r="10" spans="2:17" ht="15" thickBot="1" x14ac:dyDescent="0.4">
      <c r="B10" s="63"/>
      <c r="C10" s="36" t="s">
        <v>148</v>
      </c>
      <c r="D10" s="7">
        <f>_xlfn.XLOOKUP(D9, DB_GD[Part], DB_GD[Vfint,100mA (V)])</f>
        <v>2.15</v>
      </c>
      <c r="E10" s="66"/>
      <c r="G10" s="68" t="str">
        <f>G2</f>
        <v>Vdd (V)</v>
      </c>
      <c r="H10" s="69">
        <f>H2</f>
        <v>10.5</v>
      </c>
      <c r="J10" s="71"/>
      <c r="K10" s="72"/>
      <c r="M10" s="68" t="str">
        <f>J6</f>
        <v>Dmax (%)</v>
      </c>
      <c r="N10" s="84">
        <f>K6</f>
        <v>90</v>
      </c>
      <c r="P10" s="75"/>
      <c r="Q10" s="100"/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65"/>
      <c r="G11" s="70" t="str">
        <f>G6</f>
        <v>ΔVboot,max (V)</v>
      </c>
      <c r="H11" s="61">
        <f>H6</f>
        <v>3.76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65"/>
      <c r="G12" s="87" t="s">
        <v>220</v>
      </c>
      <c r="H12" s="88">
        <f>H10-H11</f>
        <v>6.74</v>
      </c>
      <c r="M12" s="70" t="str">
        <f>C7</f>
        <v>t_blank@V_sw=0 (ns)</v>
      </c>
      <c r="N12" s="61">
        <f>D7</f>
        <v>300</v>
      </c>
      <c r="P12" s="68" t="str">
        <f>M5</f>
        <v>Cboot (nF)</v>
      </c>
      <c r="Q12" s="69">
        <f>N5</f>
        <v>180</v>
      </c>
    </row>
    <row r="13" spans="2:17" ht="15" thickBot="1" x14ac:dyDescent="0.4">
      <c r="B13" s="63"/>
      <c r="C13" s="36" t="str">
        <f>HMI!E5</f>
        <v>Vdd (V)</v>
      </c>
      <c r="D13" s="2">
        <f>HMI!F5</f>
        <v>10.5</v>
      </c>
      <c r="E13" s="65"/>
      <c r="G13" s="81"/>
      <c r="H13" s="82"/>
      <c r="J13" s="68" t="str">
        <f>J8</f>
        <v>Qbs (nC)</v>
      </c>
      <c r="K13" s="69">
        <f>K8</f>
        <v>83.943749999999994</v>
      </c>
      <c r="M13" s="87" t="s">
        <v>217</v>
      </c>
      <c r="N13" s="105">
        <f>((1-N10%)/N11)*1000-N12/1000</f>
        <v>1.2624999999999995</v>
      </c>
      <c r="P13" s="70" t="str">
        <f>C19</f>
        <v>Expected derating min (%)</v>
      </c>
      <c r="Q13" s="85">
        <f>D19</f>
        <v>30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65"/>
      <c r="G14" s="75"/>
      <c r="H14" s="76"/>
      <c r="J14" s="70" t="str">
        <f>G6</f>
        <v>ΔVboot,max (V)</v>
      </c>
      <c r="K14" s="61">
        <f>H6</f>
        <v>3.76</v>
      </c>
      <c r="M14" s="81"/>
      <c r="N14" s="82"/>
      <c r="P14" s="70" t="str">
        <f>G6</f>
        <v>ΔVboot,max (V)</v>
      </c>
      <c r="Q14" s="85">
        <f>H6</f>
        <v>3.76</v>
      </c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65"/>
      <c r="J15" s="87" t="s">
        <v>147</v>
      </c>
      <c r="K15" s="88">
        <f>K13/K14</f>
        <v>22.325465425531913</v>
      </c>
      <c r="M15" s="71"/>
      <c r="N15" s="72"/>
      <c r="P15" s="70" t="str">
        <f>C6</f>
        <v>Fmax (kHz)</v>
      </c>
      <c r="Q15" s="85">
        <f>D6</f>
        <v>64</v>
      </c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65"/>
      <c r="G16" s="68" t="str">
        <f>G2</f>
        <v>Vdd (V)</v>
      </c>
      <c r="H16" s="69">
        <f>H2</f>
        <v>10.5</v>
      </c>
      <c r="J16" s="81"/>
      <c r="K16" s="82"/>
      <c r="M16" s="75"/>
      <c r="N16" s="76"/>
      <c r="P16" s="87" t="s">
        <v>316</v>
      </c>
      <c r="Q16" s="88">
        <f>0.5*Q12*(1-Q13%)*Q14^2*Q15*10^-3</f>
        <v>57.002803199999988</v>
      </c>
    </row>
    <row r="17" spans="2:17" ht="15" thickBot="1" x14ac:dyDescent="0.4">
      <c r="B17" s="63"/>
      <c r="C17" s="154" t="s">
        <v>213</v>
      </c>
      <c r="D17" s="155"/>
      <c r="E17" s="64"/>
      <c r="G17" s="70" t="str">
        <f>G5</f>
        <v>Vf (V)</v>
      </c>
      <c r="H17" s="61">
        <f>H5</f>
        <v>0.24</v>
      </c>
      <c r="J17" s="71"/>
      <c r="K17" s="72"/>
      <c r="P17" s="81"/>
      <c r="Q17" s="82"/>
    </row>
    <row r="18" spans="2:17" ht="15" thickBot="1" x14ac:dyDescent="0.4">
      <c r="B18" s="63"/>
      <c r="C18" s="36" t="str">
        <f>HMI!E16</f>
        <v>Expected derating max (%)</v>
      </c>
      <c r="D18" s="2">
        <f>HMI!F16</f>
        <v>60</v>
      </c>
      <c r="E18" s="65"/>
      <c r="G18" s="87" t="s">
        <v>218</v>
      </c>
      <c r="H18" s="105">
        <f>H16-H17</f>
        <v>10.26</v>
      </c>
      <c r="J18" s="75"/>
      <c r="K18" s="76"/>
      <c r="M18" s="68" t="str">
        <f>C27</f>
        <v>Rboot,ext (Ω)</v>
      </c>
      <c r="N18" s="69">
        <f>D27</f>
        <v>3.3</v>
      </c>
      <c r="P18" s="75"/>
      <c r="Q18" s="100"/>
    </row>
    <row r="19" spans="2:17" ht="15" thickBot="1" x14ac:dyDescent="0.4">
      <c r="B19" s="63"/>
      <c r="C19" s="36" t="str">
        <f>HMI!E17</f>
        <v>Expected derating min (%)</v>
      </c>
      <c r="D19" s="2">
        <f>HMI!F17</f>
        <v>30</v>
      </c>
      <c r="E19" s="65"/>
      <c r="G19" s="81"/>
      <c r="H19" s="82"/>
      <c r="M19" s="70" t="str">
        <f>C16</f>
        <v>Rboot,int (Ω)</v>
      </c>
      <c r="N19" s="61">
        <f>D16</f>
        <v>21.5</v>
      </c>
    </row>
    <row r="20" spans="2:17" ht="15" thickBot="1" x14ac:dyDescent="0.4">
      <c r="B20" s="63"/>
      <c r="C20" s="36" t="str">
        <f>HMI!E18</f>
        <v>Safety margin on Cboot</v>
      </c>
      <c r="D20" s="2">
        <f>HMI!F18</f>
        <v>3</v>
      </c>
      <c r="E20" s="65"/>
      <c r="G20" s="75"/>
      <c r="H20" s="76"/>
      <c r="J20" s="156" t="s">
        <v>229</v>
      </c>
      <c r="K20" s="157"/>
      <c r="M20" s="87" t="s">
        <v>222</v>
      </c>
      <c r="N20" s="88">
        <f>N19*N18/(N18+N19)</f>
        <v>2.8608870967741935</v>
      </c>
      <c r="P20" s="68" t="str">
        <f>C27</f>
        <v>Rboot,ext (Ω)</v>
      </c>
      <c r="Q20" s="84">
        <f>D27</f>
        <v>3.3</v>
      </c>
    </row>
    <row r="21" spans="2:17" ht="15" thickBot="1" x14ac:dyDescent="0.4">
      <c r="B21" s="63"/>
      <c r="C21" s="154" t="s">
        <v>210</v>
      </c>
      <c r="D21" s="155"/>
      <c r="E21" s="64"/>
      <c r="J21" s="140">
        <v>47</v>
      </c>
      <c r="K21" s="141"/>
      <c r="M21" s="81"/>
      <c r="N21" s="82"/>
      <c r="P21" s="70" t="str">
        <f>C16</f>
        <v>Rboot,int (Ω)</v>
      </c>
      <c r="Q21" s="61">
        <f>D16</f>
        <v>21.5</v>
      </c>
    </row>
    <row r="22" spans="2:17" x14ac:dyDescent="0.35">
      <c r="B22" s="63"/>
      <c r="C22" s="36" t="s">
        <v>206</v>
      </c>
      <c r="D22" s="2" t="str">
        <f>HMI!E8</f>
        <v>Rohm RB161QS-40</v>
      </c>
      <c r="E22" s="65"/>
      <c r="G22" s="68" t="str">
        <f>G18</f>
        <v>Vboot,max (V)</v>
      </c>
      <c r="H22" s="77">
        <f>H18</f>
        <v>10.26</v>
      </c>
      <c r="J22" s="140">
        <v>56</v>
      </c>
      <c r="K22" s="141"/>
      <c r="M22" s="103"/>
      <c r="N22" s="104"/>
      <c r="P22" s="70" t="str">
        <f>P16</f>
        <v>Pboot (mW)</v>
      </c>
      <c r="Q22" s="85">
        <f>Q16</f>
        <v>57.002803199999988</v>
      </c>
    </row>
    <row r="23" spans="2:17" ht="15" thickBot="1" x14ac:dyDescent="0.4">
      <c r="B23" s="63"/>
      <c r="C23" s="36" t="str">
        <f>DB_diode[[#Headers],[Vf@100mA (V)]]</f>
        <v>Vf@100mA (V)</v>
      </c>
      <c r="D23" s="2">
        <f>_xlfn.XLOOKUP(D22, DB_diode[Ref], DB_diode[Vf@100mA (V)])</f>
        <v>0.24</v>
      </c>
      <c r="E23" s="65"/>
      <c r="G23" s="70" t="str">
        <f>C25</f>
        <v>Rpd,gate (kΩ)</v>
      </c>
      <c r="H23" s="61">
        <f>D25</f>
        <v>10</v>
      </c>
      <c r="J23" s="140">
        <v>68</v>
      </c>
      <c r="K23" s="141"/>
      <c r="M23" s="75"/>
      <c r="N23" s="76"/>
      <c r="P23" s="87" t="s">
        <v>317</v>
      </c>
      <c r="Q23" s="105">
        <f>Q21/(Q20+Q21)*Q22</f>
        <v>49.417752774193538</v>
      </c>
    </row>
    <row r="24" spans="2:17" ht="15" thickBot="1" x14ac:dyDescent="0.4">
      <c r="B24" s="63"/>
      <c r="C24" s="154" t="s">
        <v>216</v>
      </c>
      <c r="D24" s="155"/>
      <c r="E24" s="64"/>
      <c r="G24" s="87" t="s">
        <v>212</v>
      </c>
      <c r="H24" s="105">
        <f>H22/H23</f>
        <v>1.026</v>
      </c>
      <c r="J24" s="140">
        <v>82</v>
      </c>
      <c r="K24" s="141"/>
      <c r="P24" s="81"/>
      <c r="Q24" s="82"/>
    </row>
    <row r="25" spans="2:17" x14ac:dyDescent="0.35">
      <c r="B25" s="63"/>
      <c r="C25" s="36" t="str">
        <f>HMI!E12</f>
        <v>Rpd,gate (kΩ)</v>
      </c>
      <c r="D25" s="2">
        <f>HMI!F12</f>
        <v>10</v>
      </c>
      <c r="E25" s="65"/>
      <c r="G25" s="81"/>
      <c r="H25" s="82"/>
      <c r="J25" s="140">
        <v>100</v>
      </c>
      <c r="K25" s="141"/>
      <c r="P25" s="71"/>
      <c r="Q25" s="72"/>
    </row>
    <row r="26" spans="2:17" ht="15" thickBot="1" x14ac:dyDescent="0.4">
      <c r="B26" s="63"/>
      <c r="C26" s="154" t="s">
        <v>226</v>
      </c>
      <c r="D26" s="155"/>
      <c r="E26" s="64"/>
      <c r="G26" s="75"/>
      <c r="H26" s="76"/>
      <c r="J26" s="140">
        <v>120</v>
      </c>
      <c r="K26" s="141"/>
      <c r="P26" s="75"/>
      <c r="Q26" s="76"/>
    </row>
    <row r="27" spans="2:17" x14ac:dyDescent="0.35">
      <c r="B27" s="63"/>
      <c r="C27" s="36" t="str">
        <f>HMI!E19</f>
        <v>Rboot,ext (Ω)</v>
      </c>
      <c r="D27" s="2">
        <f>HMI!F19</f>
        <v>3.3</v>
      </c>
      <c r="E27" s="65"/>
      <c r="J27" s="140">
        <v>150</v>
      </c>
      <c r="K27" s="141"/>
    </row>
    <row r="28" spans="2:17" x14ac:dyDescent="0.35">
      <c r="B28" s="63"/>
      <c r="C28" s="154" t="s">
        <v>102</v>
      </c>
      <c r="D28" s="155"/>
      <c r="E28" s="64"/>
      <c r="J28" s="140">
        <v>180</v>
      </c>
      <c r="K28" s="141"/>
    </row>
    <row r="29" spans="2:17" x14ac:dyDescent="0.35">
      <c r="B29" s="63"/>
      <c r="C29" s="36" t="s">
        <v>206</v>
      </c>
      <c r="D29" s="2" t="str">
        <f>HMI!H4</f>
        <v>TI CSD18540Q5B</v>
      </c>
      <c r="E29" s="65"/>
      <c r="J29" s="140">
        <v>220</v>
      </c>
      <c r="K29" s="141"/>
    </row>
    <row r="30" spans="2:17" x14ac:dyDescent="0.35">
      <c r="B30" s="63"/>
      <c r="C30" s="36" t="str">
        <f>HMI!H6</f>
        <v>Qg,typ @ 10V (nC)</v>
      </c>
      <c r="D30" s="2">
        <f>_xlfn.XLOOKUP(D29, DB_Mostfet[Part],DB_Mostfet[Qg,typ @ 10V (nC)])</f>
        <v>41</v>
      </c>
      <c r="E30" s="65"/>
      <c r="J30" s="140">
        <v>470</v>
      </c>
      <c r="K30" s="141"/>
    </row>
    <row r="31" spans="2:17" x14ac:dyDescent="0.35">
      <c r="B31" s="63"/>
      <c r="C31" s="63"/>
      <c r="D31" s="63"/>
      <c r="E31" s="63"/>
      <c r="J31" s="140">
        <v>680</v>
      </c>
      <c r="K31" s="141"/>
    </row>
    <row r="32" spans="2:17" ht="15" thickBot="1" x14ac:dyDescent="0.4">
      <c r="J32" s="148">
        <v>1000</v>
      </c>
      <c r="K32" s="149"/>
    </row>
  </sheetData>
  <mergeCells count="20">
    <mergeCell ref="C3:D3"/>
    <mergeCell ref="J24:K24"/>
    <mergeCell ref="J25:K25"/>
    <mergeCell ref="J29:K29"/>
    <mergeCell ref="J30:K30"/>
    <mergeCell ref="J20:K20"/>
    <mergeCell ref="C8:D8"/>
    <mergeCell ref="C17:D17"/>
    <mergeCell ref="C28:D28"/>
    <mergeCell ref="C26:D26"/>
    <mergeCell ref="C24:D24"/>
    <mergeCell ref="C21:D21"/>
    <mergeCell ref="J31:K31"/>
    <mergeCell ref="J32:K32"/>
    <mergeCell ref="J21:K21"/>
    <mergeCell ref="J22:K22"/>
    <mergeCell ref="J23:K23"/>
    <mergeCell ref="J26:K26"/>
    <mergeCell ref="J27:K27"/>
    <mergeCell ref="J28:K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C13" sqref="C13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154" t="s">
        <v>117</v>
      </c>
      <c r="D3" s="155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311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310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154" t="str">
        <f>HMI!H2</f>
        <v>MOSFET</v>
      </c>
      <c r="D11" s="155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154" t="s">
        <v>309</v>
      </c>
      <c r="D14" s="155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HMI!E37</f>
        <v>t_rise (ns)</v>
      </c>
      <c r="D15" s="7">
        <f>HMI!F37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HMI!E38</f>
        <v>t_fall (ns)</v>
      </c>
      <c r="D16" s="7">
        <f>HMI!F38</f>
        <v>7.5478900375939855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7.5478900375939855</v>
      </c>
    </row>
    <row r="18" spans="2:8" x14ac:dyDescent="0.35">
      <c r="G18" s="73" t="s">
        <v>312</v>
      </c>
      <c r="H18" s="85">
        <f>0.5*H12*H13*H15*(H16+H17)*10^-3</f>
        <v>251.9318854473685</v>
      </c>
    </row>
    <row r="19" spans="2:8" ht="15" thickBot="1" x14ac:dyDescent="0.4">
      <c r="G19" s="73" t="s">
        <v>313</v>
      </c>
      <c r="H19" s="85">
        <f>0.5*H12*H14*H15*(H16+H17)*10^-3</f>
        <v>390.44073684210537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251.9318854473685</v>
      </c>
    </row>
    <row r="27" spans="2:8" x14ac:dyDescent="0.35">
      <c r="G27" s="70" t="str">
        <f>G19</f>
        <v>Psw,max (mW)</v>
      </c>
      <c r="H27" s="85">
        <f>H19</f>
        <v>390.44073684210537</v>
      </c>
    </row>
    <row r="28" spans="2:8" x14ac:dyDescent="0.35">
      <c r="G28" s="73" t="s">
        <v>314</v>
      </c>
      <c r="H28" s="85">
        <f>2*H24+4*H26</f>
        <v>1667.2220807894741</v>
      </c>
    </row>
    <row r="29" spans="2:8" ht="15" thickBot="1" x14ac:dyDescent="0.4">
      <c r="G29" s="73" t="s">
        <v>315</v>
      </c>
      <c r="H29" s="88">
        <f>2*H25+4*H27</f>
        <v>3145.7629473684219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Q31"/>
  <sheetViews>
    <sheetView workbookViewId="0">
      <selection activeCell="G37" sqref="G37"/>
    </sheetView>
  </sheetViews>
  <sheetFormatPr defaultRowHeight="14.5" x14ac:dyDescent="0.35"/>
  <cols>
    <col min="1" max="2" width="3.1796875" style="67" customWidth="1"/>
    <col min="3" max="3" width="21.0898437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17" ht="15" thickBot="1" x14ac:dyDescent="0.4">
      <c r="E1" s="106"/>
    </row>
    <row r="2" spans="2:17" x14ac:dyDescent="0.35">
      <c r="B2" s="63"/>
      <c r="C2" s="63"/>
      <c r="D2" s="63"/>
      <c r="E2" s="65"/>
      <c r="G2" s="68" t="str">
        <f>C8</f>
        <v>Rg,off (Ω)</v>
      </c>
      <c r="H2" s="90">
        <f>D8</f>
        <v>10</v>
      </c>
      <c r="J2" s="68" t="str">
        <f>C16</f>
        <v>Vboot,max (V)</v>
      </c>
      <c r="K2" s="69">
        <f>D16</f>
        <v>10.26</v>
      </c>
      <c r="M2" s="68" t="str">
        <f>C21</f>
        <v>Qg,typ @ 10V (nC)</v>
      </c>
      <c r="N2" s="84">
        <f>D21</f>
        <v>41</v>
      </c>
      <c r="P2" s="68" t="str">
        <f>M28</f>
        <v>Rg,mean (Ω)</v>
      </c>
      <c r="Q2" s="77">
        <f>N28</f>
        <v>1.6090601503759396</v>
      </c>
    </row>
    <row r="3" spans="2:17" x14ac:dyDescent="0.35">
      <c r="B3" s="63"/>
      <c r="C3" s="154" t="s">
        <v>117</v>
      </c>
      <c r="D3" s="155"/>
      <c r="E3" s="65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10.26</v>
      </c>
      <c r="P3" s="70" t="str">
        <f>M20</f>
        <v>Rgatedriver,mean (Ω)</v>
      </c>
      <c r="Q3" s="74">
        <f>N20</f>
        <v>0.47125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9" t="s">
        <v>236</v>
      </c>
      <c r="H4" s="83">
        <f>H2*H3/(H3+H2)</f>
        <v>2.481203007518797</v>
      </c>
      <c r="J4" s="70" t="str">
        <f>G22</f>
        <v>Req,off (Ω)</v>
      </c>
      <c r="K4" s="78">
        <f>H22</f>
        <v>4.5062030075187973</v>
      </c>
      <c r="M4" s="70" t="str">
        <f>C6</f>
        <v>Fmax (kHz)</v>
      </c>
      <c r="N4" s="78">
        <f>D6</f>
        <v>64</v>
      </c>
      <c r="P4" s="70" t="str">
        <f>M11</f>
        <v>Pg,loss (mW)</v>
      </c>
      <c r="Q4" s="78">
        <f>N11</f>
        <v>40.383359999999996</v>
      </c>
    </row>
    <row r="5" spans="2:17" ht="15" thickBot="1" x14ac:dyDescent="0.4">
      <c r="B5" s="63"/>
      <c r="C5" s="36" t="str">
        <f>HMI!B6</f>
        <v>Dmax (%)</v>
      </c>
      <c r="D5" s="2">
        <f>HMI!C6</f>
        <v>90</v>
      </c>
      <c r="E5" s="63"/>
      <c r="G5" s="158"/>
      <c r="H5" s="159"/>
      <c r="J5" s="73" t="s">
        <v>296</v>
      </c>
      <c r="K5" s="74">
        <f>K2/K3</f>
        <v>1.7389830508474575</v>
      </c>
      <c r="M5" s="87" t="s">
        <v>241</v>
      </c>
      <c r="N5" s="89">
        <f>N2*N3*N4*10^-3</f>
        <v>26.922239999999999</v>
      </c>
      <c r="P5" s="79" t="s">
        <v>238</v>
      </c>
      <c r="Q5" s="86">
        <f>Q4*Q2/(Q2+Q3)</f>
        <v>31.235369063859579</v>
      </c>
    </row>
    <row r="6" spans="2:17" ht="15" thickBot="1" x14ac:dyDescent="0.4">
      <c r="B6" s="63"/>
      <c r="C6" s="36" t="str">
        <f>HMI!B7</f>
        <v>Fmax (kHz)</v>
      </c>
      <c r="D6" s="2">
        <f>HMI!C7</f>
        <v>64</v>
      </c>
      <c r="E6" s="64"/>
      <c r="G6" s="160"/>
      <c r="H6" s="161"/>
      <c r="J6" s="87" t="s">
        <v>297</v>
      </c>
      <c r="K6" s="105">
        <f>K2/K4</f>
        <v>2.2768614691527969</v>
      </c>
      <c r="M6" s="158"/>
      <c r="N6" s="159"/>
      <c r="P6" s="95"/>
      <c r="Q6" s="96"/>
    </row>
    <row r="7" spans="2:17" ht="15" thickBot="1" x14ac:dyDescent="0.4">
      <c r="B7" s="63"/>
      <c r="C7" s="154" t="s">
        <v>231</v>
      </c>
      <c r="D7" s="155"/>
      <c r="E7" s="65"/>
      <c r="G7" s="162"/>
      <c r="H7" s="163"/>
      <c r="J7" s="71"/>
      <c r="K7" s="72"/>
      <c r="M7" s="162"/>
      <c r="N7" s="163"/>
      <c r="P7" s="97"/>
      <c r="Q7" s="98"/>
    </row>
    <row r="8" spans="2:17" ht="15" thickBot="1" x14ac:dyDescent="0.4">
      <c r="B8" s="63"/>
      <c r="C8" s="36" t="str">
        <f>HMI!E32</f>
        <v>Rg,off (Ω)</v>
      </c>
      <c r="D8" s="2">
        <f>HMI!F32</f>
        <v>10</v>
      </c>
      <c r="E8" s="65"/>
      <c r="J8" s="71"/>
      <c r="K8" s="72"/>
      <c r="P8" s="99"/>
      <c r="Q8" s="100"/>
    </row>
    <row r="9" spans="2:17" ht="15" thickBot="1" x14ac:dyDescent="0.4">
      <c r="B9" s="63"/>
      <c r="C9" s="36" t="str">
        <f>HMI!E31</f>
        <v>Rg,on+off (Ω)</v>
      </c>
      <c r="D9" s="2">
        <f>HMI!F31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26.922239999999999</v>
      </c>
    </row>
    <row r="10" spans="2:17" ht="15" thickBot="1" x14ac:dyDescent="0.4">
      <c r="B10" s="63"/>
      <c r="C10" s="154" t="s">
        <v>232</v>
      </c>
      <c r="D10" s="155"/>
      <c r="E10" s="64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1.5</v>
      </c>
      <c r="P10" s="68" t="str">
        <f>C8</f>
        <v>Rg,off (Ω)</v>
      </c>
      <c r="Q10" s="84">
        <f>D8</f>
        <v>10</v>
      </c>
    </row>
    <row r="11" spans="2:17" ht="15" thickBot="1" x14ac:dyDescent="0.4">
      <c r="B11" s="63"/>
      <c r="C11" s="36" t="s">
        <v>206</v>
      </c>
      <c r="D11" s="2" t="str">
        <f>HMI!E3</f>
        <v>Infineon 2EDL8024</v>
      </c>
      <c r="E11" s="65"/>
      <c r="G11" s="70" t="str">
        <f>C9</f>
        <v>Rg,on+off (Ω)</v>
      </c>
      <c r="H11" s="78">
        <f>D9</f>
        <v>3.3</v>
      </c>
      <c r="M11" s="87" t="s">
        <v>234</v>
      </c>
      <c r="N11" s="88">
        <f>N9*N10</f>
        <v>40.383359999999996</v>
      </c>
      <c r="P11" s="70" t="str">
        <f>C9</f>
        <v>Rg,on+off (Ω)</v>
      </c>
      <c r="Q11" s="61">
        <f>D9</f>
        <v>3.3</v>
      </c>
    </row>
    <row r="12" spans="2:17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65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64"/>
      <c r="N12" s="165"/>
      <c r="P12" s="70" t="str">
        <f>P5</f>
        <v>Prg,mean (mW)</v>
      </c>
      <c r="Q12" s="85">
        <f>Q5</f>
        <v>31.235369063859579</v>
      </c>
    </row>
    <row r="13" spans="2:17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65"/>
      <c r="G13" s="79" t="s">
        <v>233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66"/>
      <c r="N13" s="167"/>
      <c r="P13" s="79" t="s">
        <v>308</v>
      </c>
      <c r="Q13" s="83">
        <f>0.5*(1+Q10/(Q10+Q11))*Q12</f>
        <v>27.360304480749178</v>
      </c>
    </row>
    <row r="14" spans="2:17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65"/>
      <c r="G14" s="107"/>
      <c r="H14" s="108"/>
      <c r="J14" s="70" t="str">
        <f>G22</f>
        <v>Req,off (Ω)</v>
      </c>
      <c r="K14" s="78">
        <f>H22</f>
        <v>4.5062030075187973</v>
      </c>
      <c r="P14" s="107"/>
      <c r="Q14" s="108"/>
    </row>
    <row r="15" spans="2:17" x14ac:dyDescent="0.35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65"/>
      <c r="G15" s="109"/>
      <c r="H15" s="110"/>
      <c r="J15" s="73" t="s">
        <v>299</v>
      </c>
      <c r="K15" s="74">
        <f>K12/K13</f>
        <v>0.67796610169491522</v>
      </c>
      <c r="M15" s="68" t="str">
        <f>C5</f>
        <v>Dmax (%)</v>
      </c>
      <c r="N15" s="84">
        <f>D5</f>
        <v>90</v>
      </c>
      <c r="P15" s="109"/>
      <c r="Q15" s="110"/>
    </row>
    <row r="16" spans="2:17" ht="15" thickBot="1" x14ac:dyDescent="0.4">
      <c r="B16" s="63"/>
      <c r="C16" s="36" t="str">
        <f>HMI!E22</f>
        <v>Vboot,max (V)</v>
      </c>
      <c r="D16" s="2">
        <f>HMI!F22</f>
        <v>10.26</v>
      </c>
      <c r="E16" s="65"/>
      <c r="G16" s="111"/>
      <c r="H16" s="112"/>
      <c r="J16" s="87" t="s">
        <v>300</v>
      </c>
      <c r="K16" s="105">
        <f>K12/K14</f>
        <v>0.8876652901180494</v>
      </c>
      <c r="M16" s="70" t="str">
        <f>G9</f>
        <v>Rpu,hs (Ω)</v>
      </c>
      <c r="N16" s="61">
        <f>H9</f>
        <v>1</v>
      </c>
      <c r="P16" s="111"/>
      <c r="Q16" s="112"/>
    </row>
    <row r="17" spans="2:17" ht="15" thickBot="1" x14ac:dyDescent="0.4">
      <c r="B17" s="63"/>
      <c r="C17" s="36" t="str">
        <f>HMI!E24</f>
        <v>Cboot (nF)</v>
      </c>
      <c r="D17" s="2">
        <f>HMI!F24</f>
        <v>180</v>
      </c>
      <c r="E17" s="65"/>
      <c r="J17" s="71"/>
      <c r="K17" s="72"/>
      <c r="M17" s="70" t="str">
        <f>G10</f>
        <v>Rpu,ls (Ω)</v>
      </c>
      <c r="N17" s="61">
        <f>H10</f>
        <v>1</v>
      </c>
    </row>
    <row r="18" spans="2:17" x14ac:dyDescent="0.35">
      <c r="B18" s="63"/>
      <c r="C18" s="36" t="str">
        <f>HMI!E33</f>
        <v>Safety margin on losses</v>
      </c>
      <c r="D18" s="7">
        <f>HMI!F33</f>
        <v>1.5</v>
      </c>
      <c r="E18" s="66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68" t="str">
        <f>P5</f>
        <v>Prg,mean (mW)</v>
      </c>
      <c r="Q18" s="69">
        <f>Q5</f>
        <v>31.235369063859579</v>
      </c>
    </row>
    <row r="19" spans="2:17" x14ac:dyDescent="0.35">
      <c r="B19" s="63"/>
      <c r="C19" s="154" t="s">
        <v>102</v>
      </c>
      <c r="D19" s="155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0" t="str">
        <f>P13</f>
        <v>Prg,on+off (mW)</v>
      </c>
      <c r="Q19" s="85">
        <f>Q13</f>
        <v>27.360304480749178</v>
      </c>
    </row>
    <row r="20" spans="2:17" ht="15" thickBot="1" x14ac:dyDescent="0.4">
      <c r="B20" s="63"/>
      <c r="C20" s="36" t="s">
        <v>206</v>
      </c>
      <c r="D20" s="2" t="str">
        <f>HMI!H4</f>
        <v>TI CSD18540Q5B</v>
      </c>
      <c r="E20" s="64"/>
      <c r="G20" s="70" t="str">
        <f>G4</f>
        <v>Rg,eq,off</v>
      </c>
      <c r="H20" s="78">
        <f>H4</f>
        <v>2.481203007518797</v>
      </c>
      <c r="J20" s="75"/>
      <c r="K20" s="76"/>
      <c r="M20" s="87" t="s">
        <v>305</v>
      </c>
      <c r="N20" s="89">
        <f>(N15%*(N17+N16)+(1-N15%)*(N18+N19))/4</f>
        <v>0.47125</v>
      </c>
      <c r="P20" s="79" t="s">
        <v>307</v>
      </c>
      <c r="Q20" s="89">
        <f>Q18-Q19</f>
        <v>3.8750645831104009</v>
      </c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65"/>
      <c r="G21" s="70" t="str">
        <f>C24</f>
        <v>Rg,int,max (Ω)</v>
      </c>
      <c r="H21" s="78">
        <f>D24</f>
        <v>1.6</v>
      </c>
      <c r="M21" s="158"/>
      <c r="N21" s="159"/>
      <c r="P21" s="107"/>
      <c r="Q21" s="108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64"/>
      <c r="G22" s="79" t="s">
        <v>301</v>
      </c>
      <c r="H22" s="83">
        <f>(H18+H19)/2+H20+H21</f>
        <v>4.5062030075187973</v>
      </c>
      <c r="J22" s="68" t="str">
        <f>C22</f>
        <v>Qgd,typ (nC)</v>
      </c>
      <c r="K22" s="90">
        <f>D22</f>
        <v>6.7</v>
      </c>
      <c r="M22" s="160"/>
      <c r="N22" s="161"/>
      <c r="P22" s="111"/>
      <c r="Q22" s="112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64"/>
      <c r="G23" s="107"/>
      <c r="H23" s="108"/>
      <c r="J23" s="70" t="str">
        <f>J15</f>
        <v>Imiller,on (A)</v>
      </c>
      <c r="K23" s="74">
        <f>K15</f>
        <v>0.67796610169491522</v>
      </c>
      <c r="M23" s="162"/>
      <c r="N23" s="163"/>
    </row>
    <row r="24" spans="2:17" ht="15" thickBot="1" x14ac:dyDescent="0.4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65"/>
      <c r="G24" s="109"/>
      <c r="H24" s="110"/>
      <c r="J24" s="70" t="str">
        <f>J16</f>
        <v>Imiller,off (A)</v>
      </c>
      <c r="K24" s="74">
        <f>K16</f>
        <v>0.8876652901180494</v>
      </c>
      <c r="P24" s="68" t="str">
        <f>M11</f>
        <v>Pg,loss (mW)</v>
      </c>
      <c r="Q24" s="69">
        <f>N11</f>
        <v>40.383359999999996</v>
      </c>
    </row>
    <row r="25" spans="2:17" ht="15" thickBot="1" x14ac:dyDescent="0.4">
      <c r="B25" s="63"/>
      <c r="C25" s="63"/>
      <c r="D25" s="63"/>
      <c r="E25" s="65"/>
      <c r="G25" s="111"/>
      <c r="H25" s="112"/>
      <c r="J25" s="73" t="s">
        <v>303</v>
      </c>
      <c r="K25" s="74">
        <f>K22/K23</f>
        <v>9.8825000000000003</v>
      </c>
      <c r="M25" s="68" t="str">
        <f>M15</f>
        <v>Dmax (%)</v>
      </c>
      <c r="N25" s="84">
        <f>N15</f>
        <v>90</v>
      </c>
      <c r="P25" s="70" t="str">
        <f>P5</f>
        <v>Prg,mean (mW)</v>
      </c>
      <c r="Q25" s="85">
        <f>Q5</f>
        <v>31.235369063859579</v>
      </c>
    </row>
    <row r="26" spans="2:17" ht="15" thickBot="1" x14ac:dyDescent="0.4">
      <c r="J26" s="87" t="s">
        <v>302</v>
      </c>
      <c r="K26" s="105">
        <f>K22/K24</f>
        <v>7.5478900375939855</v>
      </c>
      <c r="M26" s="70" t="str">
        <f>G3</f>
        <v>Rg,on+off (Ω)</v>
      </c>
      <c r="N26" s="61">
        <f>H3</f>
        <v>3.3</v>
      </c>
      <c r="P26" s="87" t="s">
        <v>306</v>
      </c>
      <c r="Q26" s="88">
        <f>Q24-Q25</f>
        <v>9.1479909361404168</v>
      </c>
    </row>
    <row r="27" spans="2:17" x14ac:dyDescent="0.35">
      <c r="J27" s="71"/>
      <c r="K27" s="72"/>
      <c r="M27" s="70" t="str">
        <f>G4</f>
        <v>Rg,eq,off</v>
      </c>
      <c r="N27" s="78">
        <f>H4</f>
        <v>2.481203007518797</v>
      </c>
      <c r="P27" s="107"/>
      <c r="Q27" s="108"/>
    </row>
    <row r="28" spans="2:17" ht="15" thickBot="1" x14ac:dyDescent="0.4">
      <c r="J28" s="71"/>
      <c r="K28" s="72"/>
      <c r="M28" s="87" t="s">
        <v>237</v>
      </c>
      <c r="N28" s="89">
        <f>(N25%*N26+(1-N25%)*N27)/2</f>
        <v>1.6090601503759396</v>
      </c>
      <c r="P28" s="111"/>
      <c r="Q28" s="112"/>
    </row>
    <row r="29" spans="2:17" x14ac:dyDescent="0.35">
      <c r="J29" s="71"/>
      <c r="K29" s="72"/>
      <c r="M29" s="107"/>
      <c r="N29" s="108"/>
    </row>
    <row r="30" spans="2:17" ht="15" thickBot="1" x14ac:dyDescent="0.4">
      <c r="J30" s="75"/>
      <c r="K30" s="76"/>
      <c r="M30" s="109"/>
      <c r="N30" s="110"/>
    </row>
    <row r="31" spans="2:17" ht="15" thickBot="1" x14ac:dyDescent="0.4">
      <c r="M31" s="111"/>
      <c r="N31" s="112"/>
    </row>
  </sheetData>
  <mergeCells count="8">
    <mergeCell ref="G5:H7"/>
    <mergeCell ref="M21:N23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171" t="s">
        <v>55</v>
      </c>
      <c r="C2" s="172"/>
      <c r="D2" s="172"/>
      <c r="E2" s="172"/>
      <c r="F2" s="172"/>
      <c r="G2" s="172"/>
      <c r="H2" s="172"/>
      <c r="I2" s="172"/>
      <c r="J2" s="172"/>
      <c r="K2" s="173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196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HMI!C20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168" t="s">
        <v>23</v>
      </c>
      <c r="N19" s="169"/>
      <c r="O19" s="170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5"/>
  <sheetViews>
    <sheetView workbookViewId="0">
      <selection activeCell="D31" sqref="D31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4.5429687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850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154" t="s">
        <v>117</v>
      </c>
      <c r="D3" s="155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244</v>
      </c>
      <c r="H4" s="88">
        <f>H3*H2/1000</f>
        <v>10.625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850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275</v>
      </c>
      <c r="K6" s="89">
        <f>K2/(2^K3-1)/K4/K5*10^9</f>
        <v>14.813617754794226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01"/>
      <c r="K7" s="102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10.625</v>
      </c>
      <c r="J8" s="103"/>
      <c r="K8" s="104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154" t="s">
        <v>242</v>
      </c>
      <c r="D10" s="155"/>
      <c r="E10" s="63"/>
      <c r="G10" s="87" t="s">
        <v>248</v>
      </c>
      <c r="H10" s="88">
        <f>H9*H8/1000</f>
        <v>0.68</v>
      </c>
    </row>
    <row r="11" spans="2:11" x14ac:dyDescent="0.35">
      <c r="B11" s="63"/>
      <c r="C11" s="36" t="str">
        <f>HMI!K4</f>
        <v>Rshunt (µΩ)</v>
      </c>
      <c r="D11" s="2">
        <f>HMI!L4</f>
        <v>850</v>
      </c>
      <c r="E11" s="64"/>
      <c r="G11" s="81"/>
      <c r="H11" s="82"/>
      <c r="J11" s="68" t="str">
        <f>C11</f>
        <v>Rshunt (µΩ)</v>
      </c>
      <c r="K11" s="69">
        <f>D11</f>
        <v>850</v>
      </c>
    </row>
    <row r="12" spans="2:11" ht="15" thickBot="1" x14ac:dyDescent="0.4">
      <c r="B12" s="63"/>
      <c r="C12" s="154" t="s">
        <v>246</v>
      </c>
      <c r="D12" s="155"/>
      <c r="E12" s="64"/>
      <c r="G12" s="75"/>
      <c r="H12" s="76"/>
      <c r="J12" s="70" t="str">
        <f>C7</f>
        <v>Iph mean (A)</v>
      </c>
      <c r="K12" s="61">
        <f>D7</f>
        <v>12.905000000000001</v>
      </c>
    </row>
    <row r="13" spans="2:11" ht="15" thickBot="1" x14ac:dyDescent="0.4">
      <c r="B13" s="63"/>
      <c r="C13" s="36" t="str">
        <f>DB_ADC[[#Headers],[Name]]</f>
        <v>Name</v>
      </c>
      <c r="D13" s="2" t="str">
        <f>HMI!K8</f>
        <v>STM32G4 internal</v>
      </c>
      <c r="E13" s="64"/>
      <c r="J13" s="70" t="str">
        <f>C9</f>
        <v>Dmax (%)</v>
      </c>
      <c r="K13" s="61">
        <f>D9</f>
        <v>90</v>
      </c>
    </row>
    <row r="14" spans="2:11" ht="15" thickBot="1" x14ac:dyDescent="0.4">
      <c r="B14" s="63"/>
      <c r="C14" s="36" t="str">
        <f>HMI!K11</f>
        <v>Resolution (bit)</v>
      </c>
      <c r="D14" s="2">
        <f>HMI!L11</f>
        <v>12</v>
      </c>
      <c r="E14" s="64"/>
      <c r="G14" s="68" t="str">
        <f>C8</f>
        <v>Iph spike (A@Xms) @ 0.1% ToF</v>
      </c>
      <c r="H14" s="69">
        <f>D8</f>
        <v>50</v>
      </c>
      <c r="J14" s="79" t="s">
        <v>250</v>
      </c>
      <c r="K14" s="86">
        <f>K11/10^3*K12^2*K13%*2/3</f>
        <v>84.934902750000006</v>
      </c>
    </row>
    <row r="15" spans="2:11" x14ac:dyDescent="0.35">
      <c r="B15" s="63"/>
      <c r="C15" s="36" t="str">
        <f>HMI!K13</f>
        <v>OpAmp gain</v>
      </c>
      <c r="D15" s="2">
        <f>HMI!L13</f>
        <v>64</v>
      </c>
      <c r="E15" s="64"/>
      <c r="G15" s="70" t="str">
        <f>C11</f>
        <v>Rshunt (µΩ)</v>
      </c>
      <c r="H15" s="61">
        <f>D11</f>
        <v>850</v>
      </c>
      <c r="J15" s="81"/>
      <c r="K15" s="82"/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245</v>
      </c>
      <c r="H16" s="88">
        <f>H15*H14/1000</f>
        <v>42.5</v>
      </c>
      <c r="J16" s="71"/>
      <c r="K16" s="72"/>
    </row>
    <row r="17" spans="2:11" ht="15" thickBot="1" x14ac:dyDescent="0.4">
      <c r="B17" s="63"/>
      <c r="C17" s="63"/>
      <c r="D17" s="63"/>
      <c r="E17" s="63"/>
      <c r="G17" s="81"/>
      <c r="H17" s="82"/>
      <c r="J17" s="75"/>
      <c r="K17" s="76"/>
    </row>
    <row r="18" spans="2:11" ht="15" thickBot="1" x14ac:dyDescent="0.4">
      <c r="B18" s="64"/>
      <c r="E18" s="64"/>
      <c r="G18" s="75"/>
      <c r="H18" s="76"/>
    </row>
    <row r="19" spans="2:11" ht="15" thickBot="1" x14ac:dyDescent="0.4">
      <c r="B19" s="64"/>
      <c r="E19" s="64"/>
      <c r="J19" s="68" t="str">
        <f>J11</f>
        <v>Rshunt (µΩ)</v>
      </c>
      <c r="K19" s="69">
        <f>K11</f>
        <v>850</v>
      </c>
    </row>
    <row r="20" spans="2:11" x14ac:dyDescent="0.35">
      <c r="B20" s="64"/>
      <c r="E20" s="64"/>
      <c r="G20" s="68" t="str">
        <f>G16</f>
        <v>Vshunt,spike (mV)</v>
      </c>
      <c r="H20" s="69">
        <f>H16</f>
        <v>42.5</v>
      </c>
      <c r="J20" s="70" t="str">
        <f>C6</f>
        <v>Iph max (A@Xs) @ 4.9% ToF</v>
      </c>
      <c r="K20" s="61">
        <f>D6</f>
        <v>20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C9</f>
        <v>Dmax (%)</v>
      </c>
      <c r="K21" s="61">
        <f>D9</f>
        <v>90</v>
      </c>
    </row>
    <row r="22" spans="2:11" ht="15" thickBot="1" x14ac:dyDescent="0.4">
      <c r="B22" s="64"/>
      <c r="E22" s="64"/>
      <c r="G22" s="87" t="s">
        <v>249</v>
      </c>
      <c r="H22" s="88">
        <f>H21*H20/1000</f>
        <v>2.72</v>
      </c>
      <c r="J22" s="79" t="s">
        <v>251</v>
      </c>
      <c r="K22" s="86">
        <f>K19/10^3*K20^2*K21%*2/3</f>
        <v>204</v>
      </c>
    </row>
    <row r="23" spans="2:11" x14ac:dyDescent="0.35">
      <c r="B23" s="64"/>
      <c r="E23" s="64"/>
      <c r="G23" s="81"/>
      <c r="H23" s="82"/>
      <c r="J23" s="81"/>
      <c r="K23" s="82"/>
    </row>
    <row r="24" spans="2:11" ht="15" thickBot="1" x14ac:dyDescent="0.4">
      <c r="B24" s="63"/>
      <c r="C24" s="63"/>
      <c r="D24" s="63"/>
      <c r="E24" s="63"/>
      <c r="G24" s="75"/>
      <c r="H24" s="76"/>
      <c r="J24" s="71"/>
      <c r="K24" s="72"/>
    </row>
    <row r="25" spans="2:11" ht="15" thickBot="1" x14ac:dyDescent="0.4">
      <c r="J25" s="75"/>
      <c r="K25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74" t="s">
        <v>56</v>
      </c>
      <c r="C2" s="174"/>
      <c r="D2" s="174"/>
      <c r="E2" s="174"/>
      <c r="F2" s="174"/>
      <c r="G2" s="174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154</v>
      </c>
      <c r="E3" s="52" t="s">
        <v>158</v>
      </c>
      <c r="F3" s="53" t="s">
        <v>159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#VALUE!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#VALUE!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#VALUE!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#VALUE!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#VALUE!</v>
      </c>
      <c r="I8" s="8" t="s">
        <v>50</v>
      </c>
      <c r="J8" s="6" t="str">
        <f>HMI!R5</f>
        <v>1kΩ, 1005m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#VALUE!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#VALUE!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#VALUE!</v>
      </c>
      <c r="I11" s="8" t="s">
        <v>25</v>
      </c>
      <c r="J11" s="7" t="e">
        <f>J8/J10*1000</f>
        <v>#VALUE!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#VALUE!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#VALUE!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#VALUE!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Y38"/>
  <sheetViews>
    <sheetView zoomScale="85" zoomScaleNormal="85" workbookViewId="0">
      <selection activeCell="P21" sqref="P21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19.08984375" style="67" customWidth="1"/>
    <col min="8" max="8" width="8.36328125" style="67" bestFit="1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1000</v>
      </c>
      <c r="J2" s="68" t="str">
        <f>C6</f>
        <v>Vbat,typ (V)</v>
      </c>
      <c r="K2" s="77">
        <f>D6</f>
        <v>25.200000000000003</v>
      </c>
      <c r="M2" s="68" t="str">
        <f>G6</f>
        <v>Rv1 (Ω)</v>
      </c>
      <c r="N2" s="69">
        <f>H6</f>
        <v>10000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154" t="s">
        <v>117</v>
      </c>
      <c r="D3" s="155"/>
      <c r="E3" s="64"/>
      <c r="G3" s="70" t="str">
        <f>C5</f>
        <v>Vph spike (V) @ run</v>
      </c>
      <c r="H3" s="61">
        <f>D5</f>
        <v>35</v>
      </c>
      <c r="J3" s="70" t="str">
        <f>G6</f>
        <v>Rv1 (Ω)</v>
      </c>
      <c r="K3" s="85">
        <f>H6</f>
        <v>10000</v>
      </c>
      <c r="M3" s="70" t="str">
        <f>C18</f>
        <v>Rv2 (Ω)</v>
      </c>
      <c r="N3" s="61">
        <f>D18</f>
        <v>1000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1000</v>
      </c>
      <c r="M4" s="87" t="s">
        <v>272</v>
      </c>
      <c r="N4" s="88">
        <f>N2*N3/(N3+N2)</f>
        <v>909.09090909090912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323</v>
      </c>
      <c r="H5" s="85">
        <f>H2*(H3/H4-1)</f>
        <v>9606.0606060606078</v>
      </c>
      <c r="J5" s="79" t="s">
        <v>273</v>
      </c>
      <c r="K5" s="80">
        <f>K2/(K3+K4)*10^3</f>
        <v>2.2909090909090915</v>
      </c>
      <c r="M5" s="81"/>
      <c r="N5" s="82"/>
      <c r="P5" s="79" t="s">
        <v>285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322</v>
      </c>
      <c r="H6" s="86">
        <f>_xlfn.MINIFS(DB_R[R (Ω)],DB_R[R (Ω)],"&gt;="&amp;H5)</f>
        <v>10000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154" t="s">
        <v>246</v>
      </c>
      <c r="D7" s="155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3.1818181818181817</v>
      </c>
      <c r="M10" s="75"/>
      <c r="N10" s="76"/>
      <c r="P10" s="70" t="str">
        <f>M27</f>
        <v>Rthvn (Ω)</v>
      </c>
      <c r="Q10" s="85">
        <f>N27</f>
        <v>909.09090909090912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(Ω)</v>
      </c>
      <c r="H11" s="69">
        <f>H6</f>
        <v>10000</v>
      </c>
      <c r="J11" s="70" t="str">
        <f>G24</f>
        <v>Vdivider,typ (V)</v>
      </c>
      <c r="K11" s="74">
        <f>H24</f>
        <v>2.2909090909090915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1000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909.09090909090912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271</v>
      </c>
      <c r="K13" s="85">
        <f>K10/K12*1000</f>
        <v>96.418732782369133</v>
      </c>
      <c r="M13" s="70" t="str">
        <f>C20</f>
        <v>Radc,ext (Ω)</v>
      </c>
      <c r="N13" s="61">
        <f>D20</f>
        <v>33</v>
      </c>
      <c r="P13" s="79" t="s">
        <v>289</v>
      </c>
      <c r="Q13" s="83">
        <f>Q9*(Q10+Q11)*(Q12)*10^-3</f>
        <v>169.57636363636365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256</v>
      </c>
      <c r="H14" s="86">
        <f>H13^2/(H11+H12)*1000</f>
        <v>111.36363636363636</v>
      </c>
      <c r="J14" s="79" t="s">
        <v>270</v>
      </c>
      <c r="K14" s="86">
        <f>K11/K12*1000</f>
        <v>69.421487603305792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288</v>
      </c>
      <c r="N15" s="83">
        <f>1/2/PI()/(N12+N13)/N14/10^-6</f>
        <v>1.6893798842138847</v>
      </c>
      <c r="P15" s="71"/>
      <c r="Q15" s="72"/>
    </row>
    <row r="16" spans="2:17" ht="15" thickBot="1" x14ac:dyDescent="0.4">
      <c r="B16" s="64"/>
      <c r="C16" s="154" t="str">
        <f>HMI!N2</f>
        <v>Rv2 &amp; Rtrace</v>
      </c>
      <c r="D16" s="155"/>
      <c r="E16" s="64"/>
      <c r="G16" s="71"/>
      <c r="H16" s="72"/>
      <c r="J16" s="71"/>
      <c r="K16" s="72"/>
      <c r="M16" s="81"/>
      <c r="N16" s="82"/>
      <c r="P16" s="75"/>
      <c r="Q16" s="76"/>
    </row>
    <row r="17" spans="2:25" ht="15" thickBot="1" x14ac:dyDescent="0.4">
      <c r="B17" s="65"/>
      <c r="C17" s="36" t="str">
        <f>HMI!N4</f>
        <v>Rv2 name</v>
      </c>
      <c r="D17" s="2" t="str">
        <f>HMI!O4</f>
        <v>1kΩ, 1005m</v>
      </c>
      <c r="E17" s="65"/>
      <c r="G17" s="75"/>
      <c r="H17" s="76"/>
      <c r="J17" s="71"/>
      <c r="K17" s="72"/>
      <c r="M17" s="71"/>
      <c r="N17" s="72"/>
    </row>
    <row r="18" spans="2:25" ht="15" thickBot="1" x14ac:dyDescent="0.4">
      <c r="B18" s="63"/>
      <c r="C18" s="36" t="s">
        <v>254</v>
      </c>
      <c r="D18" s="2">
        <f>_xlfn.XLOOKUP(D17, DB_R[Description], DB_R[R (Ω)])</f>
        <v>1000</v>
      </c>
      <c r="E18" s="63"/>
      <c r="J18" s="71"/>
      <c r="K18" s="72"/>
      <c r="M18" s="75"/>
      <c r="N18" s="76"/>
    </row>
    <row r="19" spans="2:25" ht="15" thickBot="1" x14ac:dyDescent="0.4">
      <c r="B19" s="63"/>
      <c r="C19" s="36" t="str">
        <f>HMI!N6</f>
        <v>Radc,ext name</v>
      </c>
      <c r="D19" s="2" t="str">
        <f>HMI!O6</f>
        <v>33Ω, 1005m</v>
      </c>
      <c r="E19" s="64"/>
      <c r="G19" s="68" t="str">
        <f>G6</f>
        <v>Rv1 (Ω)</v>
      </c>
      <c r="H19" s="69">
        <f>H6</f>
        <v>10000</v>
      </c>
      <c r="J19" s="75"/>
      <c r="K19" s="76"/>
    </row>
    <row r="20" spans="2:25" ht="15" thickBot="1" x14ac:dyDescent="0.4">
      <c r="B20" s="63"/>
      <c r="C20" s="36" t="s">
        <v>281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1000</v>
      </c>
      <c r="M20" s="68" t="str">
        <f>C22</f>
        <v>Cadc,ext (pF)</v>
      </c>
      <c r="N20" s="69">
        <f>D22</f>
        <v>100</v>
      </c>
    </row>
    <row r="21" spans="2:25" x14ac:dyDescent="0.35">
      <c r="B21" s="63"/>
      <c r="C21" s="154" t="s">
        <v>265</v>
      </c>
      <c r="D21" s="155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3.1818181818181817</v>
      </c>
      <c r="M21" s="70" t="str">
        <f>C23</f>
        <v>Expected derating (%)</v>
      </c>
      <c r="N21" s="61">
        <f>D23</f>
        <v>40</v>
      </c>
      <c r="V21" s="91"/>
      <c r="Y21" s="92"/>
    </row>
    <row r="22" spans="2:25" ht="15" thickBot="1" x14ac:dyDescent="0.4">
      <c r="B22" s="63"/>
      <c r="C22" s="36" t="str">
        <f>HMI!N31</f>
        <v>Cadc,ext (pF)</v>
      </c>
      <c r="D22" s="2">
        <f>HMI!O31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287</v>
      </c>
      <c r="N22" s="88">
        <f>N20*(1-N21%)</f>
        <v>60</v>
      </c>
      <c r="V22" s="92"/>
      <c r="Y22" s="93"/>
    </row>
    <row r="23" spans="2:25" x14ac:dyDescent="0.35">
      <c r="B23" s="63"/>
      <c r="C23" s="36" t="str">
        <f>HMI!N32</f>
        <v>Expected derating (%)</v>
      </c>
      <c r="D23" s="2">
        <f>HMI!O32</f>
        <v>40</v>
      </c>
      <c r="E23" s="65"/>
      <c r="G23" s="73" t="s">
        <v>266</v>
      </c>
      <c r="H23" s="74">
        <f>H20*H21/(H20+H19)</f>
        <v>3.1818181818181817</v>
      </c>
      <c r="J23" s="70" t="str">
        <f>C10</f>
        <v>Resolution (bit)</v>
      </c>
      <c r="K23" s="61">
        <f>D10</f>
        <v>8</v>
      </c>
      <c r="M23" s="81"/>
      <c r="N23" s="82"/>
      <c r="V23" s="93"/>
      <c r="Y23" s="92"/>
    </row>
    <row r="24" spans="2:25" ht="15" thickBot="1" x14ac:dyDescent="0.4">
      <c r="B24" s="63"/>
      <c r="C24" s="36" t="str">
        <f>HMI!N33</f>
        <v>Charge factor (int)</v>
      </c>
      <c r="D24" s="2">
        <f>HMI!O33</f>
        <v>12</v>
      </c>
      <c r="E24" s="65"/>
      <c r="G24" s="79" t="s">
        <v>269</v>
      </c>
      <c r="H24" s="80">
        <f>H20*H22/(H20+H19)</f>
        <v>2.2909090909090915</v>
      </c>
      <c r="J24" s="70" t="str">
        <f>C5</f>
        <v>Vph spike (V) @ run</v>
      </c>
      <c r="K24" s="61">
        <f>D5</f>
        <v>35</v>
      </c>
      <c r="M24" s="75"/>
      <c r="N24" s="76"/>
      <c r="V24" s="94"/>
      <c r="Y24" s="92"/>
    </row>
    <row r="25" spans="2:25" ht="15" thickBot="1" x14ac:dyDescent="0.4">
      <c r="B25" s="63"/>
      <c r="C25" s="36" t="str">
        <f>HMI!N34</f>
        <v>Charge factor (ext)</v>
      </c>
      <c r="D25" s="2">
        <f>HMI!O34</f>
        <v>5</v>
      </c>
      <c r="E25" s="63"/>
      <c r="G25" s="81"/>
      <c r="H25" s="82"/>
      <c r="J25" s="79" t="s">
        <v>279</v>
      </c>
      <c r="K25" s="83">
        <f>K22/K21/(2^K23-1)*K24*1000</f>
        <v>142.35294117647058</v>
      </c>
      <c r="Y25" s="93"/>
    </row>
    <row r="26" spans="2:25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Y26" s="93"/>
    </row>
    <row r="27" spans="2:25" x14ac:dyDescent="0.35">
      <c r="B27" s="63"/>
      <c r="C27"/>
      <c r="D27"/>
      <c r="E27" s="63"/>
      <c r="G27" s="71"/>
      <c r="H27" s="72"/>
      <c r="J27" s="71"/>
      <c r="K27" s="72"/>
      <c r="M27" s="70" t="str">
        <f>M12</f>
        <v>Rthvn (Ω)</v>
      </c>
      <c r="N27" s="85">
        <f>N12</f>
        <v>909.09090909090912</v>
      </c>
      <c r="Y27" s="91"/>
    </row>
    <row r="28" spans="2:25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</row>
    <row r="29" spans="2:25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V29" s="94"/>
    </row>
    <row r="30" spans="2:25" ht="15" thickBot="1" x14ac:dyDescent="0.4">
      <c r="B30" s="63"/>
      <c r="E30" s="63"/>
      <c r="M30" s="79" t="s">
        <v>286</v>
      </c>
      <c r="N30" s="83">
        <f>N26*(N27+N28)*N29*10^-3</f>
        <v>282.62727272727278</v>
      </c>
      <c r="V30" s="94"/>
    </row>
    <row r="31" spans="2:25" x14ac:dyDescent="0.35">
      <c r="B31" s="63"/>
      <c r="E31" s="63"/>
      <c r="M31" s="81"/>
      <c r="N31" s="82"/>
      <c r="V31" s="94"/>
    </row>
    <row r="32" spans="2:25" x14ac:dyDescent="0.35">
      <c r="B32" s="63"/>
      <c r="E32" s="63"/>
      <c r="M32" s="71"/>
      <c r="N32" s="72"/>
    </row>
    <row r="33" spans="2:14" ht="15" thickBot="1" x14ac:dyDescent="0.4">
      <c r="B33" s="63"/>
      <c r="E33" s="63"/>
      <c r="M33" s="75"/>
      <c r="N33" s="76"/>
    </row>
    <row r="34" spans="2:14" x14ac:dyDescent="0.35">
      <c r="B34" s="63"/>
      <c r="E34" s="63"/>
    </row>
    <row r="35" spans="2:14" x14ac:dyDescent="0.35">
      <c r="B35" s="63"/>
      <c r="E35" s="63"/>
    </row>
    <row r="36" spans="2:14" x14ac:dyDescent="0.35">
      <c r="B36" s="63"/>
      <c r="E36" s="63"/>
    </row>
    <row r="37" spans="2:14" x14ac:dyDescent="0.35">
      <c r="B37" s="63"/>
      <c r="E37" s="63"/>
    </row>
    <row r="38" spans="2:14" x14ac:dyDescent="0.35">
      <c r="B38" s="63"/>
      <c r="C38" s="63"/>
      <c r="D38" s="63"/>
      <c r="E38" s="63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E061-AAD2-4E57-889A-7110D9C3FB28}">
  <sheetPr>
    <tabColor rgb="FF00B0F0"/>
  </sheetPr>
  <dimension ref="B1:H22"/>
  <sheetViews>
    <sheetView workbookViewId="0">
      <selection activeCell="H20" sqref="H20"/>
    </sheetView>
  </sheetViews>
  <sheetFormatPr defaultRowHeight="14.5" x14ac:dyDescent="0.35"/>
  <cols>
    <col min="1" max="1" width="3.1796875" style="67" customWidth="1"/>
    <col min="2" max="2" width="2.7265625" style="67" customWidth="1"/>
    <col min="3" max="3" width="23.26953125" style="67" bestFit="1" customWidth="1"/>
    <col min="4" max="4" width="14.6328125" style="67" bestFit="1" customWidth="1"/>
    <col min="5" max="5" width="3.26953125" style="67" customWidth="1"/>
    <col min="6" max="6" width="3.7265625" style="67" customWidth="1"/>
    <col min="7" max="7" width="20" style="67" bestFit="1" customWidth="1"/>
    <col min="8" max="8" width="18.7265625" style="67" customWidth="1"/>
    <col min="9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C9</f>
        <v>R1 (Ω)</v>
      </c>
      <c r="H2" s="84">
        <f>D9</f>
        <v>22000</v>
      </c>
    </row>
    <row r="3" spans="2:8" x14ac:dyDescent="0.35">
      <c r="B3" s="63"/>
      <c r="C3" s="154" t="s">
        <v>117</v>
      </c>
      <c r="D3" s="155"/>
      <c r="E3" s="64"/>
      <c r="G3" s="70" t="str">
        <f>C11</f>
        <v>R2 (Ω)</v>
      </c>
      <c r="H3" s="61">
        <f>D11</f>
        <v>1000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C5</f>
        <v>Vbat spike (V) @ disarm</v>
      </c>
      <c r="H4" s="61">
        <f>D5</f>
        <v>45</v>
      </c>
    </row>
    <row r="5" spans="2:8" ht="15" thickBot="1" x14ac:dyDescent="0.4">
      <c r="B5" s="63"/>
      <c r="C5" s="36" t="str">
        <f>HMI!B11</f>
        <v>Vbat spike (V) @ disarm</v>
      </c>
      <c r="D5" s="2">
        <f>HMI!C11</f>
        <v>45</v>
      </c>
      <c r="E5" s="65"/>
      <c r="G5" s="87" t="s">
        <v>335</v>
      </c>
      <c r="H5" s="105">
        <f>H3/(H2+H3)*H4</f>
        <v>1.9565217391304348</v>
      </c>
    </row>
    <row r="6" spans="2:8" x14ac:dyDescent="0.35">
      <c r="B6" s="63"/>
      <c r="C6" s="36" t="str">
        <f>HMI!B9</f>
        <v>Vbat,typ (V)</v>
      </c>
      <c r="D6" s="9">
        <f>HMI!C9</f>
        <v>25.200000000000003</v>
      </c>
      <c r="E6" s="65"/>
      <c r="G6" s="81"/>
      <c r="H6" s="82"/>
    </row>
    <row r="7" spans="2:8" x14ac:dyDescent="0.35">
      <c r="B7" s="63"/>
      <c r="C7" s="154" t="s">
        <v>327</v>
      </c>
      <c r="D7" s="155"/>
      <c r="E7" s="65"/>
      <c r="G7" s="71"/>
      <c r="H7" s="72"/>
    </row>
    <row r="8" spans="2:8" ht="15" thickBot="1" x14ac:dyDescent="0.4">
      <c r="B8" s="63"/>
      <c r="C8" s="36" t="str">
        <f>HMI!Q4</f>
        <v>R1 name</v>
      </c>
      <c r="D8" s="2" t="str">
        <f>HMI!R4</f>
        <v>22kΩ, 1005m</v>
      </c>
      <c r="E8" s="63"/>
      <c r="G8" s="75"/>
      <c r="H8" s="76"/>
    </row>
    <row r="9" spans="2:8" ht="15" thickBot="1" x14ac:dyDescent="0.4">
      <c r="B9" s="63"/>
      <c r="C9" s="36" t="s">
        <v>333</v>
      </c>
      <c r="D9" s="2">
        <f>_xlfn.XLOOKUP(D8, DB_R[Description], DB_R[R (Ω)])</f>
        <v>22000</v>
      </c>
      <c r="E9" s="63"/>
    </row>
    <row r="10" spans="2:8" x14ac:dyDescent="0.35">
      <c r="B10" s="63"/>
      <c r="C10" s="36" t="str">
        <f>HMI!Q5</f>
        <v>R2 name</v>
      </c>
      <c r="D10" s="2" t="str">
        <f>HMI!R5</f>
        <v>1kΩ, 1005m</v>
      </c>
      <c r="E10" s="64"/>
      <c r="G10" s="68" t="str">
        <f>G2</f>
        <v>R1 (Ω)</v>
      </c>
      <c r="H10" s="84">
        <f>H2</f>
        <v>22000</v>
      </c>
    </row>
    <row r="11" spans="2:8" x14ac:dyDescent="0.35">
      <c r="B11" s="63"/>
      <c r="C11" s="175" t="s">
        <v>334</v>
      </c>
      <c r="D11" s="176">
        <f>_xlfn.XLOOKUP(D10, DB_R[Description], DB_R[R (Ω)])</f>
        <v>1000</v>
      </c>
      <c r="E11" s="64"/>
      <c r="G11" s="70" t="str">
        <f>G3</f>
        <v>R2 (Ω)</v>
      </c>
      <c r="H11" s="61">
        <f>H3</f>
        <v>1000</v>
      </c>
    </row>
    <row r="12" spans="2:8" x14ac:dyDescent="0.35">
      <c r="B12" s="63"/>
      <c r="C12" s="63"/>
      <c r="D12" s="63"/>
      <c r="E12" s="63"/>
      <c r="G12" s="70" t="str">
        <f>C6</f>
        <v>Vbat,typ (V)</v>
      </c>
      <c r="H12" s="85">
        <f>D6</f>
        <v>25.200000000000003</v>
      </c>
    </row>
    <row r="13" spans="2:8" ht="15" thickBot="1" x14ac:dyDescent="0.4">
      <c r="G13" s="87" t="s">
        <v>336</v>
      </c>
      <c r="H13" s="105">
        <f>H11/(H10+H11)*H12</f>
        <v>1.0956521739130436</v>
      </c>
    </row>
    <row r="14" spans="2:8" x14ac:dyDescent="0.35">
      <c r="G14" s="81"/>
      <c r="H14" s="82"/>
    </row>
    <row r="15" spans="2:8" x14ac:dyDescent="0.35">
      <c r="G15" s="71"/>
      <c r="H15" s="72"/>
    </row>
    <row r="16" spans="2:8" ht="15" thickBot="1" x14ac:dyDescent="0.4">
      <c r="G16" s="75"/>
      <c r="H16" s="76"/>
    </row>
    <row r="17" spans="7:8" ht="15" thickBot="1" x14ac:dyDescent="0.4"/>
    <row r="18" spans="7:8" x14ac:dyDescent="0.35">
      <c r="G18" s="68" t="str">
        <f>G2</f>
        <v>R1 (Ω)</v>
      </c>
      <c r="H18" s="69">
        <f>H2</f>
        <v>22000</v>
      </c>
    </row>
    <row r="19" spans="7:8" x14ac:dyDescent="0.35">
      <c r="G19" s="70" t="str">
        <f>G3</f>
        <v>R2 (Ω)</v>
      </c>
      <c r="H19" s="61">
        <f>H3</f>
        <v>1000</v>
      </c>
    </row>
    <row r="20" spans="7:8" ht="15" thickBot="1" x14ac:dyDescent="0.4">
      <c r="G20" s="87" t="s">
        <v>337</v>
      </c>
      <c r="H20" s="105">
        <f>(H18*H19)/(H18+H19)</f>
        <v>956.52173913043475</v>
      </c>
    </row>
    <row r="21" spans="7:8" x14ac:dyDescent="0.35">
      <c r="G21" s="81"/>
      <c r="H21" s="82"/>
    </row>
    <row r="22" spans="7:8" ht="15" thickBot="1" x14ac:dyDescent="0.4">
      <c r="G22" s="75"/>
      <c r="H22" s="76"/>
    </row>
  </sheetData>
  <mergeCells count="2">
    <mergeCell ref="C3:D3"/>
    <mergeCell ref="C7:D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workbookViewId="0">
      <pane xSplit="1" topLeftCell="P1" activePane="topRight" state="frozen"/>
      <selection pane="topRight" activeCell="X7" sqref="X7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  <col min="24" max="24" width="21.08984375" bestFit="1" customWidth="1"/>
  </cols>
  <sheetData>
    <row r="1" spans="1:24" x14ac:dyDescent="0.35">
      <c r="A1" t="s">
        <v>103</v>
      </c>
      <c r="B1" t="s">
        <v>126</v>
      </c>
      <c r="C1" t="s">
        <v>252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267</v>
      </c>
      <c r="L1" t="s">
        <v>268</v>
      </c>
      <c r="M1" t="s">
        <v>193</v>
      </c>
      <c r="N1" t="s">
        <v>195</v>
      </c>
      <c r="O1" t="s">
        <v>192</v>
      </c>
      <c r="P1" t="s">
        <v>194</v>
      </c>
      <c r="Q1" t="s">
        <v>155</v>
      </c>
      <c r="R1" t="s">
        <v>160</v>
      </c>
      <c r="S1" t="s">
        <v>156</v>
      </c>
      <c r="T1" t="s">
        <v>161</v>
      </c>
      <c r="U1" t="s">
        <v>157</v>
      </c>
      <c r="V1" t="s">
        <v>162</v>
      </c>
      <c r="W1" t="s">
        <v>163</v>
      </c>
      <c r="X1" t="s">
        <v>320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2" t="s">
        <v>321</v>
      </c>
    </row>
    <row r="3" spans="1:24" x14ac:dyDescent="0.35">
      <c r="A3" t="s">
        <v>191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3" t="s">
        <v>321</v>
      </c>
    </row>
    <row r="4" spans="1:24" x14ac:dyDescent="0.35">
      <c r="A4" t="s">
        <v>189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4" t="s">
        <v>321</v>
      </c>
    </row>
    <row r="5" spans="1:24" x14ac:dyDescent="0.35">
      <c r="A5" t="s">
        <v>190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5" t="s">
        <v>321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  <c r="X6" t="s">
        <v>321</v>
      </c>
    </row>
    <row r="7" spans="1:24" x14ac:dyDescent="0.35">
      <c r="A7" t="s">
        <v>200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7" t="s">
        <v>321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235</v>
      </c>
      <c r="D1" t="s">
        <v>143</v>
      </c>
      <c r="E1" t="s">
        <v>100</v>
      </c>
      <c r="F1" t="s">
        <v>99</v>
      </c>
      <c r="G1" t="s">
        <v>144</v>
      </c>
      <c r="H1" t="s">
        <v>150</v>
      </c>
      <c r="I1" t="s">
        <v>151</v>
      </c>
      <c r="J1" t="s">
        <v>152</v>
      </c>
      <c r="K1" t="s">
        <v>153</v>
      </c>
      <c r="L1" t="s">
        <v>148</v>
      </c>
    </row>
    <row r="2" spans="1:12" x14ac:dyDescent="0.35">
      <c r="A2" t="s">
        <v>204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K10" sqref="K10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257</v>
      </c>
      <c r="B1" t="s">
        <v>211</v>
      </c>
      <c r="C1" t="s">
        <v>227</v>
      </c>
      <c r="D1" t="s">
        <v>338</v>
      </c>
      <c r="E1" t="s">
        <v>258</v>
      </c>
      <c r="F1" t="s">
        <v>259</v>
      </c>
      <c r="G1" t="s">
        <v>103</v>
      </c>
      <c r="H1" t="s">
        <v>260</v>
      </c>
    </row>
    <row r="2" spans="1:8" x14ac:dyDescent="0.35">
      <c r="A2" t="str">
        <f>IF(B2&gt;=1000,C2&amp; "kΩ, ",B2&amp; "Ω, ")  &amp; DB_R[[#This Row],[Package (m)]]</f>
        <v>10Ω, 1005m</v>
      </c>
      <c r="B2">
        <v>10</v>
      </c>
      <c r="C2">
        <f>DB_R[[#This Row],[R (Ω)]]/1000</f>
        <v>0.01</v>
      </c>
      <c r="D2">
        <v>65</v>
      </c>
      <c r="E2" s="62" t="s">
        <v>328</v>
      </c>
      <c r="F2" s="60" t="s">
        <v>329</v>
      </c>
      <c r="H2" t="s">
        <v>262</v>
      </c>
    </row>
    <row r="3" spans="1:8" x14ac:dyDescent="0.35">
      <c r="A3" t="str">
        <f>IF(B3&gt;=1000,C3&amp; "kΩ, ",B3&amp; "Ω, ")  &amp; DB_R[[#This Row],[Package (m)]]</f>
        <v>11Ω, 1005m</v>
      </c>
      <c r="B3">
        <v>11</v>
      </c>
      <c r="C3">
        <f>DB_R[[#This Row],[R (Ω)]]/1000</f>
        <v>1.0999999999999999E-2</v>
      </c>
      <c r="D3">
        <v>65</v>
      </c>
      <c r="E3" s="62" t="s">
        <v>328</v>
      </c>
      <c r="F3" s="60" t="s">
        <v>329</v>
      </c>
      <c r="H3" t="s">
        <v>262</v>
      </c>
    </row>
    <row r="4" spans="1:8" x14ac:dyDescent="0.35">
      <c r="A4" t="str">
        <f>IF(B4&gt;=1000,C4&amp; "kΩ, ",B4&amp; "Ω, ")  &amp; DB_R[[#This Row],[Package (m)]]</f>
        <v>12Ω, 1005m</v>
      </c>
      <c r="B4">
        <v>12</v>
      </c>
      <c r="C4">
        <f>DB_R[[#This Row],[R (Ω)]]/1000</f>
        <v>1.2E-2</v>
      </c>
      <c r="D4">
        <v>65</v>
      </c>
      <c r="E4" s="62" t="s">
        <v>328</v>
      </c>
      <c r="F4" s="60" t="s">
        <v>329</v>
      </c>
      <c r="H4" t="s">
        <v>262</v>
      </c>
    </row>
    <row r="5" spans="1:8" x14ac:dyDescent="0.35">
      <c r="A5" t="str">
        <f>IF(B5&gt;=1000,C5&amp; "kΩ, ",B5&amp; "Ω, ")  &amp; DB_R[[#This Row],[Package (m)]]</f>
        <v>13Ω, 1005m</v>
      </c>
      <c r="B5">
        <v>13</v>
      </c>
      <c r="C5">
        <f>DB_R[[#This Row],[R (Ω)]]/1000</f>
        <v>1.2999999999999999E-2</v>
      </c>
      <c r="D5">
        <v>65</v>
      </c>
      <c r="E5" s="62" t="s">
        <v>328</v>
      </c>
      <c r="F5" s="60" t="s">
        <v>329</v>
      </c>
      <c r="H5" t="s">
        <v>262</v>
      </c>
    </row>
    <row r="6" spans="1:8" x14ac:dyDescent="0.35">
      <c r="A6" t="str">
        <f>IF(B6&gt;=1000,C6&amp; "kΩ, ",B6&amp; "Ω, ")  &amp; DB_R[[#This Row],[Package (m)]]</f>
        <v>15Ω, 1005m</v>
      </c>
      <c r="B6">
        <v>15</v>
      </c>
      <c r="C6">
        <f>DB_R[[#This Row],[R (Ω)]]/1000</f>
        <v>1.4999999999999999E-2</v>
      </c>
      <c r="D6">
        <v>65</v>
      </c>
      <c r="E6" s="62" t="s">
        <v>328</v>
      </c>
      <c r="F6" s="60" t="s">
        <v>329</v>
      </c>
      <c r="H6" t="s">
        <v>262</v>
      </c>
    </row>
    <row r="7" spans="1:8" x14ac:dyDescent="0.35">
      <c r="A7" t="str">
        <f>IF(B7&gt;=1000,C7&amp; "kΩ, ",B7&amp; "Ω, ")  &amp; DB_R[[#This Row],[Package (m)]]</f>
        <v>16Ω, 1005m</v>
      </c>
      <c r="B7">
        <v>16</v>
      </c>
      <c r="C7">
        <f>DB_R[[#This Row],[R (Ω)]]/1000</f>
        <v>1.6E-2</v>
      </c>
      <c r="D7">
        <v>65</v>
      </c>
      <c r="E7" s="62" t="s">
        <v>328</v>
      </c>
      <c r="F7" s="60" t="s">
        <v>329</v>
      </c>
      <c r="H7" t="s">
        <v>262</v>
      </c>
    </row>
    <row r="8" spans="1:8" x14ac:dyDescent="0.35">
      <c r="A8" t="str">
        <f>IF(B8&gt;=1000,C8&amp; "kΩ, ",B8&amp; "Ω, ")  &amp; DB_R[[#This Row],[Package (m)]]</f>
        <v>18Ω, 1005m</v>
      </c>
      <c r="B8">
        <v>18</v>
      </c>
      <c r="C8">
        <f>DB_R[[#This Row],[R (Ω)]]/1000</f>
        <v>1.7999999999999999E-2</v>
      </c>
      <c r="D8">
        <v>65</v>
      </c>
      <c r="E8" s="62" t="s">
        <v>328</v>
      </c>
      <c r="F8" s="60" t="s">
        <v>329</v>
      </c>
      <c r="H8" t="s">
        <v>262</v>
      </c>
    </row>
    <row r="9" spans="1:8" x14ac:dyDescent="0.35">
      <c r="A9" t="str">
        <f>IF(B9&gt;=1000,C9&amp; "kΩ, ",B9&amp; "Ω, ")  &amp; DB_R[[#This Row],[Package (m)]]</f>
        <v>20Ω, 1005m</v>
      </c>
      <c r="B9">
        <v>20</v>
      </c>
      <c r="C9">
        <f>DB_R[[#This Row],[R (Ω)]]/1000</f>
        <v>0.02</v>
      </c>
      <c r="D9">
        <v>65</v>
      </c>
      <c r="E9" s="62" t="s">
        <v>328</v>
      </c>
      <c r="F9" s="60" t="s">
        <v>329</v>
      </c>
      <c r="H9" t="s">
        <v>262</v>
      </c>
    </row>
    <row r="10" spans="1:8" x14ac:dyDescent="0.35">
      <c r="A10" t="str">
        <f>IF(B10&gt;=1000,C10&amp; "kΩ, ",B10&amp; "Ω, ")  &amp; DB_R[[#This Row],[Package (m)]]</f>
        <v>22Ω, 1005m</v>
      </c>
      <c r="B10">
        <v>22</v>
      </c>
      <c r="C10">
        <f>DB_R[[#This Row],[R (Ω)]]/1000</f>
        <v>2.1999999999999999E-2</v>
      </c>
      <c r="D10">
        <v>65</v>
      </c>
      <c r="E10" s="62" t="s">
        <v>328</v>
      </c>
      <c r="F10" s="60" t="s">
        <v>329</v>
      </c>
      <c r="H10" t="s">
        <v>262</v>
      </c>
    </row>
    <row r="11" spans="1:8" x14ac:dyDescent="0.35">
      <c r="A11" t="str">
        <f>IF(B11&gt;=1000,C11&amp; "kΩ, ",B11&amp; "Ω, ")  &amp; DB_R[[#This Row],[Package (m)]]</f>
        <v>24Ω, 1005m</v>
      </c>
      <c r="B11">
        <v>24</v>
      </c>
      <c r="C11">
        <f>DB_R[[#This Row],[R (Ω)]]/1000</f>
        <v>2.4E-2</v>
      </c>
      <c r="D11">
        <v>65</v>
      </c>
      <c r="E11" s="62" t="s">
        <v>328</v>
      </c>
      <c r="F11" s="60" t="s">
        <v>329</v>
      </c>
      <c r="H11" t="s">
        <v>262</v>
      </c>
    </row>
    <row r="12" spans="1:8" x14ac:dyDescent="0.35">
      <c r="A12" t="str">
        <f>IF(B12&gt;=1000,C12&amp; "kΩ, ",B12&amp; "Ω, ")  &amp; DB_R[[#This Row],[Package (m)]]</f>
        <v>27Ω, 1005m</v>
      </c>
      <c r="B12">
        <v>27</v>
      </c>
      <c r="C12">
        <f>DB_R[[#This Row],[R (Ω)]]/1000</f>
        <v>2.7E-2</v>
      </c>
      <c r="D12">
        <v>65</v>
      </c>
      <c r="E12" s="62" t="s">
        <v>328</v>
      </c>
      <c r="F12" s="60" t="s">
        <v>329</v>
      </c>
      <c r="H12" t="s">
        <v>262</v>
      </c>
    </row>
    <row r="13" spans="1:8" x14ac:dyDescent="0.35">
      <c r="A13" t="str">
        <f>IF(B13&gt;=1000,C13&amp; "kΩ, ",B13&amp; "Ω, ")  &amp; DB_R[[#This Row],[Package (m)]]</f>
        <v>30Ω, 1005m</v>
      </c>
      <c r="B13">
        <v>30</v>
      </c>
      <c r="C13">
        <f>DB_R[[#This Row],[R (Ω)]]/1000</f>
        <v>0.03</v>
      </c>
      <c r="D13">
        <v>65</v>
      </c>
      <c r="E13" s="62" t="s">
        <v>328</v>
      </c>
      <c r="F13" s="60" t="s">
        <v>329</v>
      </c>
      <c r="H13" t="s">
        <v>262</v>
      </c>
    </row>
    <row r="14" spans="1:8" x14ac:dyDescent="0.35">
      <c r="A14" t="str">
        <f>IF(B14&gt;=1000,C14&amp; "kΩ, ",B14&amp; "Ω, ")  &amp; DB_R[[#This Row],[Package (m)]]</f>
        <v>33Ω, 1005m</v>
      </c>
      <c r="B14">
        <v>33</v>
      </c>
      <c r="C14">
        <f>DB_R[[#This Row],[R (Ω)]]/1000</f>
        <v>3.3000000000000002E-2</v>
      </c>
      <c r="D14">
        <v>65</v>
      </c>
      <c r="E14" s="62" t="s">
        <v>328</v>
      </c>
      <c r="F14" s="60" t="s">
        <v>329</v>
      </c>
      <c r="H14" t="s">
        <v>262</v>
      </c>
    </row>
    <row r="15" spans="1:8" x14ac:dyDescent="0.35">
      <c r="A15" t="str">
        <f>IF(B15&gt;=1000,C15&amp; "kΩ, ",B15&amp; "Ω, ")  &amp; DB_R[[#This Row],[Package (m)]]</f>
        <v>47Ω, 1005m</v>
      </c>
      <c r="B15">
        <v>47</v>
      </c>
      <c r="C15">
        <f>DB_R[[#This Row],[R (Ω)]]/1000</f>
        <v>4.7E-2</v>
      </c>
      <c r="D15">
        <v>65</v>
      </c>
      <c r="E15" s="62" t="s">
        <v>328</v>
      </c>
      <c r="F15" s="60" t="s">
        <v>329</v>
      </c>
      <c r="H15" t="s">
        <v>262</v>
      </c>
    </row>
    <row r="16" spans="1:8" x14ac:dyDescent="0.35">
      <c r="A16" t="str">
        <f>IF(B16&gt;=1000,C16&amp; "kΩ, ",B16&amp; "Ω, ")  &amp; DB_R[[#This Row],[Package (m)]]</f>
        <v>51Ω, 1005m</v>
      </c>
      <c r="B16">
        <v>51</v>
      </c>
      <c r="C16">
        <f>DB_R[[#This Row],[R (Ω)]]/1000</f>
        <v>5.0999999999999997E-2</v>
      </c>
      <c r="D16">
        <v>65</v>
      </c>
      <c r="E16" s="62" t="s">
        <v>328</v>
      </c>
      <c r="F16" s="60" t="s">
        <v>329</v>
      </c>
      <c r="H16" t="s">
        <v>262</v>
      </c>
    </row>
    <row r="17" spans="1:8" x14ac:dyDescent="0.35">
      <c r="A17" t="str">
        <f>IF(B17&gt;=1000,C17&amp; "kΩ, ",B17&amp; "Ω, ")  &amp; DB_R[[#This Row],[Package (m)]]</f>
        <v>56Ω, 1005m</v>
      </c>
      <c r="B17">
        <v>56</v>
      </c>
      <c r="C17">
        <f>DB_R[[#This Row],[R (Ω)]]/1000</f>
        <v>5.6000000000000001E-2</v>
      </c>
      <c r="D17">
        <v>65</v>
      </c>
      <c r="E17" s="62" t="s">
        <v>328</v>
      </c>
      <c r="F17" s="60" t="s">
        <v>329</v>
      </c>
      <c r="H17" t="s">
        <v>262</v>
      </c>
    </row>
    <row r="18" spans="1:8" x14ac:dyDescent="0.35">
      <c r="A18" t="str">
        <f>IF(B18&gt;=1000,C18&amp; "kΩ, ",B18&amp; "Ω, ")  &amp; DB_R[[#This Row],[Package (m)]]</f>
        <v>62Ω, 1005m</v>
      </c>
      <c r="B18">
        <v>62</v>
      </c>
      <c r="C18">
        <f>DB_R[[#This Row],[R (Ω)]]/1000</f>
        <v>6.2E-2</v>
      </c>
      <c r="D18">
        <v>65</v>
      </c>
      <c r="E18" s="62" t="s">
        <v>328</v>
      </c>
      <c r="F18" s="60" t="s">
        <v>329</v>
      </c>
      <c r="H18" t="s">
        <v>262</v>
      </c>
    </row>
    <row r="19" spans="1:8" x14ac:dyDescent="0.35">
      <c r="A19" t="str">
        <f>IF(B19&gt;=1000,C19&amp; "kΩ, ",B19&amp; "Ω, ")  &amp; DB_R[[#This Row],[Package (m)]]</f>
        <v>68Ω, 1005m</v>
      </c>
      <c r="B19">
        <v>68</v>
      </c>
      <c r="C19">
        <f>DB_R[[#This Row],[R (Ω)]]/1000</f>
        <v>6.8000000000000005E-2</v>
      </c>
      <c r="D19">
        <v>65</v>
      </c>
      <c r="E19" s="62" t="s">
        <v>328</v>
      </c>
      <c r="F19" s="60" t="s">
        <v>329</v>
      </c>
      <c r="H19" t="s">
        <v>262</v>
      </c>
    </row>
    <row r="20" spans="1:8" x14ac:dyDescent="0.35">
      <c r="A20" t="str">
        <f>IF(B20&gt;=1000,C20&amp; "kΩ, ",B20&amp; "Ω, ")  &amp; DB_R[[#This Row],[Package (m)]]</f>
        <v>75Ω, 1005m</v>
      </c>
      <c r="B20">
        <v>75</v>
      </c>
      <c r="C20">
        <f>DB_R[[#This Row],[R (Ω)]]/1000</f>
        <v>7.4999999999999997E-2</v>
      </c>
      <c r="D20">
        <v>65</v>
      </c>
      <c r="E20" s="62" t="s">
        <v>328</v>
      </c>
      <c r="F20" s="60" t="s">
        <v>329</v>
      </c>
      <c r="H20" t="s">
        <v>262</v>
      </c>
    </row>
    <row r="21" spans="1:8" x14ac:dyDescent="0.35">
      <c r="A21" t="str">
        <f>IF(B21&gt;=1000,C21&amp; "kΩ, ",B21&amp; "Ω, ")  &amp; DB_R[[#This Row],[Package (m)]]</f>
        <v>82Ω, 1005m</v>
      </c>
      <c r="B21">
        <v>82</v>
      </c>
      <c r="C21">
        <f>DB_R[[#This Row],[R (Ω)]]/1000</f>
        <v>8.2000000000000003E-2</v>
      </c>
      <c r="D21">
        <v>65</v>
      </c>
      <c r="E21" s="62" t="s">
        <v>328</v>
      </c>
      <c r="F21" s="60" t="s">
        <v>329</v>
      </c>
      <c r="H21" t="s">
        <v>262</v>
      </c>
    </row>
    <row r="22" spans="1:8" x14ac:dyDescent="0.35">
      <c r="A22" t="str">
        <f>IF(B22&gt;=1000,C22&amp; "kΩ, ",B22&amp; "Ω, ")  &amp; DB_R[[#This Row],[Package (m)]]</f>
        <v>91Ω, 1005m</v>
      </c>
      <c r="B22">
        <v>91</v>
      </c>
      <c r="C22">
        <f>DB_R[[#This Row],[R (Ω)]]/1000</f>
        <v>9.0999999999999998E-2</v>
      </c>
      <c r="D22">
        <v>65</v>
      </c>
      <c r="E22" s="62" t="s">
        <v>328</v>
      </c>
      <c r="F22" s="60" t="s">
        <v>329</v>
      </c>
      <c r="H22" t="s">
        <v>262</v>
      </c>
    </row>
    <row r="23" spans="1:8" x14ac:dyDescent="0.35">
      <c r="A23" t="str">
        <f>IF(B23&gt;=1000,C23&amp; "kΩ, ",B23&amp; "Ω, ")  &amp; DB_R[[#This Row],[Package (m)]]</f>
        <v>100Ω, 1005m</v>
      </c>
      <c r="B23">
        <v>100</v>
      </c>
      <c r="C23">
        <f>DB_R[[#This Row],[R (Ω)]]/1000</f>
        <v>0.1</v>
      </c>
      <c r="D23">
        <v>65</v>
      </c>
      <c r="E23" s="62" t="s">
        <v>328</v>
      </c>
      <c r="F23" s="60" t="s">
        <v>329</v>
      </c>
      <c r="H23" t="s">
        <v>262</v>
      </c>
    </row>
    <row r="24" spans="1:8" x14ac:dyDescent="0.35">
      <c r="A24" t="str">
        <f>IF(B24&gt;=1000,C24&amp; "kΩ, ",B24&amp; "Ω, ")  &amp; DB_R[[#This Row],[Package (m)]]</f>
        <v>110Ω, 1005m</v>
      </c>
      <c r="B24">
        <v>110</v>
      </c>
      <c r="C24">
        <f>DB_R[[#This Row],[R (Ω)]]/1000</f>
        <v>0.11</v>
      </c>
      <c r="D24">
        <v>65</v>
      </c>
      <c r="E24" s="62" t="s">
        <v>328</v>
      </c>
      <c r="F24" s="60" t="s">
        <v>329</v>
      </c>
      <c r="H24" t="s">
        <v>262</v>
      </c>
    </row>
    <row r="25" spans="1:8" x14ac:dyDescent="0.35">
      <c r="A25" t="str">
        <f>IF(B25&gt;=1000,C25&amp; "kΩ, ",B25&amp; "Ω, ")  &amp; DB_R[[#This Row],[Package (m)]]</f>
        <v>120Ω, 1005m</v>
      </c>
      <c r="B25">
        <v>120</v>
      </c>
      <c r="C25">
        <f>DB_R[[#This Row],[R (Ω)]]/1000</f>
        <v>0.12</v>
      </c>
      <c r="D25">
        <v>65</v>
      </c>
      <c r="E25" s="62" t="s">
        <v>328</v>
      </c>
      <c r="F25" s="60" t="s">
        <v>329</v>
      </c>
      <c r="H25" t="s">
        <v>262</v>
      </c>
    </row>
    <row r="26" spans="1:8" x14ac:dyDescent="0.35">
      <c r="A26" t="str">
        <f>IF(B26&gt;=1000,C26&amp; "kΩ, ",B26&amp; "Ω, ")  &amp; DB_R[[#This Row],[Package (m)]]</f>
        <v>130Ω, 1005m</v>
      </c>
      <c r="B26">
        <v>130</v>
      </c>
      <c r="C26">
        <f>DB_R[[#This Row],[R (Ω)]]/1000</f>
        <v>0.13</v>
      </c>
      <c r="D26">
        <v>65</v>
      </c>
      <c r="E26" s="62" t="s">
        <v>328</v>
      </c>
      <c r="F26" s="60" t="s">
        <v>329</v>
      </c>
      <c r="H26" t="s">
        <v>262</v>
      </c>
    </row>
    <row r="27" spans="1:8" x14ac:dyDescent="0.35">
      <c r="A27" t="str">
        <f>IF(B27&gt;=1000,C27&amp; "kΩ, ",B27&amp; "Ω, ")  &amp; DB_R[[#This Row],[Package (m)]]</f>
        <v>150Ω, 1005m</v>
      </c>
      <c r="B27">
        <v>150</v>
      </c>
      <c r="C27">
        <f>DB_R[[#This Row],[R (Ω)]]/1000</f>
        <v>0.15</v>
      </c>
      <c r="D27">
        <v>65</v>
      </c>
      <c r="E27" s="62" t="s">
        <v>328</v>
      </c>
      <c r="F27" s="60" t="s">
        <v>329</v>
      </c>
      <c r="H27" t="s">
        <v>262</v>
      </c>
    </row>
    <row r="28" spans="1:8" x14ac:dyDescent="0.35">
      <c r="A28" t="str">
        <f>IF(B28&gt;=1000,C28&amp; "kΩ, ",B28&amp; "Ω, ")  &amp; DB_R[[#This Row],[Package (m)]]</f>
        <v>160Ω, 1005m</v>
      </c>
      <c r="B28">
        <v>160</v>
      </c>
      <c r="C28">
        <f>DB_R[[#This Row],[R (Ω)]]/1000</f>
        <v>0.16</v>
      </c>
      <c r="D28">
        <v>65</v>
      </c>
      <c r="E28" s="62" t="s">
        <v>328</v>
      </c>
      <c r="F28" s="60" t="s">
        <v>329</v>
      </c>
      <c r="H28" t="s">
        <v>262</v>
      </c>
    </row>
    <row r="29" spans="1:8" x14ac:dyDescent="0.35">
      <c r="A29" t="str">
        <f>IF(B29&gt;=1000,C29&amp; "kΩ, ",B29&amp; "Ω, ")  &amp; DB_R[[#This Row],[Package (m)]]</f>
        <v>180Ω, 1005m</v>
      </c>
      <c r="B29">
        <v>180</v>
      </c>
      <c r="C29">
        <f>DB_R[[#This Row],[R (Ω)]]/1000</f>
        <v>0.18</v>
      </c>
      <c r="D29">
        <v>65</v>
      </c>
      <c r="E29" s="62" t="s">
        <v>328</v>
      </c>
      <c r="F29" s="60" t="s">
        <v>329</v>
      </c>
      <c r="H29" t="s">
        <v>262</v>
      </c>
    </row>
    <row r="30" spans="1:8" x14ac:dyDescent="0.35">
      <c r="A30" t="str">
        <f>IF(B30&gt;=1000,C30&amp; "kΩ, ",B30&amp; "Ω, ")  &amp; DB_R[[#This Row],[Package (m)]]</f>
        <v>200Ω, 1005m</v>
      </c>
      <c r="B30">
        <v>200</v>
      </c>
      <c r="C30">
        <f>DB_R[[#This Row],[R (Ω)]]/1000</f>
        <v>0.2</v>
      </c>
      <c r="D30">
        <v>65</v>
      </c>
      <c r="E30" s="62" t="s">
        <v>328</v>
      </c>
      <c r="F30" s="60" t="s">
        <v>329</v>
      </c>
      <c r="H30" t="s">
        <v>262</v>
      </c>
    </row>
    <row r="31" spans="1:8" x14ac:dyDescent="0.35">
      <c r="A31" t="str">
        <f>IF(B31&gt;=1000,C31&amp; "kΩ, ",B31&amp; "Ω, ")  &amp; DB_R[[#This Row],[Package (m)]]</f>
        <v>220Ω, 1005m</v>
      </c>
      <c r="B31">
        <v>220</v>
      </c>
      <c r="C31">
        <f>DB_R[[#This Row],[R (Ω)]]/1000</f>
        <v>0.22</v>
      </c>
      <c r="D31">
        <v>65</v>
      </c>
      <c r="E31" s="62" t="s">
        <v>328</v>
      </c>
      <c r="F31" s="60" t="s">
        <v>329</v>
      </c>
      <c r="H31" t="s">
        <v>262</v>
      </c>
    </row>
    <row r="32" spans="1:8" x14ac:dyDescent="0.35">
      <c r="A32" t="str">
        <f>IF(B32&gt;=1000,C32&amp; "kΩ, ",B32&amp; "Ω, ")  &amp; DB_R[[#This Row],[Package (m)]]</f>
        <v>240Ω, 1005m</v>
      </c>
      <c r="B32">
        <v>240</v>
      </c>
      <c r="C32">
        <f>DB_R[[#This Row],[R (Ω)]]/1000</f>
        <v>0.24</v>
      </c>
      <c r="D32">
        <v>65</v>
      </c>
      <c r="E32" s="62" t="s">
        <v>328</v>
      </c>
      <c r="F32" s="60" t="s">
        <v>329</v>
      </c>
      <c r="H32" t="s">
        <v>262</v>
      </c>
    </row>
    <row r="33" spans="1:19" x14ac:dyDescent="0.35">
      <c r="A33" t="str">
        <f>IF(B33&gt;=1000,C33&amp; "kΩ, ",B33&amp; "Ω, ")  &amp; DB_R[[#This Row],[Package (m)]]</f>
        <v>270Ω, 1005m</v>
      </c>
      <c r="B33">
        <v>270</v>
      </c>
      <c r="C33">
        <f>DB_R[[#This Row],[R (Ω)]]/1000</f>
        <v>0.27</v>
      </c>
      <c r="D33">
        <v>65</v>
      </c>
      <c r="E33" s="62" t="s">
        <v>328</v>
      </c>
      <c r="F33" s="60" t="s">
        <v>329</v>
      </c>
      <c r="H33" t="s">
        <v>262</v>
      </c>
    </row>
    <row r="34" spans="1:19" x14ac:dyDescent="0.35">
      <c r="A34" t="str">
        <f>IF(B34&gt;=1000,C34&amp; "kΩ, ",B34&amp; "Ω, ")  &amp; DB_R[[#This Row],[Package (m)]]</f>
        <v>300Ω, 1005m</v>
      </c>
      <c r="B34">
        <v>300</v>
      </c>
      <c r="C34">
        <f>DB_R[[#This Row],[R (Ω)]]/1000</f>
        <v>0.3</v>
      </c>
      <c r="D34">
        <v>65</v>
      </c>
      <c r="E34" s="62" t="s">
        <v>328</v>
      </c>
      <c r="F34" s="60" t="s">
        <v>329</v>
      </c>
      <c r="H34" t="s">
        <v>262</v>
      </c>
    </row>
    <row r="35" spans="1:19" x14ac:dyDescent="0.35">
      <c r="A35" t="str">
        <f>IF(B35&gt;=1000,C35&amp; "kΩ, ",B35&amp; "Ω, ")  &amp; DB_R[[#This Row],[Package (m)]]</f>
        <v>330Ω, 1005m</v>
      </c>
      <c r="B35">
        <v>330</v>
      </c>
      <c r="C35">
        <f>DB_R[[#This Row],[R (Ω)]]/1000</f>
        <v>0.33</v>
      </c>
      <c r="D35">
        <v>65</v>
      </c>
      <c r="E35" s="62" t="s">
        <v>328</v>
      </c>
      <c r="F35" s="60" t="s">
        <v>329</v>
      </c>
      <c r="H35" t="s">
        <v>262</v>
      </c>
    </row>
    <row r="36" spans="1:19" x14ac:dyDescent="0.35">
      <c r="A36" t="str">
        <f>IF(B36&gt;=1000,C36&amp; "kΩ, ",B36&amp; "Ω, ")  &amp; DB_R[[#This Row],[Package (m)]]</f>
        <v>360Ω, 1005m</v>
      </c>
      <c r="B36">
        <v>360</v>
      </c>
      <c r="C36">
        <f>DB_R[[#This Row],[R (Ω)]]/1000</f>
        <v>0.36</v>
      </c>
      <c r="D36">
        <v>65</v>
      </c>
      <c r="E36" s="62" t="s">
        <v>328</v>
      </c>
      <c r="F36" s="60" t="s">
        <v>329</v>
      </c>
      <c r="H36" t="s">
        <v>262</v>
      </c>
    </row>
    <row r="37" spans="1:19" x14ac:dyDescent="0.35">
      <c r="A37" t="str">
        <f>IF(B37&gt;=1000,C37&amp; "kΩ, ",B37&amp; "Ω, ")  &amp; DB_R[[#This Row],[Package (m)]]</f>
        <v>390Ω, 1005m</v>
      </c>
      <c r="B37">
        <v>390</v>
      </c>
      <c r="C37">
        <f>DB_R[[#This Row],[R (Ω)]]/1000</f>
        <v>0.39</v>
      </c>
      <c r="D37">
        <v>65</v>
      </c>
      <c r="E37" s="62" t="s">
        <v>328</v>
      </c>
      <c r="F37" s="60" t="s">
        <v>329</v>
      </c>
      <c r="H37" t="s">
        <v>262</v>
      </c>
    </row>
    <row r="38" spans="1:19" x14ac:dyDescent="0.35">
      <c r="A38" t="str">
        <f>IF(B38&gt;=1000,C38&amp; "kΩ, ",B38&amp; "Ω, ")  &amp; DB_R[[#This Row],[Package (m)]]</f>
        <v>430Ω, 1005m</v>
      </c>
      <c r="B38">
        <v>430</v>
      </c>
      <c r="C38">
        <f>DB_R[[#This Row],[R (Ω)]]/1000</f>
        <v>0.43</v>
      </c>
      <c r="D38">
        <v>65</v>
      </c>
      <c r="E38" s="62" t="s">
        <v>328</v>
      </c>
      <c r="F38" s="60" t="s">
        <v>329</v>
      </c>
      <c r="H38" t="s">
        <v>262</v>
      </c>
    </row>
    <row r="39" spans="1:19" x14ac:dyDescent="0.35">
      <c r="A39" t="str">
        <f>IF(B39&gt;=1000,C39&amp; "kΩ, ",B39&amp; "Ω, ")  &amp; DB_R[[#This Row],[Package (m)]]</f>
        <v>470Ω, 1005m</v>
      </c>
      <c r="B39">
        <v>470</v>
      </c>
      <c r="C39">
        <f>DB_R[[#This Row],[R (Ω)]]/1000</f>
        <v>0.47</v>
      </c>
      <c r="D39">
        <v>65</v>
      </c>
      <c r="E39" s="62" t="s">
        <v>328</v>
      </c>
      <c r="F39" s="60" t="s">
        <v>329</v>
      </c>
      <c r="H39" t="s">
        <v>262</v>
      </c>
    </row>
    <row r="40" spans="1:19" x14ac:dyDescent="0.35">
      <c r="A40" t="str">
        <f>IF(B40&gt;=1000,C40&amp; "kΩ, ",B40&amp; "Ω, ")  &amp; DB_R[[#This Row],[Package (m)]]</f>
        <v>510Ω, 1005m</v>
      </c>
      <c r="B40">
        <v>510</v>
      </c>
      <c r="C40">
        <f>DB_R[[#This Row],[R (Ω)]]/1000</f>
        <v>0.51</v>
      </c>
      <c r="D40">
        <v>65</v>
      </c>
      <c r="E40" s="62" t="s">
        <v>328</v>
      </c>
      <c r="F40" s="60" t="s">
        <v>329</v>
      </c>
      <c r="H40" t="s">
        <v>262</v>
      </c>
    </row>
    <row r="41" spans="1:19" x14ac:dyDescent="0.35">
      <c r="A41" t="str">
        <f>IF(B41&gt;=1000,C41&amp; "kΩ, ",B41&amp; "Ω, ")  &amp; DB_R[[#This Row],[Package (m)]]</f>
        <v>560Ω, 1005m</v>
      </c>
      <c r="B41">
        <v>560</v>
      </c>
      <c r="C41">
        <f>DB_R[[#This Row],[R (Ω)]]/1000</f>
        <v>0.56000000000000005</v>
      </c>
      <c r="D41">
        <v>65</v>
      </c>
      <c r="E41" s="62" t="s">
        <v>328</v>
      </c>
      <c r="F41" s="60" t="s">
        <v>329</v>
      </c>
      <c r="H41" t="s">
        <v>262</v>
      </c>
    </row>
    <row r="42" spans="1:19" x14ac:dyDescent="0.35">
      <c r="A42" t="str">
        <f>IF(B42&gt;=1000,C42&amp; "kΩ, ",B42&amp; "Ω, ")  &amp; DB_R[[#This Row],[Package (m)]]</f>
        <v>620Ω, 1005m</v>
      </c>
      <c r="B42">
        <v>620</v>
      </c>
      <c r="C42">
        <f>DB_R[[#This Row],[R (Ω)]]/1000</f>
        <v>0.62</v>
      </c>
      <c r="D42">
        <v>65</v>
      </c>
      <c r="E42" s="62" t="s">
        <v>328</v>
      </c>
      <c r="F42" s="60" t="s">
        <v>329</v>
      </c>
      <c r="H42" t="s">
        <v>262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1005m</v>
      </c>
      <c r="B43">
        <v>680</v>
      </c>
      <c r="C43">
        <f>DB_R[[#This Row],[R (Ω)]]/1000</f>
        <v>0.68</v>
      </c>
      <c r="D43">
        <v>65</v>
      </c>
      <c r="E43" s="62" t="s">
        <v>328</v>
      </c>
      <c r="F43" s="60" t="s">
        <v>329</v>
      </c>
      <c r="H43" t="s">
        <v>262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1005m</v>
      </c>
      <c r="B44">
        <v>750</v>
      </c>
      <c r="C44">
        <f>DB_R[[#This Row],[R (Ω)]]/1000</f>
        <v>0.75</v>
      </c>
      <c r="D44">
        <v>65</v>
      </c>
      <c r="E44" s="62" t="s">
        <v>328</v>
      </c>
      <c r="F44" s="60" t="s">
        <v>329</v>
      </c>
      <c r="H44" t="s">
        <v>262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1005m</v>
      </c>
      <c r="B45">
        <v>820</v>
      </c>
      <c r="C45">
        <f>DB_R[[#This Row],[R (Ω)]]/1000</f>
        <v>0.82</v>
      </c>
      <c r="D45">
        <v>65</v>
      </c>
      <c r="E45" s="62" t="s">
        <v>328</v>
      </c>
      <c r="F45" s="60" t="s">
        <v>329</v>
      </c>
      <c r="H45" t="s">
        <v>262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1005m</v>
      </c>
      <c r="B46">
        <v>910</v>
      </c>
      <c r="C46">
        <f>DB_R[[#This Row],[R (Ω)]]/1000</f>
        <v>0.91</v>
      </c>
      <c r="D46">
        <v>65</v>
      </c>
      <c r="E46" s="62" t="s">
        <v>328</v>
      </c>
      <c r="F46" s="60" t="s">
        <v>329</v>
      </c>
      <c r="H46" t="s">
        <v>262</v>
      </c>
      <c r="R46" s="60"/>
      <c r="S46" s="60"/>
    </row>
    <row r="47" spans="1:19" x14ac:dyDescent="0.35">
      <c r="A47" t="str">
        <f>IF(B47&gt;=1000,C47&amp; "kΩ, ",B47&amp; "Ω, ")  &amp; DB_R[[#This Row],[Package (m)]]</f>
        <v>1kΩ, 1005m</v>
      </c>
      <c r="B47">
        <v>1000</v>
      </c>
      <c r="C47">
        <f>DB_R[[#This Row],[R (Ω)]]/1000</f>
        <v>1</v>
      </c>
      <c r="D47">
        <v>65</v>
      </c>
      <c r="E47" s="62" t="s">
        <v>328</v>
      </c>
      <c r="F47" s="60" t="s">
        <v>329</v>
      </c>
      <c r="H47" t="s">
        <v>262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1005m</v>
      </c>
      <c r="B48">
        <v>1100</v>
      </c>
      <c r="C48">
        <f>DB_R[[#This Row],[R (Ω)]]/1000</f>
        <v>1.1000000000000001</v>
      </c>
      <c r="D48">
        <v>65</v>
      </c>
      <c r="E48" s="62" t="s">
        <v>328</v>
      </c>
      <c r="F48" s="60" t="s">
        <v>329</v>
      </c>
      <c r="H48" t="s">
        <v>262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1005m</v>
      </c>
      <c r="B49">
        <v>1200</v>
      </c>
      <c r="C49">
        <f>DB_R[[#This Row],[R (Ω)]]/1000</f>
        <v>1.2</v>
      </c>
      <c r="D49">
        <v>65</v>
      </c>
      <c r="E49" s="62" t="s">
        <v>328</v>
      </c>
      <c r="F49" s="60" t="s">
        <v>329</v>
      </c>
      <c r="H49" t="s">
        <v>262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1005m</v>
      </c>
      <c r="B50">
        <v>1300</v>
      </c>
      <c r="C50">
        <f>DB_R[[#This Row],[R (Ω)]]/1000</f>
        <v>1.3</v>
      </c>
      <c r="D50">
        <v>65</v>
      </c>
      <c r="E50" s="62" t="s">
        <v>328</v>
      </c>
      <c r="F50" s="60" t="s">
        <v>329</v>
      </c>
      <c r="H50" t="s">
        <v>262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1005m</v>
      </c>
      <c r="B51">
        <v>1500</v>
      </c>
      <c r="C51">
        <f>DB_R[[#This Row],[R (Ω)]]/1000</f>
        <v>1.5</v>
      </c>
      <c r="D51">
        <v>65</v>
      </c>
      <c r="E51" s="62" t="s">
        <v>328</v>
      </c>
      <c r="F51" s="60" t="s">
        <v>329</v>
      </c>
      <c r="H51" t="s">
        <v>262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1005m</v>
      </c>
      <c r="B52">
        <v>1600</v>
      </c>
      <c r="C52">
        <f>DB_R[[#This Row],[R (Ω)]]/1000</f>
        <v>1.6</v>
      </c>
      <c r="D52">
        <v>65</v>
      </c>
      <c r="E52" s="62" t="s">
        <v>328</v>
      </c>
      <c r="F52" s="60" t="s">
        <v>329</v>
      </c>
      <c r="H52" t="s">
        <v>262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1005m</v>
      </c>
      <c r="B53">
        <v>1800</v>
      </c>
      <c r="C53">
        <f>DB_R[[#This Row],[R (Ω)]]/1000</f>
        <v>1.8</v>
      </c>
      <c r="D53">
        <v>65</v>
      </c>
      <c r="E53" s="62" t="s">
        <v>328</v>
      </c>
      <c r="F53" s="60" t="s">
        <v>329</v>
      </c>
      <c r="H53" t="s">
        <v>262</v>
      </c>
      <c r="R53" s="60"/>
      <c r="S53" s="60"/>
    </row>
    <row r="54" spans="1:19" x14ac:dyDescent="0.35">
      <c r="A54" t="str">
        <f>IF(B54&gt;=1000,C54&amp; "kΩ, ",B54&amp; "Ω, ")  &amp; DB_R[[#This Row],[Package (m)]]</f>
        <v>2kΩ, 1005m</v>
      </c>
      <c r="B54">
        <v>2000</v>
      </c>
      <c r="C54">
        <f>DB_R[[#This Row],[R (Ω)]]/1000</f>
        <v>2</v>
      </c>
      <c r="D54">
        <v>65</v>
      </c>
      <c r="E54" s="62" t="s">
        <v>328</v>
      </c>
      <c r="F54" s="60" t="s">
        <v>329</v>
      </c>
      <c r="H54" t="s">
        <v>262</v>
      </c>
    </row>
    <row r="55" spans="1:19" x14ac:dyDescent="0.35">
      <c r="A55" t="str">
        <f>IF(B55&gt;=1000,C55&amp; "kΩ, ",B55&amp; "Ω, ")  &amp; DB_R[[#This Row],[Package (m)]]</f>
        <v>2.2kΩ, 1005m</v>
      </c>
      <c r="B55">
        <v>2200</v>
      </c>
      <c r="C55">
        <f>DB_R[[#This Row],[R (Ω)]]/1000</f>
        <v>2.2000000000000002</v>
      </c>
      <c r="D55">
        <v>65</v>
      </c>
      <c r="E55" s="62" t="s">
        <v>328</v>
      </c>
      <c r="F55" s="60" t="s">
        <v>329</v>
      </c>
      <c r="H55" t="s">
        <v>262</v>
      </c>
    </row>
    <row r="56" spans="1:19" x14ac:dyDescent="0.35">
      <c r="A56" t="str">
        <f>IF(B56&gt;=1000,C56&amp; "kΩ, ",B56&amp; "Ω, ")  &amp; DB_R[[#This Row],[Package (m)]]</f>
        <v>2.4kΩ, 1005m</v>
      </c>
      <c r="B56">
        <v>2400</v>
      </c>
      <c r="C56">
        <f>DB_R[[#This Row],[R (Ω)]]/1000</f>
        <v>2.4</v>
      </c>
      <c r="D56">
        <v>65</v>
      </c>
      <c r="E56" s="62" t="s">
        <v>328</v>
      </c>
      <c r="F56" s="60" t="s">
        <v>329</v>
      </c>
      <c r="H56" t="s">
        <v>262</v>
      </c>
    </row>
    <row r="57" spans="1:19" x14ac:dyDescent="0.35">
      <c r="A57" t="str">
        <f>IF(B57&gt;=1000,C57&amp; "kΩ, ",B57&amp; "Ω, ")  &amp; DB_R[[#This Row],[Package (m)]]</f>
        <v>2.7kΩ, 1005m</v>
      </c>
      <c r="B57">
        <v>2700</v>
      </c>
      <c r="C57">
        <f>DB_R[[#This Row],[R (Ω)]]/1000</f>
        <v>2.7</v>
      </c>
      <c r="D57">
        <v>65</v>
      </c>
      <c r="E57" s="62" t="s">
        <v>328</v>
      </c>
      <c r="F57" s="60" t="s">
        <v>329</v>
      </c>
      <c r="H57" t="s">
        <v>262</v>
      </c>
    </row>
    <row r="58" spans="1:19" x14ac:dyDescent="0.35">
      <c r="A58" t="str">
        <f>IF(B58&gt;=1000,C58&amp; "kΩ, ",B58&amp; "Ω, ")  &amp; DB_R[[#This Row],[Package (m)]]</f>
        <v>3kΩ, 1005m</v>
      </c>
      <c r="B58">
        <v>3000</v>
      </c>
      <c r="C58">
        <f>DB_R[[#This Row],[R (Ω)]]/1000</f>
        <v>3</v>
      </c>
      <c r="D58">
        <v>65</v>
      </c>
      <c r="E58" s="62" t="s">
        <v>328</v>
      </c>
      <c r="F58" s="60" t="s">
        <v>329</v>
      </c>
      <c r="H58" t="s">
        <v>262</v>
      </c>
    </row>
    <row r="59" spans="1:19" x14ac:dyDescent="0.35">
      <c r="A59" t="str">
        <f>IF(B59&gt;=1000,C59&amp; "kΩ, ",B59&amp; "Ω, ")  &amp; DB_R[[#This Row],[Package (m)]]</f>
        <v>3kΩ, 1005m</v>
      </c>
      <c r="B59">
        <v>3000</v>
      </c>
      <c r="C59">
        <f>DB_R[[#This Row],[R (Ω)]]/1000</f>
        <v>3</v>
      </c>
      <c r="D59">
        <v>65</v>
      </c>
      <c r="E59" s="62" t="s">
        <v>328</v>
      </c>
      <c r="F59" s="60" t="s">
        <v>329</v>
      </c>
      <c r="H59" t="s">
        <v>262</v>
      </c>
    </row>
    <row r="60" spans="1:19" x14ac:dyDescent="0.35">
      <c r="A60" t="str">
        <f>IF(B60&gt;=1000,C60&amp; "kΩ, ",B60&amp; "Ω, ")  &amp; DB_R[[#This Row],[Package (m)]]</f>
        <v>3.3kΩ, 1005m</v>
      </c>
      <c r="B60">
        <v>3300</v>
      </c>
      <c r="C60">
        <f>DB_R[[#This Row],[R (Ω)]]/1000</f>
        <v>3.3</v>
      </c>
      <c r="D60">
        <v>65</v>
      </c>
      <c r="E60" s="62" t="s">
        <v>328</v>
      </c>
      <c r="F60" s="60" t="s">
        <v>329</v>
      </c>
      <c r="H60" t="s">
        <v>262</v>
      </c>
    </row>
    <row r="61" spans="1:19" x14ac:dyDescent="0.35">
      <c r="A61" t="str">
        <f>IF(B61&gt;=1000,C61&amp; "kΩ, ",B61&amp; "Ω, ")  &amp; DB_R[[#This Row],[Package (m)]]</f>
        <v>3.6kΩ, 1005m</v>
      </c>
      <c r="B61">
        <v>3600</v>
      </c>
      <c r="C61">
        <f>DB_R[[#This Row],[R (Ω)]]/1000</f>
        <v>3.6</v>
      </c>
      <c r="D61">
        <v>65</v>
      </c>
      <c r="E61" s="62" t="s">
        <v>328</v>
      </c>
      <c r="F61" s="60" t="s">
        <v>329</v>
      </c>
      <c r="H61" t="s">
        <v>262</v>
      </c>
    </row>
    <row r="62" spans="1:19" x14ac:dyDescent="0.35">
      <c r="A62" t="str">
        <f>IF(B62&gt;=1000,C62&amp; "kΩ, ",B62&amp; "Ω, ")  &amp; DB_R[[#This Row],[Package (m)]]</f>
        <v>3.9kΩ, 1005m</v>
      </c>
      <c r="B62">
        <v>3900</v>
      </c>
      <c r="C62">
        <f>DB_R[[#This Row],[R (Ω)]]/1000</f>
        <v>3.9</v>
      </c>
      <c r="D62">
        <v>65</v>
      </c>
      <c r="E62" s="62" t="s">
        <v>328</v>
      </c>
      <c r="F62" s="60" t="s">
        <v>329</v>
      </c>
      <c r="H62" t="s">
        <v>262</v>
      </c>
    </row>
    <row r="63" spans="1:19" x14ac:dyDescent="0.35">
      <c r="A63" t="str">
        <f>IF(B63&gt;=1000,C63&amp; "kΩ, ",B63&amp; "Ω, ")  &amp; DB_R[[#This Row],[Package (m)]]</f>
        <v>4.3kΩ, 1005m</v>
      </c>
      <c r="B63">
        <v>4300</v>
      </c>
      <c r="C63">
        <f>DB_R[[#This Row],[R (Ω)]]/1000</f>
        <v>4.3</v>
      </c>
      <c r="D63">
        <v>65</v>
      </c>
      <c r="E63" s="62" t="s">
        <v>328</v>
      </c>
      <c r="F63" s="60" t="s">
        <v>329</v>
      </c>
      <c r="H63" t="s">
        <v>262</v>
      </c>
    </row>
    <row r="64" spans="1:19" x14ac:dyDescent="0.35">
      <c r="A64" t="str">
        <f>IF(B64&gt;=1000,C64&amp; "kΩ, ",B64&amp; "Ω, ")  &amp; DB_R[[#This Row],[Package (m)]]</f>
        <v>4.7kΩ, 1005m</v>
      </c>
      <c r="B64">
        <v>4700</v>
      </c>
      <c r="C64">
        <f>DB_R[[#This Row],[R (Ω)]]/1000</f>
        <v>4.7</v>
      </c>
      <c r="D64">
        <v>65</v>
      </c>
      <c r="E64" s="62" t="s">
        <v>328</v>
      </c>
      <c r="F64" s="60" t="s">
        <v>329</v>
      </c>
      <c r="H64" t="s">
        <v>262</v>
      </c>
    </row>
    <row r="65" spans="1:8" x14ac:dyDescent="0.35">
      <c r="A65" t="str">
        <f>IF(B65&gt;=1000,C65&amp; "kΩ, ",B65&amp; "Ω, ")  &amp; DB_R[[#This Row],[Package (m)]]</f>
        <v>5.1kΩ, 1005m</v>
      </c>
      <c r="B65">
        <v>5100</v>
      </c>
      <c r="C65">
        <f>DB_R[[#This Row],[R (Ω)]]/1000</f>
        <v>5.0999999999999996</v>
      </c>
      <c r="D65">
        <v>65</v>
      </c>
      <c r="E65" s="62" t="s">
        <v>328</v>
      </c>
      <c r="F65" s="60" t="s">
        <v>329</v>
      </c>
      <c r="H65" t="s">
        <v>262</v>
      </c>
    </row>
    <row r="66" spans="1:8" x14ac:dyDescent="0.35">
      <c r="A66" t="str">
        <f>IF(B66&gt;=1000,C66&amp; "kΩ, ",B66&amp; "Ω, ")  &amp; DB_R[[#This Row],[Package (m)]]</f>
        <v>5.6kΩ, 1005m</v>
      </c>
      <c r="B66">
        <v>5600</v>
      </c>
      <c r="C66">
        <f>DB_R[[#This Row],[R (Ω)]]/1000</f>
        <v>5.6</v>
      </c>
      <c r="D66">
        <v>65</v>
      </c>
      <c r="E66" s="62" t="s">
        <v>328</v>
      </c>
      <c r="F66" s="60" t="s">
        <v>329</v>
      </c>
      <c r="H66" t="s">
        <v>262</v>
      </c>
    </row>
    <row r="67" spans="1:8" x14ac:dyDescent="0.35">
      <c r="A67" t="str">
        <f>IF(B67&gt;=1000,C67&amp; "kΩ, ",B67&amp; "Ω, ")  &amp; DB_R[[#This Row],[Package (m)]]</f>
        <v>6.2kΩ, 1005m</v>
      </c>
      <c r="B67">
        <v>6200</v>
      </c>
      <c r="C67">
        <f>DB_R[[#This Row],[R (Ω)]]/1000</f>
        <v>6.2</v>
      </c>
      <c r="D67">
        <v>65</v>
      </c>
      <c r="E67" s="62" t="s">
        <v>328</v>
      </c>
      <c r="F67" s="60" t="s">
        <v>329</v>
      </c>
      <c r="H67" t="s">
        <v>262</v>
      </c>
    </row>
    <row r="68" spans="1:8" x14ac:dyDescent="0.35">
      <c r="A68" t="str">
        <f>IF(B68&gt;=1000,C68&amp; "kΩ, ",B68&amp; "Ω, ")  &amp; DB_R[[#This Row],[Package (m)]]</f>
        <v>6.8kΩ, 1005m</v>
      </c>
      <c r="B68">
        <v>6800</v>
      </c>
      <c r="C68">
        <f>DB_R[[#This Row],[R (Ω)]]/1000</f>
        <v>6.8</v>
      </c>
      <c r="D68">
        <v>65</v>
      </c>
      <c r="E68" s="62" t="s">
        <v>328</v>
      </c>
      <c r="F68" s="60" t="s">
        <v>329</v>
      </c>
      <c r="H68" t="s">
        <v>262</v>
      </c>
    </row>
    <row r="69" spans="1:8" x14ac:dyDescent="0.35">
      <c r="A69" t="str">
        <f>IF(B69&gt;=1000,C69&amp; "kΩ, ",B69&amp; "Ω, ")  &amp; DB_R[[#This Row],[Package (m)]]</f>
        <v>7.5kΩ, 1005m</v>
      </c>
      <c r="B69">
        <v>7500</v>
      </c>
      <c r="C69">
        <f>DB_R[[#This Row],[R (Ω)]]/1000</f>
        <v>7.5</v>
      </c>
      <c r="D69">
        <v>65</v>
      </c>
      <c r="E69" s="62" t="s">
        <v>328</v>
      </c>
      <c r="F69" s="60" t="s">
        <v>329</v>
      </c>
      <c r="H69" t="s">
        <v>262</v>
      </c>
    </row>
    <row r="70" spans="1:8" x14ac:dyDescent="0.35">
      <c r="A70" t="str">
        <f>IF(B70&gt;=1000,C70&amp; "kΩ, ",B70&amp; "Ω, ")  &amp; DB_R[[#This Row],[Package (m)]]</f>
        <v>8.2kΩ, 1005m</v>
      </c>
      <c r="B70">
        <v>8200</v>
      </c>
      <c r="C70">
        <f>DB_R[[#This Row],[R (Ω)]]/1000</f>
        <v>8.1999999999999993</v>
      </c>
      <c r="D70">
        <v>65</v>
      </c>
      <c r="E70" s="62" t="s">
        <v>328</v>
      </c>
      <c r="F70" s="60" t="s">
        <v>329</v>
      </c>
      <c r="H70" t="s">
        <v>262</v>
      </c>
    </row>
    <row r="71" spans="1:8" x14ac:dyDescent="0.35">
      <c r="A71" t="str">
        <f>IF(B71&gt;=1000,C71&amp; "kΩ, ",B71&amp; "Ω, ")  &amp; DB_R[[#This Row],[Package (m)]]</f>
        <v>9.1kΩ, 1005m</v>
      </c>
      <c r="B71">
        <v>9100</v>
      </c>
      <c r="C71">
        <f>DB_R[[#This Row],[R (Ω)]]/1000</f>
        <v>9.1</v>
      </c>
      <c r="D71">
        <v>65</v>
      </c>
      <c r="E71" s="62" t="s">
        <v>328</v>
      </c>
      <c r="F71" s="60" t="s">
        <v>329</v>
      </c>
      <c r="H71" t="s">
        <v>262</v>
      </c>
    </row>
    <row r="72" spans="1:8" x14ac:dyDescent="0.35">
      <c r="A72" t="str">
        <f>IF(B72&gt;=1000,C72&amp; "kΩ, ",B72&amp; "Ω, ")  &amp; DB_R[[#This Row],[Package (m)]]</f>
        <v>10kΩ, 1005m</v>
      </c>
      <c r="B72">
        <v>10000</v>
      </c>
      <c r="C72">
        <f>DB_R[[#This Row],[R (Ω)]]/1000</f>
        <v>10</v>
      </c>
      <c r="D72">
        <v>65</v>
      </c>
      <c r="E72" s="62" t="s">
        <v>328</v>
      </c>
      <c r="F72" s="60" t="s">
        <v>329</v>
      </c>
      <c r="H72" t="s">
        <v>115</v>
      </c>
    </row>
    <row r="73" spans="1:8" x14ac:dyDescent="0.35">
      <c r="A73" t="str">
        <f>IF(B73&gt;=1000,C73&amp; "kΩ, ",B73&amp; "Ω, ")  &amp; DB_R[[#This Row],[Package (m)]]</f>
        <v>10kΩ, 1005m</v>
      </c>
      <c r="B73">
        <v>10000</v>
      </c>
      <c r="C73">
        <f>DB_R[[#This Row],[R (Ω)]]/1000</f>
        <v>10</v>
      </c>
      <c r="D73">
        <v>65</v>
      </c>
      <c r="E73" s="62" t="s">
        <v>328</v>
      </c>
      <c r="F73" s="60" t="s">
        <v>329</v>
      </c>
      <c r="H73" t="s">
        <v>115</v>
      </c>
    </row>
    <row r="74" spans="1:8" x14ac:dyDescent="0.35">
      <c r="A74" t="str">
        <f>IF(B74&gt;=1000,C74&amp; "kΩ, ",B74&amp; "Ω, ")  &amp; DB_R[[#This Row],[Package (m)]]</f>
        <v>11kΩ, 1005m</v>
      </c>
      <c r="B74">
        <v>11000</v>
      </c>
      <c r="C74">
        <f>DB_R[[#This Row],[R (Ω)]]/1000</f>
        <v>11</v>
      </c>
      <c r="D74">
        <v>65</v>
      </c>
      <c r="E74" s="62" t="s">
        <v>328</v>
      </c>
      <c r="F74" s="60" t="s">
        <v>329</v>
      </c>
      <c r="H74" t="s">
        <v>115</v>
      </c>
    </row>
    <row r="75" spans="1:8" x14ac:dyDescent="0.35">
      <c r="A75" t="str">
        <f>IF(B75&gt;=1000,C75&amp; "kΩ, ",B75&amp; "Ω, ")  &amp; DB_R[[#This Row],[Package (m)]]</f>
        <v>12kΩ, 1005m</v>
      </c>
      <c r="B75">
        <v>12000</v>
      </c>
      <c r="C75">
        <f>DB_R[[#This Row],[R (Ω)]]/1000</f>
        <v>12</v>
      </c>
      <c r="D75">
        <v>65</v>
      </c>
      <c r="E75" s="62" t="s">
        <v>328</v>
      </c>
      <c r="F75" s="60" t="s">
        <v>329</v>
      </c>
      <c r="H75" t="s">
        <v>115</v>
      </c>
    </row>
    <row r="76" spans="1:8" x14ac:dyDescent="0.35">
      <c r="A76" t="str">
        <f>IF(B76&gt;=1000,C76&amp; "kΩ, ",B76&amp; "Ω, ")  &amp; DB_R[[#This Row],[Package (m)]]</f>
        <v>13kΩ, 1005m</v>
      </c>
      <c r="B76">
        <v>13000</v>
      </c>
      <c r="C76">
        <f>DB_R[[#This Row],[R (Ω)]]/1000</f>
        <v>13</v>
      </c>
      <c r="D76">
        <v>65</v>
      </c>
      <c r="E76" s="62" t="s">
        <v>328</v>
      </c>
      <c r="F76" s="60" t="s">
        <v>329</v>
      </c>
      <c r="H76" t="s">
        <v>115</v>
      </c>
    </row>
    <row r="77" spans="1:8" x14ac:dyDescent="0.35">
      <c r="A77" t="str">
        <f>IF(B77&gt;=1000,C77&amp; "kΩ, ",B77&amp; "Ω, ")  &amp; DB_R[[#This Row],[Package (m)]]</f>
        <v>15kΩ, 1005m</v>
      </c>
      <c r="B77">
        <v>15000</v>
      </c>
      <c r="C77">
        <f>DB_R[[#This Row],[R (Ω)]]/1000</f>
        <v>15</v>
      </c>
      <c r="D77">
        <v>65</v>
      </c>
      <c r="E77" s="62" t="s">
        <v>328</v>
      </c>
      <c r="F77" s="60" t="s">
        <v>329</v>
      </c>
      <c r="H77" t="s">
        <v>115</v>
      </c>
    </row>
    <row r="78" spans="1:8" x14ac:dyDescent="0.35">
      <c r="A78" t="str">
        <f>IF(B78&gt;=1000,C78&amp; "kΩ, ",B78&amp; "Ω, ")  &amp; DB_R[[#This Row],[Package (m)]]</f>
        <v>16kΩ, 1005m</v>
      </c>
      <c r="B78">
        <v>16000</v>
      </c>
      <c r="C78">
        <f>DB_R[[#This Row],[R (Ω)]]/1000</f>
        <v>16</v>
      </c>
      <c r="D78">
        <v>65</v>
      </c>
      <c r="E78" s="62" t="s">
        <v>328</v>
      </c>
      <c r="F78" s="60" t="s">
        <v>329</v>
      </c>
      <c r="H78" t="s">
        <v>115</v>
      </c>
    </row>
    <row r="79" spans="1:8" x14ac:dyDescent="0.35">
      <c r="A79" t="str">
        <f>IF(B79&gt;=1000,C79&amp; "kΩ, ",B79&amp; "Ω, ")  &amp; DB_R[[#This Row],[Package (m)]]</f>
        <v>18kΩ, 1005m</v>
      </c>
      <c r="B79">
        <v>18000</v>
      </c>
      <c r="C79">
        <f>DB_R[[#This Row],[R (Ω)]]/1000</f>
        <v>18</v>
      </c>
      <c r="D79">
        <v>65</v>
      </c>
      <c r="E79" s="62" t="s">
        <v>328</v>
      </c>
      <c r="F79" s="60" t="s">
        <v>329</v>
      </c>
      <c r="H79" t="s">
        <v>115</v>
      </c>
    </row>
    <row r="80" spans="1:8" x14ac:dyDescent="0.35">
      <c r="A80" t="str">
        <f>IF(B80&gt;=1000,C80&amp; "kΩ, ",B80&amp; "Ω, ")  &amp; DB_R[[#This Row],[Package (m)]]</f>
        <v>20kΩ, 1005m</v>
      </c>
      <c r="B80">
        <v>20000</v>
      </c>
      <c r="C80">
        <f>DB_R[[#This Row],[R (Ω)]]/1000</f>
        <v>20</v>
      </c>
      <c r="D80">
        <v>65</v>
      </c>
      <c r="E80" s="62" t="s">
        <v>328</v>
      </c>
      <c r="F80" s="60" t="s">
        <v>329</v>
      </c>
      <c r="H80" t="s">
        <v>115</v>
      </c>
    </row>
    <row r="81" spans="1:8" x14ac:dyDescent="0.35">
      <c r="A81" t="str">
        <f>IF(B81&gt;=1000,C81&amp; "kΩ, ",B81&amp; "Ω, ")  &amp; DB_R[[#This Row],[Package (m)]]</f>
        <v>22kΩ, 1005m</v>
      </c>
      <c r="B81">
        <v>22000</v>
      </c>
      <c r="C81">
        <f>DB_R[[#This Row],[R (Ω)]]/1000</f>
        <v>22</v>
      </c>
      <c r="D81">
        <v>65</v>
      </c>
      <c r="E81" s="62" t="s">
        <v>328</v>
      </c>
      <c r="F81" s="60" t="s">
        <v>329</v>
      </c>
      <c r="H81" t="s">
        <v>115</v>
      </c>
    </row>
    <row r="82" spans="1:8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8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8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8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8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8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8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8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8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8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8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8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8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8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8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206</v>
      </c>
      <c r="B1" t="s">
        <v>209</v>
      </c>
    </row>
    <row r="2" spans="1:2" x14ac:dyDescent="0.35">
      <c r="A2" t="s">
        <v>207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165</v>
      </c>
      <c r="D1" t="s">
        <v>109</v>
      </c>
      <c r="E1" t="s">
        <v>110</v>
      </c>
      <c r="F1" t="s">
        <v>177</v>
      </c>
      <c r="G1" t="s">
        <v>183</v>
      </c>
      <c r="H1" t="s">
        <v>198</v>
      </c>
      <c r="I1" t="s">
        <v>169</v>
      </c>
      <c r="J1" t="s">
        <v>178</v>
      </c>
      <c r="K1" t="s">
        <v>170</v>
      </c>
      <c r="L1" t="s">
        <v>179</v>
      </c>
      <c r="M1" t="s">
        <v>168</v>
      </c>
      <c r="N1" t="s">
        <v>111</v>
      </c>
      <c r="O1" t="s">
        <v>112</v>
      </c>
      <c r="P1" t="s">
        <v>171</v>
      </c>
      <c r="Q1" t="s">
        <v>295</v>
      </c>
      <c r="R1" t="s">
        <v>304</v>
      </c>
      <c r="S1" t="s">
        <v>298</v>
      </c>
      <c r="T1" t="s">
        <v>164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174</v>
      </c>
      <c r="H2" s="60" t="s">
        <v>174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173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174</v>
      </c>
      <c r="H3" s="60" t="s">
        <v>174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173</v>
      </c>
      <c r="T3" t="s">
        <v>115</v>
      </c>
    </row>
    <row r="4" spans="1:20" x14ac:dyDescent="0.35">
      <c r="A4" t="s">
        <v>166</v>
      </c>
      <c r="B4" t="s">
        <v>167</v>
      </c>
      <c r="C4">
        <v>60</v>
      </c>
      <c r="D4">
        <v>3.5</v>
      </c>
      <c r="E4">
        <v>4.8</v>
      </c>
      <c r="F4">
        <v>29</v>
      </c>
      <c r="G4" s="60" t="s">
        <v>174</v>
      </c>
      <c r="H4" s="60" t="s">
        <v>174</v>
      </c>
      <c r="I4">
        <v>72</v>
      </c>
      <c r="J4">
        <v>105</v>
      </c>
      <c r="K4" s="60" t="s">
        <v>185</v>
      </c>
      <c r="L4" s="60" t="s">
        <v>184</v>
      </c>
      <c r="M4">
        <v>200</v>
      </c>
      <c r="N4">
        <v>4</v>
      </c>
      <c r="O4">
        <v>5.0999999999999996</v>
      </c>
      <c r="P4" t="s">
        <v>172</v>
      </c>
      <c r="T4" t="s">
        <v>114</v>
      </c>
    </row>
    <row r="5" spans="1:20" x14ac:dyDescent="0.35">
      <c r="A5" t="s">
        <v>175</v>
      </c>
      <c r="B5" t="s">
        <v>176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174</v>
      </c>
      <c r="H5" s="60" t="s">
        <v>174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173</v>
      </c>
      <c r="T5" t="s">
        <v>115</v>
      </c>
    </row>
    <row r="6" spans="1:20" x14ac:dyDescent="0.35">
      <c r="A6" t="s">
        <v>181</v>
      </c>
      <c r="B6" t="s">
        <v>180</v>
      </c>
      <c r="C6">
        <v>60</v>
      </c>
      <c r="D6">
        <v>2.2999999999999998</v>
      </c>
      <c r="E6">
        <v>2.7</v>
      </c>
      <c r="F6">
        <v>43</v>
      </c>
      <c r="G6" s="60" t="s">
        <v>174</v>
      </c>
      <c r="H6" s="60" t="s">
        <v>174</v>
      </c>
      <c r="I6">
        <v>134</v>
      </c>
      <c r="J6">
        <v>84</v>
      </c>
      <c r="K6" s="60">
        <v>23</v>
      </c>
      <c r="L6" s="60" t="s">
        <v>187</v>
      </c>
      <c r="M6">
        <v>536</v>
      </c>
      <c r="N6">
        <v>4.8</v>
      </c>
      <c r="O6">
        <v>5.4</v>
      </c>
      <c r="P6" t="s">
        <v>173</v>
      </c>
      <c r="T6" t="s">
        <v>182</v>
      </c>
    </row>
    <row r="7" spans="1:20" x14ac:dyDescent="0.35">
      <c r="A7" t="s">
        <v>186</v>
      </c>
      <c r="B7" t="s">
        <v>180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188</v>
      </c>
      <c r="M7">
        <v>936</v>
      </c>
      <c r="N7">
        <v>9</v>
      </c>
      <c r="O7">
        <v>9</v>
      </c>
      <c r="P7" t="s">
        <v>173</v>
      </c>
      <c r="T7" t="s">
        <v>115</v>
      </c>
    </row>
    <row r="8" spans="1:20" x14ac:dyDescent="0.35">
      <c r="A8" t="s">
        <v>203</v>
      </c>
      <c r="B8" t="s">
        <v>197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174</v>
      </c>
      <c r="I8">
        <v>100</v>
      </c>
      <c r="J8">
        <v>100</v>
      </c>
      <c r="K8" s="60">
        <v>29</v>
      </c>
      <c r="L8" s="60" t="s">
        <v>188</v>
      </c>
      <c r="M8">
        <v>400</v>
      </c>
      <c r="N8">
        <v>9</v>
      </c>
      <c r="O8">
        <v>3</v>
      </c>
      <c r="P8" t="s">
        <v>173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199</v>
      </c>
      <c r="O11" t="s">
        <v>199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274</v>
      </c>
      <c r="C1" t="s">
        <v>247</v>
      </c>
      <c r="D1" t="s">
        <v>282</v>
      </c>
      <c r="E1" t="s">
        <v>283</v>
      </c>
      <c r="F1" t="s">
        <v>276</v>
      </c>
      <c r="G1" t="s">
        <v>277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CAL_Vbat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2026-03-31T02:37:34Z</dcterms:modified>
</cp:coreProperties>
</file>