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m/Documents/WebDevProjects/pythonpaycalculator/"/>
    </mc:Choice>
  </mc:AlternateContent>
  <xr:revisionPtr revIDLastSave="0" documentId="13_ncr:1_{A9319494-D83B-C541-B476-A5F38C526377}" xr6:coauthVersionLast="47" xr6:coauthVersionMax="47" xr10:uidLastSave="{00000000-0000-0000-0000-000000000000}"/>
  <bookViews>
    <workbookView xWindow="380" yWindow="500" windowWidth="28040" windowHeight="16320" xr2:uid="{9F49DC5C-6A96-2841-848A-529403C530C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1" l="1"/>
  <c r="M39" i="1"/>
  <c r="M40" i="1"/>
  <c r="M32" i="1"/>
  <c r="C37" i="1"/>
  <c r="C38" i="1"/>
  <c r="C39" i="1"/>
  <c r="C40" i="1"/>
  <c r="C33" i="1"/>
  <c r="L24" i="1"/>
  <c r="L25" i="1"/>
  <c r="L26" i="1"/>
  <c r="L27" i="1"/>
  <c r="L28" i="1"/>
  <c r="K24" i="1"/>
  <c r="K25" i="1"/>
  <c r="K26" i="1"/>
  <c r="K27" i="1"/>
  <c r="K28" i="1"/>
  <c r="J24" i="1"/>
  <c r="J25" i="1"/>
  <c r="J26" i="1"/>
  <c r="J27" i="1"/>
  <c r="J28" i="1"/>
  <c r="I24" i="1"/>
  <c r="I25" i="1"/>
  <c r="I26" i="1"/>
  <c r="I27" i="1"/>
  <c r="I28" i="1"/>
  <c r="H24" i="1"/>
  <c r="H25" i="1"/>
  <c r="H26" i="1"/>
  <c r="H27" i="1"/>
  <c r="H28" i="1"/>
  <c r="G24" i="1"/>
  <c r="G25" i="1"/>
  <c r="G26" i="1"/>
  <c r="G27" i="1"/>
  <c r="G28" i="1"/>
  <c r="H3" i="1"/>
  <c r="H4" i="1"/>
  <c r="H5" i="1"/>
  <c r="H6" i="1"/>
  <c r="H7" i="1"/>
  <c r="H8" i="1"/>
  <c r="H9" i="1"/>
  <c r="H10" i="1"/>
  <c r="H11" i="1"/>
  <c r="M3" i="1"/>
  <c r="C13" i="1" s="1"/>
  <c r="C14" i="1" s="1"/>
  <c r="M4" i="1"/>
  <c r="M5" i="1"/>
  <c r="M6" i="1"/>
  <c r="M9" i="1"/>
  <c r="M8" i="1"/>
  <c r="M11" i="1"/>
  <c r="M10" i="1"/>
  <c r="M7" i="1"/>
  <c r="C11" i="1"/>
  <c r="F13" i="1" s="1"/>
  <c r="F14" i="1" s="1"/>
  <c r="M33" i="1" s="1"/>
  <c r="C10" i="1"/>
  <c r="C9" i="1"/>
  <c r="C8" i="1"/>
  <c r="C7" i="1"/>
  <c r="C6" i="1"/>
  <c r="C5" i="1"/>
  <c r="C4" i="1"/>
  <c r="M37" i="1" l="1"/>
  <c r="G23" i="1"/>
  <c r="H23" i="1"/>
  <c r="I23" i="1"/>
  <c r="J23" i="1"/>
  <c r="K23" i="1"/>
  <c r="L23" i="1"/>
  <c r="C36" i="1"/>
  <c r="M36" i="1"/>
  <c r="G22" i="1"/>
  <c r="H22" i="1"/>
  <c r="I22" i="1"/>
  <c r="J22" i="1"/>
  <c r="K22" i="1"/>
  <c r="L22" i="1"/>
  <c r="C35" i="1"/>
  <c r="M35" i="1"/>
  <c r="G21" i="1"/>
  <c r="H21" i="1"/>
  <c r="I21" i="1"/>
  <c r="J21" i="1"/>
  <c r="K21" i="1"/>
  <c r="L21" i="1"/>
  <c r="C34" i="1"/>
  <c r="M34" i="1"/>
  <c r="E20" i="1"/>
  <c r="F27" i="1"/>
  <c r="E27" i="1"/>
  <c r="M27" i="1"/>
  <c r="G20" i="1"/>
  <c r="D28" i="1"/>
  <c r="C28" i="1"/>
  <c r="F20" i="1"/>
  <c r="F28" i="1"/>
  <c r="E28" i="1"/>
  <c r="M28" i="1"/>
  <c r="D21" i="1"/>
  <c r="D20" i="1"/>
  <c r="C21" i="1"/>
  <c r="F21" i="1"/>
  <c r="E21" i="1"/>
  <c r="M21" i="1"/>
  <c r="M20" i="1"/>
  <c r="D22" i="1"/>
  <c r="C22" i="1"/>
  <c r="M24" i="1"/>
  <c r="D25" i="1"/>
  <c r="C25" i="1"/>
  <c r="F25" i="1"/>
  <c r="I20" i="1"/>
  <c r="F26" i="1"/>
  <c r="D27" i="1"/>
  <c r="F22" i="1"/>
  <c r="E22" i="1"/>
  <c r="M22" i="1"/>
  <c r="L20" i="1"/>
  <c r="D23" i="1"/>
  <c r="C23" i="1"/>
  <c r="F24" i="1"/>
  <c r="J20" i="1"/>
  <c r="E25" i="1"/>
  <c r="D26" i="1"/>
  <c r="M26" i="1"/>
  <c r="H20" i="1"/>
  <c r="F23" i="1"/>
  <c r="E23" i="1"/>
  <c r="M23" i="1"/>
  <c r="K20" i="1"/>
  <c r="D24" i="1"/>
  <c r="C24" i="1"/>
  <c r="E24" i="1"/>
  <c r="M25" i="1"/>
  <c r="C26" i="1"/>
  <c r="E26" i="1"/>
  <c r="C27" i="1"/>
</calcChain>
</file>

<file path=xl/sharedStrings.xml><?xml version="1.0" encoding="utf-8"?>
<sst xmlns="http://schemas.openxmlformats.org/spreadsheetml/2006/main" count="13" uniqueCount="10">
  <si>
    <t>FY1</t>
  </si>
  <si>
    <t>Number of Hours Worked</t>
  </si>
  <si>
    <t>Unsocial Enhancement per Hour multiplier for base rate</t>
  </si>
  <si>
    <t>Additional Hours Enhancement per Hour multiplier for base rate</t>
  </si>
  <si>
    <t>FY2</t>
  </si>
  <si>
    <t xml:space="preserve">Source BMA </t>
  </si>
  <si>
    <t>As the FY1 Table demonstrates it is possible to identify the multipliers which are applied to your base salary when you work either additional or antisocial hours. These are consistent and can be applied across all grades as can be seen in FY2 Table 2 which was calculated using these multiplies dynamically.</t>
  </si>
  <si>
    <t>Number of Additional Hours Worked</t>
  </si>
  <si>
    <t>ST1</t>
  </si>
  <si>
    <t>Antisocial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</si>
</sst>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
    <numFmt numFmtId="175" formatCode="0.00000"/>
  </numFmts>
  <fonts count="9">
    <font>
      <sz val="12"/>
      <color theme="1"/>
      <name val="Calibri"/>
      <family val="2"/>
      <scheme val="minor"/>
    </font>
    <font>
      <b/>
      <sz val="12"/>
      <color theme="1"/>
      <name val="Calibri"/>
      <family val="2"/>
      <scheme val="minor"/>
    </font>
    <font>
      <sz val="12"/>
      <color theme="0"/>
      <name val="Calibri"/>
      <family val="2"/>
      <scheme val="minor"/>
    </font>
    <font>
      <b/>
      <sz val="8"/>
      <color rgb="FF565654"/>
      <name val="InterFace"/>
    </font>
    <font>
      <sz val="8"/>
      <color rgb="FF565654"/>
      <name val="InterFace"/>
    </font>
    <font>
      <b/>
      <sz val="14"/>
      <color theme="1"/>
      <name val="Calibri"/>
      <family val="2"/>
      <scheme val="minor"/>
    </font>
    <font>
      <u/>
      <sz val="12"/>
      <color theme="10"/>
      <name val="Calibri"/>
      <family val="2"/>
      <scheme val="minor"/>
    </font>
    <font>
      <b/>
      <sz val="18"/>
      <color theme="1"/>
      <name val="Calibri"/>
      <family val="2"/>
      <scheme val="minor"/>
    </font>
    <font>
      <b/>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3" fillId="0" borderId="0" xfId="0" applyFont="1"/>
    <xf numFmtId="0" fontId="4" fillId="0" borderId="0" xfId="0" applyFont="1"/>
    <xf numFmtId="0" fontId="5" fillId="0" borderId="0" xfId="0" applyFont="1"/>
    <xf numFmtId="167" fontId="0" fillId="0" borderId="0" xfId="0" applyNumberFormat="1"/>
    <xf numFmtId="0" fontId="7" fillId="0" borderId="0" xfId="0" applyFont="1" applyAlignment="1">
      <alignment horizontal="center" vertical="center"/>
    </xf>
    <xf numFmtId="167" fontId="2" fillId="0" borderId="0" xfId="0" applyNumberFormat="1" applyFont="1"/>
    <xf numFmtId="0" fontId="8" fillId="0" borderId="0" xfId="1" applyFont="1" applyAlignment="1">
      <alignment horizontal="right"/>
    </xf>
    <xf numFmtId="0" fontId="1" fillId="0" borderId="0" xfId="0" applyFont="1" applyAlignment="1">
      <alignment horizontal="center" vertical="center" wrapText="1"/>
    </xf>
    <xf numFmtId="167" fontId="1" fillId="0" borderId="0" xfId="0" applyNumberFormat="1" applyFont="1" applyAlignment="1">
      <alignment horizontal="center" vertical="center"/>
    </xf>
    <xf numFmtId="167" fontId="0" fillId="0" borderId="0" xfId="0" applyNumberFormat="1" applyAlignment="1">
      <alignment horizontal="center"/>
    </xf>
    <xf numFmtId="167" fontId="0" fillId="0" borderId="0" xfId="0" applyNumberFormat="1" applyAlignment="1">
      <alignment horizontal="center" vertical="center" wrapText="1"/>
    </xf>
    <xf numFmtId="175" fontId="1" fillId="0" borderId="0" xfId="0" applyNumberFormat="1" applyFont="1" applyAlignment="1">
      <alignment horizontal="center" vertical="center"/>
    </xf>
    <xf numFmtId="0" fontId="7"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ma.org.uk/media/4650/bma-junior-doctors-contracts-pay-tables-october-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2C6-2634-6E4C-B2F6-3EB950B9731A}">
  <dimension ref="B1:T40"/>
  <sheetViews>
    <sheetView tabSelected="1" workbookViewId="0">
      <selection activeCell="F4" sqref="F4"/>
    </sheetView>
  </sheetViews>
  <sheetFormatPr baseColWidth="10" defaultRowHeight="16"/>
  <cols>
    <col min="2" max="2" width="39.5" customWidth="1"/>
    <col min="3" max="3" width="16.33203125" customWidth="1"/>
    <col min="5" max="5" width="13.33203125" customWidth="1"/>
  </cols>
  <sheetData>
    <row r="1" spans="2:20" ht="24">
      <c r="B1" s="13" t="s">
        <v>0</v>
      </c>
      <c r="C1" s="5" t="s">
        <v>9</v>
      </c>
      <c r="D1" s="5"/>
      <c r="E1" s="5"/>
      <c r="F1" s="5"/>
      <c r="G1" s="5"/>
      <c r="H1" s="5"/>
      <c r="I1" s="5"/>
      <c r="J1" s="5"/>
      <c r="K1" s="5"/>
      <c r="L1" s="5"/>
      <c r="M1" s="5"/>
    </row>
    <row r="2" spans="2:20" ht="19">
      <c r="B2" s="3" t="s">
        <v>1</v>
      </c>
      <c r="C2">
        <v>0</v>
      </c>
      <c r="D2">
        <v>2</v>
      </c>
      <c r="E2">
        <v>4</v>
      </c>
      <c r="F2">
        <v>6</v>
      </c>
      <c r="G2">
        <v>8</v>
      </c>
      <c r="H2">
        <v>10</v>
      </c>
      <c r="I2">
        <v>12</v>
      </c>
      <c r="J2">
        <v>14</v>
      </c>
      <c r="K2">
        <v>16</v>
      </c>
      <c r="L2">
        <v>18</v>
      </c>
      <c r="M2">
        <v>20</v>
      </c>
      <c r="N2" s="4"/>
      <c r="O2" s="11" t="s">
        <v>6</v>
      </c>
      <c r="P2" s="11"/>
      <c r="Q2" s="11"/>
      <c r="R2" s="11"/>
      <c r="S2" s="4"/>
      <c r="T2" s="4"/>
    </row>
    <row r="3" spans="2:20">
      <c r="B3">
        <v>40</v>
      </c>
      <c r="C3" s="4">
        <v>28808</v>
      </c>
      <c r="D3" s="4"/>
      <c r="E3" s="4"/>
      <c r="F3" s="4"/>
      <c r="G3" s="4"/>
      <c r="H3" s="4">
        <f>31473/C3</f>
        <v>1.0925090252707581</v>
      </c>
      <c r="I3" s="4"/>
      <c r="J3" s="4"/>
      <c r="K3" s="4"/>
      <c r="L3" s="4"/>
      <c r="M3" s="4">
        <f>34137/C3</f>
        <v>1.1849833379616772</v>
      </c>
      <c r="N3" s="4"/>
      <c r="O3" s="11"/>
      <c r="P3" s="11"/>
      <c r="Q3" s="11"/>
      <c r="R3" s="11"/>
      <c r="S3" s="4"/>
      <c r="T3" s="4"/>
    </row>
    <row r="4" spans="2:20">
      <c r="B4">
        <v>41</v>
      </c>
      <c r="C4" s="4">
        <f xml:space="preserve"> 29528 / C3</f>
        <v>1.0249930574840322</v>
      </c>
      <c r="D4" s="4"/>
      <c r="E4" s="4"/>
      <c r="F4" s="4"/>
      <c r="G4" s="4"/>
      <c r="H4" s="4">
        <f>32193/C3</f>
        <v>1.1175020827547903</v>
      </c>
      <c r="I4" s="4"/>
      <c r="J4" s="4"/>
      <c r="K4" s="4"/>
      <c r="L4" s="4"/>
      <c r="M4" s="4">
        <f>34858/C3</f>
        <v>1.2100111080255485</v>
      </c>
      <c r="N4" s="4"/>
      <c r="O4" s="11"/>
      <c r="P4" s="11"/>
      <c r="Q4" s="11"/>
      <c r="R4" s="11"/>
      <c r="S4" s="4"/>
      <c r="T4" s="4"/>
    </row>
    <row r="5" spans="2:20">
      <c r="B5">
        <v>42</v>
      </c>
      <c r="C5" s="4">
        <f xml:space="preserve"> 30248 / C3</f>
        <v>1.0499861149680645</v>
      </c>
      <c r="D5" s="4"/>
      <c r="E5" s="4"/>
      <c r="F5" s="4"/>
      <c r="G5" s="4"/>
      <c r="H5" s="4">
        <f>32913/C3</f>
        <v>1.1424951402388226</v>
      </c>
      <c r="I5" s="4"/>
      <c r="J5" s="4"/>
      <c r="K5" s="4"/>
      <c r="L5" s="4"/>
      <c r="M5" s="4">
        <f xml:space="preserve"> 35578 / C3</f>
        <v>1.2350041655095807</v>
      </c>
      <c r="N5" s="4"/>
      <c r="O5" s="11"/>
      <c r="P5" s="11"/>
      <c r="Q5" s="11"/>
      <c r="R5" s="11"/>
      <c r="S5" s="4"/>
      <c r="T5" s="4"/>
    </row>
    <row r="6" spans="2:20">
      <c r="B6">
        <v>43</v>
      </c>
      <c r="C6" s="4">
        <f xml:space="preserve"> 30969 / C3</f>
        <v>1.0750138850319355</v>
      </c>
      <c r="D6" s="4"/>
      <c r="E6" s="4"/>
      <c r="F6" s="4"/>
      <c r="G6" s="4"/>
      <c r="H6" s="4">
        <f>33633/C3</f>
        <v>1.1674881977228548</v>
      </c>
      <c r="I6" s="4"/>
      <c r="J6" s="4"/>
      <c r="K6" s="4"/>
      <c r="L6" s="4"/>
      <c r="M6" s="4">
        <f xml:space="preserve"> 36298 / C3</f>
        <v>1.2599972229936129</v>
      </c>
      <c r="N6" s="4"/>
      <c r="O6" s="11"/>
      <c r="P6" s="11"/>
      <c r="Q6" s="11"/>
      <c r="R6" s="11"/>
      <c r="S6" s="4"/>
      <c r="T6" s="4"/>
    </row>
    <row r="7" spans="2:20">
      <c r="B7">
        <v>44</v>
      </c>
      <c r="C7" s="4">
        <f xml:space="preserve"> 31689 / C3</f>
        <v>1.1000069425159678</v>
      </c>
      <c r="D7" s="4"/>
      <c r="E7" s="4"/>
      <c r="F7" s="4"/>
      <c r="G7" s="4"/>
      <c r="H7" s="4">
        <f>34354/C3</f>
        <v>1.1925159677867259</v>
      </c>
      <c r="I7" s="4"/>
      <c r="J7" s="4"/>
      <c r="K7" s="4"/>
      <c r="L7" s="4"/>
      <c r="M7" s="4">
        <f xml:space="preserve"> 37018 / C3</f>
        <v>1.2849902804776452</v>
      </c>
      <c r="N7" s="4"/>
      <c r="O7" s="11"/>
      <c r="P7" s="11"/>
      <c r="Q7" s="11"/>
      <c r="R7" s="11"/>
      <c r="S7" s="4"/>
      <c r="T7" s="4"/>
    </row>
    <row r="8" spans="2:20">
      <c r="B8">
        <v>45</v>
      </c>
      <c r="C8" s="4">
        <f>32409/C3</f>
        <v>1.125</v>
      </c>
      <c r="D8" s="4"/>
      <c r="E8" s="4"/>
      <c r="F8" s="4"/>
      <c r="G8" s="4"/>
      <c r="H8" s="4">
        <f>35074/C3</f>
        <v>1.2175090252707581</v>
      </c>
      <c r="I8" s="4"/>
      <c r="J8" s="4"/>
      <c r="K8" s="4"/>
      <c r="L8" s="4"/>
      <c r="M8" s="4">
        <f xml:space="preserve"> 37738 / C3</f>
        <v>1.3099833379616772</v>
      </c>
      <c r="N8" s="4"/>
      <c r="O8" s="11"/>
      <c r="P8" s="11"/>
      <c r="Q8" s="11"/>
      <c r="R8" s="11"/>
      <c r="S8" s="4"/>
      <c r="T8" s="4"/>
    </row>
    <row r="9" spans="2:20">
      <c r="B9">
        <v>46</v>
      </c>
      <c r="C9" s="4">
        <f xml:space="preserve"> 33129 / C3</f>
        <v>1.1499930574840322</v>
      </c>
      <c r="D9" s="4"/>
      <c r="E9" s="4"/>
      <c r="F9" s="4"/>
      <c r="G9" s="4"/>
      <c r="H9" s="4">
        <f>35794/C3</f>
        <v>1.2425020827547903</v>
      </c>
      <c r="I9" s="4"/>
      <c r="J9" s="4"/>
      <c r="K9" s="4"/>
      <c r="L9" s="4"/>
      <c r="M9" s="4">
        <f xml:space="preserve"> 38459 / C3</f>
        <v>1.3350111080255485</v>
      </c>
      <c r="N9" s="4"/>
      <c r="O9" s="11"/>
      <c r="P9" s="11"/>
      <c r="Q9" s="11"/>
      <c r="R9" s="11"/>
      <c r="S9" s="4"/>
      <c r="T9" s="4"/>
    </row>
    <row r="10" spans="2:20">
      <c r="B10">
        <v>47</v>
      </c>
      <c r="C10" s="4">
        <f xml:space="preserve"> 33849 / C3</f>
        <v>1.1749861149680645</v>
      </c>
      <c r="D10" s="4"/>
      <c r="E10" s="4"/>
      <c r="F10" s="4"/>
      <c r="G10" s="4"/>
      <c r="H10" s="4">
        <f>36514/C3</f>
        <v>1.2674951402388226</v>
      </c>
      <c r="I10" s="4"/>
      <c r="J10" s="4"/>
      <c r="K10" s="4"/>
      <c r="L10" s="4"/>
      <c r="M10" s="4">
        <f xml:space="preserve"> 39179 / C3</f>
        <v>1.3600041655095807</v>
      </c>
      <c r="N10" s="4"/>
      <c r="O10" s="11"/>
      <c r="P10" s="11"/>
      <c r="Q10" s="11"/>
      <c r="R10" s="11"/>
      <c r="S10" s="4"/>
      <c r="T10" s="4"/>
    </row>
    <row r="11" spans="2:20">
      <c r="B11">
        <v>48</v>
      </c>
      <c r="C11" s="4">
        <f xml:space="preserve"> 34570 / C3</f>
        <v>1.2000138850319355</v>
      </c>
      <c r="D11" s="4"/>
      <c r="E11" s="4"/>
      <c r="F11" s="4"/>
      <c r="G11" s="4"/>
      <c r="H11" s="4">
        <f>37234/C3</f>
        <v>1.2924881977228548</v>
      </c>
      <c r="I11" s="4"/>
      <c r="J11" s="4"/>
      <c r="K11" s="4"/>
      <c r="L11" s="4"/>
      <c r="M11" s="4">
        <f xml:space="preserve"> 39899 / C3</f>
        <v>1.3849972229936129</v>
      </c>
      <c r="N11" s="4"/>
      <c r="O11" s="11"/>
      <c r="P11" s="11"/>
      <c r="Q11" s="11"/>
      <c r="R11" s="11"/>
      <c r="S11" s="4"/>
      <c r="T11" s="4"/>
    </row>
    <row r="12" spans="2:20" ht="21">
      <c r="B12" s="7" t="s">
        <v>5</v>
      </c>
      <c r="N12" s="4"/>
      <c r="O12" s="4"/>
      <c r="P12" s="4"/>
      <c r="Q12" s="4"/>
      <c r="R12" s="4"/>
      <c r="S12" s="4"/>
      <c r="T12" s="4"/>
    </row>
    <row r="13" spans="2:20">
      <c r="C13" s="6">
        <f>M3- 1</f>
        <v>0.18498333796167721</v>
      </c>
      <c r="F13" s="6">
        <f xml:space="preserve"> C11 - 1</f>
        <v>0.20001388503193551</v>
      </c>
      <c r="N13" s="4"/>
      <c r="O13" s="10"/>
      <c r="P13" s="10"/>
      <c r="Q13" s="10"/>
      <c r="R13" s="10"/>
      <c r="S13" s="4"/>
      <c r="T13" s="4"/>
    </row>
    <row r="14" spans="2:20" ht="16" customHeight="1">
      <c r="B14" s="8" t="s">
        <v>2</v>
      </c>
      <c r="C14" s="12">
        <f xml:space="preserve"> C13 / 20</f>
        <v>9.2491668980838604E-3</v>
      </c>
      <c r="D14" s="8" t="s">
        <v>3</v>
      </c>
      <c r="E14" s="8"/>
      <c r="F14" s="9">
        <f>F13 / 8</f>
        <v>2.5001735628991939E-2</v>
      </c>
      <c r="N14" s="4"/>
      <c r="O14" s="4"/>
      <c r="P14" s="4"/>
      <c r="Q14" s="4"/>
      <c r="R14" s="4"/>
      <c r="S14" s="4"/>
      <c r="T14" s="4"/>
    </row>
    <row r="15" spans="2:20">
      <c r="B15" s="8"/>
      <c r="C15" s="12"/>
      <c r="D15" s="8"/>
      <c r="E15" s="8"/>
      <c r="F15" s="9"/>
      <c r="N15" s="4"/>
      <c r="O15" s="4"/>
      <c r="P15" s="4"/>
      <c r="Q15" s="4"/>
      <c r="R15" s="4"/>
      <c r="S15" s="4"/>
      <c r="T15" s="4"/>
    </row>
    <row r="16" spans="2:20">
      <c r="B16" s="8"/>
      <c r="C16" s="12"/>
      <c r="D16" s="8"/>
      <c r="E16" s="8"/>
      <c r="F16" s="9"/>
      <c r="N16" s="4"/>
      <c r="O16" s="4"/>
      <c r="P16" s="4"/>
      <c r="Q16" s="4"/>
      <c r="R16" s="4"/>
      <c r="S16" s="4"/>
      <c r="T16" s="4"/>
    </row>
    <row r="17" spans="2:20">
      <c r="F17" s="1"/>
      <c r="N17" s="4"/>
      <c r="O17" s="4"/>
      <c r="P17" s="4"/>
      <c r="Q17" s="4"/>
      <c r="R17" s="4"/>
      <c r="S17" s="4"/>
      <c r="T17" s="4"/>
    </row>
    <row r="18" spans="2:20" ht="24">
      <c r="B18" s="13" t="s">
        <v>4</v>
      </c>
      <c r="C18" s="5" t="s">
        <v>9</v>
      </c>
      <c r="D18" s="5"/>
      <c r="E18" s="5"/>
      <c r="F18" s="5"/>
      <c r="G18" s="5"/>
      <c r="H18" s="5"/>
      <c r="I18" s="5"/>
      <c r="J18" s="5"/>
      <c r="K18" s="5"/>
      <c r="L18" s="5"/>
      <c r="M18" s="5"/>
      <c r="N18" s="4"/>
      <c r="O18" s="4"/>
      <c r="P18" s="4"/>
      <c r="Q18" s="4"/>
      <c r="R18" s="4"/>
      <c r="S18" s="4"/>
      <c r="T18" s="4"/>
    </row>
    <row r="19" spans="2:20" ht="16" customHeight="1">
      <c r="B19" s="3" t="s">
        <v>7</v>
      </c>
      <c r="C19">
        <v>0</v>
      </c>
      <c r="D19">
        <v>2</v>
      </c>
      <c r="E19">
        <v>4</v>
      </c>
      <c r="F19">
        <v>6</v>
      </c>
      <c r="G19">
        <v>8</v>
      </c>
      <c r="H19">
        <v>10</v>
      </c>
      <c r="I19">
        <v>12</v>
      </c>
      <c r="J19">
        <v>14</v>
      </c>
      <c r="K19">
        <v>16</v>
      </c>
      <c r="L19">
        <v>18</v>
      </c>
      <c r="M19">
        <v>20</v>
      </c>
    </row>
    <row r="20" spans="2:20">
      <c r="B20">
        <v>0</v>
      </c>
      <c r="C20" s="4">
        <v>33345</v>
      </c>
      <c r="D20" s="4">
        <f>$C$20+($C$20*($F$14*B20))+($C$20*($D$19*$C$14))</f>
        <v>33961.82694043321</v>
      </c>
      <c r="E20" s="4">
        <f>$C$20+($C$20*($F$14*B20))+($C$20*($E$19*$C$14))</f>
        <v>34578.653880866426</v>
      </c>
      <c r="F20" s="4">
        <f>$C$20+($C$20*($F$14*B20))+($C$20*($F$19*$C$14))</f>
        <v>35195.480821299636</v>
      </c>
      <c r="G20" s="4">
        <f>$C$20+($C$20*($F$14*B20))+($C$20*($G$19*$C$14))</f>
        <v>35812.307761732853</v>
      </c>
      <c r="H20" s="4">
        <f>$C$20+($C$20*($F$14*B20))+($C$20*($H$19*$C$14))</f>
        <v>36429.134702166062</v>
      </c>
      <c r="I20" s="4">
        <f>$C$20+($C$20*($F$14*B20))+($C$20*($I$19*$C$14))</f>
        <v>37045.961642599279</v>
      </c>
      <c r="J20" s="4">
        <f>$C$20+($C$20*($F$14*B20))+($C$20*($J$19*$C$14))</f>
        <v>37662.788583032489</v>
      </c>
      <c r="K20" s="4">
        <f>$C$20+($C$20*($F$14*B20))+($C$20*($K$19*$C$14))</f>
        <v>38279.615523465698</v>
      </c>
      <c r="L20" s="4">
        <f>$C$20+($C$20*($F$14*B20))+($C$20*($L$19*$C$14))</f>
        <v>38896.442463898915</v>
      </c>
      <c r="M20" s="4">
        <f>$C$20+($C$20*($F$14*B20))+($C$20*($M$19*$C$14))</f>
        <v>39513.269404332124</v>
      </c>
    </row>
    <row r="21" spans="2:20">
      <c r="B21">
        <v>1</v>
      </c>
      <c r="C21" s="4">
        <f xml:space="preserve"> $C$20 + ($C$20 * ($F$14 *B21)) + ($C$20 * ($C$19*$C$14))</f>
        <v>34178.682874548736</v>
      </c>
      <c r="D21" s="4">
        <f t="shared" ref="D21:D28" si="0">$C$20+($C$20*($F$14*B21))+($C$20*($D$19*$C$14))</f>
        <v>34795.509814981946</v>
      </c>
      <c r="E21" s="4">
        <f t="shared" ref="E21:E28" si="1">$C$20+($C$20*($F$14*B21))+($C$20*($E$19*$C$14))</f>
        <v>35412.336755415163</v>
      </c>
      <c r="F21" s="4">
        <f t="shared" ref="F21:F28" si="2">$C$20+($C$20*($F$14*B21))+($C$20*($F$19*$C$14))</f>
        <v>36029.163695848372</v>
      </c>
      <c r="G21" s="4">
        <f t="shared" ref="G21:G28" si="3">$C$20+($C$20*($F$14*B21))+($C$20*($G$19*$C$14))</f>
        <v>36645.990636281589</v>
      </c>
      <c r="H21" s="4">
        <f t="shared" ref="H21:H28" si="4">$C$20+($C$20*($F$14*B21))+($C$20*($H$19*$C$14))</f>
        <v>37262.817576714799</v>
      </c>
      <c r="I21" s="4">
        <f t="shared" ref="I21:I28" si="5">$C$20+($C$20*($F$14*B21))+($C$20*($I$19*$C$14))</f>
        <v>37879.644517148015</v>
      </c>
      <c r="J21" s="4">
        <f t="shared" ref="J21:J28" si="6">$C$20+($C$20*($F$14*B21))+($C$20*($J$19*$C$14))</f>
        <v>38496.471457581225</v>
      </c>
      <c r="K21" s="4">
        <f t="shared" ref="K21:K28" si="7">$C$20+($C$20*($F$14*B21))+($C$20*($K$19*$C$14))</f>
        <v>39113.298398014434</v>
      </c>
      <c r="L21" s="4">
        <f t="shared" ref="L21:L28" si="8">$C$20+($C$20*($F$14*B21))+($C$20*($L$19*$C$14))</f>
        <v>39730.125338447651</v>
      </c>
      <c r="M21" s="4">
        <f t="shared" ref="M21:M28" si="9">$C$20+($C$20*($F$14*B21))+($C$20*($M$19*$C$14))</f>
        <v>40346.952278880861</v>
      </c>
    </row>
    <row r="22" spans="2:20">
      <c r="B22">
        <v>2</v>
      </c>
      <c r="C22" s="4">
        <f t="shared" ref="C22:C28" si="10" xml:space="preserve"> $C$20 + ($C$20 * ($F$14 *B22)) + ($C$20 * ($C$19*$C$14))</f>
        <v>35012.365749097473</v>
      </c>
      <c r="D22" s="4">
        <f t="shared" si="0"/>
        <v>35629.192689530682</v>
      </c>
      <c r="E22" s="4">
        <f t="shared" si="1"/>
        <v>36246.019629963899</v>
      </c>
      <c r="F22" s="4">
        <f t="shared" si="2"/>
        <v>36862.846570397109</v>
      </c>
      <c r="G22" s="4">
        <f t="shared" si="3"/>
        <v>37479.673510830326</v>
      </c>
      <c r="H22" s="4">
        <f t="shared" si="4"/>
        <v>38096.500451263535</v>
      </c>
      <c r="I22" s="4">
        <f t="shared" si="5"/>
        <v>38713.327391696752</v>
      </c>
      <c r="J22" s="4">
        <f t="shared" si="6"/>
        <v>39330.154332129961</v>
      </c>
      <c r="K22" s="4">
        <f t="shared" si="7"/>
        <v>39946.981272563171</v>
      </c>
      <c r="L22" s="4">
        <f t="shared" si="8"/>
        <v>40563.808212996388</v>
      </c>
      <c r="M22" s="4">
        <f t="shared" si="9"/>
        <v>41180.635153429597</v>
      </c>
    </row>
    <row r="23" spans="2:20">
      <c r="B23">
        <v>3</v>
      </c>
      <c r="C23" s="4">
        <f t="shared" si="10"/>
        <v>35846.048623646209</v>
      </c>
      <c r="D23" s="4">
        <f t="shared" si="0"/>
        <v>36462.875564079419</v>
      </c>
      <c r="E23" s="4">
        <f t="shared" si="1"/>
        <v>37079.702504512636</v>
      </c>
      <c r="F23" s="4">
        <f t="shared" si="2"/>
        <v>37696.529444945845</v>
      </c>
      <c r="G23" s="4">
        <f t="shared" si="3"/>
        <v>38313.356385379062</v>
      </c>
      <c r="H23" s="4">
        <f t="shared" si="4"/>
        <v>38930.183325812272</v>
      </c>
      <c r="I23" s="4">
        <f t="shared" si="5"/>
        <v>39547.010266245488</v>
      </c>
      <c r="J23" s="4">
        <f t="shared" si="6"/>
        <v>40163.837206678698</v>
      </c>
      <c r="K23" s="4">
        <f t="shared" si="7"/>
        <v>40780.664147111907</v>
      </c>
      <c r="L23" s="4">
        <f t="shared" si="8"/>
        <v>41397.491087545124</v>
      </c>
      <c r="M23" s="4">
        <f t="shared" si="9"/>
        <v>42014.318027978334</v>
      </c>
    </row>
    <row r="24" spans="2:20">
      <c r="B24">
        <v>4</v>
      </c>
      <c r="C24" s="4">
        <f t="shared" si="10"/>
        <v>36679.731498194946</v>
      </c>
      <c r="D24" s="4">
        <f t="shared" si="0"/>
        <v>37296.558438628155</v>
      </c>
      <c r="E24" s="4">
        <f t="shared" si="1"/>
        <v>37913.385379061372</v>
      </c>
      <c r="F24" s="4">
        <f t="shared" si="2"/>
        <v>38530.212319494582</v>
      </c>
      <c r="G24" s="4">
        <f t="shared" si="3"/>
        <v>39147.039259927798</v>
      </c>
      <c r="H24" s="4">
        <f t="shared" si="4"/>
        <v>39763.866200361008</v>
      </c>
      <c r="I24" s="4">
        <f t="shared" si="5"/>
        <v>40380.693140794225</v>
      </c>
      <c r="J24" s="4">
        <f t="shared" si="6"/>
        <v>40997.520081227434</v>
      </c>
      <c r="K24" s="4">
        <f t="shared" si="7"/>
        <v>41614.347021660644</v>
      </c>
      <c r="L24" s="4">
        <f t="shared" si="8"/>
        <v>42231.173962093861</v>
      </c>
      <c r="M24" s="4">
        <f t="shared" si="9"/>
        <v>42848.00090252707</v>
      </c>
    </row>
    <row r="25" spans="2:20">
      <c r="B25">
        <v>5</v>
      </c>
      <c r="C25" s="4">
        <f t="shared" si="10"/>
        <v>37513.414372743682</v>
      </c>
      <c r="D25" s="4">
        <f t="shared" si="0"/>
        <v>38130.241313176892</v>
      </c>
      <c r="E25" s="4">
        <f t="shared" si="1"/>
        <v>38747.068253610109</v>
      </c>
      <c r="F25" s="4">
        <f t="shared" si="2"/>
        <v>39363.895194043318</v>
      </c>
      <c r="G25" s="4">
        <f t="shared" si="3"/>
        <v>39980.722134476535</v>
      </c>
      <c r="H25" s="4">
        <f t="shared" si="4"/>
        <v>40597.549074909744</v>
      </c>
      <c r="I25" s="4">
        <f t="shared" si="5"/>
        <v>41214.376015342961</v>
      </c>
      <c r="J25" s="4">
        <f t="shared" si="6"/>
        <v>41831.202955776171</v>
      </c>
      <c r="K25" s="4">
        <f t="shared" si="7"/>
        <v>42448.02989620938</v>
      </c>
      <c r="L25" s="4">
        <f t="shared" si="8"/>
        <v>43064.856836642597</v>
      </c>
      <c r="M25" s="4">
        <f t="shared" si="9"/>
        <v>43681.683777075807</v>
      </c>
    </row>
    <row r="26" spans="2:20">
      <c r="B26">
        <v>6</v>
      </c>
      <c r="C26" s="4">
        <f t="shared" si="10"/>
        <v>38347.097247292419</v>
      </c>
      <c r="D26" s="4">
        <f t="shared" si="0"/>
        <v>38963.924187725628</v>
      </c>
      <c r="E26" s="4">
        <f t="shared" si="1"/>
        <v>39580.751128158845</v>
      </c>
      <c r="F26" s="4">
        <f t="shared" si="2"/>
        <v>40197.578068592054</v>
      </c>
      <c r="G26" s="4">
        <f t="shared" si="3"/>
        <v>40814.405009025271</v>
      </c>
      <c r="H26" s="4">
        <f t="shared" si="4"/>
        <v>41431.231949458481</v>
      </c>
      <c r="I26" s="4">
        <f t="shared" si="5"/>
        <v>42048.058889891698</v>
      </c>
      <c r="J26" s="4">
        <f t="shared" si="6"/>
        <v>42664.885830324907</v>
      </c>
      <c r="K26" s="4">
        <f t="shared" si="7"/>
        <v>43281.712770758117</v>
      </c>
      <c r="L26" s="4">
        <f t="shared" si="8"/>
        <v>43898.539711191333</v>
      </c>
      <c r="M26" s="4">
        <f t="shared" si="9"/>
        <v>44515.366651624543</v>
      </c>
    </row>
    <row r="27" spans="2:20">
      <c r="B27">
        <v>7</v>
      </c>
      <c r="C27" s="4">
        <f t="shared" si="10"/>
        <v>39180.780121841155</v>
      </c>
      <c r="D27" s="4">
        <f t="shared" si="0"/>
        <v>39797.607062274365</v>
      </c>
      <c r="E27" s="4">
        <f t="shared" si="1"/>
        <v>40414.434002707581</v>
      </c>
      <c r="F27" s="4">
        <f t="shared" si="2"/>
        <v>41031.260943140791</v>
      </c>
      <c r="G27" s="4">
        <f t="shared" si="3"/>
        <v>41648.087883574008</v>
      </c>
      <c r="H27" s="4">
        <f t="shared" si="4"/>
        <v>42264.914824007217</v>
      </c>
      <c r="I27" s="4">
        <f t="shared" si="5"/>
        <v>42881.741764440434</v>
      </c>
      <c r="J27" s="4">
        <f t="shared" si="6"/>
        <v>43498.568704873644</v>
      </c>
      <c r="K27" s="4">
        <f t="shared" si="7"/>
        <v>44115.395645306853</v>
      </c>
      <c r="L27" s="4">
        <f t="shared" si="8"/>
        <v>44732.22258574007</v>
      </c>
      <c r="M27" s="4">
        <f t="shared" si="9"/>
        <v>45349.049526173279</v>
      </c>
    </row>
    <row r="28" spans="2:20">
      <c r="B28">
        <v>8</v>
      </c>
      <c r="C28" s="4">
        <f t="shared" si="10"/>
        <v>40014.462996389891</v>
      </c>
      <c r="D28" s="4">
        <f t="shared" si="0"/>
        <v>40631.289936823101</v>
      </c>
      <c r="E28" s="4">
        <f t="shared" si="1"/>
        <v>41248.116877256318</v>
      </c>
      <c r="F28" s="4">
        <f t="shared" si="2"/>
        <v>41864.943817689527</v>
      </c>
      <c r="G28" s="4">
        <f t="shared" si="3"/>
        <v>42481.770758122744</v>
      </c>
      <c r="H28" s="4">
        <f t="shared" si="4"/>
        <v>43098.597698555954</v>
      </c>
      <c r="I28" s="4">
        <f t="shared" si="5"/>
        <v>43715.42463898917</v>
      </c>
      <c r="J28" s="4">
        <f t="shared" si="6"/>
        <v>44332.25157942238</v>
      </c>
      <c r="K28" s="4">
        <f t="shared" si="7"/>
        <v>44949.07851985559</v>
      </c>
      <c r="L28" s="4">
        <f t="shared" si="8"/>
        <v>45565.905460288806</v>
      </c>
      <c r="M28" s="4">
        <f t="shared" si="9"/>
        <v>46182.732400722016</v>
      </c>
    </row>
    <row r="29" spans="2:20">
      <c r="F29" s="2"/>
    </row>
    <row r="30" spans="2:20" ht="24">
      <c r="B30" s="13" t="s">
        <v>8</v>
      </c>
      <c r="C30" s="5" t="s">
        <v>9</v>
      </c>
      <c r="D30" s="5"/>
      <c r="E30" s="5"/>
      <c r="F30" s="5"/>
      <c r="G30" s="5"/>
      <c r="H30" s="5"/>
      <c r="I30" s="5"/>
      <c r="J30" s="5"/>
      <c r="K30" s="5"/>
      <c r="L30" s="5"/>
      <c r="M30" s="5"/>
    </row>
    <row r="31" spans="2:20" ht="19">
      <c r="B31" s="3" t="s">
        <v>7</v>
      </c>
      <c r="C31">
        <v>0</v>
      </c>
      <c r="D31">
        <v>2</v>
      </c>
      <c r="E31">
        <v>4</v>
      </c>
      <c r="F31">
        <v>6</v>
      </c>
      <c r="G31">
        <v>8</v>
      </c>
      <c r="H31">
        <v>10</v>
      </c>
      <c r="I31">
        <v>12</v>
      </c>
      <c r="J31">
        <v>14</v>
      </c>
      <c r="K31">
        <v>16</v>
      </c>
      <c r="L31">
        <v>18</v>
      </c>
      <c r="M31">
        <v>20</v>
      </c>
    </row>
    <row r="32" spans="2:20">
      <c r="B32">
        <v>0</v>
      </c>
      <c r="C32" s="4">
        <v>39467</v>
      </c>
      <c r="D32" s="4"/>
      <c r="E32" s="4"/>
      <c r="F32" s="4"/>
      <c r="G32" s="4"/>
      <c r="H32" s="4"/>
      <c r="I32" s="4"/>
      <c r="J32" s="4"/>
      <c r="K32" s="4"/>
      <c r="L32" s="4"/>
      <c r="M32" s="4">
        <f xml:space="preserve"> $C$32 + ($C$32 * ($F$14 *B32)) + ($C$32 * ($M$31*$C$14))</f>
        <v>46767.737399333513</v>
      </c>
    </row>
    <row r="33" spans="2:13">
      <c r="B33">
        <v>1</v>
      </c>
      <c r="C33" s="4">
        <f xml:space="preserve"> $C$32 + ($C$32 * ($F$14 *B33)) + ($C$32 * ($C$31*$C$14))</f>
        <v>40453.743500069424</v>
      </c>
      <c r="D33" s="4"/>
      <c r="E33" s="4"/>
      <c r="F33" s="4"/>
      <c r="G33" s="4"/>
      <c r="H33" s="4"/>
      <c r="I33" s="4"/>
      <c r="J33" s="4"/>
      <c r="K33" s="4"/>
      <c r="L33" s="4"/>
      <c r="M33" s="4">
        <f t="shared" ref="M33:M40" si="11" xml:space="preserve"> $C$32 + ($C$32 * ($F$14 *B33)) + ($C$32 * ($M$31*$C$14))</f>
        <v>47754.480899402937</v>
      </c>
    </row>
    <row r="34" spans="2:13">
      <c r="B34">
        <v>2</v>
      </c>
      <c r="C34" s="4">
        <f t="shared" ref="C34:C40" si="12" xml:space="preserve"> $C$32 + ($C$32 * ($F$14 *B34)) + ($C$32 * ($C$31*$C$14))</f>
        <v>41440.487000138848</v>
      </c>
      <c r="D34" s="4"/>
      <c r="E34" s="4"/>
      <c r="F34" s="4"/>
      <c r="G34" s="4"/>
      <c r="H34" s="4"/>
      <c r="I34" s="4"/>
      <c r="J34" s="4"/>
      <c r="K34" s="4"/>
      <c r="L34" s="4"/>
      <c r="M34" s="4">
        <f t="shared" si="11"/>
        <v>48741.224399472361</v>
      </c>
    </row>
    <row r="35" spans="2:13">
      <c r="B35">
        <v>3</v>
      </c>
      <c r="C35" s="4">
        <f t="shared" si="12"/>
        <v>42427.230500208272</v>
      </c>
      <c r="D35" s="4"/>
      <c r="E35" s="4"/>
      <c r="F35" s="4"/>
      <c r="G35" s="4"/>
      <c r="H35" s="4"/>
      <c r="I35" s="4"/>
      <c r="J35" s="4"/>
      <c r="K35" s="4"/>
      <c r="L35" s="4"/>
      <c r="M35" s="4">
        <f t="shared" si="11"/>
        <v>49727.967899541785</v>
      </c>
    </row>
    <row r="36" spans="2:13">
      <c r="B36">
        <v>4</v>
      </c>
      <c r="C36" s="4">
        <f t="shared" si="12"/>
        <v>43413.974000277696</v>
      </c>
      <c r="D36" s="4"/>
      <c r="E36" s="4"/>
      <c r="F36" s="4"/>
      <c r="G36" s="4"/>
      <c r="H36" s="4"/>
      <c r="I36" s="4"/>
      <c r="J36" s="4"/>
      <c r="K36" s="4"/>
      <c r="L36" s="4"/>
      <c r="M36" s="4">
        <f t="shared" si="11"/>
        <v>50714.711399611209</v>
      </c>
    </row>
    <row r="37" spans="2:13">
      <c r="B37">
        <v>5</v>
      </c>
      <c r="C37" s="4">
        <f t="shared" si="12"/>
        <v>44400.71750034712</v>
      </c>
      <c r="D37" s="4"/>
      <c r="E37" s="4"/>
      <c r="F37" s="4"/>
      <c r="G37" s="4"/>
      <c r="H37" s="4"/>
      <c r="I37" s="4"/>
      <c r="J37" s="4"/>
      <c r="K37" s="4"/>
      <c r="L37" s="4"/>
      <c r="M37" s="4">
        <f t="shared" si="11"/>
        <v>51701.454899680633</v>
      </c>
    </row>
    <row r="38" spans="2:13">
      <c r="B38">
        <v>6</v>
      </c>
      <c r="C38" s="4">
        <f t="shared" si="12"/>
        <v>45387.461000416552</v>
      </c>
      <c r="D38" s="4"/>
      <c r="E38" s="4"/>
      <c r="F38" s="4"/>
      <c r="G38" s="4"/>
      <c r="H38" s="4"/>
      <c r="I38" s="4"/>
      <c r="J38" s="4"/>
      <c r="K38" s="4"/>
      <c r="L38" s="4"/>
      <c r="M38" s="4">
        <f t="shared" si="11"/>
        <v>52688.198399750065</v>
      </c>
    </row>
    <row r="39" spans="2:13">
      <c r="B39">
        <v>7</v>
      </c>
      <c r="C39" s="4">
        <f t="shared" si="12"/>
        <v>46374.204500485976</v>
      </c>
      <c r="D39" s="4"/>
      <c r="E39" s="4"/>
      <c r="F39" s="4"/>
      <c r="G39" s="4"/>
      <c r="H39" s="4"/>
      <c r="I39" s="4"/>
      <c r="J39" s="4"/>
      <c r="K39" s="4"/>
      <c r="L39" s="4"/>
      <c r="M39" s="4">
        <f t="shared" si="11"/>
        <v>53674.941899819489</v>
      </c>
    </row>
    <row r="40" spans="2:13">
      <c r="B40">
        <v>8</v>
      </c>
      <c r="C40" s="4">
        <f t="shared" si="12"/>
        <v>47360.9480005554</v>
      </c>
      <c r="D40" s="4"/>
      <c r="E40" s="4"/>
      <c r="F40" s="4"/>
      <c r="G40" s="4"/>
      <c r="H40" s="4"/>
      <c r="I40" s="4"/>
      <c r="J40" s="4"/>
      <c r="K40" s="4"/>
      <c r="L40" s="4"/>
      <c r="M40" s="4">
        <f t="shared" si="11"/>
        <v>54661.685399888913</v>
      </c>
    </row>
  </sheetData>
  <mergeCells count="9">
    <mergeCell ref="O13:R13"/>
    <mergeCell ref="C18:M18"/>
    <mergeCell ref="C30:M30"/>
    <mergeCell ref="C1:M1"/>
    <mergeCell ref="D14:E16"/>
    <mergeCell ref="C14:C16"/>
    <mergeCell ref="F14:F16"/>
    <mergeCell ref="B14:B16"/>
    <mergeCell ref="O2:R11"/>
  </mergeCells>
  <hyperlinks>
    <hyperlink ref="B12" r:id="rId1" display="Source " xr:uid="{8F9A7227-24F3-5744-85CB-10536084EAD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2022-01-18T18:00:16Z</dcterms:created>
  <dcterms:modified xsi:type="dcterms:W3CDTF">2022-01-18T18:50:38Z</dcterms:modified>
</cp:coreProperties>
</file>