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defaultThemeVersion="166925"/>
  <mc:AlternateContent xmlns:mc="http://schemas.openxmlformats.org/markup-compatibility/2006">
    <mc:Choice Requires="x15">
      <x15ac:absPath xmlns:x15ac="http://schemas.microsoft.com/office/spreadsheetml/2010/11/ac" url="C:\Users\Soulseeker\Downloads\"/>
    </mc:Choice>
  </mc:AlternateContent>
  <xr:revisionPtr revIDLastSave="0" documentId="13_ncr:1_{88FF0395-A56C-459F-ACAF-CED4FC990934}" xr6:coauthVersionLast="28" xr6:coauthVersionMax="28" xr10:uidLastSave="{00000000-0000-0000-0000-000000000000}"/>
  <bookViews>
    <workbookView xWindow="0" yWindow="0" windowWidth="17256" windowHeight="5628" tabRatio="449" xr2:uid="{1A5A1E77-8062-4A16-B3D9-AD0D1972DCB3}"/>
  </bookViews>
  <sheets>
    <sheet name="Lookups" sheetId="1" r:id="rId1"/>
    <sheet name="Tbl_Dvd" sheetId="2" r:id="rId2"/>
    <sheet name="Customers" sheetId="3" r:id="rId3"/>
    <sheet name="1stWk" sheetId="4" r:id="rId4"/>
    <sheet name="2ndWk" sheetId="6" r:id="rId5"/>
    <sheet name="3rdWk" sheetId="7" r:id="rId6"/>
    <sheet name="4thWk" sheetId="8" r:id="rId7"/>
    <sheet name="5thWk" sheetId="9" r:id="rId8"/>
    <sheet name="6thWK" sheetId="10" r:id="rId9"/>
    <sheet name="7thWK" sheetId="11" r:id="rId10"/>
    <sheet name="Outlines" sheetId="12" r:id="rId11"/>
  </sheets>
  <definedNames>
    <definedName name="_xlnm._FilterDatabase" localSheetId="1" hidden="1">Tbl_Dvd!$B$6:$O$44</definedName>
    <definedName name="_xlnm.Criteria" localSheetId="1">Tbl_Dvd!$B$1:$O$2</definedName>
    <definedName name="Cus.Ref">Lookups!$P$2</definedName>
    <definedName name="Customers">Table11[#All]</definedName>
    <definedName name="Customers.Tlb">Table12[#All]</definedName>
    <definedName name="Tbl.Customers">Customers!$F$13</definedName>
    <definedName name="Tbl.Dvd">Tbl_Dvd!#REF!</definedName>
  </definedNames>
  <calcPr calcId="17102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5" i="10" l="1"/>
  <c r="W6" i="10"/>
  <c r="W7" i="10"/>
  <c r="W8" i="10"/>
  <c r="W9" i="10"/>
  <c r="W10" i="10"/>
  <c r="W11" i="10"/>
  <c r="W12" i="10"/>
  <c r="W13" i="10"/>
  <c r="W14" i="10"/>
  <c r="W15" i="10"/>
  <c r="W16" i="10"/>
  <c r="W17" i="10"/>
  <c r="W18" i="10"/>
  <c r="W19" i="10"/>
  <c r="W20" i="10"/>
  <c r="W21" i="10"/>
  <c r="W4" i="10"/>
  <c r="V5" i="10"/>
  <c r="V6" i="10"/>
  <c r="V7" i="10"/>
  <c r="V8" i="10"/>
  <c r="V9" i="10"/>
  <c r="V10" i="10"/>
  <c r="V11" i="10"/>
  <c r="V12" i="10"/>
  <c r="V13" i="10"/>
  <c r="V14" i="10"/>
  <c r="V15" i="10"/>
  <c r="V16" i="10"/>
  <c r="V17" i="10"/>
  <c r="V18" i="10"/>
  <c r="V19" i="10"/>
  <c r="V20" i="10"/>
  <c r="V21" i="10"/>
  <c r="V4" i="10"/>
  <c r="T4" i="10"/>
  <c r="U4" i="10"/>
  <c r="U5" i="10"/>
  <c r="U6" i="10"/>
  <c r="U7" i="10"/>
  <c r="U8" i="10"/>
  <c r="U9" i="10"/>
  <c r="U10" i="10"/>
  <c r="U11" i="10"/>
  <c r="U12" i="10"/>
  <c r="U13" i="10"/>
  <c r="U14" i="10"/>
  <c r="U15" i="10"/>
  <c r="U16" i="10"/>
  <c r="U17" i="10"/>
  <c r="U18" i="10"/>
  <c r="U19" i="10"/>
  <c r="U20" i="10"/>
  <c r="U21" i="10"/>
  <c r="W5" i="9"/>
  <c r="W6" i="9"/>
  <c r="W7" i="9"/>
  <c r="W8" i="9"/>
  <c r="W9" i="9"/>
  <c r="W10" i="9"/>
  <c r="W11" i="9"/>
  <c r="W12" i="9"/>
  <c r="W13" i="9"/>
  <c r="W14" i="9"/>
  <c r="W15" i="9"/>
  <c r="W16" i="9"/>
  <c r="W17" i="9"/>
  <c r="W18" i="9"/>
  <c r="W19" i="9"/>
  <c r="W20" i="9"/>
  <c r="W21" i="9"/>
  <c r="W4" i="9"/>
  <c r="V5" i="9"/>
  <c r="V6" i="9"/>
  <c r="V7" i="9"/>
  <c r="V8" i="9"/>
  <c r="V9" i="9"/>
  <c r="V10" i="9"/>
  <c r="V11" i="9"/>
  <c r="V12" i="9"/>
  <c r="V13" i="9"/>
  <c r="V14" i="9"/>
  <c r="V15" i="9"/>
  <c r="V16" i="9"/>
  <c r="V17" i="9"/>
  <c r="V18" i="9"/>
  <c r="V19" i="9"/>
  <c r="V20" i="9"/>
  <c r="V21" i="9"/>
  <c r="V4" i="9"/>
  <c r="U5" i="9"/>
  <c r="U6" i="9"/>
  <c r="U7" i="9"/>
  <c r="U8" i="9"/>
  <c r="U9" i="9"/>
  <c r="U10" i="9"/>
  <c r="U11" i="9"/>
  <c r="U12" i="9"/>
  <c r="U13" i="9"/>
  <c r="U14" i="9"/>
  <c r="U15" i="9"/>
  <c r="U16" i="9"/>
  <c r="U17" i="9"/>
  <c r="U18" i="9"/>
  <c r="U19" i="9"/>
  <c r="U20" i="9"/>
  <c r="U21" i="9"/>
  <c r="U4" i="9"/>
  <c r="W5" i="8"/>
  <c r="W6" i="8"/>
  <c r="W7" i="8"/>
  <c r="W8" i="8"/>
  <c r="W9" i="8"/>
  <c r="W10" i="8"/>
  <c r="W11" i="8"/>
  <c r="W12" i="8"/>
  <c r="W13" i="8"/>
  <c r="W14" i="8"/>
  <c r="W15" i="8"/>
  <c r="W16" i="8"/>
  <c r="W17" i="8"/>
  <c r="W18" i="8"/>
  <c r="W19" i="8"/>
  <c r="W20" i="8"/>
  <c r="W21" i="8"/>
  <c r="W4" i="8"/>
  <c r="V5" i="8"/>
  <c r="V6" i="8"/>
  <c r="V7" i="8"/>
  <c r="V8" i="8"/>
  <c r="V9" i="8"/>
  <c r="V10" i="8"/>
  <c r="V11" i="8"/>
  <c r="V12" i="8"/>
  <c r="V13" i="8"/>
  <c r="V14" i="8"/>
  <c r="V15" i="8"/>
  <c r="V16" i="8"/>
  <c r="V17" i="8"/>
  <c r="V18" i="8"/>
  <c r="V19" i="8"/>
  <c r="V20" i="8"/>
  <c r="V21" i="8"/>
  <c r="V4" i="8"/>
  <c r="U5" i="8"/>
  <c r="U6" i="8"/>
  <c r="U7" i="8"/>
  <c r="U8" i="8"/>
  <c r="U9" i="8"/>
  <c r="U10" i="8"/>
  <c r="U11" i="8"/>
  <c r="U12" i="8"/>
  <c r="U13" i="8"/>
  <c r="U14" i="8"/>
  <c r="U15" i="8"/>
  <c r="U16" i="8"/>
  <c r="U17" i="8"/>
  <c r="U18" i="8"/>
  <c r="U19" i="8"/>
  <c r="U20" i="8"/>
  <c r="U21" i="8"/>
  <c r="U4" i="8"/>
  <c r="W5" i="7"/>
  <c r="W6" i="7"/>
  <c r="W7" i="7"/>
  <c r="W8" i="7"/>
  <c r="W9" i="7"/>
  <c r="W10" i="7"/>
  <c r="W11" i="7"/>
  <c r="W12" i="7"/>
  <c r="W13" i="7"/>
  <c r="W14" i="7"/>
  <c r="W15" i="7"/>
  <c r="W16" i="7"/>
  <c r="W17" i="7"/>
  <c r="W18" i="7"/>
  <c r="W19" i="7"/>
  <c r="W20" i="7"/>
  <c r="W21" i="7"/>
  <c r="W4" i="7"/>
  <c r="V5" i="7"/>
  <c r="V6" i="7"/>
  <c r="V7" i="7"/>
  <c r="V8" i="7"/>
  <c r="V9" i="7"/>
  <c r="V10" i="7"/>
  <c r="V11" i="7"/>
  <c r="V12" i="7"/>
  <c r="V13" i="7"/>
  <c r="V14" i="7"/>
  <c r="V15" i="7"/>
  <c r="V16" i="7"/>
  <c r="V17" i="7"/>
  <c r="V18" i="7"/>
  <c r="V19" i="7"/>
  <c r="V20" i="7"/>
  <c r="V21" i="7"/>
  <c r="V4" i="7"/>
  <c r="U5" i="7"/>
  <c r="U6" i="7"/>
  <c r="U7" i="7"/>
  <c r="U8" i="7"/>
  <c r="U9" i="7"/>
  <c r="U10" i="7"/>
  <c r="U11" i="7"/>
  <c r="U12" i="7"/>
  <c r="U13" i="7"/>
  <c r="U14" i="7"/>
  <c r="U15" i="7"/>
  <c r="U16" i="7"/>
  <c r="U17" i="7"/>
  <c r="U18" i="7"/>
  <c r="U19" i="7"/>
  <c r="U20" i="7"/>
  <c r="U21" i="7"/>
  <c r="U4" i="7"/>
  <c r="W5" i="6"/>
  <c r="W6" i="6"/>
  <c r="W7" i="6"/>
  <c r="W8" i="6"/>
  <c r="W9" i="6"/>
  <c r="W10" i="6"/>
  <c r="W11" i="6"/>
  <c r="W12" i="6"/>
  <c r="W13" i="6"/>
  <c r="W14" i="6"/>
  <c r="W15" i="6"/>
  <c r="W16" i="6"/>
  <c r="W17" i="6"/>
  <c r="W18" i="6"/>
  <c r="W19" i="6"/>
  <c r="W20" i="6"/>
  <c r="W21" i="6"/>
  <c r="W22" i="6"/>
  <c r="W23" i="6"/>
  <c r="W24" i="6"/>
  <c r="W25" i="6"/>
  <c r="W26" i="6"/>
  <c r="W27" i="6"/>
  <c r="W28" i="6"/>
  <c r="W29" i="6"/>
  <c r="W30" i="6"/>
  <c r="W31" i="6"/>
  <c r="W32" i="6"/>
  <c r="W33" i="6"/>
  <c r="W4" i="6"/>
  <c r="V5" i="6"/>
  <c r="V6" i="6"/>
  <c r="V7" i="6"/>
  <c r="V8" i="6"/>
  <c r="V9" i="6"/>
  <c r="V10" i="6"/>
  <c r="V11" i="6"/>
  <c r="V12" i="6"/>
  <c r="V13" i="6"/>
  <c r="V14" i="6"/>
  <c r="V15" i="6"/>
  <c r="V16" i="6"/>
  <c r="V17" i="6"/>
  <c r="V18" i="6"/>
  <c r="V19" i="6"/>
  <c r="V20" i="6"/>
  <c r="V21" i="6"/>
  <c r="V22" i="6"/>
  <c r="V23" i="6"/>
  <c r="V24" i="6"/>
  <c r="V25" i="6"/>
  <c r="V26" i="6"/>
  <c r="V27" i="6"/>
  <c r="V28" i="6"/>
  <c r="V29" i="6"/>
  <c r="V30" i="6"/>
  <c r="V31" i="6"/>
  <c r="V32" i="6"/>
  <c r="V33" i="6"/>
  <c r="V4" i="6"/>
  <c r="U5" i="6"/>
  <c r="U6" i="6"/>
  <c r="U7" i="6"/>
  <c r="U8" i="6"/>
  <c r="U9" i="6"/>
  <c r="U10" i="6"/>
  <c r="U11" i="6"/>
  <c r="U12" i="6"/>
  <c r="U13" i="6"/>
  <c r="U14" i="6"/>
  <c r="U15" i="6"/>
  <c r="U16" i="6"/>
  <c r="U17" i="6"/>
  <c r="U18" i="6"/>
  <c r="U19" i="6"/>
  <c r="U20" i="6"/>
  <c r="U21" i="6"/>
  <c r="U22" i="6"/>
  <c r="U23" i="6"/>
  <c r="U24" i="6"/>
  <c r="U25" i="6"/>
  <c r="U26" i="6"/>
  <c r="U27" i="6"/>
  <c r="U28" i="6"/>
  <c r="U29" i="6"/>
  <c r="U30" i="6"/>
  <c r="U31" i="6"/>
  <c r="U32" i="6"/>
  <c r="U33" i="6"/>
  <c r="U4" i="6"/>
  <c r="V22" i="4"/>
  <c r="V23" i="4"/>
  <c r="V24" i="4"/>
  <c r="V25" i="4"/>
  <c r="V26" i="4"/>
  <c r="V27" i="4"/>
  <c r="V28" i="4"/>
  <c r="V29" i="4"/>
  <c r="V30" i="4"/>
  <c r="V31" i="4"/>
  <c r="V32" i="4"/>
  <c r="V33" i="4"/>
  <c r="V5" i="4"/>
  <c r="V6" i="4"/>
  <c r="V7" i="4"/>
  <c r="V8" i="4"/>
  <c r="V9" i="4"/>
  <c r="V10" i="4"/>
  <c r="V11" i="4"/>
  <c r="V12" i="4"/>
  <c r="V13" i="4"/>
  <c r="V14" i="4"/>
  <c r="V15" i="4"/>
  <c r="V16" i="4"/>
  <c r="V17" i="4"/>
  <c r="V18" i="4"/>
  <c r="V19" i="4"/>
  <c r="V20" i="4"/>
  <c r="V21" i="4"/>
  <c r="V4" i="4"/>
  <c r="K5" i="1"/>
  <c r="K6" i="1"/>
  <c r="K12" i="1"/>
  <c r="U32" i="4"/>
  <c r="U5" i="4"/>
  <c r="T5" i="4"/>
  <c r="W5" i="4"/>
  <c r="U6" i="4"/>
  <c r="T6" i="4"/>
  <c r="W6" i="4"/>
  <c r="U7" i="4"/>
  <c r="T7" i="4"/>
  <c r="W7" i="4"/>
  <c r="U8" i="4"/>
  <c r="T8" i="4"/>
  <c r="W8" i="4"/>
  <c r="U9" i="4"/>
  <c r="T9" i="4"/>
  <c r="W9" i="4"/>
  <c r="U10" i="4"/>
  <c r="T10" i="4"/>
  <c r="W10" i="4"/>
  <c r="U11" i="4"/>
  <c r="T11" i="4"/>
  <c r="W11" i="4"/>
  <c r="U12" i="4"/>
  <c r="T12" i="4"/>
  <c r="W12" i="4"/>
  <c r="U13" i="4"/>
  <c r="T13" i="4"/>
  <c r="W13" i="4"/>
  <c r="U14" i="4"/>
  <c r="T14" i="4"/>
  <c r="W14" i="4"/>
  <c r="U15" i="4"/>
  <c r="T15" i="4"/>
  <c r="W15" i="4"/>
  <c r="U16" i="4"/>
  <c r="T16" i="4"/>
  <c r="W16" i="4"/>
  <c r="U17" i="4"/>
  <c r="T17" i="4"/>
  <c r="W17" i="4"/>
  <c r="U18" i="4"/>
  <c r="T18" i="4"/>
  <c r="W18" i="4"/>
  <c r="U19" i="4"/>
  <c r="T19" i="4"/>
  <c r="W19" i="4"/>
  <c r="U20" i="4"/>
  <c r="T20" i="4"/>
  <c r="W20" i="4"/>
  <c r="U21" i="4"/>
  <c r="T21" i="4"/>
  <c r="W21" i="4"/>
  <c r="U22" i="4"/>
  <c r="T22" i="4"/>
  <c r="W22" i="4"/>
  <c r="U23" i="4"/>
  <c r="T23" i="4"/>
  <c r="W23" i="4"/>
  <c r="U24" i="4"/>
  <c r="T24" i="4"/>
  <c r="W24" i="4"/>
  <c r="U25" i="4"/>
  <c r="T25" i="4"/>
  <c r="W25" i="4"/>
  <c r="U26" i="4"/>
  <c r="T26" i="4"/>
  <c r="W26" i="4"/>
  <c r="U27" i="4"/>
  <c r="T27" i="4"/>
  <c r="W27" i="4"/>
  <c r="U28" i="4"/>
  <c r="T28" i="4"/>
  <c r="W28" i="4"/>
  <c r="U29" i="4"/>
  <c r="T29" i="4"/>
  <c r="W29" i="4"/>
  <c r="U30" i="4"/>
  <c r="T30" i="4"/>
  <c r="W30" i="4"/>
  <c r="U31" i="4"/>
  <c r="T31" i="4"/>
  <c r="W31" i="4"/>
  <c r="T32" i="4"/>
  <c r="W32" i="4"/>
  <c r="U33" i="4"/>
  <c r="T33" i="4"/>
  <c r="W33" i="4"/>
  <c r="T4" i="4"/>
  <c r="U4" i="4"/>
  <c r="W4" i="4"/>
  <c r="H15" i="1"/>
  <c r="A6" i="12"/>
  <c r="D7" i="12"/>
  <c r="D13" i="12"/>
  <c r="D15" i="12"/>
  <c r="E7" i="12"/>
  <c r="E13" i="12"/>
  <c r="E15" i="12"/>
  <c r="H2" i="12"/>
  <c r="H3" i="12"/>
  <c r="H4" i="12"/>
  <c r="H5" i="12"/>
  <c r="H6" i="12"/>
  <c r="H7" i="12"/>
  <c r="H8" i="12"/>
  <c r="H9" i="12"/>
  <c r="H10" i="12"/>
  <c r="H11" i="12"/>
  <c r="H12" i="12"/>
  <c r="H13" i="12"/>
  <c r="H15" i="12"/>
  <c r="G7" i="12"/>
  <c r="G13" i="12"/>
  <c r="G15" i="12"/>
  <c r="F7" i="12"/>
  <c r="F13" i="12"/>
  <c r="F15" i="12"/>
  <c r="B7" i="12"/>
  <c r="B18" i="4"/>
  <c r="B8" i="4"/>
  <c r="T4" i="1"/>
  <c r="B18" i="6"/>
  <c r="B8" i="7"/>
  <c r="T4" i="8"/>
  <c r="T5" i="8"/>
  <c r="T6" i="8"/>
  <c r="T7" i="8"/>
  <c r="T8" i="8"/>
  <c r="T9" i="8"/>
  <c r="T10" i="8"/>
  <c r="T11" i="8"/>
  <c r="T12" i="8"/>
  <c r="T13" i="8"/>
  <c r="T14" i="8"/>
  <c r="T15" i="8"/>
  <c r="T16" i="8"/>
  <c r="T17" i="8"/>
  <c r="T18" i="8"/>
  <c r="T19" i="8"/>
  <c r="T20" i="8"/>
  <c r="T21" i="8"/>
  <c r="B7" i="8"/>
  <c r="B9" i="8"/>
  <c r="B8" i="8"/>
  <c r="T4" i="7"/>
  <c r="T5" i="7"/>
  <c r="T6" i="7"/>
  <c r="T7" i="7"/>
  <c r="T8" i="7"/>
  <c r="T9" i="7"/>
  <c r="T10" i="7"/>
  <c r="T11" i="7"/>
  <c r="T12" i="7"/>
  <c r="T13" i="7"/>
  <c r="T14" i="7"/>
  <c r="T15" i="7"/>
  <c r="T16" i="7"/>
  <c r="T17" i="7"/>
  <c r="T18" i="7"/>
  <c r="T19" i="7"/>
  <c r="T20" i="7"/>
  <c r="T21" i="7"/>
  <c r="B7" i="7"/>
  <c r="B9" i="7"/>
  <c r="B18" i="7"/>
  <c r="B18" i="8"/>
  <c r="T4" i="9"/>
  <c r="T5" i="9"/>
  <c r="T6" i="9"/>
  <c r="T7" i="9"/>
  <c r="T8" i="9"/>
  <c r="T9" i="9"/>
  <c r="T10" i="9"/>
  <c r="T11" i="9"/>
  <c r="T12" i="9"/>
  <c r="T13" i="9"/>
  <c r="T14" i="9"/>
  <c r="T15" i="9"/>
  <c r="T16" i="9"/>
  <c r="T17" i="9"/>
  <c r="T18" i="9"/>
  <c r="T19" i="9"/>
  <c r="T20" i="9"/>
  <c r="T21" i="9"/>
  <c r="B7" i="9"/>
  <c r="B18" i="9"/>
  <c r="B8" i="9"/>
  <c r="B9" i="9"/>
  <c r="B8" i="10"/>
  <c r="B18" i="10"/>
  <c r="T5" i="10"/>
  <c r="T6" i="10"/>
  <c r="T7" i="10"/>
  <c r="T8" i="10"/>
  <c r="T9" i="10"/>
  <c r="T10" i="10"/>
  <c r="T11" i="10"/>
  <c r="T12" i="10"/>
  <c r="T13" i="10"/>
  <c r="T14" i="10"/>
  <c r="T15" i="10"/>
  <c r="T16" i="10"/>
  <c r="T17" i="10"/>
  <c r="T18" i="10"/>
  <c r="T19" i="10"/>
  <c r="T20" i="10"/>
  <c r="T21" i="10"/>
  <c r="B7" i="10"/>
  <c r="B9" i="10"/>
  <c r="T4" i="11"/>
  <c r="V4" i="11"/>
  <c r="T5" i="11"/>
  <c r="V5" i="11"/>
  <c r="T6" i="11"/>
  <c r="V6" i="11"/>
  <c r="T7" i="11"/>
  <c r="V7" i="11"/>
  <c r="T8" i="11"/>
  <c r="V8" i="11"/>
  <c r="T9" i="11"/>
  <c r="V9" i="11"/>
  <c r="T10" i="11"/>
  <c r="V10" i="11"/>
  <c r="T11" i="11"/>
  <c r="V11" i="11"/>
  <c r="T12" i="11"/>
  <c r="V12" i="11"/>
  <c r="T13" i="11"/>
  <c r="V13" i="11"/>
  <c r="T14" i="11"/>
  <c r="V14" i="11"/>
  <c r="T15" i="11"/>
  <c r="V15" i="11"/>
  <c r="T16" i="11"/>
  <c r="V16" i="11"/>
  <c r="T17" i="11"/>
  <c r="V17" i="11"/>
  <c r="T18" i="11"/>
  <c r="V18" i="11"/>
  <c r="T19" i="11"/>
  <c r="V19" i="11"/>
  <c r="T20" i="11"/>
  <c r="V20" i="11"/>
  <c r="T21" i="11"/>
  <c r="V21" i="11"/>
  <c r="B7" i="11"/>
  <c r="B18" i="11"/>
  <c r="B8" i="11"/>
  <c r="B9" i="11"/>
  <c r="P3" i="1" a="1"/>
  <c r="P3" i="1"/>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37" i="3"/>
  <c r="M38" i="3"/>
  <c r="M39" i="3"/>
  <c r="M40" i="3"/>
  <c r="M41" i="3"/>
  <c r="M42" i="3"/>
  <c r="M43" i="3"/>
  <c r="M44" i="3"/>
  <c r="M45" i="3"/>
  <c r="M46" i="3"/>
  <c r="M47" i="3"/>
  <c r="M48" i="3"/>
  <c r="M49" i="3"/>
  <c r="M50" i="3"/>
  <c r="M51" i="3"/>
  <c r="M52" i="3"/>
  <c r="M53" i="3"/>
  <c r="M54" i="3"/>
  <c r="M55" i="3"/>
  <c r="M56" i="3"/>
  <c r="M5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7" i="3"/>
  <c r="I101" i="3"/>
  <c r="I102" i="3"/>
  <c r="I103" i="3"/>
  <c r="I104" i="3"/>
  <c r="I105" i="3"/>
  <c r="I106" i="3"/>
  <c r="I107" i="3"/>
  <c r="I108" i="3"/>
  <c r="I109" i="3"/>
  <c r="I110" i="3"/>
  <c r="I111" i="3"/>
  <c r="I112" i="3"/>
  <c r="I113" i="3"/>
  <c r="I114" i="3"/>
  <c r="I115" i="3"/>
  <c r="I116" i="3"/>
  <c r="I117" i="3"/>
  <c r="I118" i="3"/>
  <c r="I85" i="3"/>
  <c r="I86" i="3"/>
  <c r="I87" i="3"/>
  <c r="I88" i="3"/>
  <c r="I89" i="3"/>
  <c r="I90" i="3"/>
  <c r="I91" i="3"/>
  <c r="I92" i="3"/>
  <c r="I93" i="3"/>
  <c r="I94" i="3"/>
  <c r="I95" i="3"/>
  <c r="I96" i="3"/>
  <c r="I97" i="3"/>
  <c r="I98" i="3"/>
  <c r="I99" i="3"/>
  <c r="I100" i="3"/>
  <c r="I67" i="3"/>
  <c r="I68" i="3"/>
  <c r="I69" i="3"/>
  <c r="I70" i="3"/>
  <c r="I71" i="3"/>
  <c r="I72" i="3"/>
  <c r="I73" i="3"/>
  <c r="I74" i="3"/>
  <c r="I75" i="3"/>
  <c r="I76" i="3"/>
  <c r="I77" i="3"/>
  <c r="I78" i="3"/>
  <c r="I79" i="3"/>
  <c r="I80" i="3"/>
  <c r="I81" i="3"/>
  <c r="I82" i="3"/>
  <c r="I83" i="3"/>
  <c r="I84" i="3"/>
  <c r="I49" i="3"/>
  <c r="I50" i="3"/>
  <c r="I51" i="3"/>
  <c r="I52" i="3"/>
  <c r="I53" i="3"/>
  <c r="I54" i="3"/>
  <c r="I55" i="3"/>
  <c r="I56" i="3"/>
  <c r="I57" i="3"/>
  <c r="I58" i="3"/>
  <c r="I59" i="3"/>
  <c r="I60" i="3"/>
  <c r="I61" i="3"/>
  <c r="I62" i="3"/>
  <c r="I63" i="3"/>
  <c r="I64" i="3"/>
  <c r="I65" i="3"/>
  <c r="I66" i="3"/>
  <c r="I48" i="3"/>
  <c r="I47" i="3"/>
  <c r="I46" i="3"/>
  <c r="I45" i="3"/>
  <c r="I44" i="3"/>
  <c r="I43" i="3"/>
  <c r="I42" i="3"/>
  <c r="I41" i="3"/>
  <c r="I40" i="3"/>
  <c r="I39" i="3"/>
  <c r="I38" i="3"/>
  <c r="I37" i="3"/>
  <c r="T4" i="6"/>
  <c r="T5" i="6"/>
  <c r="T6" i="6"/>
  <c r="T7" i="6"/>
  <c r="T8" i="6"/>
  <c r="T9" i="6"/>
  <c r="T10" i="6"/>
  <c r="T11" i="6"/>
  <c r="T12" i="6"/>
  <c r="T13" i="6"/>
  <c r="T14" i="6"/>
  <c r="T15" i="6"/>
  <c r="T16" i="6"/>
  <c r="T17" i="6"/>
  <c r="T18" i="6"/>
  <c r="T19" i="6"/>
  <c r="T20" i="6"/>
  <c r="T21" i="6"/>
  <c r="T22" i="6"/>
  <c r="T23" i="6"/>
  <c r="T24" i="6"/>
  <c r="T25" i="6"/>
  <c r="T26" i="6"/>
  <c r="T27" i="6"/>
  <c r="T28" i="6"/>
  <c r="T29" i="6"/>
  <c r="T30" i="6"/>
  <c r="T31" i="6"/>
  <c r="T32" i="6"/>
  <c r="T33" i="6"/>
  <c r="B7" i="6"/>
  <c r="B8" i="6"/>
  <c r="B9" i="6"/>
  <c r="P13" i="1"/>
  <c r="P12" i="1"/>
  <c r="P11" i="1"/>
  <c r="P10" i="1"/>
  <c r="I7" i="3"/>
  <c r="I8" i="3"/>
  <c r="I15" i="3"/>
  <c r="I14" i="3"/>
  <c r="I24" i="3"/>
  <c r="P9" i="1"/>
  <c r="P8" i="1"/>
  <c r="P7" i="1"/>
  <c r="P6" i="1"/>
  <c r="P5" i="1"/>
  <c r="P4" i="1"/>
  <c r="I9" i="3"/>
  <c r="I10" i="3"/>
  <c r="I11" i="3"/>
  <c r="I12" i="3"/>
  <c r="I13" i="3"/>
  <c r="I16" i="3"/>
  <c r="I17" i="3"/>
  <c r="I18" i="3"/>
  <c r="I19" i="3"/>
  <c r="I20" i="3"/>
  <c r="I21" i="3"/>
  <c r="I22" i="3"/>
  <c r="I23" i="3"/>
  <c r="I25" i="3"/>
  <c r="I26" i="3"/>
  <c r="I27" i="3"/>
  <c r="I28" i="3"/>
  <c r="I29" i="3"/>
  <c r="I30" i="3"/>
  <c r="I31" i="3"/>
  <c r="I32" i="3"/>
  <c r="I33" i="3"/>
  <c r="I34" i="3"/>
  <c r="I35" i="3"/>
  <c r="I36" i="3"/>
  <c r="K7" i="1"/>
  <c r="K8" i="1"/>
  <c r="B7" i="4"/>
  <c r="B9" i="4"/>
  <c r="T3" i="1"/>
  <c r="T5" i="1"/>
</calcChain>
</file>

<file path=xl/sharedStrings.xml><?xml version="1.0" encoding="utf-8"?>
<sst xmlns="http://schemas.openxmlformats.org/spreadsheetml/2006/main" count="2567" uniqueCount="671">
  <si>
    <t># Items Bought</t>
  </si>
  <si>
    <t>Discount %</t>
  </si>
  <si>
    <t>Sales Price</t>
  </si>
  <si>
    <t>#Items Bought</t>
  </si>
  <si>
    <t>Total Price</t>
  </si>
  <si>
    <t>Discount</t>
  </si>
  <si>
    <t>Discount Price</t>
  </si>
  <si>
    <t>(HLOOKUP) Discount Price Table</t>
  </si>
  <si>
    <t>Full Name</t>
  </si>
  <si>
    <t>State</t>
  </si>
  <si>
    <t>Address Line 1</t>
  </si>
  <si>
    <t>Address Line 2</t>
  </si>
  <si>
    <t>PostCode</t>
  </si>
  <si>
    <t>Gender</t>
  </si>
  <si>
    <t>Date Of Birth</t>
  </si>
  <si>
    <t>Age</t>
  </si>
  <si>
    <t>Bank Details</t>
  </si>
  <si>
    <t>Mobile Phone</t>
  </si>
  <si>
    <t>Home Phone</t>
  </si>
  <si>
    <t>(VLOOLUP) Customer-Quick Search Table</t>
  </si>
  <si>
    <t># Dvd Ref</t>
  </si>
  <si>
    <t>Movie Title</t>
  </si>
  <si>
    <t>Genre</t>
  </si>
  <si>
    <t>SubGenre</t>
  </si>
  <si>
    <t>No. Copies</t>
  </si>
  <si>
    <t>Purchased@</t>
  </si>
  <si>
    <t>Discription</t>
  </si>
  <si>
    <t>Release Date</t>
  </si>
  <si>
    <t>Star Rating</t>
  </si>
  <si>
    <t>Crt. Rating</t>
  </si>
  <si>
    <t>Office Budjet</t>
  </si>
  <si>
    <t>Minutes</t>
  </si>
  <si>
    <t>In-Stock</t>
  </si>
  <si>
    <t xml:space="preserve"> Sales Price</t>
  </si>
  <si>
    <t>Fate of The Furious</t>
  </si>
  <si>
    <t>Action</t>
  </si>
  <si>
    <t>Adventure, Crime,Thriller</t>
  </si>
  <si>
    <t>Brian and Mia have retired from the game-and the rest of the crew has been exonerated-the globetrotting team has found a semblance of a normal life. But when a mysterious woman seduces Dom into the world of crime he can't seem to escape and a betrayal of those closest to him, they will face trials that will test them as never before. From the shores of Cuba and the streets of New York City to the icy plains off the arctic Barents Sea, the elite force will crisscross the globe to stop an anarchist from unleashing chaos on the world's stage... and to bring home the man who made them a family. Written by harpreet phamber</t>
  </si>
  <si>
    <t>6 STARS</t>
  </si>
  <si>
    <t>U</t>
  </si>
  <si>
    <t>Alien:Covenant</t>
  </si>
  <si>
    <t>Horror</t>
  </si>
  <si>
    <t>Sci-Fi,Thriller</t>
  </si>
  <si>
    <t>The crew of the colony ship Covenant, bound for a remote planet on the far side of the galaxy, discovers what they think is an uncharted paradise, but is actually a dark, dangerous world. When they uncover a threat beyond their imagination, they must attempt a harrowing escape Written by Twentieth Century Fox</t>
  </si>
  <si>
    <t>7 STARS</t>
  </si>
  <si>
    <t>PG</t>
  </si>
  <si>
    <t>Wonder woman</t>
  </si>
  <si>
    <t>Adventure, Fantasy, sci-Fi</t>
  </si>
  <si>
    <t>Before she was Wonder Woman, she was Diana, princess of the Amazons, trained to be an unconquerable warrior. Raised on a sheltered island paradise, when a pilot crashes on their shores and tells of a massive conflict raging in the outside world, Diana leaves her home, convinced she can stop the threat. Fighting alongside man in a war to end all wars, Diana will discover her full powers and her true destiny</t>
  </si>
  <si>
    <t>8 STARS</t>
  </si>
  <si>
    <t>PG 13</t>
  </si>
  <si>
    <t>Kong Skull Island</t>
  </si>
  <si>
    <t>A washed up monster chaser convinces the U.S. Government to fund a trip to an unexplored island in the South Pacific. Under the guise of geological research, the team travels to "Skull Island". Upon arrival, the group discover that their mission may be complicated by the wildlife which inhabits the island. The beautiful vistas and deadly creatures create a visually stunning experience that is sure to keep your attention. Written by Jason Burns</t>
  </si>
  <si>
    <t>5 STARS</t>
  </si>
  <si>
    <t>PG 17</t>
  </si>
  <si>
    <t>Get Out</t>
  </si>
  <si>
    <t>Mystery</t>
  </si>
  <si>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 Written by Anonymous</t>
  </si>
  <si>
    <t>Hidden Figures</t>
  </si>
  <si>
    <t>Biography</t>
  </si>
  <si>
    <t>Drama, History</t>
  </si>
  <si>
    <t>As the United States raced against Russia to put a man in space, NASA found untapped talent in a group of African-American female mathematicians that served as the brains behind one of the greatest operations in U.S. history. Based on the unbelievably true life stories of three of these women, known as "human computers", we follow these women as they quickly rose the ranks of NASA alongside many of history's greatest minds specifically tasked with calculating the momentous launch of astronaut John Glenn into orbit, and guaranteeing his safe return. Dorothy Vaughan, Mary Jackson, and Katherine Johnson crossed all gender, race, and professional lines while their brilliance and desire to dream big, beyond anything ever accomplished before by the human race, firmly cemented them in U.S. history as true American heroes. Written by 20th Century Fox</t>
  </si>
  <si>
    <t>A 12</t>
  </si>
  <si>
    <t>Fifty Shades Darker</t>
  </si>
  <si>
    <t>Drama</t>
  </si>
  <si>
    <t>Romance</t>
  </si>
  <si>
    <t>Christian and Ana decide to rekindle their relationship, except this time there are no more rules or punishments. As they begin to get used to their newfound relationship, Christian's past begins to haunt Ana as Christian struggles with his innermost thoughts.</t>
  </si>
  <si>
    <t>4 STARS</t>
  </si>
  <si>
    <t>A 18</t>
  </si>
  <si>
    <t>Power</t>
  </si>
  <si>
    <t>Crime</t>
  </si>
  <si>
    <t>Power tells the story of James Ghost St. Patrick, a wealthy New York City nightclub owner who caters to the city's elite. He wants to build an empire, turn the club into a Fortune 500 business, but there's just one problem: Ghost is living a double life. When he is not in the club, he is the kingpin of the most lucrative drug network in New York for a very high-level clientele. His marriage, family and business all become unknowingly threatened as he is tempted to leave his criminal life behind and become the rags-to-riches businessman he wants to be most of all. Written by Jiilo_Kim</t>
  </si>
  <si>
    <t>PG 10</t>
  </si>
  <si>
    <t>Bay Watch</t>
  </si>
  <si>
    <t>Comedy, Drama</t>
  </si>
  <si>
    <t>Devoted lifeguard Mitch Buchannon butts heads with a brash new recruit, as they uncover a criminal plot that threatens the future of the bay.</t>
  </si>
  <si>
    <t>PG 18</t>
  </si>
  <si>
    <t>Adventure, Crime, Thriller</t>
  </si>
  <si>
    <t>Now that Dom and Letty are on their honeymoon and Brian and Mia have retired from the game-and the rest of the crew has been exonerated-the globetrotting team has found a semblance of a normal life. But when a mysterious woman seduces Dom into the world of crime he can't seem to escape and a betrayal of those closest to him, they will face trials that will test them as never before. From the shores of Cuba and the streets of New York City to the icy plains off the arctic Barents Sea, the elite force will crisscross the globe to stop an anarchist from unleashing chaos on the world's stage... and to bring home the man who made them a family. Written by harpreet phamb</t>
  </si>
  <si>
    <t>T 25</t>
  </si>
  <si>
    <t>Guardian of the galaxy vol 2</t>
  </si>
  <si>
    <t>Adventure, Sci-Fi</t>
  </si>
  <si>
    <t>After saving Xandar from Ronan's wrath, the Guardians are now recognized as heroes. Now the team must help their leader Star Lord (Chris Pratt) uncover the truth behind his true heritage. Along the way, old foes turn to allies and betrayal is blooming. And the Guardians find that they are up against a devastating new menace who is out to rule the galaxy. Written by Blazer346</t>
  </si>
  <si>
    <t>3 STARS</t>
  </si>
  <si>
    <t>PG 15</t>
  </si>
  <si>
    <t>Fist Fight</t>
  </si>
  <si>
    <t>Comedy</t>
  </si>
  <si>
    <t>When one school teacher unwittingly causes another teacher's dismissal, he is challenged to an after-school fight.</t>
  </si>
  <si>
    <t>PG 14</t>
  </si>
  <si>
    <t>The Weekend</t>
  </si>
  <si>
    <t>Short Drama</t>
  </si>
  <si>
    <t>A lonely man takes in a beautiful drifter for a weekend after discovering her dark secret.</t>
  </si>
  <si>
    <t>N</t>
  </si>
  <si>
    <t>The Untouchables</t>
  </si>
  <si>
    <t>1920's prohibition Chicago is corrupt from the judges downward. So in going up against Al Capone, Treasury agent Eliot Ness picks just two cops to help him and his accountant colleague. One is a sharp-shooting rookie, the other a seen-it-all beat man. The four of them are ready to battle Capone and his empire, but it could just be that guns are not the best way to get him. Written by Jeremy Perkins jwp@aber.ac.uk</t>
  </si>
  <si>
    <t>A 81</t>
  </si>
  <si>
    <t>Schindler's List</t>
  </si>
  <si>
    <t>Oskar Schindler is a vainglorious and greedy German businessman who becomes an unlikely humanitarian amid the barbaric German Nazi reign when he feels compelled to turn his factory into a refuge for Jews. Based on the true story of Oskar Schindler who managed to save about 1100 Jews from being gassed at the Auschwitz concentration camp, it is a testament to the good in all of us</t>
  </si>
  <si>
    <t>A 91</t>
  </si>
  <si>
    <t>12 Angry Men</t>
  </si>
  <si>
    <t>The defense and the prosecution have rested and the jury is filing into the jury room to decide if a young man is guilty or innocent of murdering his father. What begins as an open-and-shut case of murder soon becomes a detective story that presents a succession of clues creating doubt, and a mini-drama of each of the jurors' prejudices and preconceptions about the trial, the accused, and each other. Based on the play, all of the action takes place on the stage of the jury room.</t>
  </si>
  <si>
    <t>Dunkirk 2</t>
  </si>
  <si>
    <t>Evacuation of Allied soldiers from Belgium, the British Empire, Canada, and France, who were cut off and surrounded by the German army from the beaches and harbor of Dunkirk, France, between May 26- June 04, 1940, during Battle of France in World War II. Written by Harvey</t>
  </si>
  <si>
    <t>PG 12</t>
  </si>
  <si>
    <t>Home Again</t>
  </si>
  <si>
    <t>Drama, Romance</t>
  </si>
  <si>
    <t>Life for a single mom in Los Angeles takes an unexpected turn when she allows three young guys to move in with her</t>
  </si>
  <si>
    <t>FlatLiners</t>
  </si>
  <si>
    <t>Horror, Sci-fi</t>
  </si>
  <si>
    <t>Five medical students, hoping to gain insight into the mystery of what lies beyond the confines of life, embark on a daring and dangerous experiment. By st..</t>
  </si>
  <si>
    <t>Geostorm</t>
  </si>
  <si>
    <t>Sci-Fi, Thriller</t>
  </si>
  <si>
    <t>Gerard Butler playing a stubborn but charming satellite designer who, when the world’s climate-controlling satellites malfunction, has to work together w...</t>
  </si>
  <si>
    <t>Happy Death Day</t>
  </si>
  <si>
    <t>Mystery, Thriller</t>
  </si>
  <si>
    <t>A college student relives the day of her murder over and over again as she tries to discover her killer's identity</t>
  </si>
  <si>
    <t>R 12</t>
  </si>
  <si>
    <t>Detriots</t>
  </si>
  <si>
    <t>Amidst the chaos of the Detroit Rebellion, with the city under curfew and as the Michigan National Guard patrolled the streets, three young African Americ...</t>
  </si>
  <si>
    <t>Mother</t>
  </si>
  <si>
    <t>Horror, Mystery</t>
  </si>
  <si>
    <t>A couple's relationship is tested when uninvited guests arrive at their home, disrupting their tranquil existence.</t>
  </si>
  <si>
    <t>IT</t>
  </si>
  <si>
    <t>In a small town in Maine, seven children known as The Losers Club come face to face with life problems, bullies and a monster that takes the shape of a clo..</t>
  </si>
  <si>
    <t>9 STARS</t>
  </si>
  <si>
    <t>Logan Lucky</t>
  </si>
  <si>
    <t>Crime, Drama</t>
  </si>
  <si>
    <t>Trying to reverse a family curse, brothers Jimmy and Clyde Logan set out to execute an elaborate robbery during the legendary Coca-Cola 600 race at the Cha...</t>
  </si>
  <si>
    <t>Y 12</t>
  </si>
  <si>
    <t>Kingsman: The Golden Circle</t>
  </si>
  <si>
    <t>Adventure, Comedy</t>
  </si>
  <si>
    <t>When an attack on the Kingsman headquarters takes place and a new villain rises, Eggsy and Merlin are forced to work together with the American agency know..</t>
  </si>
  <si>
    <t>2 STARS</t>
  </si>
  <si>
    <t>The Dark Tower</t>
  </si>
  <si>
    <t>Adventure, Fantasy</t>
  </si>
  <si>
    <t>The last Gunslinger, Roland Deschain, has been locked in an eternal battle with Walter O’Dim, also known as the Man in Black, determined to prevent him f.</t>
  </si>
  <si>
    <t>N 12</t>
  </si>
  <si>
    <t>The Glass Castle</t>
  </si>
  <si>
    <t>Documentery</t>
  </si>
  <si>
    <t>A young girl is raised in a dysfunctional family constantly on the run from the FBI. Living in poverty, she comes of age guided by her drunkard, ingenious</t>
  </si>
  <si>
    <t>PG 16</t>
  </si>
  <si>
    <t>The Lego Ninja Movie</t>
  </si>
  <si>
    <t>Adventure, Animation</t>
  </si>
  <si>
    <t>Six young ninjas are tasked with defending their island home of Ninjago. By night, they’re gifted warriors using their skill and awesome fleet of vehicle..</t>
  </si>
  <si>
    <t>American Made</t>
  </si>
  <si>
    <t>The true story of pilot Barry Seal, who transported contraband for the CIA and the Medellin cartel in the 1980s</t>
  </si>
  <si>
    <t>Mad Max Fury Road</t>
  </si>
  <si>
    <t>An apocalyptic story set in the furthest reaches of our planet, in a stark desert landscape where humanity is broken, and most everyone is crazed fighting ...</t>
  </si>
  <si>
    <t>A</t>
  </si>
  <si>
    <t>Kung fu Yoga</t>
  </si>
  <si>
    <t>Chinese archeology professor Jack teams up with beautiful Indian professor Ashmita and assistant Kyra to locate lost Magadha treasure. In a Tibetan ice cav...</t>
  </si>
  <si>
    <t>Chips</t>
  </si>
  <si>
    <t>The adventures of two California Highway Patrol motorcycle officers as they make their rounds on the freeways of Los Angeles.</t>
  </si>
  <si>
    <t>PG 19</t>
  </si>
  <si>
    <t>Night Cries</t>
  </si>
  <si>
    <t>Western</t>
  </si>
  <si>
    <t>A psychological thriller about a man's obsession with finding his wife in a post-apocalyptic world.</t>
  </si>
  <si>
    <t>Elite</t>
  </si>
  <si>
    <t>Thriller</t>
  </si>
  <si>
    <t>When a covert team known as ELITE is killed during a mission, newly promoted Naval Investigator Abbey Vaughn (Allison Gregory) takes it upon herself to fin..</t>
  </si>
  <si>
    <t>Altitute</t>
  </si>
  <si>
    <t>A female FBI agent is offered millions to help a thief escape from a hijacked airplane.</t>
  </si>
  <si>
    <t>Ghost in the Shell</t>
  </si>
  <si>
    <t>Drama, Science Fiction</t>
  </si>
  <si>
    <t>In the near future, Major is the first of her kind: a human saved from a terrible crash, who is cyber-enhanced to be a perfect soldier devoted to stopping </t>
  </si>
  <si>
    <t>Monumental</t>
  </si>
  <si>
    <t>Horror, Thriller</t>
  </si>
  <si>
    <t>Two young men journey across the U.S.A to honor one's mother by spreading her ashes at monuments she always dreamed of visiting. Along the way they encount...</t>
  </si>
  <si>
    <t>5 STARSS</t>
  </si>
  <si>
    <t>PG 23</t>
  </si>
  <si>
    <t>Family</t>
  </si>
  <si>
    <t>Adventure, Mystery</t>
  </si>
  <si>
    <t>Adventure, Sci-Fi, Thriller</t>
  </si>
  <si>
    <t># Cus.Ref</t>
  </si>
  <si>
    <t>Address Line1</t>
  </si>
  <si>
    <t>Address Line2</t>
  </si>
  <si>
    <t>DateOf Birth</t>
  </si>
  <si>
    <t>GENDER</t>
  </si>
  <si>
    <t>Male</t>
  </si>
  <si>
    <t>Bevvy Booze</t>
  </si>
  <si>
    <t>Gosforth</t>
  </si>
  <si>
    <t>Pandon Bank</t>
  </si>
  <si>
    <t>27-29 Dean St</t>
  </si>
  <si>
    <t>NE1 2JR</t>
  </si>
  <si>
    <t>Female</t>
  </si>
  <si>
    <t>22-232-33</t>
  </si>
  <si>
    <t>Boiler maker</t>
  </si>
  <si>
    <t>Blaydon</t>
  </si>
  <si>
    <t>James' Blvd</t>
  </si>
  <si>
    <t>2 Sandyford Rd</t>
  </si>
  <si>
    <t>NE1 1PQ,</t>
  </si>
  <si>
    <t>11-221-12</t>
  </si>
  <si>
    <t>Scotch whisky</t>
  </si>
  <si>
    <t>Long Benton</t>
  </si>
  <si>
    <t>Thornton Ct</t>
  </si>
  <si>
    <t>57 Clayton St</t>
  </si>
  <si>
    <t>NE1, UK</t>
  </si>
  <si>
    <t>11-320-11</t>
  </si>
  <si>
    <t>Soy sauce</t>
  </si>
  <si>
    <t>NewCastle</t>
  </si>
  <si>
    <t>24 Fenkle St</t>
  </si>
  <si>
    <t>NE1 5XN</t>
  </si>
  <si>
    <t>23-432-44</t>
  </si>
  <si>
    <t>kokos balls</t>
  </si>
  <si>
    <t>Byker</t>
  </si>
  <si>
    <t>Temple Town</t>
  </si>
  <si>
    <t>62 Close rd</t>
  </si>
  <si>
    <t>NE66 2EX</t>
  </si>
  <si>
    <t>90-330-22</t>
  </si>
  <si>
    <t>Palm wine</t>
  </si>
  <si>
    <t>Gateshead</t>
  </si>
  <si>
    <t>Alnwick</t>
  </si>
  <si>
    <t>20 South St</t>
  </si>
  <si>
    <t>NE25 erd</t>
  </si>
  <si>
    <t>23-098-11</t>
  </si>
  <si>
    <t>Amie Wines</t>
  </si>
  <si>
    <t>Sunderland</t>
  </si>
  <si>
    <t>Railway Access Rd.</t>
  </si>
  <si>
    <t>1 Pink Ln.</t>
  </si>
  <si>
    <t>NE13 6QD</t>
  </si>
  <si>
    <t>22-332-90</t>
  </si>
  <si>
    <t>Joseph Wines</t>
  </si>
  <si>
    <t>Seaton Delaval</t>
  </si>
  <si>
    <t>96 Quayside</t>
  </si>
  <si>
    <t>NE30 3HD</t>
  </si>
  <si>
    <t>22-222-33</t>
  </si>
  <si>
    <t>Theresa Cognac</t>
  </si>
  <si>
    <t>Jesmond</t>
  </si>
  <si>
    <t>Victoria Cl</t>
  </si>
  <si>
    <t>6-7 Cross St</t>
  </si>
  <si>
    <t>NE3 4RQ</t>
  </si>
  <si>
    <t>33-222-00</t>
  </si>
  <si>
    <t>Pisco Robio</t>
  </si>
  <si>
    <t>North Sheilds</t>
  </si>
  <si>
    <t>Whitley Bay</t>
  </si>
  <si>
    <t>36 St Mary's Pl</t>
  </si>
  <si>
    <t>NE10 8BD</t>
  </si>
  <si>
    <t>21-222-32</t>
  </si>
  <si>
    <t>Miki Weinbrand</t>
  </si>
  <si>
    <t>Backworth</t>
  </si>
  <si>
    <t>12 Bewick St</t>
  </si>
  <si>
    <t>NE66, UK</t>
  </si>
  <si>
    <t>32-221-21</t>
  </si>
  <si>
    <t>Grappa Mary</t>
  </si>
  <si>
    <t>Dunston</t>
  </si>
  <si>
    <t>110 Greyhound Rd.</t>
  </si>
  <si>
    <t>NE8 3NT</t>
  </si>
  <si>
    <t>21-111-21</t>
  </si>
  <si>
    <t>Janet Marc</t>
  </si>
  <si>
    <t>Low Fell.</t>
  </si>
  <si>
    <t>Watergate Buildings.</t>
  </si>
  <si>
    <t>58 Sandhill.</t>
  </si>
  <si>
    <t>NE9 7LP</t>
  </si>
  <si>
    <t>33-333-33</t>
  </si>
  <si>
    <t>Joe Applejack</t>
  </si>
  <si>
    <t>Hebburn</t>
  </si>
  <si>
    <t>2 St James' Blvd</t>
  </si>
  <si>
    <t>NE29 0EQ</t>
  </si>
  <si>
    <t>22-222-20</t>
  </si>
  <si>
    <t>Jo Moonshine</t>
  </si>
  <si>
    <t>Wallsend</t>
  </si>
  <si>
    <t>Horsley Vale</t>
  </si>
  <si>
    <t>NE3 4DY</t>
  </si>
  <si>
    <t>20-000-90</t>
  </si>
  <si>
    <t>Lue Alcopops</t>
  </si>
  <si>
    <t>Benton</t>
  </si>
  <si>
    <t>Burnopfield</t>
  </si>
  <si>
    <t>72 Mallard Way</t>
  </si>
  <si>
    <t>NE11, UK</t>
  </si>
  <si>
    <t>44-444-44</t>
  </si>
  <si>
    <t>Mario Cynar</t>
  </si>
  <si>
    <t>South Sheilds</t>
  </si>
  <si>
    <t>15 Radcliffe Rd</t>
  </si>
  <si>
    <t>NE1 3PE</t>
  </si>
  <si>
    <t>33-222-44</t>
  </si>
  <si>
    <t>Pastis Daniels</t>
  </si>
  <si>
    <t>Morpeth</t>
  </si>
  <si>
    <t>43 Shaftsbury Walk</t>
  </si>
  <si>
    <t>NE24 5BJ</t>
  </si>
  <si>
    <t>55-222-33</t>
  </si>
  <si>
    <t>Jarrow</t>
  </si>
  <si>
    <t>134 Marlborough</t>
  </si>
  <si>
    <t>NE8 2LQ</t>
  </si>
  <si>
    <t>23-232-32</t>
  </si>
  <si>
    <t>Orujo Rojo</t>
  </si>
  <si>
    <t>Cricket Terrace</t>
  </si>
  <si>
    <t>10 Wesley Mount</t>
  </si>
  <si>
    <t>NE40 4XB</t>
  </si>
  <si>
    <t>13-133-32</t>
  </si>
  <si>
    <t>Ann mirabelle</t>
  </si>
  <si>
    <t>Unnamed Road</t>
  </si>
  <si>
    <t>13-443-43</t>
  </si>
  <si>
    <t>Irish whiskey</t>
  </si>
  <si>
    <t>Crawcrook</t>
  </si>
  <si>
    <t>94-96 Newgate St</t>
  </si>
  <si>
    <t>25-552-54</t>
  </si>
  <si>
    <t xml:space="preserve">Marco Tequila </t>
  </si>
  <si>
    <t>Ryton</t>
  </si>
  <si>
    <t>10 Wesley Moun</t>
  </si>
  <si>
    <t>NE10 9XF</t>
  </si>
  <si>
    <t>55-343-54</t>
  </si>
  <si>
    <t>Gin Sebastain</t>
  </si>
  <si>
    <t>Whickham</t>
  </si>
  <si>
    <t>19 Millbrook</t>
  </si>
  <si>
    <t>NE44 6HU</t>
  </si>
  <si>
    <t>23-222-91</t>
  </si>
  <si>
    <t>Cali Angelica</t>
  </si>
  <si>
    <t>23 Kyloe Pl</t>
  </si>
  <si>
    <t>NE12 8BU</t>
  </si>
  <si>
    <t>99-990-01</t>
  </si>
  <si>
    <t>Portugal Madeira</t>
  </si>
  <si>
    <t>Low Fell</t>
  </si>
  <si>
    <t>Hexham</t>
  </si>
  <si>
    <t>1 The Beeches</t>
  </si>
  <si>
    <t>99-009-90</t>
  </si>
  <si>
    <t>Dea Sherry</t>
  </si>
  <si>
    <t>2 Cheviot View</t>
  </si>
  <si>
    <t>99-001-99</t>
  </si>
  <si>
    <t>Kvass Kvass</t>
  </si>
  <si>
    <t>Tynemouth</t>
  </si>
  <si>
    <t>1 Fair Hill</t>
  </si>
  <si>
    <t>55-333-33</t>
  </si>
  <si>
    <t>Jane Boza</t>
  </si>
  <si>
    <t>38 W Percy Rd</t>
  </si>
  <si>
    <t>NE24 5BJ,</t>
  </si>
  <si>
    <t>23-233-22</t>
  </si>
  <si>
    <t xml:space="preserve">Jakie Tiramisu </t>
  </si>
  <si>
    <t>Arthurs Hill</t>
  </si>
  <si>
    <t>17 Pinewood Ave</t>
  </si>
  <si>
    <t>NE12 8BD</t>
  </si>
  <si>
    <t>12-122-21</t>
  </si>
  <si>
    <t># Ord.Ref</t>
  </si>
  <si>
    <t>Order Date</t>
  </si>
  <si>
    <t>Customer</t>
  </si>
  <si>
    <t>Column1</t>
  </si>
  <si>
    <t>Stars</t>
  </si>
  <si>
    <t>ORD TYPE</t>
  </si>
  <si>
    <t>Debit</t>
  </si>
  <si>
    <t>Quantity</t>
  </si>
  <si>
    <t>SubTotal</t>
  </si>
  <si>
    <t>Amount</t>
  </si>
  <si>
    <t>Yes</t>
  </si>
  <si>
    <t>Cash</t>
  </si>
  <si>
    <t>No !</t>
  </si>
  <si>
    <t>I.T</t>
  </si>
  <si>
    <t>Watergate Buildings</t>
  </si>
  <si>
    <t>58 Sandhill</t>
  </si>
  <si>
    <t>A12</t>
  </si>
  <si>
    <t>Multiple Order?</t>
  </si>
  <si>
    <t>Total</t>
  </si>
  <si>
    <t>33-333-37</t>
  </si>
  <si>
    <t>꓿</t>
  </si>
  <si>
    <t>«-Enter Price here</t>
  </si>
  <si>
    <t>«-Enter Item here</t>
  </si>
  <si>
    <r>
      <rPr>
        <sz val="11"/>
        <color theme="1"/>
        <rFont val="Calibri"/>
        <family val="2"/>
      </rPr>
      <t>«-</t>
    </r>
    <r>
      <rPr>
        <sz val="11"/>
        <color theme="1"/>
        <rFont val="Calibri"/>
        <family val="2"/>
        <scheme val="minor"/>
      </rPr>
      <t>SalesPrice x items bought</t>
    </r>
  </si>
  <si>
    <t>«- Used (HLOOKUP(K4,B3:H4,2,TRUE) to find an approximate match to generate the discount.</t>
  </si>
  <si>
    <t>«- Total ptice * Discount %</t>
  </si>
  <si>
    <t>«-Total Price - Discount</t>
  </si>
  <si>
    <t>Revenue</t>
  </si>
  <si>
    <t>Expensis</t>
  </si>
  <si>
    <t>Net-Income</t>
  </si>
  <si>
    <t>list of sheet Names</t>
  </si>
  <si>
    <t>1stWk</t>
  </si>
  <si>
    <t>2ndWk</t>
  </si>
  <si>
    <t>3rdWk</t>
  </si>
  <si>
    <t>«</t>
  </si>
  <si>
    <t>Bills</t>
  </si>
  <si>
    <t>Rents</t>
  </si>
  <si>
    <t>Transport</t>
  </si>
  <si>
    <t>Others?</t>
  </si>
  <si>
    <t>Revenue.</t>
  </si>
  <si>
    <t>Wages1&amp;2.</t>
  </si>
  <si>
    <t>Transport.</t>
  </si>
  <si>
    <t>Others</t>
  </si>
  <si>
    <t>Rent</t>
  </si>
  <si>
    <t>Wages</t>
  </si>
  <si>
    <t>Weeks|Days</t>
  </si>
  <si>
    <t>Nepthys</t>
  </si>
  <si>
    <t>Isis</t>
  </si>
  <si>
    <t>Seth</t>
  </si>
  <si>
    <t>Cairo</t>
  </si>
  <si>
    <t xml:space="preserve">Osiris </t>
  </si>
  <si>
    <t>Horus</t>
  </si>
  <si>
    <t>Pharoah</t>
  </si>
  <si>
    <t>Nile</t>
  </si>
  <si>
    <t>Dionysus</t>
  </si>
  <si>
    <t>Khnum</t>
  </si>
  <si>
    <t>Anubis</t>
  </si>
  <si>
    <t>Serket</t>
  </si>
  <si>
    <t>Seshat</t>
  </si>
  <si>
    <t>Geb</t>
  </si>
  <si>
    <t>Hapi</t>
  </si>
  <si>
    <t>Hathor</t>
  </si>
  <si>
    <t>Heka</t>
  </si>
  <si>
    <t>Heqet</t>
  </si>
  <si>
    <t>Djmaa el Fna</t>
  </si>
  <si>
    <t>Sossusvlei Dunes</t>
  </si>
  <si>
    <t>Victoria Falls</t>
  </si>
  <si>
    <t>Spitzkoppe</t>
  </si>
  <si>
    <t>Giza</t>
  </si>
  <si>
    <t>Nyika</t>
  </si>
  <si>
    <t>Makgadikgadi Pans</t>
  </si>
  <si>
    <t>North Africa</t>
  </si>
  <si>
    <t>001-Egypt</t>
  </si>
  <si>
    <t>Draa Valley</t>
  </si>
  <si>
    <t>002-Morocco</t>
  </si>
  <si>
    <t>Southern Africa</t>
  </si>
  <si>
    <t>22-Botswana</t>
  </si>
  <si>
    <t>000-Morocco</t>
  </si>
  <si>
    <t>23-Malawi</t>
  </si>
  <si>
    <t>S/Eastern Africa</t>
  </si>
  <si>
    <t>S/Western Africa</t>
  </si>
  <si>
    <t>24-Namibia</t>
  </si>
  <si>
    <t>21-Zimbabwe</t>
  </si>
  <si>
    <t>Riding safari</t>
  </si>
  <si>
    <t>Eastern Africa</t>
  </si>
  <si>
    <t>04-Kenya</t>
  </si>
  <si>
    <t>Sphinx</t>
  </si>
  <si>
    <t>Northern Africa</t>
  </si>
  <si>
    <t>Great Migration</t>
  </si>
  <si>
    <t>Western Europe</t>
  </si>
  <si>
    <t>000-EU</t>
  </si>
  <si>
    <t>No!</t>
  </si>
  <si>
    <t>No?</t>
  </si>
  <si>
    <t>Multiple Ord?</t>
  </si>
  <si>
    <t>David Cameron</t>
  </si>
  <si>
    <t>Gordon Brown</t>
  </si>
  <si>
    <t>Tony Blair</t>
  </si>
  <si>
    <t>John Major</t>
  </si>
  <si>
    <t>Margaret Thatcher</t>
  </si>
  <si>
    <t>Harold Wilson</t>
  </si>
  <si>
    <t>Edward Heath</t>
  </si>
  <si>
    <t>Winston Churchill</t>
  </si>
  <si>
    <t>Neville Chamberlain</t>
  </si>
  <si>
    <t>George Canning</t>
  </si>
  <si>
    <t>Theresa May</t>
  </si>
  <si>
    <t>James Callaghan</t>
  </si>
  <si>
    <t>London</t>
  </si>
  <si>
    <t>Birmingham</t>
  </si>
  <si>
    <t>Newcastle</t>
  </si>
  <si>
    <t>Nothingham</t>
  </si>
  <si>
    <t>Northamton</t>
  </si>
  <si>
    <t>Leeds</t>
  </si>
  <si>
    <t>Cardiff City</t>
  </si>
  <si>
    <t>Croydon</t>
  </si>
  <si>
    <t>Hounslow</t>
  </si>
  <si>
    <t>Romford</t>
  </si>
  <si>
    <t>122 ParkHere</t>
  </si>
  <si>
    <t xml:space="preserve">123-Amlying </t>
  </si>
  <si>
    <t>124-OldSport</t>
  </si>
  <si>
    <t>125-IonLady</t>
  </si>
  <si>
    <t>126-UhmHu</t>
  </si>
  <si>
    <t>127-CalonLan</t>
  </si>
  <si>
    <t>128-TurnitDown</t>
  </si>
  <si>
    <t>129-Brexit</t>
  </si>
  <si>
    <t>130-WarTacTic</t>
  </si>
  <si>
    <t>131-NoConfidence</t>
  </si>
  <si>
    <t>Vote Rd.</t>
  </si>
  <si>
    <t>Writer's Rd.</t>
  </si>
  <si>
    <t>132-£5MShed</t>
  </si>
  <si>
    <t>Whitehall</t>
  </si>
  <si>
    <t>LOndon</t>
  </si>
  <si>
    <t>Salem</t>
  </si>
  <si>
    <t>010-Str&amp;StableGov</t>
  </si>
  <si>
    <t>111-FreakinMines</t>
  </si>
  <si>
    <t>Coal Mine st</t>
  </si>
  <si>
    <t>Downing st.</t>
  </si>
  <si>
    <t>Newport rd.</t>
  </si>
  <si>
    <t>Marks Gate St</t>
  </si>
  <si>
    <t>BloodyFrenh Av.</t>
  </si>
  <si>
    <t>WhatwasDat Rd.</t>
  </si>
  <si>
    <t>SingleMArket Av.</t>
  </si>
  <si>
    <t>129-Brexit Av.</t>
  </si>
  <si>
    <t>OldLadyStory St.</t>
  </si>
  <si>
    <t>Nomination Rd.</t>
  </si>
  <si>
    <t>Referendum Av.</t>
  </si>
  <si>
    <t>IraqbLyer Av.</t>
  </si>
  <si>
    <t>Yes.</t>
  </si>
  <si>
    <t>No.</t>
  </si>
  <si>
    <t>Debit.</t>
  </si>
  <si>
    <t>Cash.</t>
  </si>
  <si>
    <t>Jo Hart</t>
  </si>
  <si>
    <t>John Stones</t>
  </si>
  <si>
    <t>Bertrand</t>
  </si>
  <si>
    <t>Phil Jones</t>
  </si>
  <si>
    <t>Jamie Vardy</t>
  </si>
  <si>
    <t>Erick Dier</t>
  </si>
  <si>
    <t>Danny Rose</t>
  </si>
  <si>
    <t>Joe Gomez</t>
  </si>
  <si>
    <t>Kyle Walker</t>
  </si>
  <si>
    <t>Harry Maguire</t>
  </si>
  <si>
    <t>Ruben Loftus-Cheek</t>
  </si>
  <si>
    <t>Jake Livermore</t>
  </si>
  <si>
    <t>Marcus Rashford</t>
  </si>
  <si>
    <t>Dele Alli</t>
  </si>
  <si>
    <t>Daniel Sturrige</t>
  </si>
  <si>
    <t>Tammy Abraham</t>
  </si>
  <si>
    <t>Harry Kane</t>
  </si>
  <si>
    <t>Jermain Defoe</t>
  </si>
  <si>
    <t>Keeper</t>
  </si>
  <si>
    <t>Everton Fc.</t>
  </si>
  <si>
    <t>FullBack</t>
  </si>
  <si>
    <t>ManCity</t>
  </si>
  <si>
    <t>Liverpool</t>
  </si>
  <si>
    <t>LeftBack</t>
  </si>
  <si>
    <t>Anfield</t>
  </si>
  <si>
    <t>Manchester</t>
  </si>
  <si>
    <t>CenterBack</t>
  </si>
  <si>
    <t>Licester</t>
  </si>
  <si>
    <t>United</t>
  </si>
  <si>
    <t>City</t>
  </si>
  <si>
    <t>Man City</t>
  </si>
  <si>
    <t>Sours</t>
  </si>
  <si>
    <t>Spurs</t>
  </si>
  <si>
    <t>Bournmounth</t>
  </si>
  <si>
    <t>Chelsea</t>
  </si>
  <si>
    <t>Blues</t>
  </si>
  <si>
    <t>Tottenham</t>
  </si>
  <si>
    <t>london</t>
  </si>
  <si>
    <t>Everton</t>
  </si>
  <si>
    <t>Forward</t>
  </si>
  <si>
    <t>Licester City</t>
  </si>
  <si>
    <t>Bourn</t>
  </si>
  <si>
    <t>MidFilder</t>
  </si>
  <si>
    <t>Mid-Forward</t>
  </si>
  <si>
    <t>C-Forward</t>
  </si>
  <si>
    <t>OldTrafford</t>
  </si>
  <si>
    <t>Joel Matip</t>
  </si>
  <si>
    <t>Trend Alexander</t>
  </si>
  <si>
    <t>Georginio Wignaldum</t>
  </si>
  <si>
    <t>Sadio Mane</t>
  </si>
  <si>
    <t>Loris karius</t>
  </si>
  <si>
    <t>Simon Mignolet</t>
  </si>
  <si>
    <t>Roberto Firmino</t>
  </si>
  <si>
    <t>Daniel Sturridge</t>
  </si>
  <si>
    <t>Alberto Moreno</t>
  </si>
  <si>
    <t>Dejan Lovren</t>
  </si>
  <si>
    <t>Ragnar Klaven</t>
  </si>
  <si>
    <t>James Milner</t>
  </si>
  <si>
    <t>Adam Lallana</t>
  </si>
  <si>
    <t>Jordan Henderson</t>
  </si>
  <si>
    <t>Muhammed Salah</t>
  </si>
  <si>
    <t>Emre Can</t>
  </si>
  <si>
    <t>Alex Chamberlain</t>
  </si>
  <si>
    <t>Jo Gomez</t>
  </si>
  <si>
    <t>Roma</t>
  </si>
  <si>
    <t>Southamton</t>
  </si>
  <si>
    <t>Brazil</t>
  </si>
  <si>
    <t>Slovakia</t>
  </si>
  <si>
    <t>Arsenal</t>
  </si>
  <si>
    <t>Bundesliga</t>
  </si>
  <si>
    <t>Netherland</t>
  </si>
  <si>
    <t>England</t>
  </si>
  <si>
    <t>Spain</t>
  </si>
  <si>
    <t>Defender</t>
  </si>
  <si>
    <t>Def-Midfilder</t>
  </si>
  <si>
    <t>C-Midfilder</t>
  </si>
  <si>
    <t>Left Back</t>
  </si>
  <si>
    <t>Cen-Back</t>
  </si>
  <si>
    <t>Liverpool fc</t>
  </si>
  <si>
    <t>Arsenal Fc</t>
  </si>
  <si>
    <t>Anfield fc</t>
  </si>
  <si>
    <t>Inter fc</t>
  </si>
  <si>
    <t>Keepersfc</t>
  </si>
  <si>
    <t>Brazilfc</t>
  </si>
  <si>
    <t>EnglandFc</t>
  </si>
  <si>
    <t>Bundesliga fc</t>
  </si>
  <si>
    <t>Windowfc</t>
  </si>
  <si>
    <t>ManCity fc</t>
  </si>
  <si>
    <t>Southamtonfc</t>
  </si>
  <si>
    <t>Ed Sheeran</t>
  </si>
  <si>
    <t>Adele</t>
  </si>
  <si>
    <t>Kylie Minogue</t>
  </si>
  <si>
    <t>Sam Smith</t>
  </si>
  <si>
    <t>George Micheal</t>
  </si>
  <si>
    <t>Paul McCartney</t>
  </si>
  <si>
    <t>Stormzy</t>
  </si>
  <si>
    <t>Robbie Williams</t>
  </si>
  <si>
    <t>Rita Ora</t>
  </si>
  <si>
    <t>Calvin Harris</t>
  </si>
  <si>
    <t>Amy Wineshouse</t>
  </si>
  <si>
    <t>Phil Collins</t>
  </si>
  <si>
    <t>John Lennon</t>
  </si>
  <si>
    <t>Harry Styles</t>
  </si>
  <si>
    <t>Dua Lipa</t>
  </si>
  <si>
    <t>Leo Sayer</t>
  </si>
  <si>
    <t>Olly Murs</t>
  </si>
  <si>
    <t>Zayn Malik</t>
  </si>
  <si>
    <t>Bradford</t>
  </si>
  <si>
    <t>Oxford</t>
  </si>
  <si>
    <t>Scotland</t>
  </si>
  <si>
    <t>Dublin</t>
  </si>
  <si>
    <t>Bristol City</t>
  </si>
  <si>
    <t>121-England</t>
  </si>
  <si>
    <t>112-SongWriter</t>
  </si>
  <si>
    <t>111-ShapeOut</t>
  </si>
  <si>
    <t>21-shipley rise</t>
  </si>
  <si>
    <t>32-Trynewlo</t>
  </si>
  <si>
    <t>12-liban0n Av.</t>
  </si>
  <si>
    <t>04-Bradford rd</t>
  </si>
  <si>
    <t>8-Newcastle St</t>
  </si>
  <si>
    <t>10-London</t>
  </si>
  <si>
    <t>12-Scotland</t>
  </si>
  <si>
    <t>12-London</t>
  </si>
  <si>
    <t>18-Dublin rd</t>
  </si>
  <si>
    <t>12-Essex Rd</t>
  </si>
  <si>
    <t>13-Islington</t>
  </si>
  <si>
    <t>1-Croydon</t>
  </si>
  <si>
    <t>18-Temporal Av.</t>
  </si>
  <si>
    <t>01-Southern</t>
  </si>
  <si>
    <t>Berlin</t>
  </si>
  <si>
    <t>Tokyo</t>
  </si>
  <si>
    <t>Paris</t>
  </si>
  <si>
    <t>Banjul</t>
  </si>
  <si>
    <t>Bamako</t>
  </si>
  <si>
    <t>Edinburg</t>
  </si>
  <si>
    <t>Oslo</t>
  </si>
  <si>
    <t>Athens</t>
  </si>
  <si>
    <t>Milan</t>
  </si>
  <si>
    <t>Bejing</t>
  </si>
  <si>
    <t>Dakar</t>
  </si>
  <si>
    <t>Bissau</t>
  </si>
  <si>
    <t>Nairobi</t>
  </si>
  <si>
    <t>Addisababa</t>
  </si>
  <si>
    <t>NewYork</t>
  </si>
  <si>
    <t>Tran-gen</t>
  </si>
  <si>
    <r>
      <t>Cus.Ref (</t>
    </r>
    <r>
      <rPr>
        <sz val="14"/>
        <color rgb="FF00B050"/>
        <rFont val="Calibri"/>
        <family val="2"/>
        <scheme val="minor"/>
      </rPr>
      <t>1001-1112</t>
    </r>
    <r>
      <rPr>
        <sz val="14"/>
        <color theme="1"/>
        <rFont val="Calibri"/>
        <family val="2"/>
        <scheme val="minor"/>
      </rPr>
      <t>)</t>
    </r>
  </si>
  <si>
    <t>Revenues</t>
  </si>
  <si>
    <t>Expenses</t>
  </si>
  <si>
    <t>Expenses Table</t>
  </si>
  <si>
    <t>Revenue Table</t>
  </si>
  <si>
    <t>Expenses_Tbl</t>
  </si>
  <si>
    <t>Revenue_Tbl</t>
  </si>
  <si>
    <t>Revenues Table</t>
  </si>
  <si>
    <t>4thWk</t>
  </si>
  <si>
    <t>5thWk</t>
  </si>
  <si>
    <t>6thWk</t>
  </si>
  <si>
    <t>7thWk</t>
  </si>
  <si>
    <t>«-</t>
  </si>
  <si>
    <t>Week1</t>
  </si>
  <si>
    <t>Week2</t>
  </si>
  <si>
    <t>Week3</t>
  </si>
  <si>
    <t>Week4</t>
  </si>
  <si>
    <t>Week5</t>
  </si>
  <si>
    <t>Week6</t>
  </si>
  <si>
    <t>Week7</t>
  </si>
  <si>
    <t>Details</t>
  </si>
  <si>
    <t>This is a very good week as we have made a significant progress and in sales number and income generated.</t>
  </si>
  <si>
    <t>#Employee</t>
  </si>
  <si>
    <t>Begindate</t>
  </si>
  <si>
    <t>EndDate</t>
  </si>
  <si>
    <t>1st Month</t>
  </si>
  <si>
    <t>Week 8</t>
  </si>
  <si>
    <t>DAYS</t>
  </si>
  <si>
    <t>Month?</t>
  </si>
  <si>
    <t>Week10</t>
  </si>
  <si>
    <t>Week9</t>
  </si>
  <si>
    <t>2nd Month</t>
  </si>
  <si>
    <t>Weeks</t>
  </si>
  <si>
    <t>#Months</t>
  </si>
  <si>
    <t>In the week</t>
  </si>
  <si>
    <t>This was a very good start for our business as it benifitted from a grand promotion to our opening/patronising clients as well.Thanks you all for your generous support in to our new baby business.</t>
  </si>
  <si>
    <t>Discount%</t>
  </si>
  <si>
    <t>DISCOUNT£</t>
  </si>
  <si>
    <r>
      <t>DISCOUNT</t>
    </r>
    <r>
      <rPr>
        <b/>
        <sz val="11"/>
        <color rgb="FFFF0000"/>
        <rFont val="Calibri"/>
        <family val="2"/>
        <scheme val="minor"/>
      </rPr>
      <t>£</t>
    </r>
  </si>
  <si>
    <r>
      <t>Discount</t>
    </r>
    <r>
      <rPr>
        <b/>
        <sz val="11"/>
        <color rgb="FFFF0000"/>
        <rFont val="Calibri"/>
        <family val="2"/>
        <scheme val="minor"/>
      </rPr>
      <t>%</t>
    </r>
  </si>
  <si>
    <r>
      <t>Discount</t>
    </r>
    <r>
      <rPr>
        <b/>
        <sz val="11"/>
        <color rgb="FFFF0000"/>
        <rFont val="Calibri"/>
        <family val="2"/>
        <scheme val="minor"/>
      </rPr>
      <t>£</t>
    </r>
  </si>
  <si>
    <r>
      <t>Discount</t>
    </r>
    <r>
      <rPr>
        <sz val="11"/>
        <color rgb="FFFF0000"/>
        <rFont val="Calibri"/>
        <family val="2"/>
        <scheme val="minor"/>
      </rPr>
      <t>%</t>
    </r>
  </si>
  <si>
    <r>
      <t>DISCOUNT</t>
    </r>
    <r>
      <rPr>
        <sz val="11"/>
        <color rgb="FFFF0000"/>
        <rFont val="Calibri"/>
        <family val="2"/>
        <scheme val="minor"/>
      </rPr>
      <t>£</t>
    </r>
  </si>
  <si>
    <t>DON’T FORGET TO CALCULATE THE % DISCOUNT IN CELL U4</t>
  </si>
  <si>
    <t>this is a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</si>
</sst>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quot;£&quot;* #,##0.00_-;_-&quot;£&quot;* &quot;-&quot;??_-;_-@_-"/>
    <numFmt numFmtId="164" formatCode="0.0%"/>
    <numFmt numFmtId="165" formatCode="&quot;£&quot;#,##0.00"/>
    <numFmt numFmtId="166" formatCode="[$-F400]h:mm:ss\ AM/PM"/>
    <numFmt numFmtId="167" formatCode="&quot;£&quot;#,##0"/>
    <numFmt numFmtId="168" formatCode="\(\+\4\40\)000\ 0000\ 000"/>
    <numFmt numFmtId="169" formatCode="\(0\1\9\1\)\ 000\ 0000"/>
    <numFmt numFmtId="170" formatCode="00\-000\-00"/>
    <numFmt numFmtId="171" formatCode="00\ &quot;Yrs&quot;"/>
  </numFmts>
  <fonts count="19" x14ac:knownFonts="1">
    <font>
      <sz val="11"/>
      <color theme="1"/>
      <name val="Calibri"/>
      <family val="2"/>
      <scheme val="minor"/>
    </font>
    <font>
      <sz val="11"/>
      <color theme="1"/>
      <name val="Calibri"/>
      <family val="2"/>
      <scheme val="minor"/>
    </font>
    <font>
      <b/>
      <sz val="15"/>
      <color theme="3"/>
      <name val="Calibri"/>
      <family val="2"/>
      <scheme val="minor"/>
    </font>
    <font>
      <sz val="11"/>
      <color theme="0"/>
      <name val="Calibri"/>
      <family val="2"/>
      <scheme val="minor"/>
    </font>
    <font>
      <sz val="14"/>
      <color theme="1"/>
      <name val="Calibri"/>
      <family val="2"/>
      <scheme val="minor"/>
    </font>
    <font>
      <sz val="11"/>
      <color theme="1"/>
      <name val="Calibri"/>
      <family val="2"/>
    </font>
    <font>
      <sz val="10"/>
      <color theme="1"/>
      <name val="Calibri"/>
      <family val="2"/>
    </font>
    <font>
      <b/>
      <sz val="14"/>
      <color theme="1"/>
      <name val="Calibri"/>
      <family val="2"/>
    </font>
    <font>
      <b/>
      <sz val="14"/>
      <color theme="1"/>
      <name val="Calibri"/>
      <family val="2"/>
      <scheme val="minor"/>
    </font>
    <font>
      <b/>
      <sz val="11"/>
      <color theme="3"/>
      <name val="Calibri"/>
      <family val="2"/>
      <scheme val="minor"/>
    </font>
    <font>
      <b/>
      <sz val="13"/>
      <color theme="3"/>
      <name val="Calibri"/>
      <family val="2"/>
      <scheme val="minor"/>
    </font>
    <font>
      <b/>
      <sz val="11"/>
      <color theme="1"/>
      <name val="Calibri"/>
      <family val="2"/>
      <scheme val="minor"/>
    </font>
    <font>
      <sz val="14"/>
      <color rgb="FF00B050"/>
      <name val="Calibri"/>
      <family val="2"/>
      <scheme val="minor"/>
    </font>
    <font>
      <b/>
      <sz val="11"/>
      <name val="Calibri"/>
      <family val="2"/>
      <scheme val="minor"/>
    </font>
    <font>
      <b/>
      <sz val="12"/>
      <color theme="0"/>
      <name val="Calibri"/>
      <family val="2"/>
      <scheme val="minor"/>
    </font>
    <font>
      <b/>
      <sz val="16"/>
      <color theme="1"/>
      <name val="Calibri"/>
      <family val="2"/>
      <scheme val="minor"/>
    </font>
    <font>
      <b/>
      <sz val="14"/>
      <color theme="0"/>
      <name val="Calibri"/>
      <family val="2"/>
      <scheme val="minor"/>
    </font>
    <font>
      <sz val="11"/>
      <color rgb="FFFF0000"/>
      <name val="Calibri"/>
      <family val="2"/>
      <scheme val="minor"/>
    </font>
    <font>
      <b/>
      <sz val="11"/>
      <color rgb="FFFF0000"/>
      <name val="Calibri"/>
      <family val="2"/>
      <scheme val="minor"/>
    </font>
  </fonts>
  <fills count="20">
    <fill>
      <patternFill patternType="none"/>
    </fill>
    <fill>
      <patternFill patternType="gray125"/>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rgb="FFFFC000"/>
        <bgColor indexed="64"/>
      </patternFill>
    </fill>
    <fill>
      <patternFill patternType="solid">
        <fgColor rgb="FFFFFF00"/>
        <bgColor indexed="64"/>
      </patternFill>
    </fill>
    <fill>
      <patternFill patternType="solid">
        <fgColor theme="7"/>
        <bgColor indexed="64"/>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499984740745262"/>
        <bgColor indexed="64"/>
      </patternFill>
    </fill>
    <fill>
      <patternFill patternType="solid">
        <fgColor theme="1"/>
        <bgColor indexed="64"/>
      </patternFill>
    </fill>
  </fills>
  <borders count="7">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bottom style="medium">
        <color theme="4" tint="0.39997558519241921"/>
      </bottom>
      <diagonal/>
    </border>
    <border>
      <left/>
      <right/>
      <top/>
      <bottom style="thick">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18">
    <xf numFmtId="0" fontId="0" fillId="0" borderId="0"/>
    <xf numFmtId="0" fontId="2" fillId="0" borderId="1" applyNumberFormat="0" applyFill="0" applyAlignment="0" applyProtection="0"/>
    <xf numFmtId="0" fontId="1" fillId="2" borderId="2" applyNumberFormat="0" applyFont="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3"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cellStyleXfs>
  <cellXfs count="134">
    <xf numFmtId="0" fontId="0" fillId="0" borderId="0" xfId="0"/>
    <xf numFmtId="49" fontId="0" fillId="0" borderId="0" xfId="0" applyNumberFormat="1"/>
    <xf numFmtId="0" fontId="0" fillId="0" borderId="0" xfId="0"/>
    <xf numFmtId="15" fontId="0" fillId="0" borderId="0" xfId="0" applyNumberFormat="1" applyAlignment="1"/>
    <xf numFmtId="15" fontId="0" fillId="0" borderId="0" xfId="0" applyNumberFormat="1" applyAlignment="1">
      <alignment horizontal="center"/>
    </xf>
    <xf numFmtId="1" fontId="0" fillId="0" borderId="0" xfId="0" applyNumberFormat="1" applyAlignment="1">
      <alignment horizontal="center"/>
    </xf>
    <xf numFmtId="165"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0" fontId="0" fillId="0" borderId="0" xfId="0" applyAlignment="1">
      <alignment horizontal="center"/>
    </xf>
    <xf numFmtId="2" fontId="0" fillId="0" borderId="0" xfId="0" applyNumberFormat="1" applyAlignment="1">
      <alignment horizontal="center"/>
    </xf>
    <xf numFmtId="17" fontId="0" fillId="0" borderId="0" xfId="0" applyNumberFormat="1" applyAlignment="1">
      <alignment horizontal="center"/>
    </xf>
    <xf numFmtId="0" fontId="0" fillId="0" borderId="0" xfId="0"/>
    <xf numFmtId="169" fontId="0" fillId="0" borderId="0" xfId="0" applyNumberFormat="1" applyAlignment="1">
      <alignment horizontal="center"/>
    </xf>
    <xf numFmtId="168" fontId="0" fillId="0" borderId="0" xfId="0" applyNumberFormat="1" applyAlignment="1">
      <alignment horizontal="center"/>
    </xf>
    <xf numFmtId="49" fontId="0" fillId="0" borderId="0" xfId="0" applyNumberFormat="1" applyAlignment="1">
      <alignment horizontal="center"/>
    </xf>
    <xf numFmtId="49" fontId="0" fillId="0" borderId="0" xfId="0" applyNumberFormat="1" applyAlignment="1">
      <alignment horizontal="left"/>
    </xf>
    <xf numFmtId="44" fontId="0" fillId="0" borderId="0" xfId="0" applyNumberFormat="1" applyAlignment="1"/>
    <xf numFmtId="165" fontId="0" fillId="0" borderId="0" xfId="0" applyNumberFormat="1" applyAlignment="1"/>
    <xf numFmtId="170" fontId="0" fillId="0" borderId="0" xfId="0" applyNumberFormat="1" applyAlignment="1">
      <alignment horizontal="center"/>
    </xf>
    <xf numFmtId="0" fontId="0" fillId="2" borderId="2" xfId="2" applyFont="1"/>
    <xf numFmtId="1" fontId="0" fillId="2" borderId="2" xfId="2" applyNumberFormat="1" applyFont="1"/>
    <xf numFmtId="0" fontId="2" fillId="0" borderId="1" xfId="1"/>
    <xf numFmtId="1" fontId="2" fillId="0" borderId="1" xfId="1" applyNumberFormat="1"/>
    <xf numFmtId="1" fontId="2" fillId="0" borderId="1" xfId="1" applyNumberFormat="1" applyAlignment="1">
      <alignment horizontal="left"/>
    </xf>
    <xf numFmtId="164" fontId="2" fillId="0" borderId="1" xfId="1" applyNumberFormat="1"/>
    <xf numFmtId="9" fontId="2" fillId="0" borderId="1" xfId="1" applyNumberFormat="1"/>
    <xf numFmtId="164" fontId="2" fillId="0" borderId="1" xfId="1" applyNumberFormat="1" applyAlignment="1">
      <alignment horizontal="left"/>
    </xf>
    <xf numFmtId="15" fontId="0" fillId="2" borderId="2" xfId="2" applyNumberFormat="1" applyFont="1"/>
    <xf numFmtId="171" fontId="0" fillId="2" borderId="2" xfId="2" applyNumberFormat="1" applyFont="1"/>
    <xf numFmtId="168" fontId="0" fillId="2" borderId="2" xfId="2" applyNumberFormat="1" applyFont="1"/>
    <xf numFmtId="169" fontId="0" fillId="2" borderId="2" xfId="2" applyNumberFormat="1" applyFont="1"/>
    <xf numFmtId="0" fontId="4" fillId="2" borderId="2" xfId="2" applyFont="1"/>
    <xf numFmtId="0" fontId="5" fillId="0" borderId="0" xfId="0" applyFont="1"/>
    <xf numFmtId="0" fontId="0" fillId="2" borderId="2" xfId="2" applyFont="1" applyAlignment="1">
      <alignment horizontal="right"/>
    </xf>
    <xf numFmtId="0" fontId="6" fillId="0" borderId="0" xfId="0" applyFont="1"/>
    <xf numFmtId="0" fontId="7" fillId="2" borderId="2" xfId="2" applyFont="1"/>
    <xf numFmtId="0" fontId="8" fillId="2" borderId="2" xfId="2" applyFont="1"/>
    <xf numFmtId="0" fontId="3" fillId="7" borderId="0" xfId="7"/>
    <xf numFmtId="0" fontId="1" fillId="4" borderId="0" xfId="4"/>
    <xf numFmtId="0" fontId="1" fillId="6" borderId="0" xfId="6"/>
    <xf numFmtId="0" fontId="3" fillId="3" borderId="0" xfId="3"/>
    <xf numFmtId="165" fontId="0" fillId="0" borderId="0" xfId="0" applyNumberFormat="1"/>
    <xf numFmtId="1" fontId="9" fillId="0" borderId="3" xfId="11" applyNumberFormat="1" applyAlignment="1">
      <alignment horizontal="center"/>
    </xf>
    <xf numFmtId="15" fontId="9" fillId="0" borderId="3" xfId="11" applyNumberFormat="1" applyAlignment="1"/>
    <xf numFmtId="49" fontId="9" fillId="0" borderId="3" xfId="11" applyNumberFormat="1"/>
    <xf numFmtId="49" fontId="9" fillId="0" borderId="3" xfId="11" applyNumberFormat="1" applyAlignment="1">
      <alignment horizontal="left"/>
    </xf>
    <xf numFmtId="0" fontId="9" fillId="0" borderId="3" xfId="11"/>
    <xf numFmtId="49" fontId="9" fillId="0" borderId="3" xfId="11" applyNumberFormat="1" applyAlignment="1">
      <alignment horizontal="center"/>
    </xf>
    <xf numFmtId="0" fontId="9" fillId="0" borderId="3" xfId="11" applyAlignment="1">
      <alignment horizontal="center"/>
    </xf>
    <xf numFmtId="2" fontId="9" fillId="0" borderId="3" xfId="11" applyNumberFormat="1" applyAlignment="1">
      <alignment horizontal="center"/>
    </xf>
    <xf numFmtId="165" fontId="9" fillId="0" borderId="3" xfId="11" applyNumberFormat="1" applyAlignment="1">
      <alignment horizontal="center"/>
    </xf>
    <xf numFmtId="44" fontId="9" fillId="0" borderId="3" xfId="11" applyNumberFormat="1" applyAlignment="1">
      <alignment horizontal="center"/>
    </xf>
    <xf numFmtId="15" fontId="9" fillId="0" borderId="3" xfId="11" applyNumberFormat="1" applyAlignment="1">
      <alignment horizontal="center"/>
    </xf>
    <xf numFmtId="44" fontId="1" fillId="8" borderId="0" xfId="8" applyNumberFormat="1"/>
    <xf numFmtId="44" fontId="1" fillId="9" borderId="0" xfId="9" applyNumberFormat="1"/>
    <xf numFmtId="44" fontId="1" fillId="10" borderId="0" xfId="10" applyNumberFormat="1"/>
    <xf numFmtId="0" fontId="0" fillId="11" borderId="0" xfId="0" applyFill="1"/>
    <xf numFmtId="0" fontId="0" fillId="12" borderId="0" xfId="0" applyFill="1"/>
    <xf numFmtId="0" fontId="9" fillId="12" borderId="3" xfId="11" applyFill="1"/>
    <xf numFmtId="0" fontId="0" fillId="5" borderId="0" xfId="5" applyFont="1"/>
    <xf numFmtId="165" fontId="0" fillId="0" borderId="0" xfId="0" applyNumberFormat="1" applyAlignment="1">
      <alignment horizontal="right"/>
    </xf>
    <xf numFmtId="170" fontId="0" fillId="0" borderId="0" xfId="0" applyNumberFormat="1"/>
    <xf numFmtId="0" fontId="0" fillId="0" borderId="0" xfId="0" applyNumberFormat="1"/>
    <xf numFmtId="0" fontId="0" fillId="0" borderId="0" xfId="0" applyNumberFormat="1" applyAlignment="1">
      <alignment horizontal="center"/>
    </xf>
    <xf numFmtId="15" fontId="0" fillId="0" borderId="0" xfId="0" applyNumberFormat="1"/>
    <xf numFmtId="0" fontId="0" fillId="13" borderId="0" xfId="0" applyFill="1"/>
    <xf numFmtId="44" fontId="0" fillId="0" borderId="0" xfId="0" applyNumberFormat="1"/>
    <xf numFmtId="0" fontId="0" fillId="0" borderId="0" xfId="0" applyAlignment="1">
      <alignment horizontal="right"/>
    </xf>
    <xf numFmtId="0" fontId="13" fillId="0" borderId="0" xfId="0" applyFont="1" applyAlignment="1">
      <alignment horizontal="right"/>
    </xf>
    <xf numFmtId="44" fontId="11" fillId="0" borderId="5" xfId="13" applyNumberFormat="1"/>
    <xf numFmtId="165" fontId="11" fillId="0" borderId="5" xfId="13" applyNumberFormat="1"/>
    <xf numFmtId="0" fontId="0" fillId="0" borderId="0" xfId="0" applyAlignment="1">
      <alignment horizontal="center"/>
    </xf>
    <xf numFmtId="0" fontId="9" fillId="0" borderId="3" xfId="11" applyAlignment="1">
      <alignment horizontal="center"/>
    </xf>
    <xf numFmtId="14" fontId="0" fillId="0" borderId="0" xfId="0" applyNumberFormat="1"/>
    <xf numFmtId="0" fontId="0" fillId="0" borderId="0" xfId="0" applyAlignment="1"/>
    <xf numFmtId="0" fontId="0" fillId="0" borderId="0" xfId="0" applyFill="1" applyBorder="1" applyAlignment="1">
      <alignment horizontal="center"/>
    </xf>
    <xf numFmtId="14" fontId="0" fillId="0" borderId="0" xfId="0" applyNumberFormat="1" applyAlignment="1">
      <alignment horizontal="center"/>
    </xf>
    <xf numFmtId="165" fontId="0" fillId="0" borderId="0" xfId="0" applyNumberFormat="1" applyFill="1" applyBorder="1" applyAlignment="1">
      <alignment horizontal="center"/>
    </xf>
    <xf numFmtId="165" fontId="14" fillId="18" borderId="0" xfId="0" applyNumberFormat="1" applyFont="1" applyFill="1"/>
    <xf numFmtId="165" fontId="1" fillId="16" borderId="0" xfId="16" applyNumberFormat="1" applyAlignment="1">
      <alignment horizontal="center"/>
    </xf>
    <xf numFmtId="0" fontId="11" fillId="16" borderId="6" xfId="16" applyFont="1" applyBorder="1"/>
    <xf numFmtId="0" fontId="11" fillId="16" borderId="6" xfId="16" applyFont="1" applyBorder="1" applyAlignment="1">
      <alignment horizontal="center"/>
    </xf>
    <xf numFmtId="0" fontId="11" fillId="17" borderId="6" xfId="17" applyFont="1" applyBorder="1"/>
    <xf numFmtId="1" fontId="11" fillId="17" borderId="6" xfId="17" applyNumberFormat="1" applyFont="1" applyBorder="1" applyAlignment="1">
      <alignment horizontal="center"/>
    </xf>
    <xf numFmtId="0" fontId="8" fillId="15" borderId="3" xfId="15" applyFont="1" applyBorder="1"/>
    <xf numFmtId="1" fontId="14" fillId="18" borderId="0" xfId="0" applyNumberFormat="1" applyFont="1" applyFill="1" applyAlignment="1">
      <alignment horizontal="center"/>
    </xf>
    <xf numFmtId="0" fontId="3" fillId="19" borderId="0" xfId="14" applyFill="1"/>
    <xf numFmtId="44" fontId="3" fillId="19" borderId="0" xfId="14" applyNumberFormat="1" applyFill="1"/>
    <xf numFmtId="165" fontId="11" fillId="16" borderId="6" xfId="16" applyNumberFormat="1" applyFont="1" applyBorder="1" applyAlignment="1">
      <alignment vertical="center" wrapText="1"/>
    </xf>
    <xf numFmtId="0" fontId="8" fillId="16" borderId="6" xfId="16" applyFont="1" applyBorder="1" applyAlignment="1">
      <alignment horizontal="center" vertical="center"/>
    </xf>
    <xf numFmtId="165" fontId="8" fillId="16" borderId="6" xfId="16" applyNumberFormat="1" applyFont="1" applyBorder="1" applyAlignment="1">
      <alignment horizontal="center" vertical="center"/>
    </xf>
    <xf numFmtId="165" fontId="16" fillId="18" borderId="6" xfId="16" applyNumberFormat="1" applyFont="1" applyFill="1" applyBorder="1" applyAlignment="1">
      <alignment horizontal="center" vertical="center"/>
    </xf>
    <xf numFmtId="0" fontId="8" fillId="17" borderId="6" xfId="17" applyFont="1" applyBorder="1" applyAlignment="1">
      <alignment horizontal="center" vertical="center"/>
    </xf>
    <xf numFmtId="165" fontId="8" fillId="17" borderId="6" xfId="17" applyNumberFormat="1" applyFont="1" applyBorder="1" applyAlignment="1">
      <alignment horizontal="center" vertical="center"/>
    </xf>
    <xf numFmtId="165" fontId="16" fillId="18" borderId="6" xfId="17" applyNumberFormat="1" applyFont="1" applyFill="1" applyBorder="1" applyAlignment="1">
      <alignment horizontal="center" vertical="center"/>
    </xf>
    <xf numFmtId="0" fontId="15" fillId="15" borderId="3" xfId="15" applyFont="1" applyBorder="1" applyAlignment="1">
      <alignment vertical="center"/>
    </xf>
    <xf numFmtId="165" fontId="11" fillId="17" borderId="6" xfId="17" applyNumberFormat="1" applyFont="1" applyBorder="1" applyAlignment="1">
      <alignment horizontal="left" wrapText="1"/>
    </xf>
    <xf numFmtId="1" fontId="8" fillId="17" borderId="6" xfId="17" applyNumberFormat="1" applyFont="1" applyBorder="1" applyAlignment="1">
      <alignment horizontal="center" vertical="center"/>
    </xf>
    <xf numFmtId="0" fontId="8" fillId="15" borderId="3" xfId="15" applyFont="1" applyBorder="1" applyAlignment="1">
      <alignment vertical="center"/>
    </xf>
    <xf numFmtId="0" fontId="8" fillId="15" borderId="3" xfId="15" applyFont="1" applyBorder="1" applyAlignment="1">
      <alignment horizontal="center" vertical="center"/>
    </xf>
    <xf numFmtId="1" fontId="16" fillId="18" borderId="6" xfId="16" applyNumberFormat="1" applyFont="1" applyFill="1" applyBorder="1" applyAlignment="1">
      <alignment horizontal="center" vertical="center"/>
    </xf>
    <xf numFmtId="0" fontId="9" fillId="0" borderId="3" xfId="11" applyAlignment="1">
      <alignment horizontal="center"/>
    </xf>
    <xf numFmtId="17" fontId="9" fillId="0" borderId="3" xfId="11" applyNumberFormat="1" applyAlignment="1">
      <alignment horizontal="center"/>
    </xf>
    <xf numFmtId="167" fontId="9" fillId="0" borderId="3" xfId="11" applyNumberFormat="1" applyAlignment="1">
      <alignment horizontal="center"/>
    </xf>
    <xf numFmtId="166" fontId="9" fillId="0" borderId="3" xfId="11" applyNumberFormat="1" applyAlignment="1">
      <alignment horizontal="center"/>
    </xf>
    <xf numFmtId="0" fontId="1" fillId="8" borderId="0" xfId="8"/>
    <xf numFmtId="49" fontId="1" fillId="8" borderId="0" xfId="8" applyNumberFormat="1"/>
    <xf numFmtId="1" fontId="1" fillId="8" borderId="0" xfId="8" applyNumberFormat="1" applyAlignment="1">
      <alignment horizontal="center"/>
    </xf>
    <xf numFmtId="165" fontId="1" fillId="8" borderId="0" xfId="8" applyNumberFormat="1" applyAlignment="1">
      <alignment horizontal="center"/>
    </xf>
    <xf numFmtId="17" fontId="1" fillId="8" borderId="0" xfId="8" applyNumberFormat="1" applyAlignment="1">
      <alignment horizontal="center"/>
    </xf>
    <xf numFmtId="2" fontId="1" fillId="8" borderId="0" xfId="8" applyNumberFormat="1" applyAlignment="1">
      <alignment horizontal="center"/>
    </xf>
    <xf numFmtId="0" fontId="1" fillId="8" borderId="0" xfId="8" applyAlignment="1">
      <alignment horizontal="center"/>
    </xf>
    <xf numFmtId="167" fontId="1" fillId="8" borderId="0" xfId="8" applyNumberFormat="1" applyAlignment="1">
      <alignment horizontal="center"/>
    </xf>
    <xf numFmtId="166" fontId="1" fillId="8" borderId="0" xfId="8" applyNumberFormat="1" applyAlignment="1">
      <alignment horizontal="center"/>
    </xf>
    <xf numFmtId="170" fontId="9" fillId="0" borderId="3" xfId="11" applyNumberFormat="1" applyAlignment="1">
      <alignment horizontal="center"/>
    </xf>
    <xf numFmtId="168" fontId="9" fillId="0" borderId="3" xfId="11" applyNumberFormat="1" applyAlignment="1">
      <alignment horizontal="center"/>
    </xf>
    <xf numFmtId="169" fontId="9" fillId="0" borderId="3" xfId="11" applyNumberFormat="1" applyAlignment="1">
      <alignment horizontal="center"/>
    </xf>
    <xf numFmtId="170" fontId="9" fillId="0" borderId="3" xfId="11" applyNumberFormat="1"/>
    <xf numFmtId="170" fontId="1" fillId="8" borderId="0" xfId="8" applyNumberFormat="1"/>
    <xf numFmtId="165" fontId="9" fillId="0" borderId="3" xfId="11" applyNumberFormat="1"/>
    <xf numFmtId="165" fontId="9" fillId="0" borderId="3" xfId="11" applyNumberFormat="1" applyAlignment="1">
      <alignment horizontal="right"/>
    </xf>
    <xf numFmtId="164" fontId="9" fillId="0" borderId="3" xfId="11" applyNumberFormat="1" applyAlignment="1">
      <alignment horizontal="center"/>
    </xf>
    <xf numFmtId="164" fontId="0" fillId="0" borderId="0" xfId="0" applyNumberFormat="1" applyAlignment="1">
      <alignment horizontal="center"/>
    </xf>
    <xf numFmtId="165" fontId="3" fillId="3" borderId="2" xfId="3" applyNumberFormat="1" applyBorder="1"/>
    <xf numFmtId="165" fontId="0" fillId="2" borderId="2" xfId="2" applyNumberFormat="1" applyFont="1"/>
    <xf numFmtId="164" fontId="0" fillId="2" borderId="2" xfId="2" applyNumberFormat="1" applyFont="1"/>
    <xf numFmtId="164" fontId="0" fillId="0" borderId="0" xfId="0" applyNumberFormat="1"/>
    <xf numFmtId="0" fontId="0" fillId="0" borderId="0" xfId="0" applyAlignment="1">
      <alignment horizontal="left"/>
    </xf>
    <xf numFmtId="0" fontId="2" fillId="0" borderId="1" xfId="1" applyAlignment="1">
      <alignment horizontal="left"/>
    </xf>
    <xf numFmtId="0" fontId="10" fillId="0" borderId="4" xfId="12" applyAlignment="1">
      <alignment horizontal="left" vertical="center"/>
    </xf>
    <xf numFmtId="0" fontId="9" fillId="0" borderId="3" xfId="11" applyAlignment="1">
      <alignment horizontal="left"/>
    </xf>
    <xf numFmtId="0" fontId="10" fillId="0" borderId="4" xfId="12" applyAlignment="1">
      <alignment horizontal="center"/>
    </xf>
    <xf numFmtId="0" fontId="9" fillId="0" borderId="3" xfId="11" applyAlignment="1">
      <alignment horizontal="center"/>
    </xf>
  </cellXfs>
  <cellStyles count="18">
    <cellStyle name="20% - Accent1" xfId="4" builtinId="30"/>
    <cellStyle name="20% - Accent2" xfId="8" builtinId="34"/>
    <cellStyle name="20% - Accent6" xfId="15" builtinId="50"/>
    <cellStyle name="40% - Accent1" xfId="5" builtinId="31"/>
    <cellStyle name="40% - Accent2" xfId="9" builtinId="35"/>
    <cellStyle name="40% - Accent6" xfId="16" builtinId="51"/>
    <cellStyle name="60% - Accent1" xfId="6" builtinId="32"/>
    <cellStyle name="60% - Accent2" xfId="10" builtinId="36"/>
    <cellStyle name="60% - Accent6" xfId="17" builtinId="52"/>
    <cellStyle name="Accent1" xfId="3" builtinId="29"/>
    <cellStyle name="Accent2" xfId="7" builtinId="33"/>
    <cellStyle name="Accent6" xfId="14" builtinId="49"/>
    <cellStyle name="Heading 1" xfId="1" builtinId="16"/>
    <cellStyle name="Heading 2" xfId="12" builtinId="17"/>
    <cellStyle name="Heading 3" xfId="11" builtinId="18"/>
    <cellStyle name="Normal" xfId="0" builtinId="0"/>
    <cellStyle name="Note" xfId="2" builtinId="10"/>
    <cellStyle name="Total" xfId="13" builtinId="25"/>
  </cellStyles>
  <dxfs count="220">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170" formatCode="00\-00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dxf>
    <dxf>
      <numFmt numFmtId="30" formatCode="@"/>
    </dxf>
    <dxf>
      <numFmt numFmtId="20" formatCode="dd\-mmm\-yy"/>
    </dxf>
    <dxf>
      <numFmt numFmtId="19" formatCode="dd/mm/yyyy"/>
    </dxf>
    <dxf>
      <numFmt numFmtId="1" formatCode="0"/>
      <alignment horizontal="center" vertical="bottom" textRotation="0" wrapText="0" indent="0" justifyLastLine="0" shrinkToFit="0" readingOrder="0"/>
    </dxf>
    <dxf>
      <numFmt numFmtId="165" formatCode="&quot;£&quot;#,##0.00"/>
    </dxf>
    <dxf>
      <numFmt numFmtId="34" formatCode="_-&quot;£&quot;* #,##0.00_-;\-&quot;£&quot;* #,##0.00_-;_-&quot;£&quot;* &quot;-&quot;??_-;_-@_-"/>
    </dxf>
    <dxf>
      <numFmt numFmtId="165" formatCode="&quot;£&quot;#,##0.0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170" formatCode="00\-00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dxf>
    <dxf>
      <numFmt numFmtId="30" formatCode="@"/>
    </dxf>
    <dxf>
      <numFmt numFmtId="20" formatCode="dd\-mmm\-yy"/>
      <alignment horizontal="center" vertical="bottom" textRotation="0" wrapText="0" indent="0" justifyLastLine="0" shrinkToFit="0" readingOrder="0"/>
    </dxf>
    <dxf>
      <numFmt numFmtId="19" formatCode="dd/mm/yyyy"/>
    </dxf>
    <dxf>
      <numFmt numFmtId="1" formatCode="0"/>
      <alignment horizontal="center" vertical="bottom" textRotation="0" wrapText="0" indent="0" justifyLastLine="0" shrinkToFit="0" readingOrder="0"/>
    </dxf>
    <dxf>
      <numFmt numFmtId="165" formatCode="&quot;£&quot;#,##0.00"/>
    </dxf>
    <dxf>
      <numFmt numFmtId="165" formatCode="&quot;£&quot;#,##0.0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170" formatCode="00\-00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dxf>
    <dxf>
      <numFmt numFmtId="30" formatCode="@"/>
    </dxf>
    <dxf>
      <numFmt numFmtId="20" formatCode="dd\-mmm\-yy"/>
      <alignment horizontal="center" vertical="bottom" textRotation="0" wrapText="0" indent="0" justifyLastLine="0" shrinkToFit="0" readingOrder="0"/>
    </dxf>
    <dxf>
      <numFmt numFmtId="19" formatCode="dd/mm/yyyy"/>
    </dxf>
    <dxf>
      <numFmt numFmtId="1" formatCode="0"/>
      <alignment horizontal="center" vertical="bottom" textRotation="0" wrapText="0" indent="0" justifyLastLine="0" shrinkToFit="0" readingOrder="0"/>
    </dxf>
    <dxf>
      <numFmt numFmtId="165" formatCode="&quot;£&quot;#,##0.00"/>
    </dxf>
    <dxf>
      <numFmt numFmtId="165" formatCode="&quot;£&quot;#,##0.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5" formatCode="&quot;£&quot;#,##0.00"/>
    </dxf>
    <dxf>
      <numFmt numFmtId="165" formatCode="&quot;£&quot;#,##0.00"/>
    </dxf>
    <dxf>
      <numFmt numFmtId="1" formatCode="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170" formatCode="00\-00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0" formatCode="General"/>
    </dxf>
    <dxf>
      <numFmt numFmtId="30" formatCode="@"/>
    </dxf>
    <dxf>
      <numFmt numFmtId="30" formatCode="@"/>
    </dxf>
    <dxf>
      <numFmt numFmtId="20" formatCode="dd\-mmm\-yy"/>
      <alignment horizontal="center" vertical="bottom" textRotation="0" wrapText="0" indent="0" justifyLastLine="0" shrinkToFit="0" readingOrder="0"/>
    </dxf>
    <dxf>
      <numFmt numFmtId="19" formatCode="dd/mm/yyyy"/>
    </dxf>
    <dxf>
      <numFmt numFmtId="1" formatCode="0"/>
      <alignment horizontal="center" vertical="bottom" textRotation="0" wrapText="0" indent="0" justifyLastLine="0" shrinkToFit="0" readingOrder="0"/>
    </dxf>
    <dxf>
      <numFmt numFmtId="165" formatCode="&quot;£&quot;#,##0.00"/>
      <alignment horizontal="right"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5" formatCode="&quot;£&quot;#,##0.00"/>
    </dxf>
    <dxf>
      <numFmt numFmtId="165" formatCode="&quot;£&quot;#,##0.00"/>
    </dxf>
    <dxf>
      <numFmt numFmtId="1" formatCode="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70" formatCode="00\-000\-0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dxf>
    <dxf>
      <numFmt numFmtId="30" formatCode="@"/>
      <alignment horizontal="center" vertical="bottom" textRotation="0" wrapText="0" indent="0" justifyLastLine="0" shrinkToFit="0" readingOrder="0"/>
    </dxf>
    <dxf>
      <numFmt numFmtId="30" formatCode="@"/>
    </dxf>
    <dxf>
      <numFmt numFmtId="30" formatCode="@"/>
    </dxf>
    <dxf>
      <numFmt numFmtId="30" formatCode="@"/>
    </dxf>
    <dxf>
      <numFmt numFmtId="20" formatCode="dd\-mmm\-yy"/>
      <alignment horizontal="center" vertical="bottom" textRotation="0" wrapText="0" indent="0" justifyLastLine="0" shrinkToFit="0" readingOrder="0"/>
    </dxf>
    <dxf>
      <numFmt numFmtId="19" formatCode="dd/mm/yyyy"/>
    </dxf>
    <dxf>
      <numFmt numFmtId="1" formatCode="0"/>
      <alignment horizontal="center" vertical="bottom" textRotation="0" wrapText="0" indent="0" justifyLastLine="0" shrinkToFit="0" readingOrder="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170" formatCode="00\-000\-00"/>
      <alignment horizontal="center" vertical="bottom" textRotation="0" wrapText="0" indent="0" justifyLastLine="0" shrinkToFit="0" readingOrder="0"/>
    </dxf>
    <dxf>
      <numFmt numFmtId="170" formatCode="00\-00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20" formatCode="dd\-mmm\-yy"/>
      <alignment horizontal="center" vertical="bottom" textRotation="0" wrapText="0" indent="0" justifyLastLine="0" shrinkToFit="0" readingOrder="0"/>
    </dxf>
    <dxf>
      <numFmt numFmtId="20" formatCode="dd\-mmm\-yy"/>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dxf>
    <dxf>
      <numFmt numFmtId="165" formatCode="&quot;£&quot;#,##0.00"/>
      <alignment horizontal="general" vertical="bottom" textRotation="0" wrapText="0" indent="0" justifyLastLine="0" shrinkToFit="0" readingOrder="0"/>
    </dxf>
    <dxf>
      <numFmt numFmtId="165" formatCode="&quot;£&quot;#,##0.00"/>
      <alignment horizontal="general"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rgb="FFFFFF00"/>
        </patternFill>
      </fill>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dxf>
    <dxf>
      <numFmt numFmtId="30" formatCode="@"/>
    </dxf>
    <dxf>
      <numFmt numFmtId="20" formatCode="dd\-mmm\-yy"/>
      <alignment horizontal="center" vertical="bottom" textRotation="0" wrapText="0" indent="0" justifyLastLine="0" shrinkToFit="0" readingOrder="0"/>
    </dxf>
    <dxf>
      <numFmt numFmtId="20" formatCode="dd\-mmm\-yy"/>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9" formatCode="\(0\1\9\1\)\ 000\ 0000"/>
      <alignment horizontal="center" vertical="bottom" textRotation="0" wrapText="0" indent="0" justifyLastLine="0" shrinkToFit="0" readingOrder="0"/>
    </dxf>
    <dxf>
      <numFmt numFmtId="169" formatCode="\(0\1\9\1\)\ 000\ 0000"/>
      <alignment horizontal="center" vertical="bottom" textRotation="0" wrapText="0" indent="0" justifyLastLine="0" shrinkToFit="0" readingOrder="0"/>
    </dxf>
    <dxf>
      <numFmt numFmtId="168" formatCode="\(\+\4\40\)000\ 0000\ 000"/>
      <alignment horizontal="center" vertical="bottom" textRotation="0" wrapText="0" indent="0" justifyLastLine="0" shrinkToFit="0" readingOrder="0"/>
    </dxf>
    <dxf>
      <numFmt numFmtId="168" formatCode="\(\+\4\40\)000\ 0000\ 000"/>
      <alignment horizontal="center" vertical="bottom" textRotation="0" wrapText="0" indent="0" justifyLastLine="0" shrinkToFit="0" readingOrder="0"/>
    </dxf>
    <dxf>
      <numFmt numFmtId="170" formatCode="00\-00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0" formatCode="dd\-mmm\-yy"/>
      <alignment horizontal="center" vertical="bottom" textRotation="0" wrapText="0" indent="0" justifyLastLine="0" shrinkToFit="0" readingOrder="0"/>
    </dxf>
    <dxf>
      <numFmt numFmtId="20" formatCode="dd\-mmm\-yy"/>
      <alignment horizontal="center"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66" formatCode="[$-F400]h:mm:ss\ AM/PM"/>
      <alignment horizontal="center" vertical="bottom" textRotation="0" wrapText="0" indent="0" justifyLastLine="0" shrinkToFit="0" readingOrder="0"/>
    </dxf>
    <dxf>
      <numFmt numFmtId="166" formatCode="[$-F400]h:mm:ss\ AM/PM"/>
      <alignment horizontal="center" vertical="bottom" textRotation="0" wrapText="0" indent="0" justifyLastLine="0" shrinkToFit="0" readingOrder="0"/>
    </dxf>
    <dxf>
      <numFmt numFmtId="167" formatCode="&quot;£&quot;#,##0"/>
      <alignment horizontal="center" vertical="bottom" textRotation="0" wrapText="0" indent="0" justifyLastLine="0" shrinkToFit="0" readingOrder="0"/>
    </dxf>
    <dxf>
      <numFmt numFmtId="167" formatCode="&quot;£&quot;#,##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2" formatCode="mmm\-yy"/>
      <alignment horizontal="center" vertical="bottom" textRotation="0" wrapText="0" indent="0" justifyLastLine="0" shrinkToFit="0" readingOrder="0"/>
    </dxf>
    <dxf>
      <numFmt numFmtId="22" formatCode="mmm\-yy"/>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0" formatCode="@"/>
    </dxf>
    <dxf>
      <numFmt numFmtId="30" formatCode="@"/>
    </dxf>
    <dxf>
      <numFmt numFmtId="30" formatCode="@"/>
    </dxf>
    <dxf>
      <numFmt numFmtId="30" formatCode="@"/>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34" formatCode="_-&quot;£&quot;* #,##0.00_-;\-&quot;£&quot;* #,##0.00_-;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1st | First month sales income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v>Revenue</c:v>
          </c:tx>
          <c:spPr>
            <a:noFill/>
            <a:ln w="9525" cap="flat" cmpd="sng" algn="ctr">
              <a:solidFill>
                <a:schemeClr val="accent1"/>
              </a:solidFill>
              <a:miter lim="800000"/>
            </a:ln>
            <a:effectLst>
              <a:glow rad="63500">
                <a:schemeClr val="accent1">
                  <a:satMod val="175000"/>
                  <a:alpha val="25000"/>
                </a:schemeClr>
              </a:glow>
            </a:effectLst>
          </c:spPr>
          <c:invertIfNegative val="0"/>
          <c:cat>
            <c:multiLvlStrRef>
              <c:f>Outlines!$D$1:$E$7</c:f>
              <c:multiLvlStrCache>
                <c:ptCount val="2"/>
                <c:lvl>
                  <c:pt idx="0">
                    <c:v>Weeks</c:v>
                  </c:pt>
                  <c:pt idx="1">
                    <c:v>5</c:v>
                  </c:pt>
                </c:lvl>
                <c:lvl>
                  <c:pt idx="0">
                    <c:v>#Employee</c:v>
                  </c:pt>
                  <c:pt idx="1">
                    <c:v>14</c:v>
                  </c:pt>
                </c:lvl>
              </c:multiLvlStrCache>
            </c:multiLvlStrRef>
          </c:cat>
          <c:val>
            <c:numRef>
              <c:f>Outlines!$F$1:$F$7</c:f>
              <c:numCache>
                <c:formatCode>"£"#,##0.00</c:formatCode>
                <c:ptCount val="2"/>
                <c:pt idx="0" formatCode="General">
                  <c:v>0</c:v>
                </c:pt>
                <c:pt idx="1">
                  <c:v>11196.143</c:v>
                </c:pt>
              </c:numCache>
            </c:numRef>
          </c:val>
          <c:extLst>
            <c:ext xmlns:c16="http://schemas.microsoft.com/office/drawing/2014/chart" uri="{C3380CC4-5D6E-409C-BE32-E72D297353CC}">
              <c16:uniqueId val="{00000000-4E39-438F-9474-4E75295D8BCA}"/>
            </c:ext>
          </c:extLst>
        </c:ser>
        <c:ser>
          <c:idx val="1"/>
          <c:order val="1"/>
          <c:tx>
            <c:v>Expensis</c:v>
          </c:tx>
          <c:spPr>
            <a:noFill/>
            <a:ln w="9525" cap="flat" cmpd="sng" algn="ctr">
              <a:solidFill>
                <a:schemeClr val="accent2"/>
              </a:solidFill>
              <a:miter lim="800000"/>
            </a:ln>
            <a:effectLst>
              <a:glow rad="63500">
                <a:schemeClr val="accent2">
                  <a:satMod val="175000"/>
                  <a:alpha val="25000"/>
                </a:schemeClr>
              </a:glow>
            </a:effectLst>
          </c:spPr>
          <c:invertIfNegative val="0"/>
          <c:cat>
            <c:multiLvlStrRef>
              <c:f>Outlines!$D$1:$E$7</c:f>
              <c:multiLvlStrCache>
                <c:ptCount val="2"/>
                <c:lvl>
                  <c:pt idx="0">
                    <c:v>Weeks</c:v>
                  </c:pt>
                  <c:pt idx="1">
                    <c:v>5</c:v>
                  </c:pt>
                </c:lvl>
                <c:lvl>
                  <c:pt idx="0">
                    <c:v>#Employee</c:v>
                  </c:pt>
                  <c:pt idx="1">
                    <c:v>14</c:v>
                  </c:pt>
                </c:lvl>
              </c:multiLvlStrCache>
            </c:multiLvlStrRef>
          </c:cat>
          <c:val>
            <c:numRef>
              <c:f>Outlines!$G$1:$G$7</c:f>
              <c:numCache>
                <c:formatCode>"£"#,##0.00</c:formatCode>
                <c:ptCount val="2"/>
                <c:pt idx="0" formatCode="General">
                  <c:v>0</c:v>
                </c:pt>
                <c:pt idx="1">
                  <c:v>4089</c:v>
                </c:pt>
              </c:numCache>
            </c:numRef>
          </c:val>
          <c:extLst>
            <c:ext xmlns:c16="http://schemas.microsoft.com/office/drawing/2014/chart" uri="{C3380CC4-5D6E-409C-BE32-E72D297353CC}">
              <c16:uniqueId val="{00000001-4E39-438F-9474-4E75295D8BCA}"/>
            </c:ext>
          </c:extLst>
        </c:ser>
        <c:ser>
          <c:idx val="2"/>
          <c:order val="2"/>
          <c:tx>
            <c:v>Net_Income</c:v>
          </c:tx>
          <c:spPr>
            <a:noFill/>
            <a:ln w="9525" cap="flat" cmpd="sng" algn="ctr">
              <a:solidFill>
                <a:schemeClr val="accent3"/>
              </a:solidFill>
              <a:miter lim="800000"/>
            </a:ln>
            <a:effectLst>
              <a:glow rad="63500">
                <a:schemeClr val="accent3">
                  <a:satMod val="175000"/>
                  <a:alpha val="25000"/>
                </a:schemeClr>
              </a:glow>
            </a:effectLst>
          </c:spPr>
          <c:invertIfNegative val="0"/>
          <c:cat>
            <c:multiLvlStrRef>
              <c:f>Outlines!$D$1:$E$7</c:f>
              <c:multiLvlStrCache>
                <c:ptCount val="2"/>
                <c:lvl>
                  <c:pt idx="0">
                    <c:v>Weeks</c:v>
                  </c:pt>
                  <c:pt idx="1">
                    <c:v>5</c:v>
                  </c:pt>
                </c:lvl>
                <c:lvl>
                  <c:pt idx="0">
                    <c:v>#Employee</c:v>
                  </c:pt>
                  <c:pt idx="1">
                    <c:v>14</c:v>
                  </c:pt>
                </c:lvl>
              </c:multiLvlStrCache>
            </c:multiLvlStrRef>
          </c:cat>
          <c:val>
            <c:numRef>
              <c:f>Outlines!$H$1:$H$7</c:f>
              <c:numCache>
                <c:formatCode>"£"#,##0.00</c:formatCode>
                <c:ptCount val="2"/>
                <c:pt idx="0">
                  <c:v>0</c:v>
                </c:pt>
                <c:pt idx="1">
                  <c:v>7107.143</c:v>
                </c:pt>
              </c:numCache>
            </c:numRef>
          </c:val>
          <c:extLst>
            <c:ext xmlns:c16="http://schemas.microsoft.com/office/drawing/2014/chart" uri="{C3380CC4-5D6E-409C-BE32-E72D297353CC}">
              <c16:uniqueId val="{00000002-4E39-438F-9474-4E75295D8BCA}"/>
            </c:ext>
          </c:extLst>
        </c:ser>
        <c:dLbls>
          <c:showLegendKey val="0"/>
          <c:showVal val="0"/>
          <c:showCatName val="0"/>
          <c:showSerName val="0"/>
          <c:showPercent val="0"/>
          <c:showBubbleSize val="0"/>
        </c:dLbls>
        <c:gapWidth val="315"/>
        <c:overlap val="-40"/>
        <c:axId val="464273744"/>
        <c:axId val="464278008"/>
      </c:barChart>
      <c:catAx>
        <c:axId val="46427374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4278008"/>
        <c:crosses val="autoZero"/>
        <c:auto val="1"/>
        <c:lblAlgn val="ctr"/>
        <c:lblOffset val="100"/>
        <c:noMultiLvlLbl val="0"/>
      </c:catAx>
      <c:valAx>
        <c:axId val="46427800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4273744"/>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2nd| Second Month sales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v>#Employees</c:v>
          </c:tx>
          <c:spPr>
            <a:noFill/>
            <a:ln w="9525" cap="flat" cmpd="sng" algn="ctr">
              <a:solidFill>
                <a:schemeClr val="accent2"/>
              </a:solidFill>
              <a:miter lim="800000"/>
            </a:ln>
            <a:effectLst>
              <a:glow rad="63500">
                <a:schemeClr val="accent2">
                  <a:satMod val="175000"/>
                  <a:alpha val="25000"/>
                </a:schemeClr>
              </a:glow>
            </a:effectLst>
          </c:spPr>
          <c:invertIfNegative val="0"/>
          <c:val>
            <c:numRef>
              <c:f>Outlines!$D$8:$D$13</c:f>
              <c:numCache>
                <c:formatCode>0</c:formatCode>
                <c:ptCount val="1"/>
                <c:pt idx="0">
                  <c:v>13</c:v>
                </c:pt>
              </c:numCache>
            </c:numRef>
          </c:val>
          <c:extLst>
            <c:ext xmlns:c16="http://schemas.microsoft.com/office/drawing/2014/chart" uri="{C3380CC4-5D6E-409C-BE32-E72D297353CC}">
              <c16:uniqueId val="{00000000-ABF1-48AE-B2AF-A80107631D3E}"/>
            </c:ext>
          </c:extLst>
        </c:ser>
        <c:ser>
          <c:idx val="2"/>
          <c:order val="2"/>
          <c:tx>
            <c:v>Revenue</c:v>
          </c:tx>
          <c:spPr>
            <a:noFill/>
            <a:ln w="9525" cap="flat" cmpd="sng" algn="ctr">
              <a:solidFill>
                <a:schemeClr val="accent6"/>
              </a:solidFill>
              <a:miter lim="800000"/>
            </a:ln>
            <a:effectLst>
              <a:glow rad="63500">
                <a:schemeClr val="accent6">
                  <a:satMod val="175000"/>
                  <a:alpha val="25000"/>
                </a:schemeClr>
              </a:glow>
            </a:effectLst>
          </c:spPr>
          <c:invertIfNegative val="0"/>
          <c:val>
            <c:numRef>
              <c:f>Outlines!$F$8:$F$13</c:f>
              <c:numCache>
                <c:formatCode>"£"#,##0.00</c:formatCode>
                <c:ptCount val="1"/>
                <c:pt idx="0">
                  <c:v>5629.48</c:v>
                </c:pt>
              </c:numCache>
            </c:numRef>
          </c:val>
          <c:extLst>
            <c:ext xmlns:c16="http://schemas.microsoft.com/office/drawing/2014/chart" uri="{C3380CC4-5D6E-409C-BE32-E72D297353CC}">
              <c16:uniqueId val="{00000002-ABF1-48AE-B2AF-A80107631D3E}"/>
            </c:ext>
          </c:extLst>
        </c:ser>
        <c:ser>
          <c:idx val="3"/>
          <c:order val="3"/>
          <c:tx>
            <c:v>Expensis</c:v>
          </c:tx>
          <c:spPr>
            <a:noFill/>
            <a:ln w="9525" cap="flat" cmpd="sng" algn="ctr">
              <a:solidFill>
                <a:schemeClr val="accent2">
                  <a:lumMod val="60000"/>
                </a:schemeClr>
              </a:solidFill>
              <a:miter lim="800000"/>
            </a:ln>
            <a:effectLst>
              <a:glow rad="63500">
                <a:schemeClr val="accent2">
                  <a:lumMod val="60000"/>
                  <a:satMod val="175000"/>
                  <a:alpha val="25000"/>
                </a:schemeClr>
              </a:glow>
            </a:effectLst>
          </c:spPr>
          <c:invertIfNegative val="0"/>
          <c:val>
            <c:numRef>
              <c:f>Outlines!$G$8:$G$13</c:f>
              <c:numCache>
                <c:formatCode>"£"#,##0.00</c:formatCode>
                <c:ptCount val="1"/>
                <c:pt idx="0">
                  <c:v>2044</c:v>
                </c:pt>
              </c:numCache>
            </c:numRef>
          </c:val>
          <c:extLst>
            <c:ext xmlns:c16="http://schemas.microsoft.com/office/drawing/2014/chart" uri="{C3380CC4-5D6E-409C-BE32-E72D297353CC}">
              <c16:uniqueId val="{00000003-ABF1-48AE-B2AF-A80107631D3E}"/>
            </c:ext>
          </c:extLst>
        </c:ser>
        <c:ser>
          <c:idx val="4"/>
          <c:order val="4"/>
          <c:tx>
            <c:v>Net_Income</c:v>
          </c:tx>
          <c:spPr>
            <a:noFill/>
            <a:ln w="9525" cap="flat" cmpd="sng" algn="ctr">
              <a:solidFill>
                <a:schemeClr val="accent4">
                  <a:lumMod val="60000"/>
                </a:schemeClr>
              </a:solidFill>
              <a:miter lim="800000"/>
            </a:ln>
            <a:effectLst>
              <a:glow rad="63500">
                <a:schemeClr val="accent4">
                  <a:lumMod val="60000"/>
                  <a:satMod val="175000"/>
                  <a:alpha val="25000"/>
                </a:schemeClr>
              </a:glow>
            </a:effectLst>
          </c:spPr>
          <c:invertIfNegative val="0"/>
          <c:val>
            <c:numRef>
              <c:f>Outlines!$H$8:$H$13</c:f>
              <c:numCache>
                <c:formatCode>"£"#,##0.00</c:formatCode>
                <c:ptCount val="1"/>
                <c:pt idx="0">
                  <c:v>3585.48</c:v>
                </c:pt>
              </c:numCache>
            </c:numRef>
          </c:val>
          <c:extLst>
            <c:ext xmlns:c16="http://schemas.microsoft.com/office/drawing/2014/chart" uri="{C3380CC4-5D6E-409C-BE32-E72D297353CC}">
              <c16:uniqueId val="{00000004-ABF1-48AE-B2AF-A80107631D3E}"/>
            </c:ext>
          </c:extLst>
        </c:ser>
        <c:dLbls>
          <c:showLegendKey val="0"/>
          <c:showVal val="0"/>
          <c:showCatName val="0"/>
          <c:showSerName val="0"/>
          <c:showPercent val="0"/>
          <c:showBubbleSize val="0"/>
        </c:dLbls>
        <c:gapWidth val="315"/>
        <c:overlap val="-40"/>
        <c:axId val="466102936"/>
        <c:axId val="466105560"/>
        <c:extLst>
          <c:ext xmlns:c15="http://schemas.microsoft.com/office/drawing/2012/chart" uri="{02D57815-91ED-43cb-92C2-25804820EDAC}">
            <c15:filteredBarSeries>
              <c15:ser>
                <c:idx val="1"/>
                <c:order val="1"/>
                <c:spPr>
                  <a:noFill/>
                  <a:ln w="9525" cap="flat" cmpd="sng" algn="ctr">
                    <a:solidFill>
                      <a:schemeClr val="accent4"/>
                    </a:solidFill>
                    <a:miter lim="800000"/>
                  </a:ln>
                  <a:effectLst>
                    <a:glow rad="63500">
                      <a:schemeClr val="accent4">
                        <a:satMod val="175000"/>
                        <a:alpha val="25000"/>
                      </a:schemeClr>
                    </a:glow>
                  </a:effectLst>
                </c:spPr>
                <c:invertIfNegative val="0"/>
                <c:val>
                  <c:numRef>
                    <c:extLst>
                      <c:ext uri="{02D57815-91ED-43cb-92C2-25804820EDAC}">
                        <c15:formulaRef>
                          <c15:sqref>Outlines!$E$8:$E$13</c15:sqref>
                        </c15:formulaRef>
                      </c:ext>
                    </c:extLst>
                    <c:numCache>
                      <c:formatCode>General</c:formatCode>
                      <c:ptCount val="1"/>
                      <c:pt idx="0">
                        <c:v>5</c:v>
                      </c:pt>
                    </c:numCache>
                  </c:numRef>
                </c:val>
                <c:extLst>
                  <c:ext xmlns:c16="http://schemas.microsoft.com/office/drawing/2014/chart" uri="{C3380CC4-5D6E-409C-BE32-E72D297353CC}">
                    <c16:uniqueId val="{00000001-ABF1-48AE-B2AF-A80107631D3E}"/>
                  </c:ext>
                </c:extLst>
              </c15:ser>
            </c15:filteredBarSeries>
          </c:ext>
        </c:extLst>
      </c:barChart>
      <c:catAx>
        <c:axId val="46610293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6105560"/>
        <c:crosses val="autoZero"/>
        <c:auto val="1"/>
        <c:lblAlgn val="ctr"/>
        <c:lblOffset val="100"/>
        <c:noMultiLvlLbl val="0"/>
      </c:catAx>
      <c:valAx>
        <c:axId val="46610556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66102936"/>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for the</a:t>
            </a:r>
            <a:r>
              <a:rPr lang="en-US" baseline="0"/>
              <a:t> 1st &amp; 2nd Month</a:t>
            </a:r>
            <a:r>
              <a:rPr lang="en-US"/>
              <a:t>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20"/>
      <c:rotY val="180"/>
      <c:depthPercent val="100"/>
      <c:rAngAx val="0"/>
      <c:perspective val="1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5.5555555555555558E-3"/>
          <c:y val="0.18300925925925926"/>
          <c:w val="0.93888888888888888"/>
          <c:h val="0.66016149023038784"/>
        </c:manualLayout>
      </c:layout>
      <c:pie3DChart>
        <c:varyColors val="1"/>
        <c:ser>
          <c:idx val="0"/>
          <c:order val="0"/>
          <c:cat>
            <c:strRef>
              <c:f>Outlines!$F$1:$H$1</c:f>
              <c:strCache>
                <c:ptCount val="3"/>
                <c:pt idx="0">
                  <c:v>Revenue</c:v>
                </c:pt>
                <c:pt idx="1">
                  <c:v>Expenses</c:v>
                </c:pt>
                <c:pt idx="2">
                  <c:v>Net-Income</c:v>
                </c:pt>
              </c:strCache>
            </c:strRef>
          </c:cat>
          <c:val>
            <c:numRef>
              <c:f>Outlines!$F$2:$H$2</c:f>
            </c:numRef>
          </c:val>
          <c:extLst>
            <c:ext xmlns:c16="http://schemas.microsoft.com/office/drawing/2014/chart" uri="{C3380CC4-5D6E-409C-BE32-E72D297353CC}">
              <c16:uniqueId val="{00000000-E9FA-4164-9E86-FC936195EFB0}"/>
            </c:ext>
          </c:extLst>
        </c:ser>
        <c:ser>
          <c:idx val="1"/>
          <c:order val="1"/>
          <c:cat>
            <c:strRef>
              <c:f>Outlines!$F$1:$H$1</c:f>
              <c:strCache>
                <c:ptCount val="3"/>
                <c:pt idx="0">
                  <c:v>Revenue</c:v>
                </c:pt>
                <c:pt idx="1">
                  <c:v>Expenses</c:v>
                </c:pt>
                <c:pt idx="2">
                  <c:v>Net-Income</c:v>
                </c:pt>
              </c:strCache>
            </c:strRef>
          </c:cat>
          <c:val>
            <c:numRef>
              <c:f>Outlines!$F$3:$H$3</c:f>
            </c:numRef>
          </c:val>
          <c:extLst>
            <c:ext xmlns:c16="http://schemas.microsoft.com/office/drawing/2014/chart" uri="{C3380CC4-5D6E-409C-BE32-E72D297353CC}">
              <c16:uniqueId val="{00000001-E9FA-4164-9E86-FC936195EFB0}"/>
            </c:ext>
          </c:extLst>
        </c:ser>
        <c:ser>
          <c:idx val="2"/>
          <c:order val="2"/>
          <c:cat>
            <c:strRef>
              <c:f>Outlines!$F$1:$H$1</c:f>
              <c:strCache>
                <c:ptCount val="3"/>
                <c:pt idx="0">
                  <c:v>Revenue</c:v>
                </c:pt>
                <c:pt idx="1">
                  <c:v>Expenses</c:v>
                </c:pt>
                <c:pt idx="2">
                  <c:v>Net-Income</c:v>
                </c:pt>
              </c:strCache>
            </c:strRef>
          </c:cat>
          <c:val>
            <c:numRef>
              <c:f>Outlines!$F$4:$H$4</c:f>
            </c:numRef>
          </c:val>
          <c:extLst>
            <c:ext xmlns:c16="http://schemas.microsoft.com/office/drawing/2014/chart" uri="{C3380CC4-5D6E-409C-BE32-E72D297353CC}">
              <c16:uniqueId val="{00000002-E9FA-4164-9E86-FC936195EFB0}"/>
            </c:ext>
          </c:extLst>
        </c:ser>
        <c:ser>
          <c:idx val="3"/>
          <c:order val="3"/>
          <c:cat>
            <c:strRef>
              <c:f>Outlines!$F$1:$H$1</c:f>
              <c:strCache>
                <c:ptCount val="3"/>
                <c:pt idx="0">
                  <c:v>Revenue</c:v>
                </c:pt>
                <c:pt idx="1">
                  <c:v>Expenses</c:v>
                </c:pt>
                <c:pt idx="2">
                  <c:v>Net-Income</c:v>
                </c:pt>
              </c:strCache>
            </c:strRef>
          </c:cat>
          <c:val>
            <c:numRef>
              <c:f>Outlines!$F$5:$H$5</c:f>
            </c:numRef>
          </c:val>
          <c:extLst>
            <c:ext xmlns:c16="http://schemas.microsoft.com/office/drawing/2014/chart" uri="{C3380CC4-5D6E-409C-BE32-E72D297353CC}">
              <c16:uniqueId val="{00000007-E9FA-4164-9E86-FC936195EFB0}"/>
            </c:ext>
          </c:extLst>
        </c:ser>
        <c:ser>
          <c:idx val="4"/>
          <c:order val="4"/>
          <c:cat>
            <c:strRef>
              <c:f>Outlines!$F$1:$H$1</c:f>
              <c:strCache>
                <c:ptCount val="3"/>
                <c:pt idx="0">
                  <c:v>Revenue</c:v>
                </c:pt>
                <c:pt idx="1">
                  <c:v>Expenses</c:v>
                </c:pt>
                <c:pt idx="2">
                  <c:v>Net-Income</c:v>
                </c:pt>
              </c:strCache>
            </c:strRef>
          </c:cat>
          <c:val>
            <c:numRef>
              <c:f>Outlines!$F$6:$H$6</c:f>
            </c:numRef>
          </c:val>
          <c:extLst>
            <c:ext xmlns:c16="http://schemas.microsoft.com/office/drawing/2014/chart" uri="{C3380CC4-5D6E-409C-BE32-E72D297353CC}">
              <c16:uniqueId val="{00000008-E9FA-4164-9E86-FC936195EFB0}"/>
            </c:ext>
          </c:extLst>
        </c:ser>
        <c:ser>
          <c:idx val="5"/>
          <c:order val="5"/>
          <c:explosion val="45"/>
          <c:dPt>
            <c:idx val="0"/>
            <c:bubble3D val="0"/>
            <c:explosion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0-E9FA-4164-9E86-FC936195EFB0}"/>
              </c:ext>
            </c:extLst>
          </c:dPt>
          <c:dPt>
            <c:idx val="1"/>
            <c:bubble3D val="0"/>
            <c:explosion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1-E9FA-4164-9E86-FC936195EFB0}"/>
              </c:ext>
            </c:extLst>
          </c:dPt>
          <c:dPt>
            <c:idx val="2"/>
            <c:bubble3D val="0"/>
            <c:explosion val="0"/>
            <c:spPr>
              <a:solidFill>
                <a:schemeClr val="accent6">
                  <a:lumMod val="60000"/>
                  <a:lumOff val="40000"/>
                </a:schemeClr>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12-E9FA-4164-9E86-FC936195EFB0}"/>
              </c:ext>
            </c:extLst>
          </c:dPt>
          <c:cat>
            <c:strRef>
              <c:f>Outlines!$F$1:$H$1</c:f>
              <c:strCache>
                <c:ptCount val="3"/>
                <c:pt idx="0">
                  <c:v>Revenue</c:v>
                </c:pt>
                <c:pt idx="1">
                  <c:v>Expenses</c:v>
                </c:pt>
                <c:pt idx="2">
                  <c:v>Net-Income</c:v>
                </c:pt>
              </c:strCache>
            </c:strRef>
          </c:cat>
          <c:val>
            <c:numRef>
              <c:f>Outlines!$F$7:$H$7</c:f>
              <c:numCache>
                <c:formatCode>"£"#,##0.00</c:formatCode>
                <c:ptCount val="3"/>
                <c:pt idx="0">
                  <c:v>11196.143</c:v>
                </c:pt>
                <c:pt idx="1">
                  <c:v>4089</c:v>
                </c:pt>
                <c:pt idx="2">
                  <c:v>7107.143</c:v>
                </c:pt>
              </c:numCache>
            </c:numRef>
          </c:val>
          <c:extLst>
            <c:ext xmlns:c16="http://schemas.microsoft.com/office/drawing/2014/chart" uri="{C3380CC4-5D6E-409C-BE32-E72D297353CC}">
              <c16:uniqueId val="{00000009-E9FA-4164-9E86-FC936195EFB0}"/>
            </c:ext>
          </c:extLst>
        </c:ser>
        <c:ser>
          <c:idx val="6"/>
          <c:order val="6"/>
          <c:cat>
            <c:strRef>
              <c:f>Outlines!$F$1:$H$1</c:f>
              <c:strCache>
                <c:ptCount val="3"/>
                <c:pt idx="0">
                  <c:v>Revenue</c:v>
                </c:pt>
                <c:pt idx="1">
                  <c:v>Expenses</c:v>
                </c:pt>
                <c:pt idx="2">
                  <c:v>Net-Income</c:v>
                </c:pt>
              </c:strCache>
            </c:strRef>
          </c:cat>
          <c:val>
            <c:numRef>
              <c:f>Outlines!$F$8:$H$8</c:f>
            </c:numRef>
          </c:val>
          <c:extLst>
            <c:ext xmlns:c16="http://schemas.microsoft.com/office/drawing/2014/chart" uri="{C3380CC4-5D6E-409C-BE32-E72D297353CC}">
              <c16:uniqueId val="{0000000A-E9FA-4164-9E86-FC936195EFB0}"/>
            </c:ext>
          </c:extLst>
        </c:ser>
        <c:ser>
          <c:idx val="7"/>
          <c:order val="7"/>
          <c:cat>
            <c:strRef>
              <c:f>Outlines!$F$1:$H$1</c:f>
              <c:strCache>
                <c:ptCount val="3"/>
                <c:pt idx="0">
                  <c:v>Revenue</c:v>
                </c:pt>
                <c:pt idx="1">
                  <c:v>Expenses</c:v>
                </c:pt>
                <c:pt idx="2">
                  <c:v>Net-Income</c:v>
                </c:pt>
              </c:strCache>
            </c:strRef>
          </c:cat>
          <c:val>
            <c:numRef>
              <c:f>Outlines!$F$9:$H$9</c:f>
            </c:numRef>
          </c:val>
          <c:extLst>
            <c:ext xmlns:c16="http://schemas.microsoft.com/office/drawing/2014/chart" uri="{C3380CC4-5D6E-409C-BE32-E72D297353CC}">
              <c16:uniqueId val="{0000000B-E9FA-4164-9E86-FC936195EFB0}"/>
            </c:ext>
          </c:extLst>
        </c:ser>
        <c:ser>
          <c:idx val="8"/>
          <c:order val="8"/>
          <c:cat>
            <c:strRef>
              <c:f>Outlines!$F$1:$H$1</c:f>
              <c:strCache>
                <c:ptCount val="3"/>
                <c:pt idx="0">
                  <c:v>Revenue</c:v>
                </c:pt>
                <c:pt idx="1">
                  <c:v>Expenses</c:v>
                </c:pt>
                <c:pt idx="2">
                  <c:v>Net-Income</c:v>
                </c:pt>
              </c:strCache>
            </c:strRef>
          </c:cat>
          <c:val>
            <c:numRef>
              <c:f>Outlines!$F$10:$H$10</c:f>
            </c:numRef>
          </c:val>
          <c:extLst>
            <c:ext xmlns:c16="http://schemas.microsoft.com/office/drawing/2014/chart" uri="{C3380CC4-5D6E-409C-BE32-E72D297353CC}">
              <c16:uniqueId val="{0000000C-E9FA-4164-9E86-FC936195EFB0}"/>
            </c:ext>
          </c:extLst>
        </c:ser>
        <c:ser>
          <c:idx val="9"/>
          <c:order val="9"/>
          <c:cat>
            <c:strRef>
              <c:f>Outlines!$F$1:$H$1</c:f>
              <c:strCache>
                <c:ptCount val="3"/>
                <c:pt idx="0">
                  <c:v>Revenue</c:v>
                </c:pt>
                <c:pt idx="1">
                  <c:v>Expenses</c:v>
                </c:pt>
                <c:pt idx="2">
                  <c:v>Net-Income</c:v>
                </c:pt>
              </c:strCache>
            </c:strRef>
          </c:cat>
          <c:val>
            <c:numRef>
              <c:f>Outlines!$F$11:$H$11</c:f>
            </c:numRef>
          </c:val>
          <c:extLst>
            <c:ext xmlns:c16="http://schemas.microsoft.com/office/drawing/2014/chart" uri="{C3380CC4-5D6E-409C-BE32-E72D297353CC}">
              <c16:uniqueId val="{0000000D-E9FA-4164-9E86-FC936195EFB0}"/>
            </c:ext>
          </c:extLst>
        </c:ser>
        <c:ser>
          <c:idx val="10"/>
          <c:order val="10"/>
          <c:cat>
            <c:strRef>
              <c:f>Outlines!$F$1:$H$1</c:f>
              <c:strCache>
                <c:ptCount val="3"/>
                <c:pt idx="0">
                  <c:v>Revenue</c:v>
                </c:pt>
                <c:pt idx="1">
                  <c:v>Expenses</c:v>
                </c:pt>
                <c:pt idx="2">
                  <c:v>Net-Income</c:v>
                </c:pt>
              </c:strCache>
            </c:strRef>
          </c:cat>
          <c:val>
            <c:numRef>
              <c:f>Outlines!$F$12:$H$12</c:f>
            </c:numRef>
          </c:val>
          <c:extLst>
            <c:ext xmlns:c16="http://schemas.microsoft.com/office/drawing/2014/chart" uri="{C3380CC4-5D6E-409C-BE32-E72D297353CC}">
              <c16:uniqueId val="{0000000E-E9FA-4164-9E86-FC936195EFB0}"/>
            </c:ext>
          </c:extLst>
        </c:ser>
        <c:ser>
          <c:idx val="11"/>
          <c:order val="11"/>
          <c:dPt>
            <c:idx val="0"/>
            <c:bubble3D val="0"/>
            <c:explosion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5A9F-4D60-801C-DA9A9ACF982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5A9F-4D60-801C-DA9A9ACF982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5A9F-4D60-801C-DA9A9ACF982A}"/>
              </c:ext>
            </c:extLst>
          </c:dPt>
          <c:cat>
            <c:strRef>
              <c:f>Outlines!$F$1:$H$1</c:f>
              <c:strCache>
                <c:ptCount val="3"/>
                <c:pt idx="0">
                  <c:v>Revenue</c:v>
                </c:pt>
                <c:pt idx="1">
                  <c:v>Expenses</c:v>
                </c:pt>
                <c:pt idx="2">
                  <c:v>Net-Income</c:v>
                </c:pt>
              </c:strCache>
            </c:strRef>
          </c:cat>
          <c:val>
            <c:numRef>
              <c:f>Outlines!$F$13:$H$13</c:f>
              <c:numCache>
                <c:formatCode>"£"#,##0.00</c:formatCode>
                <c:ptCount val="3"/>
                <c:pt idx="0">
                  <c:v>5629.48</c:v>
                </c:pt>
                <c:pt idx="1">
                  <c:v>2044</c:v>
                </c:pt>
                <c:pt idx="2">
                  <c:v>3585.48</c:v>
                </c:pt>
              </c:numCache>
            </c:numRef>
          </c:val>
          <c:extLst>
            <c:ext xmlns:c16="http://schemas.microsoft.com/office/drawing/2014/chart" uri="{C3380CC4-5D6E-409C-BE32-E72D297353CC}">
              <c16:uniqueId val="{0000000F-E9FA-4164-9E86-FC936195EFB0}"/>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Overall analysis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barChart>
        <c:barDir val="col"/>
        <c:grouping val="clustered"/>
        <c:varyColors val="0"/>
        <c:ser>
          <c:idx val="0"/>
          <c:order val="0"/>
          <c:tx>
            <c:v>Net_Income</c:v>
          </c:tx>
          <c:spPr>
            <a:noFill/>
            <a:ln w="9525" cap="flat" cmpd="sng" algn="ctr">
              <a:solidFill>
                <a:schemeClr val="accent6"/>
              </a:solidFill>
              <a:miter lim="800000"/>
            </a:ln>
            <a:effectLst>
              <a:glow rad="63500">
                <a:schemeClr val="accent6">
                  <a:satMod val="175000"/>
                  <a:alpha val="25000"/>
                </a:schemeClr>
              </a:glow>
            </a:effectLst>
          </c:spPr>
          <c:invertIfNegative val="0"/>
          <c:dLbls>
            <c:dLbl>
              <c:idx val="4"/>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5-FA40-4C4C-8F74-4875758CA21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val>
            <c:numRef>
              <c:f>Outlines!$D$15:$H$15</c:f>
              <c:numCache>
                <c:formatCode>0</c:formatCode>
                <c:ptCount val="5"/>
                <c:pt idx="0">
                  <c:v>27</c:v>
                </c:pt>
                <c:pt idx="1">
                  <c:v>10</c:v>
                </c:pt>
                <c:pt idx="2" formatCode="&quot;£&quot;#,##0.00">
                  <c:v>16825.623</c:v>
                </c:pt>
                <c:pt idx="3" formatCode="&quot;£&quot;#,##0.00">
                  <c:v>6133</c:v>
                </c:pt>
                <c:pt idx="4" formatCode="&quot;£&quot;#,##0.00">
                  <c:v>10692.623</c:v>
                </c:pt>
              </c:numCache>
            </c:numRef>
          </c:val>
          <c:extLst>
            <c:ext xmlns:c16="http://schemas.microsoft.com/office/drawing/2014/chart" uri="{C3380CC4-5D6E-409C-BE32-E72D297353CC}">
              <c16:uniqueId val="{00000000-FA40-4C4C-8F74-4875758CA21D}"/>
            </c:ext>
          </c:extLst>
        </c:ser>
        <c:dLbls>
          <c:showLegendKey val="0"/>
          <c:showVal val="0"/>
          <c:showCatName val="0"/>
          <c:showSerName val="0"/>
          <c:showPercent val="0"/>
          <c:showBubbleSize val="0"/>
        </c:dLbls>
        <c:gapWidth val="150"/>
        <c:axId val="395600128"/>
        <c:axId val="395600456"/>
      </c:barChart>
      <c:catAx>
        <c:axId val="395600128"/>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5600456"/>
        <c:crosses val="autoZero"/>
        <c:auto val="1"/>
        <c:lblAlgn val="ctr"/>
        <c:lblOffset val="100"/>
        <c:noMultiLvlLbl val="0"/>
      </c:catAx>
      <c:valAx>
        <c:axId val="39560045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5600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57150</xdr:rowOff>
    </xdr:from>
    <xdr:to>
      <xdr:col>6</xdr:col>
      <xdr:colOff>28575</xdr:colOff>
      <xdr:row>32</xdr:row>
      <xdr:rowOff>66675</xdr:rowOff>
    </xdr:to>
    <xdr:graphicFrame macro="">
      <xdr:nvGraphicFramePr>
        <xdr:cNvPr id="5" name="Chart 4">
          <a:extLst>
            <a:ext uri="{FF2B5EF4-FFF2-40B4-BE49-F238E27FC236}">
              <a16:creationId xmlns:a16="http://schemas.microsoft.com/office/drawing/2014/main" id="{AEA65D12-1A74-4B25-AB4B-DACF0BD936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xdr:colOff>
      <xdr:row>15</xdr:row>
      <xdr:rowOff>66674</xdr:rowOff>
    </xdr:from>
    <xdr:to>
      <xdr:col>8</xdr:col>
      <xdr:colOff>3181350</xdr:colOff>
      <xdr:row>32</xdr:row>
      <xdr:rowOff>57149</xdr:rowOff>
    </xdr:to>
    <xdr:graphicFrame macro="">
      <xdr:nvGraphicFramePr>
        <xdr:cNvPr id="11" name="Chart 10">
          <a:extLst>
            <a:ext uri="{FF2B5EF4-FFF2-40B4-BE49-F238E27FC236}">
              <a16:creationId xmlns:a16="http://schemas.microsoft.com/office/drawing/2014/main" id="{A33770E0-207B-411D-9F22-F00625F3C0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28575</xdr:colOff>
      <xdr:row>32</xdr:row>
      <xdr:rowOff>95250</xdr:rowOff>
    </xdr:from>
    <xdr:to>
      <xdr:col>6</xdr:col>
      <xdr:colOff>28574</xdr:colOff>
      <xdr:row>46</xdr:row>
      <xdr:rowOff>171450</xdr:rowOff>
    </xdr:to>
    <xdr:graphicFrame macro="">
      <xdr:nvGraphicFramePr>
        <xdr:cNvPr id="16" name="Chart 15">
          <a:extLst>
            <a:ext uri="{FF2B5EF4-FFF2-40B4-BE49-F238E27FC236}">
              <a16:creationId xmlns:a16="http://schemas.microsoft.com/office/drawing/2014/main" id="{1B4C1B1A-C7A6-47AD-B8BB-BABA934470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57150</xdr:colOff>
      <xdr:row>32</xdr:row>
      <xdr:rowOff>95250</xdr:rowOff>
    </xdr:from>
    <xdr:to>
      <xdr:col>8</xdr:col>
      <xdr:colOff>3195637</xdr:colOff>
      <xdr:row>46</xdr:row>
      <xdr:rowOff>171450</xdr:rowOff>
    </xdr:to>
    <xdr:graphicFrame macro="">
      <xdr:nvGraphicFramePr>
        <xdr:cNvPr id="19" name="Chart 18">
          <a:extLst>
            <a:ext uri="{FF2B5EF4-FFF2-40B4-BE49-F238E27FC236}">
              <a16:creationId xmlns:a16="http://schemas.microsoft.com/office/drawing/2014/main" id="{20982206-3D72-4CFA-8785-A324B6B73C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D4C416A-96E0-41B7-9B89-6E7E6880EB30}" name="Table5" displayName="Table5" ref="S3:T5" headerRowCount="0" totalsRowShown="0">
  <tableColumns count="2">
    <tableColumn id="1" xr3:uid="{89F388C7-82A6-490B-A9D4-87CCDE0ED537}" name="Column1"/>
    <tableColumn id="2" xr3:uid="{644E3D8B-56DD-4611-9F74-156EFAB2389E}" name="Column2" dataDxfId="2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13720B2-C0DA-431A-B2FC-06D1A9CD9B07}" name="Table6" displayName="Table6" ref="S2:T2" headerRowCount="0" totalsRowShown="0">
  <tableColumns count="2">
    <tableColumn id="1" xr3:uid="{5DEF9AB7-D86E-4B7F-B734-A43881223FE4}" name="Column1" dataCellStyle="Accent1"/>
    <tableColumn id="2" xr3:uid="{304A868D-7542-4AC3-B46C-41599F377190}" name="Column2" dataCellStyle="Accent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A7E11DD-F09B-4736-8955-0D6B0C8B3101}" name="Table11" displayName="Table11" ref="B7:O44" headerRowCount="0" totalsRowShown="0" dataDxfId="218">
  <tableColumns count="14">
    <tableColumn id="1" xr3:uid="{4D8A17E2-4D81-42C3-AA48-D72F20ECFF45}" name="Column1" headerRowDxfId="217" dataDxfId="216"/>
    <tableColumn id="2" xr3:uid="{201ED004-9330-4D75-AA25-11EB231B6476}" name="Column2"/>
    <tableColumn id="3" xr3:uid="{41BFEBF8-3CA3-48A4-8387-AEF261CD54DF}" name="Column3" headerRowDxfId="215" dataDxfId="214"/>
    <tableColumn id="4" xr3:uid="{49780108-D94B-48EB-B426-159B5D7E15C2}" name="Column4" headerRowDxfId="213" dataDxfId="212"/>
    <tableColumn id="5" xr3:uid="{F9ED74F3-08CB-4266-97E3-FB3636CF01BE}" name="Column5" headerRowDxfId="211" dataDxfId="210"/>
    <tableColumn id="6" xr3:uid="{5F8CDDE7-B5B4-447E-9934-9ED7A25D55BF}" name="Column6" headerRowDxfId="209" dataDxfId="208"/>
    <tableColumn id="7" xr3:uid="{CD8ECC76-82D1-4BF5-B0AE-6FFA80C771BC}" name="Column7"/>
    <tableColumn id="8" xr3:uid="{5F670D09-726A-43A0-A824-F6792D6FE4E6}" name="Column8" headerRowDxfId="207" dataDxfId="206"/>
    <tableColumn id="9" xr3:uid="{C3634DF9-8506-4642-9F61-9C96F76BE3B5}" name="Column9" headerRowDxfId="205" dataDxfId="204"/>
    <tableColumn id="10" xr3:uid="{0D8CC2A1-1598-466A-AA1F-F7F620D4637E}" name="Column10" headerRowDxfId="203" dataDxfId="202"/>
    <tableColumn id="11" xr3:uid="{48645425-165C-4664-9E26-90E028368CA5}" name="Column11" headerRowDxfId="201" dataDxfId="200"/>
    <tableColumn id="12" xr3:uid="{DA94095B-20A8-481F-A5BF-D9A5954F4F48}" name="Column12" headerRowDxfId="199" dataDxfId="198"/>
    <tableColumn id="13" xr3:uid="{16EA23AF-5CF2-4CA6-B257-6D606877F3F0}" name="Column13" headerRowDxfId="197" dataDxfId="196"/>
    <tableColumn id="14" xr3:uid="{FE245981-A8DF-4A68-8416-7875D38C4DF1}" name="Column14" headerRowDxfId="195" dataDxfId="194"/>
  </tableColumns>
  <tableStyleInfo name="TableStyleMedium3"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BE6787E-CD93-4B0D-B1DA-8417083D03F6}" name="Table12" displayName="Table12" ref="B7:N118" headerRowCount="0" totalsRowShown="0" dataDxfId="193">
  <tableColumns count="13">
    <tableColumn id="1" xr3:uid="{C0AFCD1F-9BFC-42C0-B46C-FE56B5E7C1DE}" name="Column1" headerRowDxfId="192" dataDxfId="191"/>
    <tableColumn id="2" xr3:uid="{21B3B217-DC5E-491A-8162-175DC4131120}" name="Column2" headerRowDxfId="190" dataDxfId="189"/>
    <tableColumn id="3" xr3:uid="{07120088-DDE0-41F5-9BD9-C0EC27539DDD}" name="Column3" headerRowDxfId="188" dataDxfId="187"/>
    <tableColumn id="4" xr3:uid="{D49A7059-9DF9-4DB3-AC59-32B7773F8246}" name="Column4" headerRowDxfId="186" dataDxfId="185"/>
    <tableColumn id="5" xr3:uid="{01440E11-DCF7-44E7-B955-537A8FB3E7AC}" name="Column5"/>
    <tableColumn id="6" xr3:uid="{2B2B1B73-0261-4F04-95E4-1733A15D5392}" name="Column6"/>
    <tableColumn id="7" xr3:uid="{2EF09270-9397-4F21-ABE6-D20AA0C088A4}" name="Column7" headerRowDxfId="184" dataDxfId="183"/>
    <tableColumn id="8" xr3:uid="{BCE77972-E91E-4916-A3B2-778D94DF6D88}" name="Column8" headerRowDxfId="182" dataDxfId="181">
      <calculatedColumnFormula>INT((NOW()-H7)/356.25)</calculatedColumnFormula>
    </tableColumn>
    <tableColumn id="9" xr3:uid="{953B6A36-E968-444A-A450-FB4E69D4CE82}" name="Column9" headerRowDxfId="180" dataDxfId="179"/>
    <tableColumn id="10" xr3:uid="{46075817-8501-47FF-9644-EE17108A52F9}" name="Column10"/>
    <tableColumn id="11" xr3:uid="{866FC3BF-E314-4BAC-92B9-75456F073EEA}" name="Column11" headerRowDxfId="178" dataDxfId="177"/>
    <tableColumn id="12" xr3:uid="{5B88B7DD-ACE9-43B4-B0A2-89CD5D686930}" name="Column12" headerRowDxfId="176" dataDxfId="175">
      <calculatedColumnFormula>RAND()*(7100000000-7000000000)+7000000000</calculatedColumnFormula>
    </tableColumn>
    <tableColumn id="13" xr3:uid="{04B16348-82F8-40E2-870B-C27E5D0B4699}" name="Column13" headerRowDxfId="174" dataDxfId="173">
      <calculatedColumnFormula>RAND()*(1911111-9999999)+7777777</calculatedColumnFormula>
    </tableColumn>
  </tableColumns>
  <tableStyleInfo name="TableStyleMedium3"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C0A49B7-F29B-4543-9618-96C2AE0836C7}" name="Table13" displayName="Table13" ref="D4:W33" headerRowCount="0" totalsRowShown="0" headerRowDxfId="172" dataDxfId="171">
  <tableColumns count="20">
    <tableColumn id="1" xr3:uid="{C0455CA0-2ADE-4484-9513-D15A40363C57}" name="Column1" headerRowDxfId="170" dataDxfId="169"/>
    <tableColumn id="2" xr3:uid="{FE09C6CB-47E4-4222-A3DA-5C96E9309A80}" name="Column2" headerRowDxfId="168" dataDxfId="167"/>
    <tableColumn id="3" xr3:uid="{E94109E5-713A-4842-96F2-484E701D4B25}" name="Column3" headerRowDxfId="166" dataDxfId="165"/>
    <tableColumn id="4" xr3:uid="{E3EE90E8-4416-454C-8701-1C6234BCEE0A}" name="Column4" headerRowDxfId="164" dataDxfId="163"/>
    <tableColumn id="5" xr3:uid="{4C18AFF7-C06E-493F-AD46-2D7380DA0E73}" name="Column5" headerRowDxfId="162" dataDxfId="161"/>
    <tableColumn id="6" xr3:uid="{6BD53702-BAB4-4978-9B9E-5925520E6388}" name="Column6"/>
    <tableColumn id="7" xr3:uid="{E2D0FF06-1759-4121-B1A7-E679B0C2BC4E}" name="Column7" headerRowDxfId="160" dataDxfId="159"/>
    <tableColumn id="8" xr3:uid="{F0FE0204-CB0B-442D-9635-E7446FD1ACAB}" name="Column8" dataDxfId="158"/>
    <tableColumn id="9" xr3:uid="{CC5FC110-3B6D-47D2-82D0-13CBF47E3B7F}" name="Column9"/>
    <tableColumn id="10" xr3:uid="{EADC7CC6-EFE8-44FD-B744-1CB4ECB3EE90}" name="Column10" headerRowDxfId="157" dataDxfId="156"/>
    <tableColumn id="11" xr3:uid="{72BD7E05-DE0E-4505-8108-1203FA864974}" name="Column11" dataDxfId="155"/>
    <tableColumn id="12" xr3:uid="{D4CAC391-2F8D-43FB-AF05-C1CD869F01E1}" name="Column12" headerRowDxfId="154" dataDxfId="153"/>
    <tableColumn id="13" xr3:uid="{74B88386-3819-462A-A3F0-7CAD3266DB7C}" name="Column13" headerRowDxfId="152" dataDxfId="151"/>
    <tableColumn id="14" xr3:uid="{180DEDB1-6AFC-4587-8EC8-153019742932}" name="Column14"/>
    <tableColumn id="15" xr3:uid="{CC73A9D2-9FA2-4157-9478-E9C0400722CB}" name="Column15" headerRowDxfId="150" dataDxfId="149"/>
    <tableColumn id="16" xr3:uid="{53C16EBF-44AA-458C-BCC1-D144C0875BF9}" name="Column16" headerRowDxfId="148" dataDxfId="147"/>
    <tableColumn id="17" xr3:uid="{6A2E86DA-9ACB-4479-BD51-77615180A849}" name="Column17" headerRowDxfId="146" dataDxfId="145">
      <calculatedColumnFormula>SUM(R4*S4)</calculatedColumnFormula>
    </tableColumn>
    <tableColumn id="18" xr3:uid="{EB5E24ED-D445-4B21-A93E-9A1245069478}" name="Column18" headerRowDxfId="144" dataDxfId="143">
      <calculatedColumnFormula>HLOOKUP($R4,Lookups!B$3:H$4,2,TRUE)</calculatedColumnFormula>
    </tableColumn>
    <tableColumn id="21" xr3:uid="{4DC0CA1E-0576-4360-A6DD-E7980EBD5C17}" name="Column20" headerRowDxfId="142" dataDxfId="141">
      <calculatedColumnFormula>SUM(T4*U4)</calculatedColumnFormula>
    </tableColumn>
    <tableColumn id="19" xr3:uid="{3838DA1B-BC78-49A7-B638-E48B38A76770}" name="Column19" headerRowDxfId="140" dataDxfId="139">
      <calculatedColumnFormula>SUM(T4-U4)</calculatedColumnFormula>
    </tableColumn>
  </tableColumns>
  <tableStyleInfo name="TableStyleMedium3"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C18F9B4-8428-43CC-82EB-B4AD33071000}" name="Table14" displayName="Table14" ref="A7:B9" headerRowCount="0" totalsRowCount="1">
  <tableColumns count="2">
    <tableColumn id="1" xr3:uid="{BC36F521-5B8F-4578-8BFF-C93E09888AF0}" name="Column1" totalsRowLabel="Net-Income"/>
    <tableColumn id="2" xr3:uid="{4558F66E-7D8C-46AA-B279-1449D0579DDE}" name="Column2" totalsRowFunction="custom" headerRowDxfId="138" dataDxfId="137" totalsRowDxfId="136">
      <totalsRowFormula>SUM(B7-B8)</totalsRowFormula>
    </tableColumn>
  </tableColumns>
  <tableStyleInfo name="TableStyleMedium3" showFirstColumn="0" showLastColumn="0" showRowStripes="1" showColumnStripes="1"/>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2A60758-3041-4CAE-9ADC-5EBEE9256554}" name="Table15" displayName="Table15" ref="A13:B18" headerRowCount="0" totalsRowCount="1">
  <tableColumns count="2">
    <tableColumn id="1" xr3:uid="{989FCBD4-ABA2-471D-B595-C05ADEFD69E5}" name="Column1" totalsRowLabel="Total"/>
    <tableColumn id="2" xr3:uid="{7EA16048-2D03-48EE-AB96-441579517CD0}" name="Column2" totalsRowFunction="custom" headerRowDxfId="135" dataDxfId="134" totalsRowDxfId="133">
      <totalsRowFormula>SUM(B13:B17)</totalsRowFormula>
    </tableColumn>
  </tableColumns>
  <tableStyleInfo name="TableStyleMedium3" showFirstColumn="0" showLastColumn="0" showRowStripes="1" showColumnStripes="1"/>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4375A19-EB40-4701-8329-2189FA3716C6}" name="Table17" displayName="Table17" ref="D4:W33" headerRowCount="0" totalsRowShown="0" headerRowDxfId="132" dataDxfId="131">
  <tableColumns count="20">
    <tableColumn id="1" xr3:uid="{ACC681CD-8495-44AF-8235-6CEC63FCFEFE}" name="Column1"/>
    <tableColumn id="2" xr3:uid="{125528E5-2592-4C16-A764-F0C4793EB111}" name="Column2" headerRowDxfId="130" dataDxfId="129"/>
    <tableColumn id="3" xr3:uid="{E3647A8A-3651-444A-9CCD-1B84D37A95B0}" name="Column3" headerRowDxfId="128" dataDxfId="127"/>
    <tableColumn id="4" xr3:uid="{27E6FCEA-4387-46FE-A76F-7240966909F5}" name="Column4" headerRowDxfId="126" dataDxfId="125"/>
    <tableColumn id="5" xr3:uid="{CC05A956-B2B6-4315-902A-4C08A6F4096A}" name="Column5" headerRowDxfId="124" dataDxfId="123"/>
    <tableColumn id="6" xr3:uid="{4FAA7172-0A86-477B-9D3F-93A0C2775EEA}" name="Column6"/>
    <tableColumn id="7" xr3:uid="{FF699AEE-007E-4D87-BDF8-FC96E7BFB3A6}" name="Column7" headerRowDxfId="122" dataDxfId="121"/>
    <tableColumn id="8" xr3:uid="{4D702B72-5DB8-4EB4-88D5-31FCA4BD0D49}" name="Column8"/>
    <tableColumn id="9" xr3:uid="{E592F49E-423B-4D33-89DD-741F769610A7}" name="Column9"/>
    <tableColumn id="10" xr3:uid="{74DD6179-B7BE-4B67-88D3-4FA7AB53D081}" name="Column10" headerRowDxfId="120" dataDxfId="119"/>
    <tableColumn id="11" xr3:uid="{3CA66749-2181-4933-AA0B-27E4883F0B4B}" name="Column11" headerRowDxfId="118" dataDxfId="117"/>
    <tableColumn id="12" xr3:uid="{252074BB-C7BB-46B9-9467-9610EF2FC223}" name="Column12" headerRowDxfId="116" dataDxfId="115"/>
    <tableColumn id="13" xr3:uid="{77B7D05D-9CF5-4C5C-9A62-F77C568E5409}" name="Column13" headerRowDxfId="114" dataDxfId="113"/>
    <tableColumn id="14" xr3:uid="{C19CBD9C-BF9D-4A1F-9729-B0ED5C795228}" name="Column14"/>
    <tableColumn id="15" xr3:uid="{A589351C-C3BC-408D-A6CB-CB4B65510B91}" name="Column15" headerRowDxfId="112" dataDxfId="111"/>
    <tableColumn id="16" xr3:uid="{9F6C69AF-8CB6-4FD3-88A3-51791AE14543}" name="Column16" headerRowDxfId="110" dataDxfId="109"/>
    <tableColumn id="17" xr3:uid="{C916A516-FBB0-4805-9701-D2CCB5A231F0}" name="Column17" headerRowDxfId="108" dataDxfId="107">
      <calculatedColumnFormula>SUM(S4*R4)</calculatedColumnFormula>
    </tableColumn>
    <tableColumn id="18" xr3:uid="{AF5FCA5F-78C7-4C86-BF6B-A82BAE2CE842}" name="Column18" headerRowDxfId="106" dataDxfId="105">
      <calculatedColumnFormula>HLOOKUP($R4,Lookups!$B$3:$H$4,2,TRUE)</calculatedColumnFormula>
    </tableColumn>
    <tableColumn id="20" xr3:uid="{251F60FE-1453-419D-A933-95EC5801365E}" name="Column20" headerRowDxfId="104" dataDxfId="103">
      <calculatedColumnFormula>SUM(T4*U4)</calculatedColumnFormula>
    </tableColumn>
    <tableColumn id="19" xr3:uid="{225CE877-3385-4B68-878C-9D03039F1457}" name="Column19" headerRowDxfId="102" dataDxfId="101">
      <calculatedColumnFormula>SUM(T$4-V4)</calculatedColumnFormula>
    </tableColumn>
  </tableColumns>
  <tableStyleInfo name="TableStyleMedium3" showFirstColumn="1"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A09A49F-F09F-4967-8246-CFF8025ED419}" name="Table18" displayName="Table18" ref="A7:B9" headerRowCount="0" totalsRowShown="0">
  <tableColumns count="2">
    <tableColumn id="1" xr3:uid="{1CD7D7CF-5334-46ED-81CF-1A6778D3CC93}" name="Column1"/>
    <tableColumn id="2" xr3:uid="{118747DD-E603-4C73-8EA4-0458B6A891B0}" name="Column2" headerRowDxfId="100" dataDxfId="99"/>
  </tableColumns>
  <tableStyleInfo name="TableStyleMedium3" showFirstColumn="0" showLastColumn="1" showRowStripes="0" showColumnStripes="1"/>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73F0007C-5190-4A49-8042-EAA0BAB385E4}" name="Table19" displayName="Table19" ref="A13:B18" headerRowCount="0" totalsRowCount="1">
  <tableColumns count="2">
    <tableColumn id="1" xr3:uid="{2272F529-F2BB-4FE4-9B26-177E05CDA36F}" name="Column1" totalsRowLabel="Total"/>
    <tableColumn id="2" xr3:uid="{63125415-E244-4319-AAE5-C451E88222A8}" name="Column2" totalsRowFunction="sum" headerRowDxfId="98" dataDxfId="97" totalsRowDxfId="96"/>
  </tableColumns>
  <tableStyleInfo name="TableStyleMedium3" showFirstColumn="0" showLastColumn="1" showRowStripes="0" showColumnStripes="1"/>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1045F1-4BE1-4570-81CE-CAD0FBE0D63A}" name="Table2" displayName="Table2" ref="D4:W21" headerRowCount="0" totalsRowShown="0">
  <tableColumns count="20">
    <tableColumn id="1" xr3:uid="{93AC8197-8A17-494E-B957-0D64EF473D4C}" name="Column1" dataDxfId="95"/>
    <tableColumn id="2" xr3:uid="{A75555F9-CE42-4EF4-B427-FD26EA179F7A}" name="Column2" headerRowDxfId="94" dataDxfId="93"/>
    <tableColumn id="3" xr3:uid="{FD30DE6C-E2BB-4B49-BFF1-EFE5277ABEA7}" name="Column3" dataDxfId="92"/>
    <tableColumn id="4" xr3:uid="{C5DB6C7A-B688-49EE-A06A-4397F4D6E902}" name="Column4" dataDxfId="91"/>
    <tableColumn id="5" xr3:uid="{990A8F06-15CF-4CF6-B595-80E8A1F39CFA}" name="Column5"/>
    <tableColumn id="6" xr3:uid="{322021EF-E77B-483C-8555-9D53271CCAD6}" name="Column6" dataDxfId="90"/>
    <tableColumn id="7" xr3:uid="{A5CD10F7-7935-436B-8C30-D83E1CE685A9}" name="Column7" dataDxfId="89"/>
    <tableColumn id="8" xr3:uid="{D00E7AD5-76BA-4D9B-B694-734DE4B7D391}" name="Column8"/>
    <tableColumn id="9" xr3:uid="{95A83EB1-7629-43A0-8B6D-3634111A164C}" name="Column9" dataDxfId="88"/>
    <tableColumn id="10" xr3:uid="{007D12DB-3B75-4CA1-B04E-3C226218B83E}" name="Column10" dataDxfId="87"/>
    <tableColumn id="11" xr3:uid="{8A01A0D4-C394-4E12-8B37-04FCFD653C41}" name="Column11" dataDxfId="86"/>
    <tableColumn id="12" xr3:uid="{37CA6CAB-5812-44E2-B7C2-77FC332AAE48}" name="Column12" dataDxfId="85"/>
    <tableColumn id="13" xr3:uid="{0344A7F8-B17B-417C-B064-EF81F610CC8B}" name="Column13" dataDxfId="84"/>
    <tableColumn id="14" xr3:uid="{56A198FA-A1D8-4DE1-A9FB-87B4772C0DA1}" name="Column14"/>
    <tableColumn id="15" xr3:uid="{7748BD46-258E-42FD-9D50-BD89463CBF45}" name="Column15" dataDxfId="83"/>
    <tableColumn id="16" xr3:uid="{9960E4A2-9C59-429A-8870-F3D5E2367211}" name="Column16" dataDxfId="82"/>
    <tableColumn id="17" xr3:uid="{1AAB3EE3-798C-4AD6-9DEF-4CDD63E131A4}" name="Column17" dataDxfId="81">
      <calculatedColumnFormula>SUM(Table2[[#This Row],[Column15]]*Table2[[#This Row],[Column16]])</calculatedColumnFormula>
    </tableColumn>
    <tableColumn id="18" xr3:uid="{DD1A9E21-4098-40B7-AA0D-8FA398D2DDC3}" name="Column18" dataDxfId="80">
      <calculatedColumnFormula>HLOOKUP($R4,Lookups!$B$3:$H$4,2,TRUE)</calculatedColumnFormula>
    </tableColumn>
    <tableColumn id="20" xr3:uid="{19BA30F5-E55D-4BC2-8D27-D3A98AD3A7F9}" name="Column20" dataDxfId="79">
      <calculatedColumnFormula>SUM(T4*U4)</calculatedColumnFormula>
    </tableColumn>
    <tableColumn id="19" xr3:uid="{D70C8238-B4E5-4A9B-BE5B-B7790BD17143}" name="Column19" dataDxfId="78">
      <calculatedColumnFormula>SUM(T4-V4)</calculatedColumnFormula>
    </tableColumn>
  </tableColumns>
  <tableStyleInfo name="TableStyleMedium3" showFirstColumn="1"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061D9D1-4FDD-4AAC-B2F8-146F668F3B1D}" name="Table25" displayName="Table25" ref="A7:B9" headerRowCount="0" totalsRowShown="0">
  <tableColumns count="2">
    <tableColumn id="1" xr3:uid="{45E33DEC-FB3B-42F8-AA5E-2D9A9A1545B9}" name="Column1"/>
    <tableColumn id="2" xr3:uid="{E2D5AED5-46B8-4415-9146-C87C709813B9}" name="Column2"/>
  </tableColumns>
  <tableStyleInfo name="TableStyleMedium3" showFirstColumn="1" showLastColumn="1" showRowStripes="0" showColumnStripes="1"/>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AA6BB1C-42EE-4CC9-84EB-5A73D07239A0}" name="Table26" displayName="Table26" ref="A13:B18" headerRowCount="0" totalsRowShown="0">
  <tableColumns count="2">
    <tableColumn id="1" xr3:uid="{72168E1A-B3AF-46D1-8E45-B6243F97547A}" name="Column1"/>
    <tableColumn id="2" xr3:uid="{45C52DE4-61E3-4A7E-9F21-2FD7E1A63340}" name="Column2"/>
  </tableColumns>
  <tableStyleInfo name="TableStyleMedium3" showFirstColumn="1" showLastColumn="1" showRowStripes="0" showColumnStripes="1"/>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7CAE42-4460-466D-9049-F9461828419D}" name="Table3" displayName="Table3" ref="D4:W21" headerRowCount="0" totalsRowShown="0">
  <tableColumns count="20">
    <tableColumn id="1" xr3:uid="{375CA51D-92F1-48DF-BF28-6AE7E0CC28F8}" name="Column1" dataDxfId="77"/>
    <tableColumn id="2" xr3:uid="{276D070E-F925-49C9-B64A-E469C4FE499D}" name="Column2" headerRowDxfId="76" dataDxfId="75"/>
    <tableColumn id="3" xr3:uid="{08B284C5-B8BD-4048-9D2D-D92A44D1A320}" name="Column3"/>
    <tableColumn id="4" xr3:uid="{9D56F407-8C8A-4047-83EA-7E6A01735A08}" name="Column4" dataDxfId="74"/>
    <tableColumn id="5" xr3:uid="{C693025B-D153-4011-9D8D-6703BE8D8628}" name="Column5" dataDxfId="73"/>
    <tableColumn id="6" xr3:uid="{5058FB88-BA05-4F33-AEC2-347435CD7EE1}" name="Column6" dataDxfId="72"/>
    <tableColumn id="7" xr3:uid="{59505E13-C0F7-498E-AD63-91DD4E29FE76}" name="Column7" dataDxfId="71"/>
    <tableColumn id="8" xr3:uid="{1E175986-C4D3-4CB5-BA37-AB75E5A9B8F8}" name="Column8"/>
    <tableColumn id="9" xr3:uid="{5388C214-8165-4DD9-8803-A0923BB96BE8}" name="Column9"/>
    <tableColumn id="10" xr3:uid="{9689B74D-1DB2-4B21-82F3-06D7A1326370}" name="Column10" dataDxfId="70"/>
    <tableColumn id="11" xr3:uid="{CF2A4B34-3A4F-4B56-9B44-012FCD104BB7}" name="Column11" dataDxfId="69"/>
    <tableColumn id="12" xr3:uid="{15B6543B-FBF7-4921-AE90-67B2346B8849}" name="Column12" dataDxfId="68"/>
    <tableColumn id="13" xr3:uid="{128BD938-6DB9-4BDD-8CB9-9D1B723C0BB6}" name="Column13" dataDxfId="67"/>
    <tableColumn id="14" xr3:uid="{D9DECCD4-1F76-44F9-BCE6-44D4E09534BB}" name="Column14"/>
    <tableColumn id="15" xr3:uid="{D883D86D-E211-4521-B546-E02F92DF7071}" name="Column15" dataDxfId="66"/>
    <tableColumn id="16" xr3:uid="{E634ECEB-C25D-4E11-A6B6-04ECD5382C06}" name="Column16" dataDxfId="65"/>
    <tableColumn id="17" xr3:uid="{F0512195-E933-4BC1-BE35-54DA06ADE623}" name="Column17" dataDxfId="64">
      <calculatedColumnFormula>SUM(Table3[[#This Row],[Column15]]*Table3[[#This Row],[Column16]])</calculatedColumnFormula>
    </tableColumn>
    <tableColumn id="18" xr3:uid="{B0495934-4BE0-45C2-AF37-B973EB9DD19E}" name="Column18" dataDxfId="63">
      <calculatedColumnFormula>HLOOKUP($R4,Lookups!$B$3:$H$4,2,TRUE)</calculatedColumnFormula>
    </tableColumn>
    <tableColumn id="20" xr3:uid="{477C9C26-4486-4BB3-95C2-AC64C9A3E639}" name="Column20" dataDxfId="62">
      <calculatedColumnFormula>SUM(T4*U4)</calculatedColumnFormula>
    </tableColumn>
    <tableColumn id="19" xr3:uid="{042C10BE-3E4D-4EF8-B151-C17740601A3E}" name="Column19" dataDxfId="61">
      <calculatedColumnFormula>SUM(T4-V4)</calculatedColumnFormula>
    </tableColumn>
  </tableColumns>
  <tableStyleInfo name="TableStyleMedium3" showFirstColumn="1"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E133B25-77C6-447D-AF4E-3B9357D65910}" name="Table23" displayName="Table23" ref="A7:B9" headerRowCount="0" totalsRowShown="0">
  <tableColumns count="2">
    <tableColumn id="1" xr3:uid="{0B23C59A-7905-47FB-AF14-C8EDF6EEFA1E}" name="Column1"/>
    <tableColumn id="2" xr3:uid="{BA32AE9D-72B2-4464-B78F-16DC9B5BAA06}" name="Column2"/>
  </tableColumns>
  <tableStyleInfo name="TableStyleMedium3" showFirstColumn="1" showLastColumn="1" showRowStripes="0" showColumnStripes="1"/>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3347B349-9446-4C4F-80A9-F5429DE912EA}" name="Table24" displayName="Table24" ref="A13:B18" headerRowCount="0" totalsRowShown="0">
  <tableColumns count="2">
    <tableColumn id="1" xr3:uid="{FE55059B-1397-4ED8-965F-95C1030259FE}" name="Column1"/>
    <tableColumn id="2" xr3:uid="{2D6150B9-1548-4009-85F9-8D037B8E985D}" name="Column2"/>
  </tableColumns>
  <tableStyleInfo name="TableStyleMedium3" showFirstColumn="1" showLastColumn="1" showRowStripes="0" showColumnStripes="1"/>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4EA9F8-05B5-499F-B0AF-D186F6BBA4F8}" name="Table4" displayName="Table4" ref="D4:W21" headerRowCount="0" totalsRowShown="0">
  <tableColumns count="20">
    <tableColumn id="1" xr3:uid="{5711949D-41FD-473B-B115-CC2BA6859410}" name="Column1" dataDxfId="60"/>
    <tableColumn id="2" xr3:uid="{4831957D-DD9D-43D2-8BBA-95FD183BE3CA}" name="Column2" headerRowDxfId="59" dataDxfId="58"/>
    <tableColumn id="3" xr3:uid="{CB223D2D-A726-48D2-9EDF-119A688913CA}" name="Column3" dataDxfId="57"/>
    <tableColumn id="4" xr3:uid="{265CB4C2-C3DE-4AF8-8F7C-D08750B245C0}" name="Column4" dataDxfId="56"/>
    <tableColumn id="5" xr3:uid="{C947818B-1320-4514-9B0D-71DCA253A724}" name="Column5" dataDxfId="55"/>
    <tableColumn id="6" xr3:uid="{A637AE88-2E00-4845-ADC1-068B263928FB}" name="Column6"/>
    <tableColumn id="7" xr3:uid="{826E887D-F7C6-4D21-8AB7-9A902C785DFE}" name="Column7" dataDxfId="54"/>
    <tableColumn id="8" xr3:uid="{35FFF4D7-9019-4269-B2A0-6B3B7D190EEE}" name="Column8"/>
    <tableColumn id="9" xr3:uid="{EF1E2E25-99BC-43E9-B911-26E61733FA5F}" name="Column9"/>
    <tableColumn id="10" xr3:uid="{665ED921-9D58-4B4A-8237-18239FCE5E9B}" name="Column10" dataDxfId="53"/>
    <tableColumn id="11" xr3:uid="{46FCE37D-60D1-4579-934A-06C6FA27448E}" name="Column11" dataDxfId="52"/>
    <tableColumn id="12" xr3:uid="{2B2120D2-E26B-4190-BDB6-34ABAF248DEE}" name="Column12" dataDxfId="51"/>
    <tableColumn id="13" xr3:uid="{A3E8C98E-2D67-43E0-9737-5DFAE165196C}" name="Column13" dataDxfId="50"/>
    <tableColumn id="14" xr3:uid="{D089B9A9-EDEB-4D38-AB7C-58891AD637C9}" name="Column14"/>
    <tableColumn id="15" xr3:uid="{62A4215C-83A0-40AC-A177-DB9EFA7FC223}" name="Column15" dataDxfId="49"/>
    <tableColumn id="16" xr3:uid="{88C99DB6-1443-4DD6-892F-622EFFB8AF85}" name="Column16" dataDxfId="48"/>
    <tableColumn id="17" xr3:uid="{CE443893-0D07-4227-B066-3451C013076F}" name="Column17" dataDxfId="47">
      <calculatedColumnFormula>SUM(Table4[[#This Row],[Column15]]*Table4[[#This Row],[Column16]])</calculatedColumnFormula>
    </tableColumn>
    <tableColumn id="18" xr3:uid="{3FD5FBFB-FFFB-4E06-812E-378611F7F940}" name="Column18" dataDxfId="46">
      <calculatedColumnFormula>HLOOKUP($R4,Lookups!$B$3:$H$4,2,TRUE)</calculatedColumnFormula>
    </tableColumn>
    <tableColumn id="20" xr3:uid="{BBB2C411-2F45-408C-B5B8-CAF22EA871E4}" name="Column20" dataDxfId="45">
      <calculatedColumnFormula>SUM(T4*U4)</calculatedColumnFormula>
    </tableColumn>
    <tableColumn id="19" xr3:uid="{DE278921-9B55-4598-AA8C-6A0EC6447977}" name="Column19" dataDxfId="44">
      <calculatedColumnFormula>SUM(T4-V4)</calculatedColumnFormula>
    </tableColumn>
  </tableColumns>
  <tableStyleInfo name="TableStyleMedium3" showFirstColumn="1"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E787553-80CE-47F7-9E64-9E19C731B85A}" name="Table21" displayName="Table21" ref="A7:B9" headerRowCount="0" totalsRowShown="0">
  <tableColumns count="2">
    <tableColumn id="1" xr3:uid="{79ED0F7F-92B5-4E47-95DE-481DCA260273}" name="Column1"/>
    <tableColumn id="2" xr3:uid="{98A3281E-2F59-4222-B05F-F9F50AD99833}" name="Column2" dataDxfId="43"/>
  </tableColumns>
  <tableStyleInfo name="TableStyleMedium3" showFirstColumn="1" showLastColumn="1" showRowStripes="0" showColumnStripes="1"/>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9253A1B-F158-4B81-8FBF-B91073712B33}" name="Table22" displayName="Table22" ref="A13:B18" headerRowCount="0" totalsRowShown="0">
  <tableColumns count="2">
    <tableColumn id="1" xr3:uid="{1FC15675-7A68-4CA1-A86A-FA4D771F80B2}" name="Column1"/>
    <tableColumn id="2" xr3:uid="{D9B2DDED-A88D-4491-B784-C9B943A87E0A}" name="Column2" dataDxfId="42"/>
  </tableColumns>
  <tableStyleInfo name="TableStyleMedium3" showFirstColumn="1" showLastColumn="1" showRowStripes="0" showColumnStripes="1"/>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478A3B-4675-4094-A758-A9D4267BF2FE}" name="Table7" displayName="Table7" ref="D4:W21" headerRowCount="0" totalsRowShown="0">
  <tableColumns count="20">
    <tableColumn id="1" xr3:uid="{E5E8B047-A101-4AD0-9071-749447AEBF3A}" name="Column1" dataDxfId="41"/>
    <tableColumn id="2" xr3:uid="{B97F9DA1-1C3B-4AE8-8B37-CEAFBCDB48E7}" name="Column2" headerRowDxfId="40" dataDxfId="39"/>
    <tableColumn id="3" xr3:uid="{DD522306-1ECF-45AD-87CA-969DA2BD3C1C}" name="Column3" dataDxfId="38"/>
    <tableColumn id="4" xr3:uid="{7D85D62B-545C-4ADD-B069-1B5ECA6F3FAF}" name="Column4" dataDxfId="37"/>
    <tableColumn id="5" xr3:uid="{16B83F00-358B-43BE-AB0F-200FBB2A707F}" name="Column5" dataDxfId="36"/>
    <tableColumn id="6" xr3:uid="{F28023DD-7C3F-424F-B5F1-C58AD2DC2793}" name="Column6"/>
    <tableColumn id="7" xr3:uid="{3E47C919-45D9-43C1-9A1B-1ADA798819C6}" name="Column7" dataDxfId="35"/>
    <tableColumn id="8" xr3:uid="{5971F52A-AB3C-4A19-AC93-E21CAB0A32C6}" name="Column8"/>
    <tableColumn id="9" xr3:uid="{ADF533F1-C7FE-4ED0-87F1-5C03CDCA43EF}" name="Column9" dataDxfId="34"/>
    <tableColumn id="10" xr3:uid="{FE0EE684-B31D-4A93-BB8C-374CDEB71024}" name="Column10" dataDxfId="33"/>
    <tableColumn id="11" xr3:uid="{B2177CC4-C75A-4488-AD32-BB68CDC0B343}" name="Column11" dataDxfId="32"/>
    <tableColumn id="12" xr3:uid="{9726E058-728C-442D-8F37-839F3EF170A0}" name="Column12" dataDxfId="31"/>
    <tableColumn id="13" xr3:uid="{72169A83-A5E4-4A38-A95B-2BF3DD52BCED}" name="Column13" dataDxfId="30"/>
    <tableColumn id="14" xr3:uid="{8E395D21-B30E-4E03-A12D-CDE5BC579412}" name="Column14"/>
    <tableColumn id="15" xr3:uid="{8EDE5E02-4F68-4AD6-978D-D966179F2910}" name="Column15" dataDxfId="29"/>
    <tableColumn id="16" xr3:uid="{6C828F44-C76E-4187-8747-6E2196EF3EF9}" name="Column16" dataDxfId="28"/>
    <tableColumn id="17" xr3:uid="{CDA0655F-6D04-4B11-B351-2BF0F94A0C98}" name="Column17" dataDxfId="27">
      <calculatedColumnFormula>SUM(Table7[[#This Row],[Column15]]*Table7[[#This Row],[Column16]])</calculatedColumnFormula>
    </tableColumn>
    <tableColumn id="18" xr3:uid="{149A490D-413A-48A4-B477-9983C775FFBE}" name="Column18" dataDxfId="26">
      <calculatedColumnFormula>HLOOKUP($R4,Lookups!$B$3:$H$4,2,TRUE)</calculatedColumnFormula>
    </tableColumn>
    <tableColumn id="20" xr3:uid="{953AB67F-A07D-4F31-AD53-2CFEA16D4558}" name="Column20" dataDxfId="25">
      <calculatedColumnFormula>SUM(T4*U4)</calculatedColumnFormula>
    </tableColumn>
    <tableColumn id="19" xr3:uid="{867A5202-BDC8-4796-BFFD-E42414354604}" name="Column19" dataDxfId="24">
      <calculatedColumnFormula>SUM(T4-V4)</calculatedColumnFormula>
    </tableColumn>
  </tableColumns>
  <tableStyleInfo name="TableStyleMedium3" showFirstColumn="1"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14B9B33-04CB-42B9-9D18-E7283CBF5907}" name="Table16" displayName="Table16" ref="A13:B18" headerRowCount="0">
  <tableColumns count="2">
    <tableColumn id="1" xr3:uid="{5E245A5A-D817-4F26-8CF0-4445B1C0F05E}" name="Column1" totalsRowLabel="Total"/>
    <tableColumn id="2" xr3:uid="{DF638E99-1ED5-4C29-9D23-442E770063B0}" name="Column2" totalsRowFunction="sum" dataDxfId="23" totalsRowDxfId="22"/>
  </tableColumns>
  <tableStyleInfo name="TableStyleMedium3" showFirstColumn="1" showLastColumn="1" showRowStripes="0" showColumnStripes="1"/>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70CF81B-8785-44C7-97D6-22181E7E902C}" name="Table20" displayName="Table20" ref="A7:B9" headerRowCount="0">
  <tableColumns count="2">
    <tableColumn id="1" xr3:uid="{21160958-2537-42CE-A50B-DBF12728D806}" name="Column1" totalsRowLabel="Total"/>
    <tableColumn id="2" xr3:uid="{F977C505-F057-4BE6-894E-8E46213AAC20}" name="Column2" totalsRowFunction="sum" dataDxfId="21"/>
  </tableColumns>
  <tableStyleInfo name="TableStyleMedium3" showFirstColumn="1" showLastColumn="1" showRowStripes="0" showColumnStripes="1"/>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29FCB8-2B44-41B8-9F0A-D2D4B7DF0F88}" name="Table1" displayName="Table1" ref="D4:V21" headerRowCount="0" totalsRowShown="0">
  <tableColumns count="19">
    <tableColumn id="1" xr3:uid="{0FC687AB-E9ED-41E5-8F3A-6FEB5A4B99D5}" name="Column1" dataDxfId="20"/>
    <tableColumn id="2" xr3:uid="{4F1D6417-EFB5-401F-B95B-5E9BE95430CC}" name="Column2" headerRowDxfId="19" dataDxfId="18"/>
    <tableColumn id="3" xr3:uid="{4D138FF3-3C6F-4CC4-87CF-D4A3F49BB0FE}" name="Column3"/>
    <tableColumn id="4" xr3:uid="{FE2D8201-0B33-472F-96CC-DFE7D18A8299}" name="Column4" dataDxfId="17"/>
    <tableColumn id="5" xr3:uid="{E13C0BA9-8516-4123-A607-D59F3C94A2F9}" name="Column5" dataDxfId="16"/>
    <tableColumn id="6" xr3:uid="{002AC8A9-965D-45DD-A2F1-FA32BD3DC1C6}" name="Column6"/>
    <tableColumn id="7" xr3:uid="{7D044FEC-3840-41BA-BD22-042A972ACA79}" name="Column7" headerRowDxfId="15" dataDxfId="14"/>
    <tableColumn id="8" xr3:uid="{230F9523-9785-4604-B45D-391A55E1F42D}" name="Column8"/>
    <tableColumn id="9" xr3:uid="{AAFAD3C5-66AE-4FEC-8D18-13AD68929F64}" name="Column9"/>
    <tableColumn id="10" xr3:uid="{A33BFE3B-83C0-47D6-90F6-35275B1FBC23}" name="Column10" dataDxfId="13"/>
    <tableColumn id="11" xr3:uid="{255FAE10-D064-447F-A157-A5752C769743}" name="Column11" dataDxfId="12"/>
    <tableColumn id="12" xr3:uid="{D12813AE-5043-4F22-8360-98957267B696}" name="Column12" dataDxfId="11"/>
    <tableColumn id="13" xr3:uid="{38008583-C820-4992-87BE-23C87982BDBF}" name="Column13" dataDxfId="10"/>
    <tableColumn id="14" xr3:uid="{ADE39605-B024-4DE7-850A-3E00A81EA121}" name="Column14"/>
    <tableColumn id="15" xr3:uid="{12A2C18F-E863-4148-901F-8D54F77CBDEA}" name="Column15" dataDxfId="9"/>
    <tableColumn id="16" xr3:uid="{25B50656-0B2F-4740-B4A3-FB076D5A2D68}" name="Column16" dataDxfId="8"/>
    <tableColumn id="17" xr3:uid="{A8D5478A-779B-456A-B373-9816D7CAF4B9}" name="Column17" dataDxfId="7">
      <calculatedColumnFormula>SUM(Table1[[#This Row],[Column15]]*Table1[[#This Row],[Column16]])</calculatedColumnFormula>
    </tableColumn>
    <tableColumn id="18" xr3:uid="{1127A2A6-CB36-478A-A0CC-6EB02890528C}" name="Column18" dataDxfId="6"/>
    <tableColumn id="19" xr3:uid="{15FE3D04-BF6E-488C-947A-4040E92214D7}" name="Column19" dataDxfId="5">
      <calculatedColumnFormula>SUM(Table1[[#This Row],[Column17]]-Table1[[#This Row],[Column18]])</calculatedColumnFormula>
    </tableColumn>
  </tableColumns>
  <tableStyleInfo name="TableStyleMedium3" showFirstColumn="1"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BD9CF9E-AD79-4018-B677-AD067406CA46}" name="Table9" displayName="Table9" ref="A7:B9" headerRowCount="0">
  <tableColumns count="2">
    <tableColumn id="1" xr3:uid="{4A6036E7-5A2B-4F3F-A89A-3E8C8E78EDBD}" name="Column1" totalsRowLabel="Net-Income"/>
    <tableColumn id="2" xr3:uid="{0A0CE693-6327-4951-8046-186AB4B536BD}" name="Column2" totalsRowFunction="custom" headerRowDxfId="4" dataDxfId="3" totalsRowDxfId="2">
      <totalsRowFormula>SUM(B7-B8)</totalsRowFormula>
    </tableColumn>
  </tableColumns>
  <tableStyleInfo name="TableStyleMedium3" showFirstColumn="1" showLastColumn="1" showRowStripes="0" showColumnStripes="1"/>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4D78A87-E906-4CDA-BA27-82C1F804F776}" name="Table10" displayName="Table10" ref="A13:B18" headerRowCount="0" totalsRowCount="1">
  <tableColumns count="2">
    <tableColumn id="1" xr3:uid="{9A76C57C-0F70-44DC-9A6D-36714D2B2262}" name="Column1" totalsRowLabel="Total"/>
    <tableColumn id="2" xr3:uid="{D012EAA5-C78C-4194-A882-C64608010841}" name="Column2" totalsRowFunction="sum" headerRowDxfId="1" totalsRowDxfId="0"/>
  </tableColumns>
  <tableStyleInfo name="TableStyleMedium3" showFirstColumn="1" showLastColumn="1"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 Id="rId4" Type="http://schemas.openxmlformats.org/officeDocument/2006/relationships/table" Target="../tables/table7.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4.bin"/><Relationship Id="rId4" Type="http://schemas.openxmlformats.org/officeDocument/2006/relationships/table" Target="../tables/table1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table" Target="../tables/table1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table" Target="../tables/table20.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printerSettings" Target="../printerSettings/printerSettings5.bin"/><Relationship Id="rId4" Type="http://schemas.openxmlformats.org/officeDocument/2006/relationships/table" Target="../tables/table2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6100B-8373-4D50-B946-D95B3FBCAD76}">
  <sheetPr codeName="Sheet1">
    <tabColor rgb="FFC00000"/>
  </sheetPr>
  <dimension ref="A1:AA20"/>
  <sheetViews>
    <sheetView showGridLines="0" tabSelected="1" topLeftCell="A7" workbookViewId="0">
      <selection activeCell="D12" sqref="D12"/>
    </sheetView>
  </sheetViews>
  <sheetFormatPr defaultRowHeight="14.4" x14ac:dyDescent="0.3"/>
  <cols>
    <col min="1" max="1" width="8.6640625" customWidth="1"/>
    <col min="2" max="2" width="7.44140625" customWidth="1"/>
    <col min="3" max="3" width="7.33203125" customWidth="1"/>
    <col min="4" max="4" width="5.44140625" customWidth="1"/>
    <col min="5" max="5" width="9.44140625" customWidth="1"/>
    <col min="6" max="6" width="9" customWidth="1"/>
    <col min="7" max="8" width="8.5546875" customWidth="1"/>
    <col min="9" max="9" width="19.33203125" customWidth="1"/>
    <col min="10" max="10" width="2.109375" customWidth="1"/>
    <col min="11" max="11" width="11.5546875" customWidth="1"/>
    <col min="12" max="12" width="10.109375" hidden="1" customWidth="1"/>
    <col min="13" max="13" width="9.33203125" customWidth="1"/>
    <col min="14" max="14" width="25.109375" customWidth="1"/>
    <col min="15" max="15" width="2.5546875" style="2" customWidth="1"/>
    <col min="16" max="16" width="20.33203125" customWidth="1"/>
    <col min="17" max="17" width="0.44140625" customWidth="1"/>
    <col min="18" max="18" width="16" customWidth="1"/>
    <col min="19" max="19" width="17.44140625" customWidth="1"/>
    <col min="20" max="20" width="16.33203125" customWidth="1"/>
    <col min="23" max="23" width="11.6640625" customWidth="1"/>
    <col min="24" max="24" width="11" customWidth="1"/>
    <col min="25" max="25" width="9.109375" customWidth="1"/>
    <col min="26" max="26" width="7.33203125" customWidth="1"/>
    <col min="27" max="27" width="1.44140625" style="57" customWidth="1"/>
  </cols>
  <sheetData>
    <row r="1" spans="1:27" ht="20.399999999999999" thickBot="1" x14ac:dyDescent="0.45">
      <c r="I1" s="22" t="s">
        <v>7</v>
      </c>
      <c r="J1" s="22"/>
      <c r="K1" s="22"/>
      <c r="N1" s="129" t="s">
        <v>19</v>
      </c>
      <c r="O1" s="129"/>
      <c r="P1" s="129"/>
      <c r="Q1" s="129"/>
      <c r="AA1" s="57" t="s">
        <v>361</v>
      </c>
    </row>
    <row r="2" spans="1:27" ht="18.600000000000001" thickTop="1" x14ac:dyDescent="0.35">
      <c r="I2" s="32"/>
      <c r="J2" s="37"/>
      <c r="K2" s="20"/>
      <c r="N2" s="32" t="s">
        <v>626</v>
      </c>
      <c r="O2" s="36" t="s">
        <v>351</v>
      </c>
      <c r="P2" s="20">
        <v>1018</v>
      </c>
      <c r="Q2" s="33" t="s">
        <v>638</v>
      </c>
      <c r="S2" s="41" t="s">
        <v>376</v>
      </c>
      <c r="T2" s="38" t="s">
        <v>362</v>
      </c>
      <c r="U2" s="33" t="s">
        <v>365</v>
      </c>
      <c r="AA2" s="57" t="s">
        <v>362</v>
      </c>
    </row>
    <row r="3" spans="1:27" ht="20.399999999999999" thickBot="1" x14ac:dyDescent="0.45">
      <c r="A3" t="s">
        <v>0</v>
      </c>
      <c r="B3" s="23">
        <v>1</v>
      </c>
      <c r="C3" s="23">
        <v>3</v>
      </c>
      <c r="D3" s="23">
        <v>5</v>
      </c>
      <c r="E3" s="23">
        <v>10</v>
      </c>
      <c r="F3" s="23">
        <v>15</v>
      </c>
      <c r="G3" s="23">
        <v>20</v>
      </c>
      <c r="H3" s="24">
        <v>30</v>
      </c>
      <c r="I3" s="32" t="s">
        <v>2</v>
      </c>
      <c r="J3" s="36" t="s">
        <v>351</v>
      </c>
      <c r="K3" s="125">
        <v>25.99</v>
      </c>
      <c r="L3" s="33" t="s">
        <v>352</v>
      </c>
      <c r="N3" s="32" t="s">
        <v>8</v>
      </c>
      <c r="O3" s="37" t="s">
        <v>351</v>
      </c>
      <c r="P3" s="20" t="str">
        <f t="array" ref="P3">VLOOKUP(Cus.Ref,Customers.Tlb,2,0)</f>
        <v>Pastis Daniels</v>
      </c>
      <c r="Q3" s="33" t="s">
        <v>638</v>
      </c>
      <c r="S3" s="39" t="s">
        <v>358</v>
      </c>
      <c r="T3" s="54">
        <f ca="1">INDIRECT("'"&amp;Table6[[#All],[Column2]]&amp;"'!B7")</f>
        <v>1655.2200000000005</v>
      </c>
      <c r="AA3" s="57" t="s">
        <v>363</v>
      </c>
    </row>
    <row r="4" spans="1:27" ht="21" thickTop="1" thickBot="1" x14ac:dyDescent="0.45">
      <c r="A4" t="s">
        <v>1</v>
      </c>
      <c r="B4" s="25">
        <v>0</v>
      </c>
      <c r="C4" s="25">
        <v>0.05</v>
      </c>
      <c r="D4" s="26">
        <v>0.08</v>
      </c>
      <c r="E4" s="25">
        <v>0.12</v>
      </c>
      <c r="F4" s="25">
        <v>0.14000000000000001</v>
      </c>
      <c r="G4" s="25">
        <v>0.17</v>
      </c>
      <c r="H4" s="27">
        <v>0.2</v>
      </c>
      <c r="I4" s="32" t="s">
        <v>3</v>
      </c>
      <c r="J4" s="37" t="s">
        <v>351</v>
      </c>
      <c r="K4" s="21">
        <v>11</v>
      </c>
      <c r="L4" s="33" t="s">
        <v>353</v>
      </c>
      <c r="N4" s="32" t="s">
        <v>9</v>
      </c>
      <c r="O4" s="37" t="s">
        <v>351</v>
      </c>
      <c r="P4" s="20" t="str">
        <f>VLOOKUP(Cus.Ref,Customers.Tlb,3,FALSE)</f>
        <v>North Sheilds</v>
      </c>
      <c r="S4" s="60" t="s">
        <v>359</v>
      </c>
      <c r="T4" s="55">
        <f ca="1">INDIRECT("'"&amp;Table6[[#All],[Column2]]&amp;"'!B8")</f>
        <v>740</v>
      </c>
      <c r="AA4" s="57" t="s">
        <v>364</v>
      </c>
    </row>
    <row r="5" spans="1:27" ht="18.600000000000001" thickTop="1" x14ac:dyDescent="0.35">
      <c r="I5" s="32" t="s">
        <v>4</v>
      </c>
      <c r="J5" s="37" t="s">
        <v>351</v>
      </c>
      <c r="K5" s="125">
        <f>SUM(K3*K4)</f>
        <v>285.89</v>
      </c>
      <c r="L5" t="s">
        <v>354</v>
      </c>
      <c r="N5" s="32" t="s">
        <v>10</v>
      </c>
      <c r="O5" s="37" t="s">
        <v>351</v>
      </c>
      <c r="P5" s="20" t="str">
        <f>VLOOKUP(Cus.Ref,Customers.Tlb,4,FALSE)</f>
        <v>Morpeth</v>
      </c>
      <c r="Q5" s="2"/>
      <c r="S5" s="40" t="s">
        <v>360</v>
      </c>
      <c r="T5" s="56">
        <f ca="1">SUM(T3-T4)</f>
        <v>915.22000000000048</v>
      </c>
      <c r="AA5" s="57" t="s">
        <v>634</v>
      </c>
    </row>
    <row r="6" spans="1:27" ht="18" x14ac:dyDescent="0.35">
      <c r="I6" s="32" t="s">
        <v>1</v>
      </c>
      <c r="J6" s="37" t="s">
        <v>351</v>
      </c>
      <c r="K6" s="126">
        <f>HLOOKUP(K4,B3:H4,2,TRUE)</f>
        <v>0.12</v>
      </c>
      <c r="L6" s="35" t="s">
        <v>355</v>
      </c>
      <c r="N6" s="32" t="s">
        <v>11</v>
      </c>
      <c r="O6" s="37" t="s">
        <v>351</v>
      </c>
      <c r="P6" s="20" t="str">
        <f>VLOOKUP(Cus.Ref,Customers.Tlb,5,FALSE)</f>
        <v>43 Shaftsbury Walk</v>
      </c>
      <c r="Q6" s="2"/>
      <c r="AA6" s="57" t="s">
        <v>635</v>
      </c>
    </row>
    <row r="7" spans="1:27" ht="18" x14ac:dyDescent="0.35">
      <c r="I7" s="32" t="s">
        <v>5</v>
      </c>
      <c r="J7" s="37" t="s">
        <v>351</v>
      </c>
      <c r="K7" s="125">
        <f>SUM(K5*K6)</f>
        <v>34.306799999999996</v>
      </c>
      <c r="L7" s="33" t="s">
        <v>356</v>
      </c>
      <c r="N7" s="32" t="s">
        <v>12</v>
      </c>
      <c r="O7" s="37" t="s">
        <v>351</v>
      </c>
      <c r="P7" s="20" t="str">
        <f>VLOOKUP(Cus.Ref,Customers.Tlb,6,FALSE)</f>
        <v>NE24 5BJ</v>
      </c>
      <c r="Q7" s="2"/>
      <c r="AA7" s="57" t="s">
        <v>636</v>
      </c>
    </row>
    <row r="8" spans="1:27" ht="18" x14ac:dyDescent="0.35">
      <c r="I8" s="32" t="s">
        <v>6</v>
      </c>
      <c r="J8" s="37" t="s">
        <v>351</v>
      </c>
      <c r="K8" s="124">
        <f>SUM(K5-K7)</f>
        <v>251.58319999999998</v>
      </c>
      <c r="L8" s="33" t="s">
        <v>357</v>
      </c>
      <c r="N8" s="32" t="s">
        <v>14</v>
      </c>
      <c r="O8" s="37" t="s">
        <v>351</v>
      </c>
      <c r="P8" s="28">
        <f>VLOOKUP(Cus.Ref,Customers.Tlb,7,FALSE)</f>
        <v>27469</v>
      </c>
      <c r="AA8" s="57" t="s">
        <v>637</v>
      </c>
    </row>
    <row r="9" spans="1:27" ht="18" x14ac:dyDescent="0.35">
      <c r="N9" s="32" t="s">
        <v>15</v>
      </c>
      <c r="O9" s="37" t="s">
        <v>351</v>
      </c>
      <c r="P9" s="29">
        <f ca="1">VLOOKUP(Cus.Ref,Customers.Tlb,8,FALSE)</f>
        <v>44</v>
      </c>
    </row>
    <row r="10" spans="1:27" ht="18" x14ac:dyDescent="0.35">
      <c r="N10" s="32" t="s">
        <v>13</v>
      </c>
      <c r="O10" s="37" t="s">
        <v>351</v>
      </c>
      <c r="P10" s="20" t="str">
        <f>VLOOKUP(Cus.Ref,Customers.Tlb,9,FALSE)</f>
        <v>Male</v>
      </c>
    </row>
    <row r="11" spans="1:27" ht="18" x14ac:dyDescent="0.35">
      <c r="N11" s="32" t="s">
        <v>16</v>
      </c>
      <c r="O11" s="37" t="s">
        <v>351</v>
      </c>
      <c r="P11" s="34" t="str">
        <f>VLOOKUP(Cus.Ref,Customers.Tlb,11,FALSE)</f>
        <v>55-222-33</v>
      </c>
      <c r="T11" s="12"/>
    </row>
    <row r="12" spans="1:27" ht="18" x14ac:dyDescent="0.35">
      <c r="D12" t="s">
        <v>670</v>
      </c>
      <c r="K12" s="42">
        <f>SUM(K5*K6)</f>
        <v>34.306799999999996</v>
      </c>
      <c r="N12" s="32" t="s">
        <v>17</v>
      </c>
      <c r="O12" s="37" t="s">
        <v>351</v>
      </c>
      <c r="P12" s="30">
        <f ca="1">VLOOKUP(Cus.Ref,Customers.Tlb,12,FALSE)</f>
        <v>7066198450.6675291</v>
      </c>
      <c r="Q12" s="33" t="s">
        <v>638</v>
      </c>
      <c r="T12" s="12"/>
    </row>
    <row r="13" spans="1:27" ht="18" x14ac:dyDescent="0.35">
      <c r="N13" s="32" t="s">
        <v>18</v>
      </c>
      <c r="O13" s="37" t="s">
        <v>351</v>
      </c>
      <c r="P13" s="31">
        <f ca="1">VLOOKUP(Cus.Ref,Customers.Tlb,13,FALSE)</f>
        <v>3068593.423814428</v>
      </c>
      <c r="Q13" s="33" t="s">
        <v>638</v>
      </c>
      <c r="T13" s="12"/>
    </row>
    <row r="14" spans="1:27" x14ac:dyDescent="0.3">
      <c r="T14" s="12"/>
    </row>
    <row r="15" spans="1:27" x14ac:dyDescent="0.3">
      <c r="H15" s="42">
        <f>K6</f>
        <v>0.12</v>
      </c>
      <c r="P15" s="2"/>
      <c r="T15" s="12"/>
    </row>
    <row r="16" spans="1:27" x14ac:dyDescent="0.3">
      <c r="T16" s="12"/>
    </row>
    <row r="17" spans="20:20" x14ac:dyDescent="0.3">
      <c r="T17" s="12"/>
    </row>
    <row r="18" spans="20:20" x14ac:dyDescent="0.3">
      <c r="T18" s="12"/>
    </row>
    <row r="19" spans="20:20" x14ac:dyDescent="0.3">
      <c r="T19" s="12"/>
    </row>
    <row r="20" spans="20:20" x14ac:dyDescent="0.3">
      <c r="T20" s="12"/>
    </row>
  </sheetData>
  <mergeCells count="1">
    <mergeCell ref="N1:Q1"/>
  </mergeCells>
  <dataValidations count="1">
    <dataValidation type="list" allowBlank="1" showInputMessage="1" showErrorMessage="1" sqref="T2" xr:uid="{E2FE7FFD-A54D-4F2C-96A2-A8E7CFCC3359}">
      <formula1>$AA$2:$AA$8</formula1>
    </dataValidation>
  </dataValidations>
  <pageMargins left="0.7" right="0.7" top="0.75" bottom="0.75" header="0.3" footer="0.3"/>
  <ignoredErrors>
    <ignoredError sqref="K6" formula="1"/>
  </ignoredErrors>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65A60-A016-4495-B79E-A83513837662}">
  <sheetPr codeName="Sheet2">
    <tabColor theme="5" tint="-0.499984740745262"/>
  </sheetPr>
  <dimension ref="A1:P45"/>
  <sheetViews>
    <sheetView topLeftCell="B1" workbookViewId="0">
      <selection activeCell="P35" sqref="P35"/>
    </sheetView>
  </sheetViews>
  <sheetFormatPr defaultRowHeight="14.4" x14ac:dyDescent="0.3"/>
  <cols>
    <col min="1" max="1" width="11" style="5" customWidth="1"/>
    <col min="2" max="2" width="9.33203125" bestFit="1" customWidth="1"/>
    <col min="3" max="3" width="22.33203125" style="1" customWidth="1"/>
    <col min="4" max="4" width="13.109375" style="1" bestFit="1" customWidth="1"/>
    <col min="5" max="5" width="24.5546875" style="5" bestFit="1" customWidth="1"/>
    <col min="6" max="6" width="10.5546875" style="6" bestFit="1" customWidth="1"/>
    <col min="7" max="7" width="12" bestFit="1" customWidth="1"/>
    <col min="8" max="8" width="12.5546875" style="11" bestFit="1" customWidth="1"/>
    <col min="9" max="9" width="11" style="10" customWidth="1"/>
    <col min="10" max="10" width="10.44140625" style="9" bestFit="1" customWidth="1"/>
    <col min="11" max="11" width="10.109375" style="8" bestFit="1" customWidth="1"/>
    <col min="12" max="12" width="12" style="7" bestFit="1" customWidth="1"/>
    <col min="13" max="13" width="12" style="5" hidden="1" customWidth="1"/>
    <col min="14" max="14" width="8.109375" style="6" bestFit="1" customWidth="1"/>
    <col min="16" max="16" width="9.109375" customWidth="1"/>
  </cols>
  <sheetData>
    <row r="1" spans="1:16" s="12" customFormat="1" ht="15" thickBot="1" x14ac:dyDescent="0.35">
      <c r="A1" s="5"/>
      <c r="B1" s="43" t="s">
        <v>20</v>
      </c>
      <c r="C1" s="47" t="s">
        <v>21</v>
      </c>
      <c r="D1" s="45" t="s">
        <v>22</v>
      </c>
      <c r="E1" s="45" t="s">
        <v>23</v>
      </c>
      <c r="F1" s="43" t="s">
        <v>24</v>
      </c>
      <c r="G1" s="51" t="s">
        <v>25</v>
      </c>
      <c r="H1" s="47" t="s">
        <v>26</v>
      </c>
      <c r="I1" s="103" t="s">
        <v>27</v>
      </c>
      <c r="J1" s="50" t="s">
        <v>28</v>
      </c>
      <c r="K1" s="73" t="s">
        <v>29</v>
      </c>
      <c r="L1" s="104" t="s">
        <v>30</v>
      </c>
      <c r="M1" s="105" t="s">
        <v>31</v>
      </c>
      <c r="N1" s="43" t="s">
        <v>32</v>
      </c>
      <c r="O1" s="51" t="s">
        <v>33</v>
      </c>
    </row>
    <row r="2" spans="1:16" s="12" customFormat="1" x14ac:dyDescent="0.3">
      <c r="A2" s="5"/>
      <c r="C2" s="1"/>
      <c r="D2" s="1"/>
      <c r="E2" s="5"/>
      <c r="F2" s="6"/>
      <c r="H2" s="11"/>
      <c r="I2" s="10"/>
      <c r="J2" s="72"/>
      <c r="K2" s="8"/>
      <c r="L2" s="7"/>
      <c r="M2" s="5"/>
      <c r="N2" s="6"/>
    </row>
    <row r="3" spans="1:16" s="12" customFormat="1" x14ac:dyDescent="0.3">
      <c r="A3" s="5"/>
      <c r="C3" s="1"/>
      <c r="D3" s="1"/>
      <c r="E3" s="5"/>
      <c r="F3" s="6"/>
      <c r="H3" s="11"/>
      <c r="I3" s="10"/>
      <c r="J3" s="72"/>
      <c r="K3" s="8"/>
      <c r="L3" s="7"/>
      <c r="M3" s="5"/>
      <c r="N3" s="6"/>
    </row>
    <row r="5" spans="1:16" x14ac:dyDescent="0.3">
      <c r="B5" s="106"/>
      <c r="C5" s="107"/>
      <c r="D5" s="107"/>
      <c r="E5" s="108"/>
      <c r="F5" s="109"/>
      <c r="G5" s="106"/>
      <c r="H5" s="110"/>
      <c r="I5" s="111"/>
      <c r="J5" s="112"/>
      <c r="K5" s="113"/>
      <c r="L5" s="114"/>
      <c r="M5" s="108"/>
      <c r="N5" s="109"/>
      <c r="O5" s="106"/>
      <c r="P5" s="106"/>
    </row>
    <row r="6" spans="1:16" ht="15" thickBot="1" x14ac:dyDescent="0.35">
      <c r="B6" s="43" t="s">
        <v>20</v>
      </c>
      <c r="C6" s="47" t="s">
        <v>21</v>
      </c>
      <c r="D6" s="45" t="s">
        <v>22</v>
      </c>
      <c r="E6" s="45" t="s">
        <v>23</v>
      </c>
      <c r="F6" s="43" t="s">
        <v>24</v>
      </c>
      <c r="G6" s="51" t="s">
        <v>25</v>
      </c>
      <c r="H6" s="47" t="s">
        <v>26</v>
      </c>
      <c r="I6" s="103" t="s">
        <v>27</v>
      </c>
      <c r="J6" s="50" t="s">
        <v>28</v>
      </c>
      <c r="K6" s="73" t="s">
        <v>29</v>
      </c>
      <c r="L6" s="104" t="s">
        <v>30</v>
      </c>
      <c r="M6" s="105" t="s">
        <v>31</v>
      </c>
      <c r="N6" s="43" t="s">
        <v>32</v>
      </c>
      <c r="O6" s="51" t="s">
        <v>33</v>
      </c>
      <c r="P6" s="106"/>
    </row>
    <row r="7" spans="1:16" x14ac:dyDescent="0.3">
      <c r="B7" s="5">
        <v>10001</v>
      </c>
      <c r="C7" t="s">
        <v>34</v>
      </c>
      <c r="D7" s="1" t="s">
        <v>35</v>
      </c>
      <c r="E7" s="1" t="s">
        <v>36</v>
      </c>
      <c r="F7" s="5">
        <v>115</v>
      </c>
      <c r="G7" s="6">
        <v>10.99</v>
      </c>
      <c r="H7" t="s">
        <v>37</v>
      </c>
      <c r="I7" s="11">
        <v>42349</v>
      </c>
      <c r="J7" s="10" t="s">
        <v>38</v>
      </c>
      <c r="K7" s="9" t="s">
        <v>39</v>
      </c>
      <c r="L7" s="8">
        <v>19056533</v>
      </c>
      <c r="M7" s="7">
        <v>7.318287037037037E-2</v>
      </c>
      <c r="N7" s="5">
        <v>3.99</v>
      </c>
      <c r="O7" s="6">
        <v>13.99</v>
      </c>
      <c r="P7" s="106"/>
    </row>
    <row r="8" spans="1:16" x14ac:dyDescent="0.3">
      <c r="B8" s="5">
        <v>10002</v>
      </c>
      <c r="C8" t="s">
        <v>40</v>
      </c>
      <c r="D8" s="1" t="s">
        <v>41</v>
      </c>
      <c r="E8" s="1" t="s">
        <v>42</v>
      </c>
      <c r="F8" s="5">
        <v>115</v>
      </c>
      <c r="G8" s="6">
        <v>21.99</v>
      </c>
      <c r="H8" t="s">
        <v>43</v>
      </c>
      <c r="I8" s="11">
        <v>42689</v>
      </c>
      <c r="J8" s="10" t="s">
        <v>44</v>
      </c>
      <c r="K8" s="9" t="s">
        <v>45</v>
      </c>
      <c r="L8" s="8">
        <v>19990384</v>
      </c>
      <c r="M8" s="7">
        <v>0.10719907407407407</v>
      </c>
      <c r="N8" s="5">
        <v>4.99</v>
      </c>
      <c r="O8" s="6">
        <v>23.99</v>
      </c>
      <c r="P8" s="106"/>
    </row>
    <row r="9" spans="1:16" x14ac:dyDescent="0.3">
      <c r="B9" s="5">
        <v>10003</v>
      </c>
      <c r="C9" t="s">
        <v>46</v>
      </c>
      <c r="D9" s="1" t="s">
        <v>35</v>
      </c>
      <c r="E9" s="1" t="s">
        <v>47</v>
      </c>
      <c r="F9" s="5">
        <v>115</v>
      </c>
      <c r="G9" s="6">
        <v>13.99</v>
      </c>
      <c r="H9" t="s">
        <v>48</v>
      </c>
      <c r="I9" s="11">
        <v>42807</v>
      </c>
      <c r="J9" s="10" t="s">
        <v>49</v>
      </c>
      <c r="K9" s="9" t="s">
        <v>50</v>
      </c>
      <c r="L9" s="8">
        <v>19829899</v>
      </c>
      <c r="M9" s="7">
        <v>7.3310185185185187E-2</v>
      </c>
      <c r="N9" s="5">
        <v>3.99</v>
      </c>
      <c r="O9" s="6">
        <v>20.99</v>
      </c>
      <c r="P9" s="106"/>
    </row>
    <row r="10" spans="1:16" x14ac:dyDescent="0.3">
      <c r="B10" s="5">
        <v>10004</v>
      </c>
      <c r="C10" t="s">
        <v>51</v>
      </c>
      <c r="D10" s="1" t="s">
        <v>35</v>
      </c>
      <c r="E10" s="1" t="s">
        <v>47</v>
      </c>
      <c r="F10" s="5">
        <v>115</v>
      </c>
      <c r="G10" s="6">
        <v>15.99</v>
      </c>
      <c r="H10" t="s">
        <v>52</v>
      </c>
      <c r="I10" s="11">
        <v>42825</v>
      </c>
      <c r="J10" s="10" t="s">
        <v>53</v>
      </c>
      <c r="K10" s="9" t="s">
        <v>54</v>
      </c>
      <c r="L10" s="8">
        <v>17799999</v>
      </c>
      <c r="M10" s="7">
        <v>5.7905092592592598E-2</v>
      </c>
      <c r="N10" s="5">
        <v>6.99</v>
      </c>
      <c r="O10" s="6">
        <v>20.99</v>
      </c>
      <c r="P10" s="106"/>
    </row>
    <row r="11" spans="1:16" x14ac:dyDescent="0.3">
      <c r="B11" s="5">
        <v>10005</v>
      </c>
      <c r="C11" t="s">
        <v>55</v>
      </c>
      <c r="D11" s="1" t="s">
        <v>41</v>
      </c>
      <c r="E11" s="1" t="s">
        <v>56</v>
      </c>
      <c r="F11" s="5">
        <v>115</v>
      </c>
      <c r="G11" s="6">
        <v>15.99</v>
      </c>
      <c r="H11" t="s">
        <v>57</v>
      </c>
      <c r="I11" s="11">
        <v>42611</v>
      </c>
      <c r="J11" s="10" t="s">
        <v>38</v>
      </c>
      <c r="K11" s="9" t="s">
        <v>39</v>
      </c>
      <c r="L11" s="8">
        <v>19098787</v>
      </c>
      <c r="M11" s="7">
        <v>8.3599537037037042E-2</v>
      </c>
      <c r="N11" s="5">
        <v>4.99</v>
      </c>
      <c r="O11" s="6">
        <v>20.99</v>
      </c>
      <c r="P11" s="106"/>
    </row>
    <row r="12" spans="1:16" x14ac:dyDescent="0.3">
      <c r="B12" s="5">
        <v>10006</v>
      </c>
      <c r="C12" t="s">
        <v>58</v>
      </c>
      <c r="D12" s="1" t="s">
        <v>59</v>
      </c>
      <c r="E12" s="1" t="s">
        <v>60</v>
      </c>
      <c r="F12" s="5">
        <v>115</v>
      </c>
      <c r="G12" s="6">
        <v>10.99</v>
      </c>
      <c r="H12" t="s">
        <v>61</v>
      </c>
      <c r="I12" s="11">
        <v>42488</v>
      </c>
      <c r="J12" s="10" t="s">
        <v>53</v>
      </c>
      <c r="K12" s="9" t="s">
        <v>62</v>
      </c>
      <c r="L12" s="8">
        <v>19968793</v>
      </c>
      <c r="M12" s="7">
        <v>7.8738425925925934E-2</v>
      </c>
      <c r="N12" s="5">
        <v>4.99</v>
      </c>
      <c r="O12" s="6">
        <v>15.99</v>
      </c>
      <c r="P12" s="106"/>
    </row>
    <row r="13" spans="1:16" x14ac:dyDescent="0.3">
      <c r="B13" s="5">
        <v>10007</v>
      </c>
      <c r="C13" t="s">
        <v>63</v>
      </c>
      <c r="D13" s="1" t="s">
        <v>64</v>
      </c>
      <c r="E13" s="1" t="s">
        <v>65</v>
      </c>
      <c r="F13" s="5">
        <v>115</v>
      </c>
      <c r="G13" s="6">
        <v>15.99</v>
      </c>
      <c r="H13" t="s">
        <v>66</v>
      </c>
      <c r="I13" s="11">
        <v>42636</v>
      </c>
      <c r="J13" s="10" t="s">
        <v>67</v>
      </c>
      <c r="K13" s="9" t="s">
        <v>68</v>
      </c>
      <c r="L13" s="8">
        <v>11236452</v>
      </c>
      <c r="M13" s="7">
        <v>5.7777777777777782E-2</v>
      </c>
      <c r="N13" s="5">
        <v>3.99</v>
      </c>
      <c r="O13" s="6">
        <v>18.989999999999998</v>
      </c>
      <c r="P13" s="106"/>
    </row>
    <row r="14" spans="1:16" x14ac:dyDescent="0.3">
      <c r="B14" s="5">
        <v>10008</v>
      </c>
      <c r="C14" t="s">
        <v>69</v>
      </c>
      <c r="D14" s="1" t="s">
        <v>70</v>
      </c>
      <c r="E14" s="1" t="s">
        <v>64</v>
      </c>
      <c r="F14" s="5">
        <v>115</v>
      </c>
      <c r="G14" s="6">
        <v>10.99</v>
      </c>
      <c r="H14" t="s">
        <v>71</v>
      </c>
      <c r="I14" s="11">
        <v>42504</v>
      </c>
      <c r="J14" s="10" t="s">
        <v>38</v>
      </c>
      <c r="K14" s="9" t="s">
        <v>72</v>
      </c>
      <c r="L14" s="8">
        <v>17352645</v>
      </c>
      <c r="M14" s="7">
        <v>7.2916666666666671E-2</v>
      </c>
      <c r="N14" s="5">
        <v>5.99</v>
      </c>
      <c r="O14" s="6">
        <v>18.989999999999998</v>
      </c>
      <c r="P14" s="106"/>
    </row>
    <row r="15" spans="1:16" x14ac:dyDescent="0.3">
      <c r="B15" s="5">
        <v>10009</v>
      </c>
      <c r="C15" t="s">
        <v>73</v>
      </c>
      <c r="D15" s="1" t="s">
        <v>35</v>
      </c>
      <c r="E15" s="1" t="s">
        <v>74</v>
      </c>
      <c r="F15" s="5">
        <v>115</v>
      </c>
      <c r="G15" s="6">
        <v>11.99</v>
      </c>
      <c r="H15" t="s">
        <v>75</v>
      </c>
      <c r="I15" s="11">
        <v>42987</v>
      </c>
      <c r="J15" s="10" t="s">
        <v>53</v>
      </c>
      <c r="K15" s="9" t="s">
        <v>76</v>
      </c>
      <c r="L15" s="8">
        <v>12364502</v>
      </c>
      <c r="M15" s="7">
        <v>6.5798611111111113E-2</v>
      </c>
      <c r="N15" s="5">
        <v>3.99</v>
      </c>
      <c r="O15" s="6">
        <v>19.989999999999998</v>
      </c>
      <c r="P15" s="106"/>
    </row>
    <row r="16" spans="1:16" x14ac:dyDescent="0.3">
      <c r="B16" s="5">
        <v>10010</v>
      </c>
      <c r="C16" t="s">
        <v>34</v>
      </c>
      <c r="D16" s="1" t="s">
        <v>35</v>
      </c>
      <c r="E16" s="1" t="s">
        <v>77</v>
      </c>
      <c r="F16" s="5">
        <v>115</v>
      </c>
      <c r="G16" s="6">
        <v>19.989999999999998</v>
      </c>
      <c r="H16" t="s">
        <v>78</v>
      </c>
      <c r="I16" s="11">
        <v>42875</v>
      </c>
      <c r="J16" s="10" t="s">
        <v>67</v>
      </c>
      <c r="K16" s="9" t="s">
        <v>79</v>
      </c>
      <c r="L16" s="8">
        <v>12846372</v>
      </c>
      <c r="M16" s="7">
        <v>7.2743055555555561E-2</v>
      </c>
      <c r="N16" s="5">
        <v>5.99</v>
      </c>
      <c r="O16" s="6">
        <v>25.99</v>
      </c>
      <c r="P16" s="106"/>
    </row>
    <row r="17" spans="2:16" x14ac:dyDescent="0.3">
      <c r="B17" s="5">
        <v>10011</v>
      </c>
      <c r="C17" t="s">
        <v>80</v>
      </c>
      <c r="D17" s="1" t="s">
        <v>35</v>
      </c>
      <c r="E17" s="1" t="s">
        <v>81</v>
      </c>
      <c r="F17" s="5">
        <v>115</v>
      </c>
      <c r="G17" s="6">
        <v>15.99</v>
      </c>
      <c r="H17" t="s">
        <v>82</v>
      </c>
      <c r="I17" s="11">
        <v>42959</v>
      </c>
      <c r="J17" s="10" t="s">
        <v>83</v>
      </c>
      <c r="K17" s="9" t="s">
        <v>84</v>
      </c>
      <c r="L17" s="8">
        <v>18111101</v>
      </c>
      <c r="M17" s="7">
        <v>7.9861111111111105E-2</v>
      </c>
      <c r="N17" s="5">
        <v>3.99</v>
      </c>
      <c r="O17" s="6">
        <v>18.989999999999998</v>
      </c>
      <c r="P17" s="106"/>
    </row>
    <row r="18" spans="2:16" x14ac:dyDescent="0.3">
      <c r="B18" s="5">
        <v>10012</v>
      </c>
      <c r="C18" t="s">
        <v>85</v>
      </c>
      <c r="D18" s="1" t="s">
        <v>86</v>
      </c>
      <c r="E18" s="1" t="s">
        <v>170</v>
      </c>
      <c r="F18" s="5">
        <v>115</v>
      </c>
      <c r="G18" s="6">
        <v>20.99</v>
      </c>
      <c r="H18" t="s">
        <v>87</v>
      </c>
      <c r="I18" s="11">
        <v>41992</v>
      </c>
      <c r="J18" s="10" t="s">
        <v>53</v>
      </c>
      <c r="K18" s="9" t="s">
        <v>88</v>
      </c>
      <c r="L18" s="8">
        <v>13527293</v>
      </c>
      <c r="M18" s="7">
        <v>8.1076388888888892E-2</v>
      </c>
      <c r="N18" s="5">
        <v>3.99</v>
      </c>
      <c r="O18" s="6">
        <v>25.99</v>
      </c>
      <c r="P18" s="106"/>
    </row>
    <row r="19" spans="2:16" x14ac:dyDescent="0.3">
      <c r="B19" s="5">
        <v>10013</v>
      </c>
      <c r="C19" t="s">
        <v>89</v>
      </c>
      <c r="D19" s="1" t="s">
        <v>90</v>
      </c>
      <c r="E19" s="1" t="s">
        <v>65</v>
      </c>
      <c r="F19" s="5">
        <v>115</v>
      </c>
      <c r="G19" s="6">
        <v>18.989999999999998</v>
      </c>
      <c r="H19" t="s">
        <v>91</v>
      </c>
      <c r="I19" s="11">
        <v>42560</v>
      </c>
      <c r="J19" s="10" t="s">
        <v>38</v>
      </c>
      <c r="K19" s="9" t="s">
        <v>92</v>
      </c>
      <c r="L19" s="8">
        <v>17365213</v>
      </c>
      <c r="M19" s="7">
        <v>7.9166666666666663E-2</v>
      </c>
      <c r="N19" s="5">
        <v>4.99</v>
      </c>
      <c r="O19" s="6">
        <v>22.99</v>
      </c>
      <c r="P19" s="106"/>
    </row>
    <row r="20" spans="2:16" x14ac:dyDescent="0.3">
      <c r="B20" s="5">
        <v>10014</v>
      </c>
      <c r="C20" t="s">
        <v>93</v>
      </c>
      <c r="D20" s="1" t="s">
        <v>59</v>
      </c>
      <c r="E20" s="1" t="s">
        <v>74</v>
      </c>
      <c r="F20" s="5">
        <v>115</v>
      </c>
      <c r="G20" s="6">
        <v>16.989999999999998</v>
      </c>
      <c r="H20" t="s">
        <v>94</v>
      </c>
      <c r="I20" s="11">
        <v>31909</v>
      </c>
      <c r="J20" s="10" t="s">
        <v>67</v>
      </c>
      <c r="K20" s="9" t="s">
        <v>95</v>
      </c>
      <c r="L20" s="8">
        <v>18893627</v>
      </c>
      <c r="M20" s="7">
        <v>5.9421296296296298E-2</v>
      </c>
      <c r="N20" s="5">
        <v>5.99</v>
      </c>
      <c r="O20" s="6">
        <v>21.99</v>
      </c>
      <c r="P20" s="106"/>
    </row>
    <row r="21" spans="2:16" x14ac:dyDescent="0.3">
      <c r="B21" s="5">
        <v>10015</v>
      </c>
      <c r="C21" t="s">
        <v>96</v>
      </c>
      <c r="D21" s="1" t="s">
        <v>59</v>
      </c>
      <c r="E21" s="1" t="s">
        <v>60</v>
      </c>
      <c r="F21" s="5">
        <v>115</v>
      </c>
      <c r="G21" s="6">
        <v>12.99</v>
      </c>
      <c r="H21" t="s">
        <v>97</v>
      </c>
      <c r="I21" s="11">
        <v>34018</v>
      </c>
      <c r="J21" s="10" t="s">
        <v>44</v>
      </c>
      <c r="K21" s="9" t="s">
        <v>98</v>
      </c>
      <c r="L21" s="8">
        <v>12217802</v>
      </c>
      <c r="M21" s="7">
        <v>4.9988425925925922E-2</v>
      </c>
      <c r="N21" s="5">
        <v>3.99</v>
      </c>
      <c r="O21" s="6">
        <v>14.99</v>
      </c>
      <c r="P21" s="106"/>
    </row>
    <row r="22" spans="2:16" x14ac:dyDescent="0.3">
      <c r="B22" s="5">
        <v>10016</v>
      </c>
      <c r="C22" t="s">
        <v>99</v>
      </c>
      <c r="D22" s="1" t="s">
        <v>70</v>
      </c>
      <c r="E22" s="1" t="s">
        <v>64</v>
      </c>
      <c r="F22" s="5">
        <v>115</v>
      </c>
      <c r="G22" s="6">
        <v>11.99</v>
      </c>
      <c r="H22" t="s">
        <v>100</v>
      </c>
      <c r="I22" s="11">
        <v>20468</v>
      </c>
      <c r="J22" s="10" t="s">
        <v>49</v>
      </c>
      <c r="K22" s="9" t="s">
        <v>39</v>
      </c>
      <c r="L22" s="8">
        <v>12300364</v>
      </c>
      <c r="M22" s="7">
        <v>7.6377314814814815E-2</v>
      </c>
      <c r="N22" s="5">
        <v>5.99</v>
      </c>
      <c r="O22" s="6">
        <v>13.99</v>
      </c>
      <c r="P22" s="106"/>
    </row>
    <row r="23" spans="2:16" x14ac:dyDescent="0.3">
      <c r="B23" s="5">
        <v>10017</v>
      </c>
      <c r="C23" t="s">
        <v>101</v>
      </c>
      <c r="D23" s="1" t="s">
        <v>70</v>
      </c>
      <c r="E23" s="1" t="s">
        <v>60</v>
      </c>
      <c r="F23" s="5">
        <v>115</v>
      </c>
      <c r="G23" s="6">
        <v>12.99</v>
      </c>
      <c r="H23" t="s">
        <v>102</v>
      </c>
      <c r="I23" s="11">
        <v>43025</v>
      </c>
      <c r="J23" s="10" t="s">
        <v>44</v>
      </c>
      <c r="K23" s="9" t="s">
        <v>103</v>
      </c>
      <c r="L23" s="8">
        <v>13300026</v>
      </c>
      <c r="M23" s="7">
        <v>8.1944444444444445E-2</v>
      </c>
      <c r="N23" s="5">
        <v>3.99</v>
      </c>
      <c r="O23" s="6">
        <v>15.99</v>
      </c>
      <c r="P23" s="106"/>
    </row>
    <row r="24" spans="2:16" x14ac:dyDescent="0.3">
      <c r="B24" s="5">
        <v>10018</v>
      </c>
      <c r="C24" t="s">
        <v>104</v>
      </c>
      <c r="D24" s="1" t="s">
        <v>86</v>
      </c>
      <c r="E24" s="1" t="s">
        <v>105</v>
      </c>
      <c r="F24" s="5">
        <v>115</v>
      </c>
      <c r="G24" s="6">
        <v>18.989999999999998</v>
      </c>
      <c r="H24" t="s">
        <v>106</v>
      </c>
      <c r="I24" s="11">
        <v>42113</v>
      </c>
      <c r="J24" s="10" t="s">
        <v>53</v>
      </c>
      <c r="K24" s="9" t="s">
        <v>84</v>
      </c>
      <c r="L24" s="8">
        <v>12015476</v>
      </c>
      <c r="M24" s="7">
        <v>5.8032407407407414E-2</v>
      </c>
      <c r="N24" s="5">
        <v>3.99</v>
      </c>
      <c r="O24" s="6">
        <v>25.99</v>
      </c>
      <c r="P24" s="106"/>
    </row>
    <row r="25" spans="2:16" x14ac:dyDescent="0.3">
      <c r="B25" s="5">
        <v>10019</v>
      </c>
      <c r="C25" t="s">
        <v>107</v>
      </c>
      <c r="D25" s="1" t="s">
        <v>64</v>
      </c>
      <c r="E25" s="1" t="s">
        <v>108</v>
      </c>
      <c r="F25" s="5">
        <v>115</v>
      </c>
      <c r="G25" s="6">
        <v>18.989999999999998</v>
      </c>
      <c r="H25" t="s">
        <v>109</v>
      </c>
      <c r="I25" s="11">
        <v>41954</v>
      </c>
      <c r="J25" s="10" t="s">
        <v>53</v>
      </c>
      <c r="K25" s="9" t="s">
        <v>76</v>
      </c>
      <c r="L25" s="8">
        <v>12239277</v>
      </c>
      <c r="M25" s="7">
        <v>8.0243055555555554E-2</v>
      </c>
      <c r="N25" s="5">
        <v>3.99</v>
      </c>
      <c r="O25" s="6">
        <v>26.99</v>
      </c>
      <c r="P25" s="106"/>
    </row>
    <row r="26" spans="2:16" x14ac:dyDescent="0.3">
      <c r="B26" s="5">
        <v>10020</v>
      </c>
      <c r="C26" t="s">
        <v>110</v>
      </c>
      <c r="D26" s="1" t="s">
        <v>35</v>
      </c>
      <c r="E26" s="1" t="s">
        <v>111</v>
      </c>
      <c r="F26" s="5">
        <v>115</v>
      </c>
      <c r="G26" s="6">
        <v>19.989999999999998</v>
      </c>
      <c r="H26" t="s">
        <v>112</v>
      </c>
      <c r="I26" s="11">
        <v>41620</v>
      </c>
      <c r="J26" s="10" t="s">
        <v>67</v>
      </c>
      <c r="K26" s="9" t="s">
        <v>76</v>
      </c>
      <c r="L26" s="8">
        <v>13302733</v>
      </c>
      <c r="M26" s="7">
        <v>6.5902777777777768E-2</v>
      </c>
      <c r="N26" s="5">
        <v>4.99</v>
      </c>
      <c r="O26" s="6">
        <v>25.99</v>
      </c>
      <c r="P26" s="106"/>
    </row>
    <row r="27" spans="2:16" x14ac:dyDescent="0.3">
      <c r="B27" s="5">
        <v>10021</v>
      </c>
      <c r="C27" t="s">
        <v>113</v>
      </c>
      <c r="D27" s="1" t="s">
        <v>41</v>
      </c>
      <c r="E27" s="1" t="s">
        <v>114</v>
      </c>
      <c r="F27" s="5">
        <v>115</v>
      </c>
      <c r="G27" s="6">
        <v>21.99</v>
      </c>
      <c r="H27" t="s">
        <v>115</v>
      </c>
      <c r="I27" s="11">
        <v>43100</v>
      </c>
      <c r="J27" s="10" t="s">
        <v>83</v>
      </c>
      <c r="K27" s="9" t="s">
        <v>116</v>
      </c>
      <c r="L27" s="8">
        <v>11203346</v>
      </c>
      <c r="M27" s="7">
        <v>6.2141203703703705E-2</v>
      </c>
      <c r="N27" s="5">
        <v>5.99</v>
      </c>
      <c r="O27" s="6">
        <v>25.99</v>
      </c>
      <c r="P27" s="106"/>
    </row>
    <row r="28" spans="2:16" x14ac:dyDescent="0.3">
      <c r="B28" s="5">
        <v>10022</v>
      </c>
      <c r="C28" t="s">
        <v>117</v>
      </c>
      <c r="D28" s="1" t="s">
        <v>70</v>
      </c>
      <c r="E28" s="1" t="s">
        <v>60</v>
      </c>
      <c r="F28" s="5">
        <v>115</v>
      </c>
      <c r="G28" s="6">
        <v>22.99</v>
      </c>
      <c r="H28" t="s">
        <v>118</v>
      </c>
      <c r="I28" s="11">
        <v>42768</v>
      </c>
      <c r="J28" s="10" t="s">
        <v>53</v>
      </c>
      <c r="K28" s="9" t="s">
        <v>76</v>
      </c>
      <c r="L28" s="8">
        <v>11230045</v>
      </c>
      <c r="M28" s="7">
        <v>8.3275462962962968E-2</v>
      </c>
      <c r="N28" s="5">
        <v>3.99</v>
      </c>
      <c r="O28" s="6">
        <v>27.99</v>
      </c>
      <c r="P28" s="106"/>
    </row>
    <row r="29" spans="2:16" x14ac:dyDescent="0.3">
      <c r="B29" s="5">
        <v>10023</v>
      </c>
      <c r="C29" t="s">
        <v>119</v>
      </c>
      <c r="D29" s="1" t="s">
        <v>64</v>
      </c>
      <c r="E29" s="1" t="s">
        <v>120</v>
      </c>
      <c r="F29" s="5">
        <v>115</v>
      </c>
      <c r="G29" s="6">
        <v>18.989999999999998</v>
      </c>
      <c r="H29" t="s">
        <v>121</v>
      </c>
      <c r="I29" s="11">
        <v>42224</v>
      </c>
      <c r="J29" s="10" t="s">
        <v>38</v>
      </c>
      <c r="K29" s="9" t="s">
        <v>76</v>
      </c>
      <c r="L29" s="8">
        <v>12840936</v>
      </c>
      <c r="M29" s="7">
        <v>7.9988425925925921E-2</v>
      </c>
      <c r="N29" s="5">
        <v>4.99</v>
      </c>
      <c r="O29" s="6">
        <v>22.99</v>
      </c>
      <c r="P29" s="106"/>
    </row>
    <row r="30" spans="2:16" x14ac:dyDescent="0.3">
      <c r="B30" s="5">
        <v>10024</v>
      </c>
      <c r="C30" t="s">
        <v>122</v>
      </c>
      <c r="D30" s="1" t="s">
        <v>64</v>
      </c>
      <c r="E30" s="1" t="s">
        <v>41</v>
      </c>
      <c r="F30" s="5">
        <v>115</v>
      </c>
      <c r="G30" s="6">
        <v>18.989999999999998</v>
      </c>
      <c r="H30" t="s">
        <v>123</v>
      </c>
      <c r="I30" s="11">
        <v>42925</v>
      </c>
      <c r="J30" s="10" t="s">
        <v>124</v>
      </c>
      <c r="K30" s="9" t="s">
        <v>76</v>
      </c>
      <c r="L30" s="8">
        <v>16733920</v>
      </c>
      <c r="M30" s="7">
        <v>8.0937499999999996E-2</v>
      </c>
      <c r="N30" s="5">
        <v>3.99</v>
      </c>
      <c r="O30" s="6">
        <v>24.99</v>
      </c>
      <c r="P30" s="106"/>
    </row>
    <row r="31" spans="2:16" x14ac:dyDescent="0.3">
      <c r="B31" s="5">
        <v>10025</v>
      </c>
      <c r="C31" t="s">
        <v>125</v>
      </c>
      <c r="D31" s="1" t="s">
        <v>86</v>
      </c>
      <c r="E31" s="1" t="s">
        <v>126</v>
      </c>
      <c r="F31" s="5">
        <v>115</v>
      </c>
      <c r="G31" s="6">
        <v>17.989999999999998</v>
      </c>
      <c r="H31" t="s">
        <v>127</v>
      </c>
      <c r="I31" s="11">
        <v>41568</v>
      </c>
      <c r="J31" s="10" t="s">
        <v>38</v>
      </c>
      <c r="K31" s="9" t="s">
        <v>128</v>
      </c>
      <c r="L31" s="8">
        <v>19023373</v>
      </c>
      <c r="M31" s="7">
        <v>6.1446759259259263E-2</v>
      </c>
      <c r="N31" s="5">
        <v>4.99</v>
      </c>
      <c r="O31" s="6">
        <v>25.99</v>
      </c>
      <c r="P31" s="106"/>
    </row>
    <row r="32" spans="2:16" x14ac:dyDescent="0.3">
      <c r="B32" s="5">
        <v>10026</v>
      </c>
      <c r="C32" t="s">
        <v>129</v>
      </c>
      <c r="D32" s="1" t="s">
        <v>35</v>
      </c>
      <c r="E32" s="1" t="s">
        <v>130</v>
      </c>
      <c r="F32" s="5">
        <v>115</v>
      </c>
      <c r="G32" s="6">
        <v>18.989999999999998</v>
      </c>
      <c r="H32" t="s">
        <v>131</v>
      </c>
      <c r="I32" s="11">
        <v>42959</v>
      </c>
      <c r="J32" s="10" t="s">
        <v>132</v>
      </c>
      <c r="K32" s="9" t="s">
        <v>45</v>
      </c>
      <c r="L32" s="8">
        <v>14453699</v>
      </c>
      <c r="M32" s="7">
        <v>5.5543981481481486E-2</v>
      </c>
      <c r="N32" s="5">
        <v>3.99</v>
      </c>
      <c r="O32" s="6">
        <v>26.99</v>
      </c>
      <c r="P32" s="106"/>
    </row>
    <row r="33" spans="2:16" x14ac:dyDescent="0.3">
      <c r="B33" s="5">
        <v>10027</v>
      </c>
      <c r="C33" t="s">
        <v>133</v>
      </c>
      <c r="D33" s="1" t="s">
        <v>35</v>
      </c>
      <c r="E33" s="1" t="s">
        <v>134</v>
      </c>
      <c r="F33" s="5">
        <v>115</v>
      </c>
      <c r="G33" s="6">
        <v>16.989999999999998</v>
      </c>
      <c r="H33" t="s">
        <v>135</v>
      </c>
      <c r="I33" s="11">
        <v>42786</v>
      </c>
      <c r="J33" s="10" t="s">
        <v>83</v>
      </c>
      <c r="K33" s="9" t="s">
        <v>136</v>
      </c>
      <c r="L33" s="8">
        <v>13214759</v>
      </c>
      <c r="M33" s="7">
        <v>7.767361111111111E-2</v>
      </c>
      <c r="N33" s="5">
        <v>5.99</v>
      </c>
      <c r="O33" s="6">
        <v>19.989999999999998</v>
      </c>
      <c r="P33" s="106"/>
    </row>
    <row r="34" spans="2:16" x14ac:dyDescent="0.3">
      <c r="B34" s="5">
        <v>10028</v>
      </c>
      <c r="C34" t="s">
        <v>137</v>
      </c>
      <c r="D34" s="1" t="s">
        <v>138</v>
      </c>
      <c r="E34" s="1" t="s">
        <v>64</v>
      </c>
      <c r="F34" s="5">
        <v>115</v>
      </c>
      <c r="G34" s="6">
        <v>15.99</v>
      </c>
      <c r="H34" t="s">
        <v>139</v>
      </c>
      <c r="I34" s="11">
        <v>42404</v>
      </c>
      <c r="J34" s="10" t="s">
        <v>53</v>
      </c>
      <c r="K34" s="9" t="s">
        <v>140</v>
      </c>
      <c r="L34" s="8">
        <v>14325721</v>
      </c>
      <c r="M34" s="7">
        <v>7.2476851851851862E-2</v>
      </c>
      <c r="N34" s="5">
        <v>3.99</v>
      </c>
      <c r="O34" s="6">
        <v>19.989999999999998</v>
      </c>
      <c r="P34" s="106"/>
    </row>
    <row r="35" spans="2:16" x14ac:dyDescent="0.3">
      <c r="B35" s="5">
        <v>10029</v>
      </c>
      <c r="C35" t="s">
        <v>141</v>
      </c>
      <c r="D35" s="1" t="s">
        <v>35</v>
      </c>
      <c r="E35" s="1" t="s">
        <v>142</v>
      </c>
      <c r="F35" s="5">
        <v>115</v>
      </c>
      <c r="G35" s="6">
        <v>15.99</v>
      </c>
      <c r="H35" t="s">
        <v>143</v>
      </c>
      <c r="I35" s="11">
        <v>42734</v>
      </c>
      <c r="J35" s="10" t="s">
        <v>38</v>
      </c>
      <c r="K35" s="9" t="s">
        <v>136</v>
      </c>
      <c r="L35" s="8">
        <v>17684432</v>
      </c>
      <c r="M35" s="7">
        <v>6.4837962962962958E-2</v>
      </c>
      <c r="N35" s="5">
        <v>6.99</v>
      </c>
      <c r="O35" s="6">
        <v>19.989999999999998</v>
      </c>
      <c r="P35" s="106"/>
    </row>
    <row r="36" spans="2:16" x14ac:dyDescent="0.3">
      <c r="B36" s="5">
        <v>10030</v>
      </c>
      <c r="C36" t="s">
        <v>144</v>
      </c>
      <c r="D36" s="1" t="s">
        <v>35</v>
      </c>
      <c r="E36" s="1" t="s">
        <v>74</v>
      </c>
      <c r="F36" s="5">
        <v>115</v>
      </c>
      <c r="G36" s="6">
        <v>21.99</v>
      </c>
      <c r="H36" t="s">
        <v>145</v>
      </c>
      <c r="I36" s="11">
        <v>42993</v>
      </c>
      <c r="J36" s="10" t="s">
        <v>67</v>
      </c>
      <c r="K36" s="9" t="s">
        <v>136</v>
      </c>
      <c r="L36" s="8">
        <v>18764531</v>
      </c>
      <c r="M36" s="7">
        <v>4.2002314814814812E-2</v>
      </c>
      <c r="N36" s="5">
        <v>5.99</v>
      </c>
      <c r="O36" s="6">
        <v>29.99</v>
      </c>
      <c r="P36" s="106"/>
    </row>
    <row r="37" spans="2:16" x14ac:dyDescent="0.3">
      <c r="B37" s="5">
        <v>10031</v>
      </c>
      <c r="C37" t="s">
        <v>146</v>
      </c>
      <c r="D37" s="1" t="s">
        <v>35</v>
      </c>
      <c r="E37" s="1" t="s">
        <v>172</v>
      </c>
      <c r="F37" s="5">
        <v>115</v>
      </c>
      <c r="G37" s="6">
        <v>21.99</v>
      </c>
      <c r="H37" t="s">
        <v>147</v>
      </c>
      <c r="I37" s="11">
        <v>42715</v>
      </c>
      <c r="J37" s="10" t="s">
        <v>38</v>
      </c>
      <c r="K37" s="9" t="s">
        <v>148</v>
      </c>
      <c r="L37" s="8">
        <v>12084635</v>
      </c>
      <c r="M37" s="7">
        <v>6.1932870370370374E-2</v>
      </c>
      <c r="N37" s="5">
        <v>6.99</v>
      </c>
      <c r="O37" s="6">
        <v>25.99</v>
      </c>
      <c r="P37" s="106"/>
    </row>
    <row r="38" spans="2:16" x14ac:dyDescent="0.3">
      <c r="B38" s="5">
        <v>10032</v>
      </c>
      <c r="C38" t="s">
        <v>149</v>
      </c>
      <c r="D38" s="1" t="s">
        <v>35</v>
      </c>
      <c r="E38" s="1" t="s">
        <v>171</v>
      </c>
      <c r="F38" s="5">
        <v>115</v>
      </c>
      <c r="G38" s="6">
        <v>12.5</v>
      </c>
      <c r="H38" t="s">
        <v>150</v>
      </c>
      <c r="I38" s="11">
        <v>42884</v>
      </c>
      <c r="J38" s="10" t="s">
        <v>83</v>
      </c>
      <c r="K38" s="9" t="s">
        <v>39</v>
      </c>
      <c r="L38" s="8">
        <v>3021553</v>
      </c>
      <c r="M38" s="7">
        <v>6.2037037037037036E-2</v>
      </c>
      <c r="N38" s="5">
        <v>3.99</v>
      </c>
      <c r="O38" s="6">
        <v>17.989999999999998</v>
      </c>
      <c r="P38" s="106"/>
    </row>
    <row r="39" spans="2:16" x14ac:dyDescent="0.3">
      <c r="B39" s="5">
        <v>10033</v>
      </c>
      <c r="C39" t="s">
        <v>151</v>
      </c>
      <c r="D39" s="1" t="s">
        <v>35</v>
      </c>
      <c r="E39" s="1" t="s">
        <v>74</v>
      </c>
      <c r="F39" s="5">
        <v>115</v>
      </c>
      <c r="G39" s="6">
        <v>19.5</v>
      </c>
      <c r="H39" t="s">
        <v>152</v>
      </c>
      <c r="I39" s="11">
        <v>42197</v>
      </c>
      <c r="J39" s="10" t="s">
        <v>132</v>
      </c>
      <c r="K39" s="9" t="s">
        <v>153</v>
      </c>
      <c r="L39" s="8">
        <v>13027756</v>
      </c>
      <c r="M39" s="7">
        <v>4.8877314814814811E-2</v>
      </c>
      <c r="N39" s="5">
        <v>5.99</v>
      </c>
      <c r="O39" s="6">
        <v>21.99</v>
      </c>
      <c r="P39" s="106"/>
    </row>
    <row r="40" spans="2:16" x14ac:dyDescent="0.3">
      <c r="B40" s="5">
        <v>10034</v>
      </c>
      <c r="C40" t="s">
        <v>154</v>
      </c>
      <c r="D40" s="1" t="s">
        <v>35</v>
      </c>
      <c r="E40" s="1" t="s">
        <v>155</v>
      </c>
      <c r="F40" s="5">
        <v>115</v>
      </c>
      <c r="G40" s="6">
        <v>19.989999999999998</v>
      </c>
      <c r="H40" t="s">
        <v>156</v>
      </c>
      <c r="I40" s="11">
        <v>42963</v>
      </c>
      <c r="J40" s="10" t="s">
        <v>53</v>
      </c>
      <c r="K40" s="9" t="s">
        <v>76</v>
      </c>
      <c r="L40" s="8">
        <v>13356738</v>
      </c>
      <c r="M40" s="7">
        <v>5.707175925925926E-2</v>
      </c>
      <c r="N40" s="5">
        <v>4.99</v>
      </c>
      <c r="O40" s="6">
        <v>27.99</v>
      </c>
      <c r="P40" s="106"/>
    </row>
    <row r="41" spans="2:16" x14ac:dyDescent="0.3">
      <c r="B41" s="5">
        <v>10035</v>
      </c>
      <c r="C41" t="s">
        <v>157</v>
      </c>
      <c r="D41" s="1" t="s">
        <v>35</v>
      </c>
      <c r="E41" s="1" t="s">
        <v>158</v>
      </c>
      <c r="F41" s="5">
        <v>115</v>
      </c>
      <c r="G41" s="6">
        <v>17.989999999999998</v>
      </c>
      <c r="H41" t="s">
        <v>159</v>
      </c>
      <c r="I41" s="11">
        <v>41684</v>
      </c>
      <c r="J41" s="10" t="s">
        <v>38</v>
      </c>
      <c r="K41" s="9" t="s">
        <v>54</v>
      </c>
      <c r="L41" s="8">
        <v>11874467</v>
      </c>
      <c r="M41" s="7">
        <v>5.814814814814815E-2</v>
      </c>
      <c r="N41" s="5">
        <v>4.99</v>
      </c>
      <c r="O41" s="6">
        <v>19.989999999999998</v>
      </c>
      <c r="P41" s="106"/>
    </row>
    <row r="42" spans="2:16" x14ac:dyDescent="0.3">
      <c r="B42" s="5">
        <v>10036</v>
      </c>
      <c r="C42" t="s">
        <v>160</v>
      </c>
      <c r="D42" s="1" t="s">
        <v>35</v>
      </c>
      <c r="E42" s="1" t="s">
        <v>126</v>
      </c>
      <c r="F42" s="5">
        <v>115</v>
      </c>
      <c r="G42" s="6">
        <v>24.99</v>
      </c>
      <c r="H42" t="s">
        <v>161</v>
      </c>
      <c r="I42" s="11">
        <v>41255</v>
      </c>
      <c r="J42" s="10" t="s">
        <v>67</v>
      </c>
      <c r="K42" s="9" t="s">
        <v>76</v>
      </c>
      <c r="L42" s="8">
        <v>16773640</v>
      </c>
      <c r="M42" s="7">
        <v>5.814814814814815E-2</v>
      </c>
      <c r="N42" s="5">
        <v>3.99</v>
      </c>
      <c r="O42" s="6">
        <v>30.99</v>
      </c>
      <c r="P42" s="106"/>
    </row>
    <row r="43" spans="2:16" x14ac:dyDescent="0.3">
      <c r="B43" s="5">
        <v>10037</v>
      </c>
      <c r="C43" t="s">
        <v>162</v>
      </c>
      <c r="D43" s="1" t="s">
        <v>35</v>
      </c>
      <c r="E43" s="1" t="s">
        <v>163</v>
      </c>
      <c r="F43" s="5">
        <v>115</v>
      </c>
      <c r="G43" s="6">
        <v>23.99</v>
      </c>
      <c r="H43" t="s">
        <v>164</v>
      </c>
      <c r="I43" s="11">
        <v>40783</v>
      </c>
      <c r="J43" s="10" t="s">
        <v>53</v>
      </c>
      <c r="K43" s="9" t="s">
        <v>39</v>
      </c>
      <c r="L43" s="8">
        <v>16783009</v>
      </c>
      <c r="M43" s="7">
        <v>8.1076388888888892E-2</v>
      </c>
      <c r="N43" s="5">
        <v>4.99</v>
      </c>
      <c r="O43" s="6">
        <v>29.99</v>
      </c>
      <c r="P43" s="106"/>
    </row>
    <row r="44" spans="2:16" x14ac:dyDescent="0.3">
      <c r="B44" s="5">
        <v>10038</v>
      </c>
      <c r="C44" t="s">
        <v>165</v>
      </c>
      <c r="D44" s="1" t="s">
        <v>35</v>
      </c>
      <c r="E44" s="1" t="s">
        <v>166</v>
      </c>
      <c r="F44" s="5">
        <v>115</v>
      </c>
      <c r="G44" s="6">
        <v>23.99</v>
      </c>
      <c r="H44" t="s">
        <v>167</v>
      </c>
      <c r="I44" s="11">
        <v>32250</v>
      </c>
      <c r="J44" s="10" t="s">
        <v>168</v>
      </c>
      <c r="K44" s="9" t="s">
        <v>169</v>
      </c>
      <c r="L44" s="8">
        <v>17783532</v>
      </c>
      <c r="M44" s="7">
        <v>8.0810185185185179E-2</v>
      </c>
      <c r="N44" s="5">
        <v>3.99</v>
      </c>
      <c r="O44" s="6">
        <v>28.99</v>
      </c>
      <c r="P44" s="106"/>
    </row>
    <row r="45" spans="2:16" x14ac:dyDescent="0.3">
      <c r="P45" s="106"/>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E7B09-3553-4270-BFFD-AA63CD02EEF3}">
  <sheetPr codeName="Sheet3">
    <tabColor theme="9" tint="-0.499984740745262"/>
  </sheetPr>
  <dimension ref="A1:O118"/>
  <sheetViews>
    <sheetView topLeftCell="C52" workbookViewId="0">
      <selection activeCell="M62" sqref="M62"/>
    </sheetView>
  </sheetViews>
  <sheetFormatPr defaultRowHeight="14.4" x14ac:dyDescent="0.3"/>
  <cols>
    <col min="1" max="1" width="7" customWidth="1"/>
    <col min="2" max="2" width="11" style="5" customWidth="1"/>
    <col min="3" max="3" width="20.5546875" style="1" bestFit="1" customWidth="1"/>
    <col min="4" max="4" width="13.109375" style="1" bestFit="1" customWidth="1"/>
    <col min="5" max="5" width="19.6640625" style="1" bestFit="1" customWidth="1"/>
    <col min="6" max="6" width="18" bestFit="1" customWidth="1"/>
    <col min="7" max="7" width="11" customWidth="1"/>
    <col min="8" max="8" width="12" style="4" bestFit="1" customWidth="1"/>
    <col min="9" max="9" width="11" style="5" customWidth="1"/>
    <col min="10" max="10" width="11" style="15" customWidth="1"/>
    <col min="11" max="11" width="13.44140625" hidden="1" customWidth="1"/>
    <col min="12" max="12" width="12" style="19" customWidth="1"/>
    <col min="13" max="13" width="18.5546875" style="14" bestFit="1" customWidth="1"/>
    <col min="14" max="14" width="19.33203125" style="13" customWidth="1"/>
  </cols>
  <sheetData>
    <row r="1" spans="1:15" ht="15" thickBot="1" x14ac:dyDescent="0.35">
      <c r="B1" s="43" t="s">
        <v>173</v>
      </c>
      <c r="C1" s="45" t="s">
        <v>8</v>
      </c>
      <c r="D1" s="45" t="s">
        <v>9</v>
      </c>
      <c r="E1" s="45" t="s">
        <v>174</v>
      </c>
      <c r="F1" s="47" t="s">
        <v>175</v>
      </c>
      <c r="G1" s="47" t="s">
        <v>12</v>
      </c>
      <c r="H1" s="53" t="s">
        <v>176</v>
      </c>
      <c r="I1" s="43" t="s">
        <v>15</v>
      </c>
      <c r="J1" s="48" t="s">
        <v>177</v>
      </c>
      <c r="K1" s="47"/>
      <c r="L1" s="115" t="s">
        <v>16</v>
      </c>
      <c r="M1" s="116" t="s">
        <v>17</v>
      </c>
      <c r="N1" s="117" t="s">
        <v>18</v>
      </c>
    </row>
    <row r="2" spans="1:15" s="12" customFormat="1" x14ac:dyDescent="0.3">
      <c r="B2" s="5"/>
      <c r="C2" s="1"/>
      <c r="D2" s="1"/>
      <c r="E2" s="1"/>
      <c r="H2" s="4"/>
      <c r="I2" s="5"/>
      <c r="J2" s="15"/>
      <c r="L2" s="19"/>
      <c r="M2" s="14"/>
      <c r="N2" s="13"/>
    </row>
    <row r="3" spans="1:15" s="12" customFormat="1" x14ac:dyDescent="0.3">
      <c r="B3" s="5"/>
      <c r="C3" s="1"/>
      <c r="D3" s="1"/>
      <c r="E3" s="1"/>
      <c r="H3" s="4"/>
      <c r="I3" s="5"/>
      <c r="J3" s="15"/>
      <c r="L3" s="19"/>
      <c r="M3" s="14"/>
      <c r="N3" s="13"/>
    </row>
    <row r="4" spans="1:15" s="12" customFormat="1" x14ac:dyDescent="0.3">
      <c r="B4" s="5"/>
      <c r="C4" s="1"/>
      <c r="D4" s="1"/>
      <c r="E4" s="1"/>
      <c r="H4" s="4"/>
      <c r="I4" s="5"/>
      <c r="J4" s="15"/>
      <c r="L4" s="19"/>
      <c r="M4" s="14"/>
      <c r="N4" s="13"/>
    </row>
    <row r="5" spans="1:15" x14ac:dyDescent="0.3">
      <c r="A5" s="106"/>
      <c r="B5" s="106"/>
      <c r="C5" s="106"/>
      <c r="D5" s="106"/>
      <c r="E5" s="106"/>
      <c r="F5" s="106"/>
      <c r="G5" s="106"/>
      <c r="H5" s="106"/>
      <c r="I5" s="106"/>
      <c r="J5" s="106"/>
      <c r="K5" s="106"/>
      <c r="L5" s="119"/>
      <c r="M5" s="106"/>
      <c r="N5" s="106"/>
      <c r="O5" s="106"/>
    </row>
    <row r="6" spans="1:15" ht="15" thickBot="1" x14ac:dyDescent="0.35">
      <c r="A6" s="106"/>
      <c r="B6" s="43" t="s">
        <v>173</v>
      </c>
      <c r="C6" s="45" t="s">
        <v>8</v>
      </c>
      <c r="D6" s="45" t="s">
        <v>9</v>
      </c>
      <c r="E6" s="45" t="s">
        <v>174</v>
      </c>
      <c r="F6" s="47" t="s">
        <v>175</v>
      </c>
      <c r="G6" s="47" t="s">
        <v>12</v>
      </c>
      <c r="H6" s="53" t="s">
        <v>176</v>
      </c>
      <c r="I6" s="43" t="s">
        <v>15</v>
      </c>
      <c r="J6" s="48" t="s">
        <v>177</v>
      </c>
      <c r="K6" s="47"/>
      <c r="L6" s="115" t="s">
        <v>16</v>
      </c>
      <c r="M6" s="116" t="s">
        <v>17</v>
      </c>
      <c r="N6" s="117" t="s">
        <v>18</v>
      </c>
    </row>
    <row r="7" spans="1:15" x14ac:dyDescent="0.3">
      <c r="A7" s="106"/>
      <c r="B7" s="5">
        <v>1001</v>
      </c>
      <c r="C7" s="1" t="s">
        <v>179</v>
      </c>
      <c r="D7" s="1" t="s">
        <v>180</v>
      </c>
      <c r="E7" s="1" t="s">
        <v>181</v>
      </c>
      <c r="F7" t="s">
        <v>182</v>
      </c>
      <c r="G7" t="s">
        <v>183</v>
      </c>
      <c r="H7" s="4">
        <v>28805</v>
      </c>
      <c r="I7" s="5">
        <f ca="1">INT((NOW()-H7)/356.25)</f>
        <v>40</v>
      </c>
      <c r="J7" s="15" t="s">
        <v>178</v>
      </c>
      <c r="K7" t="s">
        <v>178</v>
      </c>
      <c r="L7" s="19" t="s">
        <v>185</v>
      </c>
      <c r="M7" s="14">
        <f ca="1">RAND()*(7100000000-7000000000)+7000000000</f>
        <v>7062700200.6197014</v>
      </c>
      <c r="N7" s="13">
        <f ca="1">RAND()*(1911111-9999999)+7777777</f>
        <v>2241395.4513423247</v>
      </c>
    </row>
    <row r="8" spans="1:15" x14ac:dyDescent="0.3">
      <c r="A8" s="106"/>
      <c r="B8" s="5">
        <v>1002</v>
      </c>
      <c r="C8" s="1" t="s">
        <v>186</v>
      </c>
      <c r="D8" s="1" t="s">
        <v>187</v>
      </c>
      <c r="E8" s="1" t="s">
        <v>188</v>
      </c>
      <c r="F8" t="s">
        <v>189</v>
      </c>
      <c r="G8" t="s">
        <v>190</v>
      </c>
      <c r="H8" s="4">
        <v>28561</v>
      </c>
      <c r="I8" s="5">
        <f t="shared" ref="I8:I36" ca="1" si="0">INT((NOW()-H8)/356.25)</f>
        <v>41</v>
      </c>
      <c r="J8" s="15" t="s">
        <v>178</v>
      </c>
      <c r="K8" t="s">
        <v>184</v>
      </c>
      <c r="L8" s="19" t="s">
        <v>191</v>
      </c>
      <c r="M8" s="14">
        <f t="shared" ref="M8:M71" ca="1" si="1">RAND()*(7100000000-7000000000)+7000000000</f>
        <v>7079272850.2137804</v>
      </c>
      <c r="N8" s="13">
        <f t="shared" ref="N8:N71" ca="1" si="2">RAND()*(1911111-9999999)+7777777</f>
        <v>1494893.9262512093</v>
      </c>
    </row>
    <row r="9" spans="1:15" x14ac:dyDescent="0.3">
      <c r="A9" s="106"/>
      <c r="B9" s="5">
        <v>1003</v>
      </c>
      <c r="C9" s="1" t="s">
        <v>192</v>
      </c>
      <c r="D9" s="1" t="s">
        <v>193</v>
      </c>
      <c r="E9" s="1" t="s">
        <v>194</v>
      </c>
      <c r="F9" t="s">
        <v>195</v>
      </c>
      <c r="G9" t="s">
        <v>196</v>
      </c>
      <c r="H9" s="4">
        <v>35870</v>
      </c>
      <c r="I9" s="5">
        <f t="shared" ca="1" si="0"/>
        <v>20</v>
      </c>
      <c r="J9" s="15" t="s">
        <v>184</v>
      </c>
      <c r="K9" t="s">
        <v>625</v>
      </c>
      <c r="L9" s="19" t="s">
        <v>197</v>
      </c>
      <c r="M9" s="14">
        <f t="shared" ca="1" si="1"/>
        <v>7040295929.7330008</v>
      </c>
      <c r="N9" s="13">
        <f t="shared" ca="1" si="2"/>
        <v>5944714.4781510225</v>
      </c>
    </row>
    <row r="10" spans="1:15" x14ac:dyDescent="0.3">
      <c r="A10" s="106"/>
      <c r="B10" s="5">
        <v>1004</v>
      </c>
      <c r="C10" s="1" t="s">
        <v>198</v>
      </c>
      <c r="D10" s="1" t="s">
        <v>193</v>
      </c>
      <c r="E10" s="1" t="s">
        <v>199</v>
      </c>
      <c r="F10" t="s">
        <v>200</v>
      </c>
      <c r="G10" t="s">
        <v>201</v>
      </c>
      <c r="H10" s="4">
        <v>28491</v>
      </c>
      <c r="I10" s="5">
        <f t="shared" ca="1" si="0"/>
        <v>41</v>
      </c>
      <c r="J10" s="15" t="s">
        <v>178</v>
      </c>
      <c r="L10" s="19" t="s">
        <v>202</v>
      </c>
      <c r="M10" s="14">
        <f t="shared" ca="1" si="1"/>
        <v>7093221870.5633154</v>
      </c>
      <c r="N10" s="13">
        <f t="shared" ca="1" si="2"/>
        <v>2459354.3312202515</v>
      </c>
    </row>
    <row r="11" spans="1:15" x14ac:dyDescent="0.3">
      <c r="A11" s="106"/>
      <c r="B11" s="5">
        <v>1005</v>
      </c>
      <c r="C11" s="1" t="s">
        <v>203</v>
      </c>
      <c r="D11" s="1" t="s">
        <v>204</v>
      </c>
      <c r="E11" s="1" t="s">
        <v>205</v>
      </c>
      <c r="F11" t="s">
        <v>206</v>
      </c>
      <c r="G11" t="s">
        <v>207</v>
      </c>
      <c r="H11" s="4">
        <v>35712</v>
      </c>
      <c r="I11" s="5">
        <f t="shared" ca="1" si="0"/>
        <v>20</v>
      </c>
      <c r="J11" s="15" t="s">
        <v>184</v>
      </c>
      <c r="L11" s="19" t="s">
        <v>208</v>
      </c>
      <c r="M11" s="14">
        <f t="shared" ca="1" si="1"/>
        <v>7093502731.6804886</v>
      </c>
      <c r="N11" s="13">
        <f t="shared" ca="1" si="2"/>
        <v>2391585.2695167884</v>
      </c>
    </row>
    <row r="12" spans="1:15" x14ac:dyDescent="0.3">
      <c r="A12" s="106"/>
      <c r="B12" s="5">
        <v>1006</v>
      </c>
      <c r="C12" s="1" t="s">
        <v>209</v>
      </c>
      <c r="D12" s="1" t="s">
        <v>210</v>
      </c>
      <c r="E12" s="1" t="s">
        <v>211</v>
      </c>
      <c r="F12" t="s">
        <v>212</v>
      </c>
      <c r="G12" t="s">
        <v>213</v>
      </c>
      <c r="H12" s="4">
        <v>28997</v>
      </c>
      <c r="I12" s="5">
        <f t="shared" ca="1" si="0"/>
        <v>39</v>
      </c>
      <c r="J12" s="15" t="s">
        <v>625</v>
      </c>
      <c r="L12" s="19" t="s">
        <v>214</v>
      </c>
      <c r="M12" s="14">
        <f t="shared" ca="1" si="1"/>
        <v>7019138782.6222773</v>
      </c>
      <c r="N12" s="13">
        <f t="shared" ca="1" si="2"/>
        <v>4467805.0563439392</v>
      </c>
    </row>
    <row r="13" spans="1:15" x14ac:dyDescent="0.3">
      <c r="A13" s="106"/>
      <c r="B13" s="5">
        <v>1007</v>
      </c>
      <c r="C13" s="1" t="s">
        <v>215</v>
      </c>
      <c r="D13" s="1" t="s">
        <v>216</v>
      </c>
      <c r="E13" s="1" t="s">
        <v>217</v>
      </c>
      <c r="F13" t="s">
        <v>218</v>
      </c>
      <c r="G13" t="s">
        <v>219</v>
      </c>
      <c r="H13" s="4">
        <v>25741</v>
      </c>
      <c r="I13" s="5">
        <f t="shared" ca="1" si="0"/>
        <v>48</v>
      </c>
      <c r="J13" s="15" t="s">
        <v>178</v>
      </c>
      <c r="L13" s="19" t="s">
        <v>220</v>
      </c>
      <c r="M13" s="14">
        <f t="shared" ca="1" si="1"/>
        <v>7004605291.9333143</v>
      </c>
      <c r="N13" s="13">
        <f t="shared" ca="1" si="2"/>
        <v>1702018.3388015917</v>
      </c>
    </row>
    <row r="14" spans="1:15" x14ac:dyDescent="0.3">
      <c r="A14" s="106"/>
      <c r="B14" s="5">
        <v>1008</v>
      </c>
      <c r="C14" s="1" t="s">
        <v>221</v>
      </c>
      <c r="D14" s="1" t="s">
        <v>180</v>
      </c>
      <c r="E14" s="1" t="s">
        <v>222</v>
      </c>
      <c r="F14" t="s">
        <v>223</v>
      </c>
      <c r="G14" t="s">
        <v>224</v>
      </c>
      <c r="H14" s="4">
        <v>29464</v>
      </c>
      <c r="I14" s="5">
        <f t="shared" ca="1" si="0"/>
        <v>38</v>
      </c>
      <c r="J14" s="15" t="s">
        <v>184</v>
      </c>
      <c r="L14" s="19" t="s">
        <v>225</v>
      </c>
      <c r="M14" s="14">
        <f t="shared" ca="1" si="1"/>
        <v>7002032498.7571383</v>
      </c>
      <c r="N14" s="13">
        <f t="shared" ca="1" si="2"/>
        <v>3923633.3571500489</v>
      </c>
    </row>
    <row r="15" spans="1:15" x14ac:dyDescent="0.3">
      <c r="A15" s="106"/>
      <c r="B15" s="5">
        <v>1009</v>
      </c>
      <c r="C15" s="1" t="s">
        <v>226</v>
      </c>
      <c r="D15" s="1" t="s">
        <v>227</v>
      </c>
      <c r="E15" s="1" t="s">
        <v>228</v>
      </c>
      <c r="F15" t="s">
        <v>229</v>
      </c>
      <c r="G15" t="s">
        <v>230</v>
      </c>
      <c r="H15" s="4">
        <v>28603</v>
      </c>
      <c r="I15" s="5">
        <f t="shared" ca="1" si="0"/>
        <v>40</v>
      </c>
      <c r="J15" s="15" t="s">
        <v>625</v>
      </c>
      <c r="L15" s="19" t="s">
        <v>231</v>
      </c>
      <c r="M15" s="14">
        <f t="shared" ca="1" si="1"/>
        <v>7058546531.9824648</v>
      </c>
      <c r="N15" s="13">
        <f t="shared" ca="1" si="2"/>
        <v>846270.09509114083</v>
      </c>
    </row>
    <row r="16" spans="1:15" x14ac:dyDescent="0.3">
      <c r="A16" s="106"/>
      <c r="B16" s="5">
        <v>1010</v>
      </c>
      <c r="C16" s="1" t="s">
        <v>232</v>
      </c>
      <c r="D16" s="1" t="s">
        <v>233</v>
      </c>
      <c r="E16" s="1" t="s">
        <v>234</v>
      </c>
      <c r="F16" t="s">
        <v>235</v>
      </c>
      <c r="G16" t="s">
        <v>236</v>
      </c>
      <c r="H16" s="4">
        <v>32367</v>
      </c>
      <c r="I16" s="5">
        <f t="shared" ca="1" si="0"/>
        <v>30</v>
      </c>
      <c r="J16" s="15" t="s">
        <v>178</v>
      </c>
      <c r="L16" s="19" t="s">
        <v>237</v>
      </c>
      <c r="M16" s="14">
        <f t="shared" ca="1" si="1"/>
        <v>7045729400.125906</v>
      </c>
      <c r="N16" s="13">
        <f t="shared" ca="1" si="2"/>
        <v>4967633.3933151569</v>
      </c>
    </row>
    <row r="17" spans="1:14" x14ac:dyDescent="0.3">
      <c r="A17" s="106"/>
      <c r="B17" s="5">
        <v>1011</v>
      </c>
      <c r="C17" s="1" t="s">
        <v>238</v>
      </c>
      <c r="D17" s="1" t="s">
        <v>227</v>
      </c>
      <c r="E17" s="1" t="s">
        <v>239</v>
      </c>
      <c r="F17" t="s">
        <v>240</v>
      </c>
      <c r="G17" t="s">
        <v>241</v>
      </c>
      <c r="H17" s="4">
        <v>18353</v>
      </c>
      <c r="I17" s="5">
        <f t="shared" ca="1" si="0"/>
        <v>69</v>
      </c>
      <c r="J17" s="15" t="s">
        <v>184</v>
      </c>
      <c r="L17" s="19" t="s">
        <v>242</v>
      </c>
      <c r="M17" s="14">
        <f t="shared" ca="1" si="1"/>
        <v>7065070840.3323927</v>
      </c>
      <c r="N17" s="13">
        <f t="shared" ca="1" si="2"/>
        <v>3060190.8699863842</v>
      </c>
    </row>
    <row r="18" spans="1:14" x14ac:dyDescent="0.3">
      <c r="A18" s="106"/>
      <c r="B18" s="5">
        <v>1012</v>
      </c>
      <c r="C18" s="1" t="s">
        <v>243</v>
      </c>
      <c r="D18" s="1" t="s">
        <v>244</v>
      </c>
      <c r="E18" s="1" t="s">
        <v>205</v>
      </c>
      <c r="F18" t="s">
        <v>245</v>
      </c>
      <c r="G18" t="s">
        <v>246</v>
      </c>
      <c r="H18" s="4">
        <v>29078</v>
      </c>
      <c r="I18" s="5">
        <f t="shared" ca="1" si="0"/>
        <v>39</v>
      </c>
      <c r="J18" s="15" t="s">
        <v>625</v>
      </c>
      <c r="L18" s="19" t="s">
        <v>247</v>
      </c>
      <c r="M18" s="14">
        <f t="shared" ca="1" si="1"/>
        <v>7087290651.5843515</v>
      </c>
      <c r="N18" s="13">
        <f t="shared" ca="1" si="2"/>
        <v>3625328.4016098389</v>
      </c>
    </row>
    <row r="19" spans="1:14" x14ac:dyDescent="0.3">
      <c r="A19" s="106"/>
      <c r="B19" s="5">
        <v>1013</v>
      </c>
      <c r="C19" s="1" t="s">
        <v>248</v>
      </c>
      <c r="D19" s="1" t="s">
        <v>249</v>
      </c>
      <c r="E19" s="1" t="s">
        <v>250</v>
      </c>
      <c r="F19" t="s">
        <v>251</v>
      </c>
      <c r="G19" t="s">
        <v>252</v>
      </c>
      <c r="H19" s="4">
        <v>28229</v>
      </c>
      <c r="I19" s="5">
        <f t="shared" ca="1" si="0"/>
        <v>41</v>
      </c>
      <c r="J19" s="15" t="s">
        <v>184</v>
      </c>
      <c r="L19" s="19" t="s">
        <v>253</v>
      </c>
      <c r="M19" s="14">
        <f t="shared" ca="1" si="1"/>
        <v>7082727238.3161077</v>
      </c>
      <c r="N19" s="13">
        <f t="shared" ca="1" si="2"/>
        <v>-233177.37813978922</v>
      </c>
    </row>
    <row r="20" spans="1:14" x14ac:dyDescent="0.3">
      <c r="A20" s="106"/>
      <c r="B20" s="5">
        <v>1014</v>
      </c>
      <c r="C20" s="1" t="s">
        <v>254</v>
      </c>
      <c r="D20" s="1" t="s">
        <v>255</v>
      </c>
      <c r="E20" s="1" t="s">
        <v>239</v>
      </c>
      <c r="F20" t="s">
        <v>256</v>
      </c>
      <c r="G20" t="s">
        <v>257</v>
      </c>
      <c r="H20" s="4">
        <v>25809</v>
      </c>
      <c r="I20" s="5">
        <f t="shared" ca="1" si="0"/>
        <v>48</v>
      </c>
      <c r="J20" s="15" t="s">
        <v>184</v>
      </c>
      <c r="L20" s="19" t="s">
        <v>258</v>
      </c>
      <c r="M20" s="14">
        <f t="shared" ca="1" si="1"/>
        <v>7023506460.8843966</v>
      </c>
      <c r="N20" s="13">
        <f t="shared" ca="1" si="2"/>
        <v>6389714.2192409625</v>
      </c>
    </row>
    <row r="21" spans="1:14" x14ac:dyDescent="0.3">
      <c r="A21" s="106"/>
      <c r="B21" s="5">
        <v>1015</v>
      </c>
      <c r="C21" s="1" t="s">
        <v>259</v>
      </c>
      <c r="D21" s="1" t="s">
        <v>260</v>
      </c>
      <c r="E21" s="1" t="s">
        <v>261</v>
      </c>
      <c r="F21" t="s">
        <v>182</v>
      </c>
      <c r="G21" t="s">
        <v>262</v>
      </c>
      <c r="H21" s="4">
        <v>22269</v>
      </c>
      <c r="I21" s="5">
        <f t="shared" ca="1" si="0"/>
        <v>58</v>
      </c>
      <c r="J21" s="15" t="s">
        <v>625</v>
      </c>
      <c r="L21" s="19" t="s">
        <v>263</v>
      </c>
      <c r="M21" s="14">
        <f t="shared" ca="1" si="1"/>
        <v>7066515319.1685581</v>
      </c>
      <c r="N21" s="13">
        <f t="shared" ca="1" si="2"/>
        <v>3572868.6889641238</v>
      </c>
    </row>
    <row r="22" spans="1:14" x14ac:dyDescent="0.3">
      <c r="A22" s="106"/>
      <c r="B22" s="5">
        <v>1016</v>
      </c>
      <c r="C22" s="1" t="s">
        <v>264</v>
      </c>
      <c r="D22" s="1" t="s">
        <v>265</v>
      </c>
      <c r="E22" s="1" t="s">
        <v>266</v>
      </c>
      <c r="F22" t="s">
        <v>267</v>
      </c>
      <c r="G22" t="s">
        <v>268</v>
      </c>
      <c r="H22" s="4">
        <v>35761</v>
      </c>
      <c r="I22" s="5">
        <f t="shared" ca="1" si="0"/>
        <v>20</v>
      </c>
      <c r="J22" s="15" t="s">
        <v>178</v>
      </c>
      <c r="L22" s="19" t="s">
        <v>269</v>
      </c>
      <c r="M22" s="14">
        <f t="shared" ca="1" si="1"/>
        <v>7024762677.8434982</v>
      </c>
      <c r="N22" s="13">
        <f t="shared" ca="1" si="2"/>
        <v>2557600.2140782168</v>
      </c>
    </row>
    <row r="23" spans="1:14" x14ac:dyDescent="0.3">
      <c r="A23" s="106"/>
      <c r="B23" s="5">
        <v>1017</v>
      </c>
      <c r="C23" s="1" t="s">
        <v>270</v>
      </c>
      <c r="D23" s="1" t="s">
        <v>271</v>
      </c>
      <c r="E23" s="1" t="s">
        <v>205</v>
      </c>
      <c r="F23" t="s">
        <v>272</v>
      </c>
      <c r="G23" t="s">
        <v>273</v>
      </c>
      <c r="H23" s="4">
        <v>25625</v>
      </c>
      <c r="I23" s="5">
        <f t="shared" ca="1" si="0"/>
        <v>49</v>
      </c>
      <c r="J23" s="15" t="s">
        <v>178</v>
      </c>
      <c r="L23" s="19" t="s">
        <v>274</v>
      </c>
      <c r="M23" s="14">
        <f t="shared" ca="1" si="1"/>
        <v>7002581465.1370831</v>
      </c>
      <c r="N23" s="13">
        <f t="shared" ca="1" si="2"/>
        <v>6968800.7146364283</v>
      </c>
    </row>
    <row r="24" spans="1:14" x14ac:dyDescent="0.3">
      <c r="A24" s="106"/>
      <c r="B24" s="5">
        <v>1018</v>
      </c>
      <c r="C24" s="1" t="s">
        <v>275</v>
      </c>
      <c r="D24" s="1" t="s">
        <v>233</v>
      </c>
      <c r="E24" s="1" t="s">
        <v>276</v>
      </c>
      <c r="F24" t="s">
        <v>277</v>
      </c>
      <c r="G24" t="s">
        <v>278</v>
      </c>
      <c r="H24" s="4">
        <v>27469</v>
      </c>
      <c r="I24" s="5">
        <f t="shared" ca="1" si="0"/>
        <v>44</v>
      </c>
      <c r="J24" s="15" t="s">
        <v>178</v>
      </c>
      <c r="L24" s="19" t="s">
        <v>279</v>
      </c>
      <c r="M24" s="14">
        <f t="shared" ca="1" si="1"/>
        <v>7066198450.6675291</v>
      </c>
      <c r="N24" s="13">
        <f t="shared" ca="1" si="2"/>
        <v>3068593.423814428</v>
      </c>
    </row>
    <row r="25" spans="1:14" x14ac:dyDescent="0.3">
      <c r="A25" s="106"/>
      <c r="B25" s="5">
        <v>1019</v>
      </c>
      <c r="C25" s="1" t="s">
        <v>179</v>
      </c>
      <c r="D25" s="1" t="s">
        <v>280</v>
      </c>
      <c r="E25" s="1" t="s">
        <v>261</v>
      </c>
      <c r="F25" t="s">
        <v>281</v>
      </c>
      <c r="G25" t="s">
        <v>282</v>
      </c>
      <c r="H25" s="4">
        <v>27898</v>
      </c>
      <c r="I25" s="5">
        <f t="shared" ca="1" si="0"/>
        <v>42</v>
      </c>
      <c r="J25" s="15" t="s">
        <v>178</v>
      </c>
      <c r="L25" s="19" t="s">
        <v>283</v>
      </c>
      <c r="M25" s="14">
        <f t="shared" ca="1" si="1"/>
        <v>7065291145.1798897</v>
      </c>
      <c r="N25" s="13">
        <f t="shared" ca="1" si="2"/>
        <v>3586128.9253851855</v>
      </c>
    </row>
    <row r="26" spans="1:14" x14ac:dyDescent="0.3">
      <c r="A26" s="106"/>
      <c r="B26" s="5">
        <v>1020</v>
      </c>
      <c r="C26" s="1" t="s">
        <v>284</v>
      </c>
      <c r="D26" s="1" t="s">
        <v>280</v>
      </c>
      <c r="E26" s="1" t="s">
        <v>285</v>
      </c>
      <c r="F26" t="s">
        <v>286</v>
      </c>
      <c r="G26" t="s">
        <v>287</v>
      </c>
      <c r="H26" s="4">
        <v>40227</v>
      </c>
      <c r="I26" s="5">
        <f t="shared" ca="1" si="0"/>
        <v>8</v>
      </c>
      <c r="J26" s="15" t="s">
        <v>184</v>
      </c>
      <c r="L26" s="19" t="s">
        <v>288</v>
      </c>
      <c r="M26" s="14">
        <f t="shared" ca="1" si="1"/>
        <v>7048232905.7948055</v>
      </c>
      <c r="N26" s="13">
        <f t="shared" ca="1" si="2"/>
        <v>1616973.2220582925</v>
      </c>
    </row>
    <row r="27" spans="1:14" x14ac:dyDescent="0.3">
      <c r="A27" s="106"/>
      <c r="B27" s="5">
        <v>1021</v>
      </c>
      <c r="C27" s="1" t="s">
        <v>289</v>
      </c>
      <c r="D27" s="1" t="s">
        <v>204</v>
      </c>
      <c r="E27" s="1" t="s">
        <v>290</v>
      </c>
      <c r="F27" t="s">
        <v>277</v>
      </c>
      <c r="G27" t="s">
        <v>273</v>
      </c>
      <c r="H27" s="4">
        <v>36822</v>
      </c>
      <c r="I27" s="5">
        <f t="shared" ca="1" si="0"/>
        <v>17</v>
      </c>
      <c r="J27" s="15" t="s">
        <v>184</v>
      </c>
      <c r="L27" s="19" t="s">
        <v>291</v>
      </c>
      <c r="M27" s="14">
        <f t="shared" ca="1" si="1"/>
        <v>7025751356.2791653</v>
      </c>
      <c r="N27" s="13">
        <f t="shared" ca="1" si="2"/>
        <v>5879278.0601780973</v>
      </c>
    </row>
    <row r="28" spans="1:14" x14ac:dyDescent="0.3">
      <c r="A28" s="106"/>
      <c r="B28" s="5">
        <v>1022</v>
      </c>
      <c r="C28" s="1" t="s">
        <v>292</v>
      </c>
      <c r="D28" s="1" t="s">
        <v>227</v>
      </c>
      <c r="E28" s="1" t="s">
        <v>293</v>
      </c>
      <c r="F28" t="s">
        <v>294</v>
      </c>
      <c r="G28" t="s">
        <v>287</v>
      </c>
      <c r="H28" s="4">
        <v>32933</v>
      </c>
      <c r="I28" s="5">
        <f t="shared" ca="1" si="0"/>
        <v>28</v>
      </c>
      <c r="J28" s="15" t="s">
        <v>178</v>
      </c>
      <c r="L28" s="19" t="s">
        <v>295</v>
      </c>
      <c r="M28" s="14">
        <f t="shared" ca="1" si="1"/>
        <v>7007469969.0707769</v>
      </c>
      <c r="N28" s="13">
        <f t="shared" ca="1" si="2"/>
        <v>4848926.9972679429</v>
      </c>
    </row>
    <row r="29" spans="1:14" x14ac:dyDescent="0.3">
      <c r="A29" s="106"/>
      <c r="B29" s="5">
        <v>1023</v>
      </c>
      <c r="C29" s="1" t="s">
        <v>296</v>
      </c>
      <c r="D29" s="1" t="s">
        <v>204</v>
      </c>
      <c r="E29" s="1" t="s">
        <v>297</v>
      </c>
      <c r="F29" t="s">
        <v>298</v>
      </c>
      <c r="G29" t="s">
        <v>299</v>
      </c>
      <c r="H29" s="4">
        <v>21341</v>
      </c>
      <c r="I29" s="5">
        <f t="shared" ca="1" si="0"/>
        <v>61</v>
      </c>
      <c r="J29" s="15" t="s">
        <v>184</v>
      </c>
      <c r="L29" s="19" t="s">
        <v>300</v>
      </c>
      <c r="M29" s="14">
        <f t="shared" ca="1" si="1"/>
        <v>7024613868.5952616</v>
      </c>
      <c r="N29" s="13">
        <f t="shared" ca="1" si="2"/>
        <v>361829.08335802797</v>
      </c>
    </row>
    <row r="30" spans="1:14" x14ac:dyDescent="0.3">
      <c r="B30" s="5">
        <v>1024</v>
      </c>
      <c r="C30" s="1" t="s">
        <v>301</v>
      </c>
      <c r="D30" s="1" t="s">
        <v>302</v>
      </c>
      <c r="E30" s="1" t="s">
        <v>297</v>
      </c>
      <c r="F30" t="s">
        <v>303</v>
      </c>
      <c r="G30" t="s">
        <v>304</v>
      </c>
      <c r="H30" s="4">
        <v>33134</v>
      </c>
      <c r="I30" s="5">
        <f t="shared" ca="1" si="0"/>
        <v>28</v>
      </c>
      <c r="J30" s="15" t="s">
        <v>184</v>
      </c>
      <c r="L30" s="19" t="s">
        <v>305</v>
      </c>
      <c r="M30" s="14">
        <f t="shared" ca="1" si="1"/>
        <v>7027128446.8493929</v>
      </c>
      <c r="N30" s="13">
        <f t="shared" ca="1" si="2"/>
        <v>7096805.6100027142</v>
      </c>
    </row>
    <row r="31" spans="1:14" x14ac:dyDescent="0.3">
      <c r="B31" s="5">
        <v>1025</v>
      </c>
      <c r="C31" s="1" t="s">
        <v>306</v>
      </c>
      <c r="D31" s="1" t="s">
        <v>180</v>
      </c>
      <c r="E31" s="1" t="s">
        <v>297</v>
      </c>
      <c r="F31" t="s">
        <v>307</v>
      </c>
      <c r="G31" t="s">
        <v>308</v>
      </c>
      <c r="H31" s="4">
        <v>40778</v>
      </c>
      <c r="I31" s="5">
        <f t="shared" ca="1" si="0"/>
        <v>6</v>
      </c>
      <c r="J31" s="15" t="s">
        <v>178</v>
      </c>
      <c r="L31" s="19" t="s">
        <v>309</v>
      </c>
      <c r="M31" s="14">
        <f t="shared" ca="1" si="1"/>
        <v>7005246122.882309</v>
      </c>
      <c r="N31" s="13">
        <f t="shared" ca="1" si="2"/>
        <v>6255357.6034968831</v>
      </c>
    </row>
    <row r="32" spans="1:14" x14ac:dyDescent="0.3">
      <c r="B32" s="5">
        <v>1026</v>
      </c>
      <c r="C32" s="1" t="s">
        <v>310</v>
      </c>
      <c r="D32" s="1" t="s">
        <v>311</v>
      </c>
      <c r="E32" s="1" t="s">
        <v>312</v>
      </c>
      <c r="F32" t="s">
        <v>313</v>
      </c>
      <c r="G32" t="s">
        <v>236</v>
      </c>
      <c r="H32" s="4">
        <v>36739</v>
      </c>
      <c r="I32" s="5">
        <f t="shared" ca="1" si="0"/>
        <v>18</v>
      </c>
      <c r="J32" s="15" t="s">
        <v>625</v>
      </c>
      <c r="L32" s="19" t="s">
        <v>314</v>
      </c>
      <c r="M32" s="14">
        <f t="shared" ca="1" si="1"/>
        <v>7027619863.2943869</v>
      </c>
      <c r="N32" s="13">
        <f t="shared" ca="1" si="2"/>
        <v>2373957.6864427198</v>
      </c>
    </row>
    <row r="33" spans="2:14" x14ac:dyDescent="0.3">
      <c r="B33" s="5">
        <v>1027</v>
      </c>
      <c r="C33" s="1" t="s">
        <v>315</v>
      </c>
      <c r="D33" s="1" t="s">
        <v>204</v>
      </c>
      <c r="E33" s="1" t="s">
        <v>181</v>
      </c>
      <c r="F33" t="s">
        <v>316</v>
      </c>
      <c r="G33" t="s">
        <v>224</v>
      </c>
      <c r="H33" s="4">
        <v>33436</v>
      </c>
      <c r="I33" s="5">
        <f t="shared" ca="1" si="0"/>
        <v>27</v>
      </c>
      <c r="J33" s="15" t="s">
        <v>184</v>
      </c>
      <c r="L33" s="19" t="s">
        <v>317</v>
      </c>
      <c r="M33" s="14">
        <f t="shared" ca="1" si="1"/>
        <v>7064778695.9114141</v>
      </c>
      <c r="N33" s="13">
        <f t="shared" ca="1" si="2"/>
        <v>2957754.1829978824</v>
      </c>
    </row>
    <row r="34" spans="2:14" x14ac:dyDescent="0.3">
      <c r="B34" s="5">
        <v>1028</v>
      </c>
      <c r="C34" s="1" t="s">
        <v>318</v>
      </c>
      <c r="D34" s="1" t="s">
        <v>319</v>
      </c>
      <c r="E34" s="1" t="s">
        <v>290</v>
      </c>
      <c r="F34" t="s">
        <v>320</v>
      </c>
      <c r="G34" t="s">
        <v>219</v>
      </c>
      <c r="H34" s="4">
        <v>36400</v>
      </c>
      <c r="I34" s="5">
        <f t="shared" ca="1" si="0"/>
        <v>19</v>
      </c>
      <c r="J34" s="15" t="s">
        <v>178</v>
      </c>
      <c r="L34" s="19" t="s">
        <v>321</v>
      </c>
      <c r="M34" s="14">
        <f t="shared" ca="1" si="1"/>
        <v>7083023029.3268261</v>
      </c>
      <c r="N34" s="13">
        <f t="shared" ca="1" si="2"/>
        <v>4303287.9252263457</v>
      </c>
    </row>
    <row r="35" spans="2:14" x14ac:dyDescent="0.3">
      <c r="B35" s="5">
        <v>1029</v>
      </c>
      <c r="C35" s="1" t="s">
        <v>322</v>
      </c>
      <c r="D35" s="1" t="s">
        <v>204</v>
      </c>
      <c r="E35" s="1" t="s">
        <v>181</v>
      </c>
      <c r="F35" t="s">
        <v>323</v>
      </c>
      <c r="G35" t="s">
        <v>324</v>
      </c>
      <c r="H35" s="4">
        <v>32770</v>
      </c>
      <c r="I35" s="5">
        <f t="shared" ca="1" si="0"/>
        <v>29</v>
      </c>
      <c r="J35" s="15" t="s">
        <v>184</v>
      </c>
      <c r="L35" s="19" t="s">
        <v>325</v>
      </c>
      <c r="M35" s="14">
        <f t="shared" ca="1" si="1"/>
        <v>7039999558.0130262</v>
      </c>
      <c r="N35" s="13">
        <f t="shared" ca="1" si="2"/>
        <v>7001030.9760258421</v>
      </c>
    </row>
    <row r="36" spans="2:14" x14ac:dyDescent="0.3">
      <c r="B36" s="5">
        <v>1030</v>
      </c>
      <c r="C36" s="1" t="s">
        <v>326</v>
      </c>
      <c r="D36" s="1" t="s">
        <v>327</v>
      </c>
      <c r="E36" s="1" t="s">
        <v>285</v>
      </c>
      <c r="F36" t="s">
        <v>328</v>
      </c>
      <c r="G36" t="s">
        <v>329</v>
      </c>
      <c r="H36" s="4">
        <v>30794</v>
      </c>
      <c r="I36" s="5">
        <f t="shared" ca="1" si="0"/>
        <v>34</v>
      </c>
      <c r="J36" s="15" t="s">
        <v>625</v>
      </c>
      <c r="L36" s="19" t="s">
        <v>330</v>
      </c>
      <c r="M36" s="14">
        <f t="shared" ca="1" si="1"/>
        <v>7083248605.4379997</v>
      </c>
      <c r="N36" s="13">
        <f t="shared" ca="1" si="2"/>
        <v>1225485.277699627</v>
      </c>
    </row>
    <row r="37" spans="2:14" x14ac:dyDescent="0.3">
      <c r="B37" s="5">
        <v>1031</v>
      </c>
      <c r="C37" s="1" t="s">
        <v>425</v>
      </c>
      <c r="D37" s="1" t="s">
        <v>437</v>
      </c>
      <c r="E37" s="1" t="s">
        <v>472</v>
      </c>
      <c r="F37" t="s">
        <v>475</v>
      </c>
      <c r="G37" s="12" t="s">
        <v>324</v>
      </c>
      <c r="H37" s="4">
        <v>28818</v>
      </c>
      <c r="I37" s="5">
        <f t="shared" ref="I37:I44" ca="1" si="3">INT((NOW()-H37)/356.25)</f>
        <v>40</v>
      </c>
      <c r="J37" s="15" t="s">
        <v>184</v>
      </c>
      <c r="L37" s="19">
        <v>31232323</v>
      </c>
      <c r="M37" s="14">
        <f ca="1">RAND()*(7100000000-7000000000)+7000000000</f>
        <v>7093661738.8730974</v>
      </c>
      <c r="N37" s="13">
        <f t="shared" ca="1" si="2"/>
        <v>3085158.107813363</v>
      </c>
    </row>
    <row r="38" spans="2:14" x14ac:dyDescent="0.3">
      <c r="B38" s="5">
        <v>1032</v>
      </c>
      <c r="C38" s="1" t="s">
        <v>426</v>
      </c>
      <c r="D38" s="1" t="s">
        <v>438</v>
      </c>
      <c r="E38" s="1" t="s">
        <v>447</v>
      </c>
      <c r="F38" t="s">
        <v>473</v>
      </c>
      <c r="G38" s="12" t="s">
        <v>329</v>
      </c>
      <c r="H38" s="4">
        <v>26842</v>
      </c>
      <c r="I38" s="5">
        <f t="shared" ca="1" si="3"/>
        <v>45</v>
      </c>
      <c r="J38" s="15" t="s">
        <v>184</v>
      </c>
      <c r="L38" s="19">
        <v>32132323</v>
      </c>
      <c r="M38" s="14">
        <f t="shared" ca="1" si="1"/>
        <v>7056765980.1349936</v>
      </c>
      <c r="N38" s="13">
        <f t="shared" ca="1" si="2"/>
        <v>2362697.1687129494</v>
      </c>
    </row>
    <row r="39" spans="2:14" x14ac:dyDescent="0.3">
      <c r="B39" s="5">
        <v>1033</v>
      </c>
      <c r="C39" s="1" t="s">
        <v>427</v>
      </c>
      <c r="D39" s="1" t="s">
        <v>462</v>
      </c>
      <c r="E39" s="1" t="s">
        <v>448</v>
      </c>
      <c r="F39" t="s">
        <v>476</v>
      </c>
      <c r="G39" s="12" t="s">
        <v>324</v>
      </c>
      <c r="H39" s="4">
        <v>24866</v>
      </c>
      <c r="I39" s="5">
        <f t="shared" ca="1" si="3"/>
        <v>51</v>
      </c>
      <c r="J39" s="15" t="s">
        <v>178</v>
      </c>
      <c r="L39" s="19">
        <v>32312323</v>
      </c>
      <c r="M39" s="14">
        <f t="shared" ca="1" si="1"/>
        <v>7025275884.7006102</v>
      </c>
      <c r="N39" s="13">
        <f t="shared" ca="1" si="2"/>
        <v>6498649.5837468971</v>
      </c>
    </row>
    <row r="40" spans="2:14" x14ac:dyDescent="0.3">
      <c r="B40" s="5">
        <v>1034</v>
      </c>
      <c r="C40" s="1" t="s">
        <v>428</v>
      </c>
      <c r="D40" s="1" t="s">
        <v>440</v>
      </c>
      <c r="E40" s="1" t="s">
        <v>449</v>
      </c>
      <c r="F40" t="s">
        <v>474</v>
      </c>
      <c r="G40" s="12" t="s">
        <v>329</v>
      </c>
      <c r="H40" s="4">
        <v>22890</v>
      </c>
      <c r="I40" s="5">
        <f t="shared" ca="1" si="3"/>
        <v>56</v>
      </c>
      <c r="J40" s="15" t="s">
        <v>178</v>
      </c>
      <c r="L40" s="19">
        <v>32321323</v>
      </c>
      <c r="M40" s="14">
        <f t="shared" ca="1" si="1"/>
        <v>7062486180.0111389</v>
      </c>
      <c r="N40" s="13">
        <f t="shared" ca="1" si="2"/>
        <v>2145535.8933092291</v>
      </c>
    </row>
    <row r="41" spans="2:14" x14ac:dyDescent="0.3">
      <c r="B41" s="5">
        <v>1035</v>
      </c>
      <c r="C41" s="1" t="s">
        <v>429</v>
      </c>
      <c r="D41" s="1" t="s">
        <v>441</v>
      </c>
      <c r="E41" s="1" t="s">
        <v>450</v>
      </c>
      <c r="F41" t="s">
        <v>471</v>
      </c>
      <c r="G41" s="12" t="s">
        <v>324</v>
      </c>
      <c r="H41" s="4">
        <v>20914</v>
      </c>
      <c r="I41" s="5">
        <f t="shared" ca="1" si="3"/>
        <v>62</v>
      </c>
      <c r="J41" s="15" t="s">
        <v>178</v>
      </c>
      <c r="L41" s="19">
        <v>32323123</v>
      </c>
      <c r="M41" s="14">
        <f t="shared" ca="1" si="1"/>
        <v>7092624375.8159103</v>
      </c>
      <c r="N41" s="13">
        <f t="shared" ca="1" si="2"/>
        <v>6941474.3203328913</v>
      </c>
    </row>
    <row r="42" spans="2:14" x14ac:dyDescent="0.3">
      <c r="B42" s="5">
        <v>1036</v>
      </c>
      <c r="C42" s="1" t="s">
        <v>436</v>
      </c>
      <c r="D42" s="1" t="s">
        <v>442</v>
      </c>
      <c r="E42" s="1" t="s">
        <v>451</v>
      </c>
      <c r="F42" t="s">
        <v>470</v>
      </c>
      <c r="G42" s="12" t="s">
        <v>329</v>
      </c>
      <c r="H42" s="4">
        <v>18938</v>
      </c>
      <c r="I42" s="5">
        <f t="shared" ca="1" si="3"/>
        <v>68</v>
      </c>
      <c r="J42" s="15" t="s">
        <v>178</v>
      </c>
      <c r="L42" s="19">
        <v>32323213</v>
      </c>
      <c r="M42" s="14">
        <f t="shared" ca="1" si="1"/>
        <v>7075214373.003294</v>
      </c>
      <c r="N42" s="13">
        <f t="shared" ca="1" si="2"/>
        <v>4701502.8909922224</v>
      </c>
    </row>
    <row r="43" spans="2:14" x14ac:dyDescent="0.3">
      <c r="B43" s="5">
        <v>1037</v>
      </c>
      <c r="C43" s="1" t="s">
        <v>430</v>
      </c>
      <c r="D43" s="1" t="s">
        <v>443</v>
      </c>
      <c r="E43" s="1" t="s">
        <v>452</v>
      </c>
      <c r="F43" t="s">
        <v>467</v>
      </c>
      <c r="G43" s="12" t="s">
        <v>324</v>
      </c>
      <c r="H43" s="4">
        <v>16962</v>
      </c>
      <c r="I43" s="5">
        <f t="shared" ca="1" si="3"/>
        <v>73</v>
      </c>
      <c r="J43" s="15" t="s">
        <v>184</v>
      </c>
      <c r="L43" s="19">
        <v>32323231</v>
      </c>
      <c r="M43" s="14">
        <f t="shared" ca="1" si="1"/>
        <v>7055723388.4965057</v>
      </c>
      <c r="N43" s="13">
        <f t="shared" ca="1" si="2"/>
        <v>6920386.3873640299</v>
      </c>
    </row>
    <row r="44" spans="2:14" x14ac:dyDescent="0.3">
      <c r="B44" s="5">
        <v>1038</v>
      </c>
      <c r="C44" s="1" t="s">
        <v>431</v>
      </c>
      <c r="D44" s="1" t="s">
        <v>444</v>
      </c>
      <c r="E44" s="1" t="s">
        <v>453</v>
      </c>
      <c r="F44" t="s">
        <v>468</v>
      </c>
      <c r="G44" s="12" t="s">
        <v>329</v>
      </c>
      <c r="H44" s="4">
        <v>14986</v>
      </c>
      <c r="I44" s="5">
        <f t="shared" ca="1" si="3"/>
        <v>79</v>
      </c>
      <c r="J44" s="15" t="s">
        <v>178</v>
      </c>
      <c r="L44" s="19">
        <v>30232323</v>
      </c>
      <c r="M44" s="14">
        <f t="shared" ca="1" si="1"/>
        <v>7064163749.2924719</v>
      </c>
      <c r="N44" s="13">
        <f t="shared" ca="1" si="2"/>
        <v>2592151.1844569249</v>
      </c>
    </row>
    <row r="45" spans="2:14" x14ac:dyDescent="0.3">
      <c r="B45" s="5">
        <v>1039</v>
      </c>
      <c r="C45" s="1" t="s">
        <v>432</v>
      </c>
      <c r="D45" s="1" t="s">
        <v>439</v>
      </c>
      <c r="E45" s="1" t="s">
        <v>455</v>
      </c>
      <c r="F45" t="s">
        <v>469</v>
      </c>
      <c r="G45" s="12" t="s">
        <v>324</v>
      </c>
      <c r="H45" s="4">
        <v>13010</v>
      </c>
      <c r="I45" s="5">
        <f ca="1">INT((NOW()-H45)/356.25)</f>
        <v>84</v>
      </c>
      <c r="J45" s="15" t="s">
        <v>178</v>
      </c>
      <c r="L45" s="19">
        <v>32302323</v>
      </c>
      <c r="M45" s="14">
        <f t="shared" ca="1" si="1"/>
        <v>7079496815.4723425</v>
      </c>
      <c r="N45" s="13">
        <f t="shared" ca="1" si="2"/>
        <v>2621484.6859971555</v>
      </c>
    </row>
    <row r="46" spans="2:14" x14ac:dyDescent="0.3">
      <c r="B46" s="5">
        <v>1040</v>
      </c>
      <c r="C46" s="1" t="s">
        <v>433</v>
      </c>
      <c r="D46" s="1" t="s">
        <v>437</v>
      </c>
      <c r="E46" s="1" t="s">
        <v>456</v>
      </c>
      <c r="F46" t="s">
        <v>457</v>
      </c>
      <c r="G46" s="12" t="s">
        <v>329</v>
      </c>
      <c r="H46" s="4">
        <v>11034</v>
      </c>
      <c r="I46" s="5">
        <f ca="1">INT((NOW()-H46)/356.25)</f>
        <v>90</v>
      </c>
      <c r="J46" s="15" t="s">
        <v>178</v>
      </c>
      <c r="L46" s="19">
        <v>32320323</v>
      </c>
      <c r="M46" s="14">
        <f t="shared" ca="1" si="1"/>
        <v>7034446397.3080664</v>
      </c>
      <c r="N46" s="13">
        <f t="shared" ca="1" si="2"/>
        <v>2341344.0694505228</v>
      </c>
    </row>
    <row r="47" spans="2:14" x14ac:dyDescent="0.3">
      <c r="B47" s="5">
        <v>1041</v>
      </c>
      <c r="C47" s="1" t="s">
        <v>435</v>
      </c>
      <c r="D47" s="1" t="s">
        <v>437</v>
      </c>
      <c r="E47" s="1" t="s">
        <v>463</v>
      </c>
      <c r="F47" t="s">
        <v>460</v>
      </c>
      <c r="G47" s="12" t="s">
        <v>324</v>
      </c>
      <c r="H47" s="4">
        <v>9058</v>
      </c>
      <c r="I47" s="5">
        <f ca="1">INT((NOW()-H47)/356.25)</f>
        <v>95</v>
      </c>
      <c r="J47" s="15" t="s">
        <v>178</v>
      </c>
      <c r="L47" s="19">
        <v>32323203</v>
      </c>
      <c r="M47" s="14">
        <f t="shared" ca="1" si="1"/>
        <v>7001852529.8680925</v>
      </c>
      <c r="N47" s="13">
        <f t="shared" ca="1" si="2"/>
        <v>1962963.4611990452</v>
      </c>
    </row>
    <row r="48" spans="2:14" x14ac:dyDescent="0.3">
      <c r="B48" s="5">
        <v>1042</v>
      </c>
      <c r="C48" s="1" t="s">
        <v>434</v>
      </c>
      <c r="D48" s="1" t="s">
        <v>439</v>
      </c>
      <c r="E48" s="1" t="s">
        <v>464</v>
      </c>
      <c r="F48" t="s">
        <v>465</v>
      </c>
      <c r="G48" s="12" t="s">
        <v>329</v>
      </c>
      <c r="H48" s="4">
        <v>32285</v>
      </c>
      <c r="I48" s="5">
        <f ca="1">INT((NOW()-H48)/356.25)</f>
        <v>30</v>
      </c>
      <c r="J48" s="15" t="s">
        <v>178</v>
      </c>
      <c r="L48" s="19">
        <v>32323235</v>
      </c>
      <c r="M48" s="14">
        <f t="shared" ca="1" si="1"/>
        <v>7018950648.6941729</v>
      </c>
      <c r="N48" s="13">
        <f t="shared" ca="1" si="2"/>
        <v>3519396.2030930994</v>
      </c>
    </row>
    <row r="49" spans="2:14" x14ac:dyDescent="0.3">
      <c r="B49" s="5">
        <v>1043</v>
      </c>
      <c r="C49" s="1" t="s">
        <v>381</v>
      </c>
      <c r="D49" s="1" t="s">
        <v>399</v>
      </c>
      <c r="E49" s="1" t="s">
        <v>402</v>
      </c>
      <c r="F49" t="s">
        <v>403</v>
      </c>
      <c r="G49" s="12" t="s">
        <v>324</v>
      </c>
      <c r="H49" s="4">
        <v>36152</v>
      </c>
      <c r="I49" s="5">
        <f t="shared" ref="I49:I66" ca="1" si="4">INT((NOW()-H49)/356.25)</f>
        <v>19</v>
      </c>
      <c r="J49" s="15" t="s">
        <v>184</v>
      </c>
      <c r="L49" s="19">
        <v>2332309</v>
      </c>
      <c r="M49" s="14">
        <f t="shared" ca="1" si="1"/>
        <v>7018904628.4128675</v>
      </c>
      <c r="N49" s="13">
        <f t="shared" ca="1" si="2"/>
        <v>4722597.5597364334</v>
      </c>
    </row>
    <row r="50" spans="2:14" x14ac:dyDescent="0.3">
      <c r="B50" s="5">
        <v>1044</v>
      </c>
      <c r="C50" s="1" t="s">
        <v>378</v>
      </c>
      <c r="D50" s="1" t="s">
        <v>419</v>
      </c>
      <c r="E50" s="1" t="s">
        <v>420</v>
      </c>
      <c r="F50" t="s">
        <v>421</v>
      </c>
      <c r="G50" s="12" t="s">
        <v>329</v>
      </c>
      <c r="H50" s="4">
        <v>32715</v>
      </c>
      <c r="I50" s="5">
        <f t="shared" ca="1" si="4"/>
        <v>29</v>
      </c>
      <c r="J50" s="15" t="s">
        <v>178</v>
      </c>
      <c r="L50" s="19">
        <v>2332387</v>
      </c>
      <c r="M50" s="14">
        <f t="shared" ca="1" si="1"/>
        <v>7086539503.7997026</v>
      </c>
      <c r="N50" s="13">
        <f t="shared" ca="1" si="2"/>
        <v>801329.64913706947</v>
      </c>
    </row>
    <row r="51" spans="2:14" x14ac:dyDescent="0.3">
      <c r="B51" s="5">
        <v>1045</v>
      </c>
      <c r="C51" s="1" t="s">
        <v>377</v>
      </c>
      <c r="D51" s="1" t="s">
        <v>395</v>
      </c>
      <c r="E51" s="1" t="s">
        <v>402</v>
      </c>
      <c r="F51" t="s">
        <v>408</v>
      </c>
      <c r="G51" s="12" t="s">
        <v>324</v>
      </c>
      <c r="H51" s="4">
        <v>36218</v>
      </c>
      <c r="I51" s="5">
        <f t="shared" ca="1" si="4"/>
        <v>19</v>
      </c>
      <c r="J51" s="15" t="s">
        <v>178</v>
      </c>
      <c r="L51" s="19">
        <v>2330232</v>
      </c>
      <c r="M51" s="14">
        <f t="shared" ca="1" si="1"/>
        <v>7063746190.7697105</v>
      </c>
      <c r="N51" s="13">
        <f t="shared" ca="1" si="2"/>
        <v>2958281.4260820393</v>
      </c>
    </row>
    <row r="52" spans="2:14" x14ac:dyDescent="0.3">
      <c r="B52" s="5">
        <v>1046</v>
      </c>
      <c r="C52" s="1" t="s">
        <v>379</v>
      </c>
      <c r="D52" s="1" t="s">
        <v>396</v>
      </c>
      <c r="E52" s="1" t="s">
        <v>411</v>
      </c>
      <c r="F52" t="s">
        <v>412</v>
      </c>
      <c r="G52" s="12" t="s">
        <v>329</v>
      </c>
      <c r="H52" s="4">
        <v>26842</v>
      </c>
      <c r="I52" s="5">
        <f t="shared" ca="1" si="4"/>
        <v>45</v>
      </c>
      <c r="J52" s="15" t="s">
        <v>184</v>
      </c>
      <c r="L52" s="19">
        <v>2343232</v>
      </c>
      <c r="M52" s="14">
        <f t="shared" ca="1" si="1"/>
        <v>7037880915.3408918</v>
      </c>
      <c r="N52" s="13">
        <f t="shared" ca="1" si="2"/>
        <v>782920.56249978766</v>
      </c>
    </row>
    <row r="53" spans="2:14" x14ac:dyDescent="0.3">
      <c r="B53" s="5">
        <v>1047</v>
      </c>
      <c r="C53" s="1" t="s">
        <v>382</v>
      </c>
      <c r="D53" s="1" t="s">
        <v>397</v>
      </c>
      <c r="E53" s="1" t="s">
        <v>406</v>
      </c>
      <c r="F53" t="s">
        <v>413</v>
      </c>
      <c r="G53" s="12" t="s">
        <v>324</v>
      </c>
      <c r="H53" s="4">
        <v>24866</v>
      </c>
      <c r="I53" s="5">
        <f t="shared" ca="1" si="4"/>
        <v>51</v>
      </c>
      <c r="J53" s="15" t="s">
        <v>178</v>
      </c>
      <c r="L53" s="19">
        <v>2331232</v>
      </c>
      <c r="M53" s="14">
        <f t="shared" ca="1" si="1"/>
        <v>7097303414.8397446</v>
      </c>
      <c r="N53" s="13">
        <f t="shared" ca="1" si="2"/>
        <v>385413.11641388573</v>
      </c>
    </row>
    <row r="54" spans="2:14" x14ac:dyDescent="0.3">
      <c r="B54" s="5">
        <v>1048</v>
      </c>
      <c r="C54" s="1" t="s">
        <v>380</v>
      </c>
      <c r="D54" s="1" t="s">
        <v>398</v>
      </c>
      <c r="E54" s="1" t="s">
        <v>411</v>
      </c>
      <c r="F54" t="s">
        <v>412</v>
      </c>
      <c r="G54" s="12" t="s">
        <v>329</v>
      </c>
      <c r="H54" s="4">
        <v>22890</v>
      </c>
      <c r="I54" s="5">
        <f t="shared" ca="1" si="4"/>
        <v>56</v>
      </c>
      <c r="J54" s="15" t="s">
        <v>178</v>
      </c>
      <c r="L54" s="19">
        <v>2338232</v>
      </c>
      <c r="M54" s="14">
        <f t="shared" ca="1" si="1"/>
        <v>7050479414.2061815</v>
      </c>
      <c r="N54" s="13">
        <f t="shared" ca="1" si="2"/>
        <v>3948976.045466579</v>
      </c>
    </row>
    <row r="55" spans="2:14" x14ac:dyDescent="0.3">
      <c r="B55" s="5">
        <v>1049</v>
      </c>
      <c r="C55" s="1" t="s">
        <v>383</v>
      </c>
      <c r="D55" s="1" t="s">
        <v>397</v>
      </c>
      <c r="E55" s="1" t="s">
        <v>406</v>
      </c>
      <c r="F55" t="s">
        <v>413</v>
      </c>
      <c r="G55" s="12" t="s">
        <v>324</v>
      </c>
      <c r="H55" s="4">
        <v>20914</v>
      </c>
      <c r="I55" s="5">
        <f t="shared" ca="1" si="4"/>
        <v>62</v>
      </c>
      <c r="J55" s="15" t="s">
        <v>178</v>
      </c>
      <c r="L55" s="19">
        <v>2332342</v>
      </c>
      <c r="M55" s="14">
        <f t="shared" ca="1" si="1"/>
        <v>7044506205.3953371</v>
      </c>
      <c r="N55" s="13">
        <f t="shared" ca="1" si="2"/>
        <v>3725859.0015560621</v>
      </c>
    </row>
    <row r="56" spans="2:14" x14ac:dyDescent="0.3">
      <c r="B56" s="5">
        <v>1050</v>
      </c>
      <c r="C56" s="1" t="s">
        <v>384</v>
      </c>
      <c r="D56" s="1" t="s">
        <v>397</v>
      </c>
      <c r="E56" s="1" t="s">
        <v>406</v>
      </c>
      <c r="F56" t="s">
        <v>413</v>
      </c>
      <c r="G56" s="12" t="s">
        <v>329</v>
      </c>
      <c r="H56" s="4">
        <v>32770</v>
      </c>
      <c r="I56" s="5">
        <f t="shared" ca="1" si="4"/>
        <v>29</v>
      </c>
      <c r="J56" s="15" t="s">
        <v>178</v>
      </c>
      <c r="L56" s="19">
        <v>2332324</v>
      </c>
      <c r="M56" s="14">
        <f t="shared" ca="1" si="1"/>
        <v>7049643077.8575935</v>
      </c>
      <c r="N56" s="13">
        <f t="shared" ca="1" si="2"/>
        <v>3216080.7242596271</v>
      </c>
    </row>
    <row r="57" spans="2:14" x14ac:dyDescent="0.3">
      <c r="B57" s="5">
        <v>1051</v>
      </c>
      <c r="C57" s="1" t="s">
        <v>385</v>
      </c>
      <c r="D57" s="1" t="s">
        <v>395</v>
      </c>
      <c r="E57" s="1" t="s">
        <v>402</v>
      </c>
      <c r="F57" t="s">
        <v>408</v>
      </c>
      <c r="G57" s="12" t="s">
        <v>324</v>
      </c>
      <c r="H57" s="4">
        <v>30794</v>
      </c>
      <c r="I57" s="5">
        <f t="shared" ca="1" si="4"/>
        <v>34</v>
      </c>
      <c r="J57" s="15" t="s">
        <v>184</v>
      </c>
      <c r="L57" s="19">
        <v>2332322</v>
      </c>
      <c r="M57" s="14">
        <f t="shared" ca="1" si="1"/>
        <v>7066074862.1919756</v>
      </c>
      <c r="N57" s="13">
        <f t="shared" ca="1" si="2"/>
        <v>662108.26009904686</v>
      </c>
    </row>
    <row r="58" spans="2:14" x14ac:dyDescent="0.3">
      <c r="B58" s="5">
        <v>1052</v>
      </c>
      <c r="C58" s="1" t="s">
        <v>386</v>
      </c>
      <c r="D58" s="1" t="s">
        <v>399</v>
      </c>
      <c r="E58" s="1" t="s">
        <v>402</v>
      </c>
      <c r="F58" t="s">
        <v>403</v>
      </c>
      <c r="G58" s="12" t="s">
        <v>329</v>
      </c>
      <c r="H58" s="4">
        <v>28818</v>
      </c>
      <c r="I58" s="5">
        <f t="shared" ca="1" si="4"/>
        <v>40</v>
      </c>
      <c r="J58" s="15" t="s">
        <v>178</v>
      </c>
      <c r="L58" s="19">
        <v>2133232</v>
      </c>
      <c r="M58" s="14">
        <f t="shared" ca="1" si="1"/>
        <v>7041912287.1749496</v>
      </c>
      <c r="N58" s="13">
        <f t="shared" ca="1" si="2"/>
        <v>4195488.8482400049</v>
      </c>
    </row>
    <row r="59" spans="2:14" x14ac:dyDescent="0.3">
      <c r="B59" s="5">
        <v>1053</v>
      </c>
      <c r="C59" s="1" t="s">
        <v>387</v>
      </c>
      <c r="D59" s="1" t="s">
        <v>399</v>
      </c>
      <c r="E59" s="1" t="s">
        <v>402</v>
      </c>
      <c r="F59" t="s">
        <v>403</v>
      </c>
      <c r="G59" s="12" t="s">
        <v>324</v>
      </c>
      <c r="H59" s="4">
        <v>26842</v>
      </c>
      <c r="I59" s="5">
        <f t="shared" ca="1" si="4"/>
        <v>45</v>
      </c>
      <c r="J59" s="15" t="s">
        <v>178</v>
      </c>
      <c r="L59" s="19">
        <v>2303232</v>
      </c>
      <c r="M59" s="14">
        <f t="shared" ca="1" si="1"/>
        <v>7064192357.4599009</v>
      </c>
      <c r="N59" s="13">
        <f t="shared" ca="1" si="2"/>
        <v>7160435.7280166568</v>
      </c>
    </row>
    <row r="60" spans="2:14" x14ac:dyDescent="0.3">
      <c r="B60" s="5">
        <v>1054</v>
      </c>
      <c r="C60" s="1" t="s">
        <v>388</v>
      </c>
      <c r="D60" s="1" t="s">
        <v>404</v>
      </c>
      <c r="E60" s="1" t="s">
        <v>402</v>
      </c>
      <c r="F60" t="s">
        <v>405</v>
      </c>
      <c r="G60" s="12" t="s">
        <v>329</v>
      </c>
      <c r="H60" s="4">
        <v>24866</v>
      </c>
      <c r="I60" s="5">
        <f t="shared" ca="1" si="4"/>
        <v>51</v>
      </c>
      <c r="J60" s="15" t="s">
        <v>184</v>
      </c>
      <c r="L60" s="19">
        <v>2332329</v>
      </c>
      <c r="M60" s="14">
        <f t="shared" ca="1" si="1"/>
        <v>7081684999.6479044</v>
      </c>
      <c r="N60" s="13">
        <f t="shared" ca="1" si="2"/>
        <v>5633922.2551668976</v>
      </c>
    </row>
    <row r="61" spans="2:14" x14ac:dyDescent="0.3">
      <c r="B61" s="5">
        <v>1055</v>
      </c>
      <c r="C61" s="1" t="s">
        <v>389</v>
      </c>
      <c r="D61" s="1" t="s">
        <v>414</v>
      </c>
      <c r="E61" s="1" t="s">
        <v>415</v>
      </c>
      <c r="F61" t="s">
        <v>416</v>
      </c>
      <c r="G61" s="12" t="s">
        <v>324</v>
      </c>
      <c r="H61" s="4">
        <v>22890</v>
      </c>
      <c r="I61" s="5">
        <f t="shared" ca="1" si="4"/>
        <v>56</v>
      </c>
      <c r="J61" s="15" t="s">
        <v>184</v>
      </c>
      <c r="L61" s="19">
        <v>2332329</v>
      </c>
      <c r="M61" s="14">
        <f t="shared" ca="1" si="1"/>
        <v>7014901932.1749811</v>
      </c>
      <c r="N61" s="13">
        <f t="shared" ca="1" si="2"/>
        <v>7544086.8694744743</v>
      </c>
    </row>
    <row r="62" spans="2:14" x14ac:dyDescent="0.3">
      <c r="B62" s="5">
        <v>1056</v>
      </c>
      <c r="C62" s="1" t="s">
        <v>390</v>
      </c>
      <c r="D62" s="1" t="s">
        <v>417</v>
      </c>
      <c r="E62" s="1" t="s">
        <v>418</v>
      </c>
      <c r="F62" t="s">
        <v>403</v>
      </c>
      <c r="G62" s="12" t="s">
        <v>329</v>
      </c>
      <c r="H62" s="4">
        <v>20914</v>
      </c>
      <c r="I62" s="5">
        <f t="shared" ca="1" si="4"/>
        <v>62</v>
      </c>
      <c r="J62" s="15" t="s">
        <v>178</v>
      </c>
      <c r="L62" s="19">
        <v>2332324</v>
      </c>
      <c r="M62" s="14">
        <f t="shared" ca="1" si="1"/>
        <v>7018376914.5170107</v>
      </c>
      <c r="N62" s="13">
        <f t="shared" ca="1" si="2"/>
        <v>3222042.858878633</v>
      </c>
    </row>
    <row r="63" spans="2:14" x14ac:dyDescent="0.3">
      <c r="B63" s="5">
        <v>1057</v>
      </c>
      <c r="C63" s="1" t="s">
        <v>391</v>
      </c>
      <c r="D63" s="1" t="s">
        <v>400</v>
      </c>
      <c r="E63" s="1" t="s">
        <v>410</v>
      </c>
      <c r="F63" t="s">
        <v>409</v>
      </c>
      <c r="G63" s="12" t="s">
        <v>324</v>
      </c>
      <c r="H63" s="4">
        <v>32770</v>
      </c>
      <c r="I63" s="5">
        <f t="shared" ca="1" si="4"/>
        <v>29</v>
      </c>
      <c r="J63" s="15" t="s">
        <v>184</v>
      </c>
      <c r="L63" s="19">
        <v>2933232</v>
      </c>
      <c r="M63" s="14">
        <f t="shared" ca="1" si="1"/>
        <v>7044919696.3023911</v>
      </c>
      <c r="N63" s="13">
        <f t="shared" ca="1" si="2"/>
        <v>909556.85121739935</v>
      </c>
    </row>
    <row r="64" spans="2:14" x14ac:dyDescent="0.3">
      <c r="B64" s="5">
        <v>1058</v>
      </c>
      <c r="C64" s="1" t="s">
        <v>392</v>
      </c>
      <c r="D64" s="1" t="s">
        <v>400</v>
      </c>
      <c r="E64" s="1" t="s">
        <v>410</v>
      </c>
      <c r="F64" t="s">
        <v>409</v>
      </c>
      <c r="G64" s="12" t="s">
        <v>329</v>
      </c>
      <c r="H64" s="4">
        <v>30794</v>
      </c>
      <c r="I64" s="5">
        <f t="shared" ca="1" si="4"/>
        <v>34</v>
      </c>
      <c r="J64" s="15" t="s">
        <v>184</v>
      </c>
      <c r="L64" s="19">
        <v>2332732</v>
      </c>
      <c r="M64" s="14">
        <f t="shared" ca="1" si="1"/>
        <v>7007449652.5658665</v>
      </c>
      <c r="N64" s="13">
        <f t="shared" ca="1" si="2"/>
        <v>2814303.4102664739</v>
      </c>
    </row>
    <row r="65" spans="2:14" x14ac:dyDescent="0.3">
      <c r="B65" s="5">
        <v>1059</v>
      </c>
      <c r="C65" s="1" t="s">
        <v>393</v>
      </c>
      <c r="D65" s="1" t="s">
        <v>401</v>
      </c>
      <c r="E65" s="1" t="s">
        <v>406</v>
      </c>
      <c r="F65" t="s">
        <v>407</v>
      </c>
      <c r="G65" s="12" t="s">
        <v>324</v>
      </c>
      <c r="H65" s="4">
        <v>28818</v>
      </c>
      <c r="I65" s="5">
        <f t="shared" ca="1" si="4"/>
        <v>40</v>
      </c>
      <c r="J65" s="15" t="s">
        <v>178</v>
      </c>
      <c r="L65" s="19">
        <v>2332325</v>
      </c>
      <c r="M65" s="14">
        <f t="shared" ca="1" si="1"/>
        <v>7094939547.0490618</v>
      </c>
      <c r="N65" s="13">
        <f t="shared" ca="1" si="2"/>
        <v>4011219.6007570429</v>
      </c>
    </row>
    <row r="66" spans="2:14" x14ac:dyDescent="0.3">
      <c r="B66" s="5">
        <v>1060</v>
      </c>
      <c r="C66" s="1" t="s">
        <v>394</v>
      </c>
      <c r="D66" s="1" t="s">
        <v>401</v>
      </c>
      <c r="E66" s="1" t="s">
        <v>406</v>
      </c>
      <c r="F66" t="s">
        <v>407</v>
      </c>
      <c r="G66" s="12" t="s">
        <v>329</v>
      </c>
      <c r="H66" s="4">
        <v>26842</v>
      </c>
      <c r="I66" s="5">
        <f t="shared" ca="1" si="4"/>
        <v>45</v>
      </c>
      <c r="J66" s="15" t="s">
        <v>184</v>
      </c>
      <c r="L66" s="19">
        <v>2332232</v>
      </c>
      <c r="M66" s="14">
        <f t="shared" ca="1" si="1"/>
        <v>7068877748.7420464</v>
      </c>
      <c r="N66" s="13">
        <f t="shared" ca="1" si="2"/>
        <v>5439729.4249020191</v>
      </c>
    </row>
    <row r="67" spans="2:14" x14ac:dyDescent="0.3">
      <c r="B67" s="5">
        <v>1061</v>
      </c>
      <c r="C67" s="1" t="s">
        <v>481</v>
      </c>
      <c r="D67" s="1" t="s">
        <v>437</v>
      </c>
      <c r="E67" s="1" t="s">
        <v>499</v>
      </c>
      <c r="F67" t="s">
        <v>500</v>
      </c>
      <c r="G67" s="12" t="s">
        <v>324</v>
      </c>
      <c r="H67" s="4">
        <v>24866</v>
      </c>
      <c r="I67" s="5">
        <f t="shared" ref="I67:I84" ca="1" si="5">INT((NOW()-H67)/356.25)</f>
        <v>51</v>
      </c>
      <c r="J67" s="15" t="s">
        <v>178</v>
      </c>
      <c r="L67" s="19">
        <v>1100010</v>
      </c>
      <c r="M67" s="14">
        <f t="shared" ca="1" si="1"/>
        <v>7012221046.2971544</v>
      </c>
      <c r="N67" s="13">
        <f t="shared" ca="1" si="2"/>
        <v>1743342.0501289219</v>
      </c>
    </row>
    <row r="68" spans="2:14" x14ac:dyDescent="0.3">
      <c r="B68" s="5">
        <v>1062</v>
      </c>
      <c r="C68" s="1" t="s">
        <v>489</v>
      </c>
      <c r="D68" s="1" t="s">
        <v>437</v>
      </c>
      <c r="E68" s="1" t="s">
        <v>501</v>
      </c>
      <c r="F68" t="s">
        <v>502</v>
      </c>
      <c r="G68" s="12" t="s">
        <v>329</v>
      </c>
      <c r="H68" s="4">
        <v>22890</v>
      </c>
      <c r="I68" s="5">
        <f t="shared" ca="1" si="5"/>
        <v>56</v>
      </c>
      <c r="J68" s="15" t="s">
        <v>178</v>
      </c>
      <c r="L68" s="19">
        <v>1100011</v>
      </c>
      <c r="M68" s="14">
        <f t="shared" ca="1" si="1"/>
        <v>7040705610.6156502</v>
      </c>
      <c r="N68" s="13">
        <f t="shared" ca="1" si="2"/>
        <v>3681469.2679824713</v>
      </c>
    </row>
    <row r="69" spans="2:14" x14ac:dyDescent="0.3">
      <c r="B69" s="5">
        <v>1063</v>
      </c>
      <c r="C69" s="1" t="s">
        <v>488</v>
      </c>
      <c r="D69" s="1" t="s">
        <v>503</v>
      </c>
      <c r="E69" s="1" t="s">
        <v>504</v>
      </c>
      <c r="F69" t="s">
        <v>505</v>
      </c>
      <c r="G69" s="12" t="s">
        <v>324</v>
      </c>
      <c r="H69" s="4">
        <v>20914</v>
      </c>
      <c r="I69" s="5">
        <f t="shared" ca="1" si="5"/>
        <v>62</v>
      </c>
      <c r="J69" s="15" t="s">
        <v>178</v>
      </c>
      <c r="L69" s="19">
        <v>1100012</v>
      </c>
      <c r="M69" s="14">
        <f t="shared" ca="1" si="1"/>
        <v>7076539910.7371454</v>
      </c>
      <c r="N69" s="13">
        <f t="shared" ca="1" si="2"/>
        <v>3905280.0544365742</v>
      </c>
    </row>
    <row r="70" spans="2:14" x14ac:dyDescent="0.3">
      <c r="B70" s="5">
        <v>1064</v>
      </c>
      <c r="C70" s="1" t="s">
        <v>482</v>
      </c>
      <c r="D70" s="1" t="s">
        <v>510</v>
      </c>
      <c r="E70" s="1" t="s">
        <v>507</v>
      </c>
      <c r="F70" t="s">
        <v>506</v>
      </c>
      <c r="G70" s="12" t="s">
        <v>329</v>
      </c>
      <c r="H70" s="4">
        <v>32770</v>
      </c>
      <c r="I70" s="5">
        <f t="shared" ca="1" si="5"/>
        <v>29</v>
      </c>
      <c r="J70" s="15" t="s">
        <v>178</v>
      </c>
      <c r="L70" s="19">
        <v>1100013</v>
      </c>
      <c r="M70" s="14">
        <f t="shared" ca="1" si="1"/>
        <v>7075648608.4201231</v>
      </c>
      <c r="N70" s="13">
        <f t="shared" ca="1" si="2"/>
        <v>6037709.7463360913</v>
      </c>
    </row>
    <row r="71" spans="2:14" x14ac:dyDescent="0.3">
      <c r="B71" s="5">
        <v>1065</v>
      </c>
      <c r="C71" s="1" t="s">
        <v>490</v>
      </c>
      <c r="D71" s="1" t="s">
        <v>437</v>
      </c>
      <c r="E71" s="1" t="s">
        <v>516</v>
      </c>
      <c r="F71" t="s">
        <v>515</v>
      </c>
      <c r="G71" s="12" t="s">
        <v>324</v>
      </c>
      <c r="H71" s="4">
        <v>30794</v>
      </c>
      <c r="I71" s="5">
        <f t="shared" ca="1" si="5"/>
        <v>34</v>
      </c>
      <c r="J71" s="15" t="s">
        <v>178</v>
      </c>
      <c r="L71" s="19">
        <v>1100014</v>
      </c>
      <c r="M71" s="14">
        <f t="shared" ca="1" si="1"/>
        <v>7045275191.6384697</v>
      </c>
      <c r="N71" s="13">
        <f t="shared" ca="1" si="2"/>
        <v>4184551.6590139717</v>
      </c>
    </row>
    <row r="72" spans="2:14" x14ac:dyDescent="0.3">
      <c r="B72" s="5">
        <v>1066</v>
      </c>
      <c r="C72" s="1" t="s">
        <v>483</v>
      </c>
      <c r="D72" s="1" t="s">
        <v>437</v>
      </c>
      <c r="E72" s="1" t="s">
        <v>513</v>
      </c>
      <c r="F72" t="s">
        <v>517</v>
      </c>
      <c r="G72" s="12" t="s">
        <v>329</v>
      </c>
      <c r="H72" s="4">
        <v>28818</v>
      </c>
      <c r="I72" s="5">
        <f t="shared" ca="1" si="5"/>
        <v>40</v>
      </c>
      <c r="J72" s="15" t="s">
        <v>178</v>
      </c>
      <c r="L72" s="19">
        <v>1100015</v>
      </c>
      <c r="M72" s="14">
        <f t="shared" ref="M72:M118" ca="1" si="6">RAND()*(7100000000-7000000000)+7000000000</f>
        <v>7032945672.6854458</v>
      </c>
      <c r="N72" s="13">
        <f t="shared" ref="N72:N118" ca="1" si="7">RAND()*(1911111-9999999)+7777777</f>
        <v>5370620.9231777024</v>
      </c>
    </row>
    <row r="73" spans="2:14" x14ac:dyDescent="0.3">
      <c r="B73" s="5">
        <v>1067</v>
      </c>
      <c r="C73" s="1" t="s">
        <v>491</v>
      </c>
      <c r="D73" s="1" t="s">
        <v>518</v>
      </c>
      <c r="E73" s="1" t="s">
        <v>513</v>
      </c>
      <c r="F73" t="s">
        <v>517</v>
      </c>
      <c r="G73" s="12" t="s">
        <v>324</v>
      </c>
      <c r="H73" s="4">
        <v>26842</v>
      </c>
      <c r="I73" s="5">
        <f t="shared" ca="1" si="5"/>
        <v>45</v>
      </c>
      <c r="J73" s="15" t="s">
        <v>178</v>
      </c>
      <c r="L73" s="19">
        <v>1100016</v>
      </c>
      <c r="M73" s="14">
        <f t="shared" ca="1" si="6"/>
        <v>7007047612.623806</v>
      </c>
      <c r="N73" s="13">
        <f t="shared" ca="1" si="7"/>
        <v>6670825.2662069667</v>
      </c>
    </row>
    <row r="74" spans="2:14" x14ac:dyDescent="0.3">
      <c r="B74" s="5">
        <v>1068</v>
      </c>
      <c r="C74" s="1" t="s">
        <v>486</v>
      </c>
      <c r="D74" s="1" t="s">
        <v>519</v>
      </c>
      <c r="E74" s="1" t="s">
        <v>523</v>
      </c>
      <c r="F74" t="s">
        <v>500</v>
      </c>
      <c r="G74" s="12" t="s">
        <v>329</v>
      </c>
      <c r="H74" s="4">
        <v>24866</v>
      </c>
      <c r="I74" s="5">
        <f t="shared" ca="1" si="5"/>
        <v>51</v>
      </c>
      <c r="J74" s="15" t="s">
        <v>178</v>
      </c>
      <c r="L74" s="19">
        <v>1100017</v>
      </c>
      <c r="M74" s="14">
        <f t="shared" ca="1" si="6"/>
        <v>7055645781.0840511</v>
      </c>
      <c r="N74" s="13">
        <f t="shared" ca="1" si="7"/>
        <v>5532698.6361929048</v>
      </c>
    </row>
    <row r="75" spans="2:14" x14ac:dyDescent="0.3">
      <c r="B75" s="5">
        <v>1069</v>
      </c>
      <c r="C75" s="1" t="s">
        <v>492</v>
      </c>
      <c r="D75" s="1" t="s">
        <v>515</v>
      </c>
      <c r="E75" s="1" t="s">
        <v>523</v>
      </c>
      <c r="F75" t="s">
        <v>515</v>
      </c>
      <c r="G75" s="12" t="s">
        <v>324</v>
      </c>
      <c r="H75" s="4">
        <v>22890</v>
      </c>
      <c r="I75" s="5">
        <f t="shared" ca="1" si="5"/>
        <v>56</v>
      </c>
      <c r="J75" s="15" t="s">
        <v>178</v>
      </c>
      <c r="L75" s="19">
        <v>1100018</v>
      </c>
      <c r="M75" s="14">
        <f t="shared" ca="1" si="6"/>
        <v>7039542622.2250586</v>
      </c>
      <c r="N75" s="13">
        <f t="shared" ca="1" si="7"/>
        <v>2339860.0200425414</v>
      </c>
    </row>
    <row r="76" spans="2:14" x14ac:dyDescent="0.3">
      <c r="B76" s="5">
        <v>1070</v>
      </c>
      <c r="C76" s="1" t="s">
        <v>485</v>
      </c>
      <c r="D76" s="1" t="s">
        <v>508</v>
      </c>
      <c r="E76" s="1" t="s">
        <v>520</v>
      </c>
      <c r="F76" t="s">
        <v>521</v>
      </c>
      <c r="G76" s="12" t="s">
        <v>329</v>
      </c>
      <c r="H76" s="4">
        <v>20914</v>
      </c>
      <c r="I76" s="5">
        <f t="shared" ca="1" si="5"/>
        <v>62</v>
      </c>
      <c r="J76" s="15" t="s">
        <v>178</v>
      </c>
      <c r="L76" s="19">
        <v>1100019</v>
      </c>
      <c r="M76" s="14">
        <f t="shared" ca="1" si="6"/>
        <v>7008667114.293952</v>
      </c>
      <c r="N76" s="13">
        <f t="shared" ca="1" si="7"/>
        <v>3217561.3654893804</v>
      </c>
    </row>
    <row r="77" spans="2:14" x14ac:dyDescent="0.3">
      <c r="B77" s="5">
        <v>1071</v>
      </c>
      <c r="C77" s="1" t="s">
        <v>493</v>
      </c>
      <c r="D77" s="1" t="s">
        <v>509</v>
      </c>
      <c r="E77" s="1" t="s">
        <v>520</v>
      </c>
      <c r="F77" t="s">
        <v>506</v>
      </c>
      <c r="G77" s="12" t="s">
        <v>324</v>
      </c>
      <c r="H77" s="4">
        <v>32770</v>
      </c>
      <c r="I77" s="5">
        <f t="shared" ca="1" si="5"/>
        <v>29</v>
      </c>
      <c r="J77" s="15" t="s">
        <v>178</v>
      </c>
      <c r="L77" s="19">
        <v>1100020</v>
      </c>
      <c r="M77" s="14">
        <f t="shared" ca="1" si="6"/>
        <v>7095057195.0112772</v>
      </c>
      <c r="N77" s="13">
        <f t="shared" ca="1" si="7"/>
        <v>7652620.3416168932</v>
      </c>
    </row>
    <row r="78" spans="2:14" x14ac:dyDescent="0.3">
      <c r="B78" s="5">
        <v>1072</v>
      </c>
      <c r="C78" s="1" t="s">
        <v>484</v>
      </c>
      <c r="D78" s="1" t="s">
        <v>509</v>
      </c>
      <c r="E78" s="1" t="s">
        <v>507</v>
      </c>
      <c r="F78" t="s">
        <v>526</v>
      </c>
      <c r="G78" s="12" t="s">
        <v>329</v>
      </c>
      <c r="H78" s="4">
        <v>30794</v>
      </c>
      <c r="I78" s="5">
        <f t="shared" ca="1" si="5"/>
        <v>34</v>
      </c>
      <c r="J78" s="15" t="s">
        <v>178</v>
      </c>
      <c r="L78" s="19">
        <v>1100021</v>
      </c>
      <c r="M78" s="14">
        <f t="shared" ca="1" si="6"/>
        <v>7013230233.5537586</v>
      </c>
      <c r="N78" s="13">
        <f t="shared" ca="1" si="7"/>
        <v>6900886.9312353134</v>
      </c>
    </row>
    <row r="79" spans="2:14" x14ac:dyDescent="0.3">
      <c r="B79" s="5">
        <v>1073</v>
      </c>
      <c r="C79" s="1" t="s">
        <v>487</v>
      </c>
      <c r="D79" s="1" t="s">
        <v>512</v>
      </c>
      <c r="E79" s="1" t="s">
        <v>504</v>
      </c>
      <c r="F79" t="s">
        <v>517</v>
      </c>
      <c r="G79" s="12" t="s">
        <v>324</v>
      </c>
      <c r="H79" s="4">
        <v>28818</v>
      </c>
      <c r="I79" s="5">
        <f t="shared" ca="1" si="5"/>
        <v>40</v>
      </c>
      <c r="J79" s="15" t="s">
        <v>178</v>
      </c>
      <c r="L79" s="19">
        <v>1100022</v>
      </c>
      <c r="M79" s="14">
        <f t="shared" ca="1" si="6"/>
        <v>7001463196.1612844</v>
      </c>
      <c r="N79" s="13">
        <f t="shared" ca="1" si="7"/>
        <v>6110461.4723943034</v>
      </c>
    </row>
    <row r="80" spans="2:14" x14ac:dyDescent="0.3">
      <c r="B80" s="5">
        <v>1074</v>
      </c>
      <c r="C80" s="1" t="s">
        <v>494</v>
      </c>
      <c r="D80" s="1" t="s">
        <v>513</v>
      </c>
      <c r="E80" s="1" t="s">
        <v>524</v>
      </c>
      <c r="F80" t="s">
        <v>517</v>
      </c>
      <c r="G80" s="12" t="s">
        <v>329</v>
      </c>
      <c r="H80" s="4">
        <v>26842</v>
      </c>
      <c r="I80" s="5">
        <f t="shared" ca="1" si="5"/>
        <v>45</v>
      </c>
      <c r="J80" s="15" t="s">
        <v>178</v>
      </c>
      <c r="L80" s="19">
        <v>1100023</v>
      </c>
      <c r="M80" s="14">
        <f t="shared" ca="1" si="6"/>
        <v>7058928861.9856348</v>
      </c>
      <c r="N80" s="13">
        <f t="shared" ca="1" si="7"/>
        <v>2167025.5634843269</v>
      </c>
    </row>
    <row r="81" spans="2:14" x14ac:dyDescent="0.3">
      <c r="B81" s="5">
        <v>1075</v>
      </c>
      <c r="C81" s="1" t="s">
        <v>495</v>
      </c>
      <c r="D81" s="1" t="s">
        <v>505</v>
      </c>
      <c r="E81" s="1" t="s">
        <v>520</v>
      </c>
      <c r="F81" t="s">
        <v>505</v>
      </c>
      <c r="G81" s="12" t="s">
        <v>324</v>
      </c>
      <c r="H81" s="4">
        <v>24866</v>
      </c>
      <c r="I81" s="5">
        <f t="shared" ca="1" si="5"/>
        <v>51</v>
      </c>
      <c r="J81" s="15" t="s">
        <v>178</v>
      </c>
      <c r="L81" s="19">
        <v>1100024</v>
      </c>
      <c r="M81" s="14">
        <f t="shared" ca="1" si="6"/>
        <v>7028510765.3180723</v>
      </c>
      <c r="N81" s="13">
        <f t="shared" ca="1" si="7"/>
        <v>3688042.9436897836</v>
      </c>
    </row>
    <row r="82" spans="2:14" x14ac:dyDescent="0.3">
      <c r="B82" s="5">
        <v>1076</v>
      </c>
      <c r="C82" s="1" t="s">
        <v>496</v>
      </c>
      <c r="D82" s="1" t="s">
        <v>506</v>
      </c>
      <c r="E82" s="1" t="s">
        <v>520</v>
      </c>
      <c r="F82" t="s">
        <v>526</v>
      </c>
      <c r="G82" s="12" t="s">
        <v>329</v>
      </c>
      <c r="H82" s="4">
        <v>22890</v>
      </c>
      <c r="I82" s="5">
        <f t="shared" ca="1" si="5"/>
        <v>56</v>
      </c>
      <c r="J82" s="15" t="s">
        <v>178</v>
      </c>
      <c r="L82" s="19">
        <v>1100025</v>
      </c>
      <c r="M82" s="14">
        <f t="shared" ca="1" si="6"/>
        <v>7045781685.8474903</v>
      </c>
      <c r="N82" s="13">
        <f t="shared" ca="1" si="7"/>
        <v>5739855.9283949258</v>
      </c>
    </row>
    <row r="83" spans="2:14" x14ac:dyDescent="0.3">
      <c r="B83" s="5">
        <v>1077</v>
      </c>
      <c r="C83" s="1" t="s">
        <v>497</v>
      </c>
      <c r="D83" s="1" t="s">
        <v>513</v>
      </c>
      <c r="E83" s="1" t="s">
        <v>525</v>
      </c>
      <c r="F83" t="s">
        <v>517</v>
      </c>
      <c r="G83" s="12" t="s">
        <v>324</v>
      </c>
      <c r="H83" s="4">
        <v>20914</v>
      </c>
      <c r="I83" s="5">
        <f t="shared" ca="1" si="5"/>
        <v>62</v>
      </c>
      <c r="J83" s="15" t="s">
        <v>178</v>
      </c>
      <c r="L83" s="19">
        <v>1100026</v>
      </c>
      <c r="M83" s="14">
        <f t="shared" ca="1" si="6"/>
        <v>7067367262.553195</v>
      </c>
      <c r="N83" s="13">
        <f t="shared" ca="1" si="7"/>
        <v>856607.01763491519</v>
      </c>
    </row>
    <row r="84" spans="2:14" x14ac:dyDescent="0.3">
      <c r="B84" s="5">
        <v>1078</v>
      </c>
      <c r="C84" s="1" t="s">
        <v>498</v>
      </c>
      <c r="D84" s="1" t="s">
        <v>514</v>
      </c>
      <c r="E84" s="1" t="s">
        <v>525</v>
      </c>
      <c r="F84" t="s">
        <v>522</v>
      </c>
      <c r="G84" s="12" t="s">
        <v>329</v>
      </c>
      <c r="H84" s="4">
        <v>32770</v>
      </c>
      <c r="I84" s="5">
        <f t="shared" ca="1" si="5"/>
        <v>29</v>
      </c>
      <c r="J84" s="15" t="s">
        <v>178</v>
      </c>
      <c r="L84" s="19">
        <v>1100027</v>
      </c>
      <c r="M84" s="14">
        <f t="shared" ca="1" si="6"/>
        <v>7034832648.7822638</v>
      </c>
      <c r="N84" s="13">
        <f t="shared" ca="1" si="7"/>
        <v>-10642.436334452592</v>
      </c>
    </row>
    <row r="85" spans="2:14" x14ac:dyDescent="0.3">
      <c r="B85" s="5">
        <v>1079</v>
      </c>
      <c r="C85" s="1" t="s">
        <v>527</v>
      </c>
      <c r="D85" s="1" t="s">
        <v>550</v>
      </c>
      <c r="E85" s="1" t="s">
        <v>554</v>
      </c>
      <c r="F85" t="s">
        <v>559</v>
      </c>
      <c r="G85" s="12" t="s">
        <v>324</v>
      </c>
      <c r="H85" s="4">
        <v>30794</v>
      </c>
      <c r="I85" s="5">
        <f t="shared" ref="I85:I89" ca="1" si="8">INT((NOW()-H85)/356.25)</f>
        <v>34</v>
      </c>
      <c r="J85" s="15" t="s">
        <v>178</v>
      </c>
      <c r="L85" s="19">
        <v>3232320</v>
      </c>
      <c r="M85" s="14">
        <f t="shared" ca="1" si="6"/>
        <v>7091190190.1866617</v>
      </c>
      <c r="N85" s="13">
        <f t="shared" ca="1" si="7"/>
        <v>7040466.6943657827</v>
      </c>
    </row>
    <row r="86" spans="2:14" x14ac:dyDescent="0.3">
      <c r="B86" s="5">
        <v>1080</v>
      </c>
      <c r="C86" s="1" t="s">
        <v>528</v>
      </c>
      <c r="D86" s="1" t="s">
        <v>505</v>
      </c>
      <c r="E86" s="1" t="s">
        <v>524</v>
      </c>
      <c r="F86" t="s">
        <v>560</v>
      </c>
      <c r="G86" s="12" t="s">
        <v>329</v>
      </c>
      <c r="H86" s="4">
        <v>28818</v>
      </c>
      <c r="I86" s="5">
        <f t="shared" ca="1" si="8"/>
        <v>40</v>
      </c>
      <c r="J86" s="15" t="s">
        <v>178</v>
      </c>
      <c r="L86" s="19">
        <v>3232321</v>
      </c>
      <c r="M86" s="14">
        <f t="shared" ca="1" si="6"/>
        <v>7045867196.4117584</v>
      </c>
      <c r="N86" s="13">
        <f t="shared" ca="1" si="7"/>
        <v>934631.18924688548</v>
      </c>
    </row>
    <row r="87" spans="2:14" x14ac:dyDescent="0.3">
      <c r="B87" s="5">
        <v>1081</v>
      </c>
      <c r="C87" s="1" t="s">
        <v>529</v>
      </c>
      <c r="D87" s="1" t="s">
        <v>551</v>
      </c>
      <c r="E87" s="1" t="s">
        <v>555</v>
      </c>
      <c r="F87" t="s">
        <v>559</v>
      </c>
      <c r="G87" s="12" t="s">
        <v>324</v>
      </c>
      <c r="H87" s="4">
        <v>26842</v>
      </c>
      <c r="I87" s="5">
        <f t="shared" ca="1" si="8"/>
        <v>45</v>
      </c>
      <c r="J87" s="15" t="s">
        <v>178</v>
      </c>
      <c r="L87" s="19">
        <v>3232322</v>
      </c>
      <c r="M87" s="14">
        <f t="shared" ca="1" si="6"/>
        <v>7077696603.3216906</v>
      </c>
      <c r="N87" s="13">
        <f t="shared" ca="1" si="7"/>
        <v>2098558.247960858</v>
      </c>
    </row>
    <row r="88" spans="2:14" x14ac:dyDescent="0.3">
      <c r="B88" s="5">
        <v>1082</v>
      </c>
      <c r="C88" s="1" t="s">
        <v>530</v>
      </c>
      <c r="D88" s="1" t="s">
        <v>546</v>
      </c>
      <c r="E88" s="1" t="s">
        <v>520</v>
      </c>
      <c r="F88" t="s">
        <v>561</v>
      </c>
      <c r="G88" s="12" t="s">
        <v>329</v>
      </c>
      <c r="H88" s="4">
        <v>24866</v>
      </c>
      <c r="I88" s="5">
        <f t="shared" ca="1" si="8"/>
        <v>51</v>
      </c>
      <c r="J88" s="15" t="s">
        <v>178</v>
      </c>
      <c r="L88" s="19">
        <v>3232323</v>
      </c>
      <c r="M88" s="14">
        <f t="shared" ca="1" si="6"/>
        <v>7028818843.6969194</v>
      </c>
      <c r="N88" s="13">
        <f t="shared" ca="1" si="7"/>
        <v>5960881.1693612449</v>
      </c>
    </row>
    <row r="89" spans="2:14" x14ac:dyDescent="0.3">
      <c r="B89" s="5">
        <v>1083</v>
      </c>
      <c r="C89" s="1" t="s">
        <v>540</v>
      </c>
      <c r="D89" s="1" t="s">
        <v>505</v>
      </c>
      <c r="E89" s="1" t="s">
        <v>556</v>
      </c>
      <c r="F89" t="s">
        <v>559</v>
      </c>
      <c r="G89" s="12" t="s">
        <v>324</v>
      </c>
      <c r="H89" s="4">
        <v>22890</v>
      </c>
      <c r="I89" s="5">
        <f t="shared" ca="1" si="8"/>
        <v>56</v>
      </c>
      <c r="J89" s="15" t="s">
        <v>178</v>
      </c>
      <c r="L89" s="19">
        <v>3232324</v>
      </c>
      <c r="M89" s="14">
        <f t="shared" ca="1" si="6"/>
        <v>7043108777.4191561</v>
      </c>
      <c r="N89" s="13">
        <f t="shared" ca="1" si="7"/>
        <v>3838752.3922626204</v>
      </c>
    </row>
    <row r="90" spans="2:14" x14ac:dyDescent="0.3">
      <c r="B90" s="5">
        <v>1084</v>
      </c>
      <c r="C90" s="1" t="s">
        <v>531</v>
      </c>
      <c r="D90" s="1" t="s">
        <v>505</v>
      </c>
      <c r="E90" s="1" t="s">
        <v>499</v>
      </c>
      <c r="F90" t="s">
        <v>562</v>
      </c>
      <c r="G90" s="12" t="s">
        <v>329</v>
      </c>
      <c r="H90" s="4">
        <v>20914</v>
      </c>
      <c r="I90" s="5">
        <f t="shared" ref="I90:I101" ca="1" si="9">INT((NOW()-H90)/356.25)</f>
        <v>62</v>
      </c>
      <c r="J90" s="15" t="s">
        <v>178</v>
      </c>
      <c r="L90" s="19">
        <v>3232326</v>
      </c>
      <c r="M90" s="14">
        <f t="shared" ca="1" si="6"/>
        <v>7087594277.5242062</v>
      </c>
      <c r="N90" s="13">
        <f t="shared" ca="1" si="7"/>
        <v>6199144.3737525819</v>
      </c>
    </row>
    <row r="91" spans="2:14" x14ac:dyDescent="0.3">
      <c r="B91" s="5">
        <v>1085</v>
      </c>
      <c r="C91" s="1" t="s">
        <v>532</v>
      </c>
      <c r="D91" s="1" t="s">
        <v>505</v>
      </c>
      <c r="E91" s="1" t="s">
        <v>499</v>
      </c>
      <c r="F91" t="s">
        <v>563</v>
      </c>
      <c r="G91" s="12" t="s">
        <v>324</v>
      </c>
      <c r="H91" s="4">
        <v>32770</v>
      </c>
      <c r="I91" s="5">
        <f t="shared" ca="1" si="9"/>
        <v>29</v>
      </c>
      <c r="J91" s="15" t="s">
        <v>178</v>
      </c>
      <c r="L91" s="19">
        <v>3223237</v>
      </c>
      <c r="M91" s="14">
        <f t="shared" ca="1" si="6"/>
        <v>7065243511.5649786</v>
      </c>
      <c r="N91" s="13">
        <f t="shared" ca="1" si="7"/>
        <v>6106328.2310128044</v>
      </c>
    </row>
    <row r="92" spans="2:14" x14ac:dyDescent="0.3">
      <c r="B92" s="5">
        <v>1086</v>
      </c>
      <c r="C92" s="1" t="s">
        <v>533</v>
      </c>
      <c r="D92" s="1" t="s">
        <v>547</v>
      </c>
      <c r="E92" s="1" t="s">
        <v>520</v>
      </c>
      <c r="F92" t="s">
        <v>564</v>
      </c>
      <c r="G92" s="12" t="s">
        <v>329</v>
      </c>
      <c r="H92" s="4">
        <v>30794</v>
      </c>
      <c r="I92" s="5">
        <f t="shared" ca="1" si="9"/>
        <v>34</v>
      </c>
      <c r="J92" s="15" t="s">
        <v>178</v>
      </c>
      <c r="L92" s="19">
        <v>3232328</v>
      </c>
      <c r="M92" s="14">
        <f t="shared" ca="1" si="6"/>
        <v>7013983065.3615751</v>
      </c>
      <c r="N92" s="13">
        <f t="shared" ca="1" si="7"/>
        <v>1728389.3137034606</v>
      </c>
    </row>
    <row r="93" spans="2:14" x14ac:dyDescent="0.3">
      <c r="B93" s="5">
        <v>1087</v>
      </c>
      <c r="C93" s="1" t="s">
        <v>535</v>
      </c>
      <c r="D93" s="1" t="s">
        <v>553</v>
      </c>
      <c r="E93" s="1" t="s">
        <v>557</v>
      </c>
      <c r="F93" t="s">
        <v>559</v>
      </c>
      <c r="G93" s="12" t="s">
        <v>324</v>
      </c>
      <c r="H93" s="4">
        <v>28818</v>
      </c>
      <c r="I93" s="5">
        <f t="shared" ca="1" si="9"/>
        <v>40</v>
      </c>
      <c r="J93" s="15" t="s">
        <v>178</v>
      </c>
      <c r="L93" s="19">
        <v>3232310</v>
      </c>
      <c r="M93" s="14">
        <f t="shared" ca="1" si="6"/>
        <v>7083484491.6864548</v>
      </c>
      <c r="N93" s="13">
        <f t="shared" ca="1" si="7"/>
        <v>1955299.1375654135</v>
      </c>
    </row>
    <row r="94" spans="2:14" x14ac:dyDescent="0.3">
      <c r="B94" s="5">
        <v>1088</v>
      </c>
      <c r="C94" s="1" t="s">
        <v>542</v>
      </c>
      <c r="D94" s="1" t="s">
        <v>505</v>
      </c>
      <c r="E94" s="1" t="s">
        <v>524</v>
      </c>
      <c r="F94" t="s">
        <v>566</v>
      </c>
      <c r="G94" s="12" t="s">
        <v>329</v>
      </c>
      <c r="H94" s="4">
        <v>26842</v>
      </c>
      <c r="I94" s="5">
        <f t="shared" ca="1" si="9"/>
        <v>45</v>
      </c>
      <c r="J94" s="15" t="s">
        <v>178</v>
      </c>
      <c r="L94" s="19">
        <v>3232311</v>
      </c>
      <c r="M94" s="14">
        <f t="shared" ca="1" si="6"/>
        <v>7060751682.4337444</v>
      </c>
      <c r="N94" s="13">
        <f t="shared" ca="1" si="7"/>
        <v>1113191.8802913176</v>
      </c>
    </row>
    <row r="95" spans="2:14" x14ac:dyDescent="0.3">
      <c r="B95" s="5">
        <v>1089</v>
      </c>
      <c r="C95" s="1" t="s">
        <v>541</v>
      </c>
      <c r="D95" s="1" t="s">
        <v>545</v>
      </c>
      <c r="E95" s="1" t="s">
        <v>520</v>
      </c>
      <c r="F95" t="s">
        <v>559</v>
      </c>
      <c r="G95" s="12" t="s">
        <v>324</v>
      </c>
      <c r="H95" s="4">
        <v>24866</v>
      </c>
      <c r="I95" s="5">
        <f t="shared" ca="1" si="9"/>
        <v>51</v>
      </c>
      <c r="J95" s="15" t="s">
        <v>178</v>
      </c>
      <c r="L95" s="19">
        <v>2323212</v>
      </c>
      <c r="M95" s="14">
        <f t="shared" ca="1" si="6"/>
        <v>7082756634.6051311</v>
      </c>
      <c r="N95" s="13">
        <f t="shared" ca="1" si="7"/>
        <v>5503156.1152953152</v>
      </c>
    </row>
    <row r="96" spans="2:14" x14ac:dyDescent="0.3">
      <c r="B96" s="5">
        <v>1090</v>
      </c>
      <c r="C96" s="1" t="s">
        <v>536</v>
      </c>
      <c r="D96" s="1" t="s">
        <v>505</v>
      </c>
      <c r="E96" s="1" t="s">
        <v>558</v>
      </c>
      <c r="F96" t="s">
        <v>567</v>
      </c>
      <c r="G96" s="12" t="s">
        <v>329</v>
      </c>
      <c r="H96" s="4">
        <v>22890</v>
      </c>
      <c r="I96" s="5">
        <f t="shared" ca="1" si="9"/>
        <v>56</v>
      </c>
      <c r="J96" s="15" t="s">
        <v>178</v>
      </c>
      <c r="L96" s="19">
        <v>3232313</v>
      </c>
      <c r="M96" s="14">
        <f t="shared" ca="1" si="6"/>
        <v>7085408634.1322098</v>
      </c>
      <c r="N96" s="13">
        <f t="shared" ca="1" si="7"/>
        <v>4790319.4953055819</v>
      </c>
    </row>
    <row r="97" spans="2:14" x14ac:dyDescent="0.3">
      <c r="B97" s="5">
        <v>1091</v>
      </c>
      <c r="C97" s="1" t="s">
        <v>537</v>
      </c>
      <c r="D97" s="1" t="s">
        <v>548</v>
      </c>
      <c r="E97" s="1" t="s">
        <v>558</v>
      </c>
      <c r="F97" t="s">
        <v>567</v>
      </c>
      <c r="G97" s="12" t="s">
        <v>324</v>
      </c>
      <c r="H97" s="4">
        <v>20914</v>
      </c>
      <c r="I97" s="5">
        <f t="shared" ca="1" si="9"/>
        <v>62</v>
      </c>
      <c r="J97" s="15" t="s">
        <v>178</v>
      </c>
      <c r="L97" s="19">
        <v>3232314</v>
      </c>
      <c r="M97" s="14">
        <f t="shared" ca="1" si="6"/>
        <v>7004262562.1440125</v>
      </c>
      <c r="N97" s="13">
        <f t="shared" ca="1" si="7"/>
        <v>75392.289786469191</v>
      </c>
    </row>
    <row r="98" spans="2:14" x14ac:dyDescent="0.3">
      <c r="B98" s="5">
        <v>1092</v>
      </c>
      <c r="C98" s="1" t="s">
        <v>538</v>
      </c>
      <c r="D98" s="1" t="s">
        <v>511</v>
      </c>
      <c r="E98" s="1" t="s">
        <v>557</v>
      </c>
      <c r="F98" t="s">
        <v>568</v>
      </c>
      <c r="G98" s="12" t="s">
        <v>329</v>
      </c>
      <c r="H98" s="4">
        <v>32770</v>
      </c>
      <c r="I98" s="5">
        <f t="shared" ca="1" si="9"/>
        <v>29</v>
      </c>
      <c r="J98" s="15" t="s">
        <v>178</v>
      </c>
      <c r="L98" s="19">
        <v>3232315</v>
      </c>
      <c r="M98" s="14">
        <f t="shared" ca="1" si="6"/>
        <v>7055882606.6658745</v>
      </c>
      <c r="N98" s="13">
        <f t="shared" ca="1" si="7"/>
        <v>4560004.4417211022</v>
      </c>
    </row>
    <row r="99" spans="2:14" x14ac:dyDescent="0.3">
      <c r="B99" s="5">
        <v>1093</v>
      </c>
      <c r="C99" s="1" t="s">
        <v>543</v>
      </c>
      <c r="D99" s="1" t="s">
        <v>549</v>
      </c>
      <c r="E99" s="1" t="s">
        <v>524</v>
      </c>
      <c r="F99" t="s">
        <v>559</v>
      </c>
      <c r="G99" s="12" t="s">
        <v>324</v>
      </c>
      <c r="H99" s="4">
        <v>30794</v>
      </c>
      <c r="I99" s="5">
        <f t="shared" ca="1" si="9"/>
        <v>34</v>
      </c>
      <c r="J99" s="15" t="s">
        <v>178</v>
      </c>
      <c r="L99" s="19">
        <v>3232316</v>
      </c>
      <c r="M99" s="14">
        <f t="shared" ca="1" si="6"/>
        <v>7023751616.1628122</v>
      </c>
      <c r="N99" s="13">
        <f t="shared" ca="1" si="7"/>
        <v>317517.92068897467</v>
      </c>
    </row>
    <row r="100" spans="2:14" x14ac:dyDescent="0.3">
      <c r="B100" s="5">
        <v>1094</v>
      </c>
      <c r="C100" s="1" t="s">
        <v>539</v>
      </c>
      <c r="D100" s="1" t="s">
        <v>505</v>
      </c>
      <c r="E100" s="1" t="s">
        <v>524</v>
      </c>
      <c r="F100" t="s">
        <v>569</v>
      </c>
      <c r="G100" s="12" t="s">
        <v>329</v>
      </c>
      <c r="H100" s="4">
        <v>28818</v>
      </c>
      <c r="I100" s="5">
        <f t="shared" ca="1" si="9"/>
        <v>40</v>
      </c>
      <c r="J100" s="15" t="s">
        <v>178</v>
      </c>
      <c r="L100" s="19">
        <v>3223217</v>
      </c>
      <c r="M100" s="14">
        <f t="shared" ca="1" si="6"/>
        <v>7093859905.913887</v>
      </c>
      <c r="N100" s="13">
        <f t="shared" ca="1" si="7"/>
        <v>3999167.6810489716</v>
      </c>
    </row>
    <row r="101" spans="2:14" x14ac:dyDescent="0.3">
      <c r="B101" s="5">
        <v>1095</v>
      </c>
      <c r="C101" s="1" t="s">
        <v>570</v>
      </c>
      <c r="D101" s="1" t="s">
        <v>439</v>
      </c>
      <c r="E101" s="1" t="s">
        <v>610</v>
      </c>
      <c r="F101" t="s">
        <v>593</v>
      </c>
      <c r="G101" s="12" t="s">
        <v>324</v>
      </c>
      <c r="H101" s="4">
        <v>26842</v>
      </c>
      <c r="I101" s="5">
        <f t="shared" ca="1" si="9"/>
        <v>45</v>
      </c>
      <c r="J101" s="15" t="s">
        <v>178</v>
      </c>
      <c r="L101" s="19">
        <v>45454540</v>
      </c>
      <c r="M101" s="14">
        <f t="shared" ca="1" si="6"/>
        <v>7010615841.4247427</v>
      </c>
      <c r="N101" s="13">
        <f t="shared" ca="1" si="7"/>
        <v>4200208.8028269336</v>
      </c>
    </row>
    <row r="102" spans="2:14" x14ac:dyDescent="0.3">
      <c r="B102" s="5">
        <v>1096</v>
      </c>
      <c r="C102" s="1" t="s">
        <v>571</v>
      </c>
      <c r="D102" s="1" t="s">
        <v>437</v>
      </c>
      <c r="E102" s="1" t="s">
        <v>611</v>
      </c>
      <c r="F102" t="s">
        <v>594</v>
      </c>
      <c r="G102" s="12" t="s">
        <v>329</v>
      </c>
      <c r="H102" s="4">
        <v>24866</v>
      </c>
      <c r="I102" s="5">
        <f t="shared" ref="I102:I118" ca="1" si="10">INT((NOW()-H102)/356.25)</f>
        <v>51</v>
      </c>
      <c r="J102" s="15" t="s">
        <v>184</v>
      </c>
      <c r="L102" s="19">
        <v>45454541</v>
      </c>
      <c r="M102" s="14">
        <f t="shared" ca="1" si="6"/>
        <v>7093011119.1762371</v>
      </c>
      <c r="N102" s="13">
        <f t="shared" ca="1" si="7"/>
        <v>5106861.5759111196</v>
      </c>
    </row>
    <row r="103" spans="2:14" x14ac:dyDescent="0.3">
      <c r="B103" s="5">
        <v>1097</v>
      </c>
      <c r="C103" s="1" t="s">
        <v>572</v>
      </c>
      <c r="D103" s="1" t="s">
        <v>588</v>
      </c>
      <c r="E103" s="1" t="s">
        <v>612</v>
      </c>
      <c r="F103" t="s">
        <v>599</v>
      </c>
      <c r="G103" s="12" t="s">
        <v>324</v>
      </c>
      <c r="H103" s="4">
        <v>22890</v>
      </c>
      <c r="I103" s="5">
        <f t="shared" ca="1" si="10"/>
        <v>56</v>
      </c>
      <c r="J103" s="15" t="s">
        <v>184</v>
      </c>
      <c r="L103" s="19">
        <v>45454542</v>
      </c>
      <c r="M103" s="14">
        <f t="shared" ca="1" si="6"/>
        <v>7057925561.104661</v>
      </c>
      <c r="N103" s="13">
        <f t="shared" ca="1" si="7"/>
        <v>6529044.2028283887</v>
      </c>
    </row>
    <row r="104" spans="2:14" x14ac:dyDescent="0.3">
      <c r="B104" s="5">
        <v>1098</v>
      </c>
      <c r="C104" s="1" t="s">
        <v>573</v>
      </c>
      <c r="D104" s="1" t="s">
        <v>439</v>
      </c>
      <c r="E104" s="1" t="s">
        <v>613</v>
      </c>
      <c r="F104" t="s">
        <v>595</v>
      </c>
      <c r="G104" s="12" t="s">
        <v>329</v>
      </c>
      <c r="H104" s="4">
        <v>20914</v>
      </c>
      <c r="I104" s="5">
        <f t="shared" ca="1" si="10"/>
        <v>62</v>
      </c>
      <c r="J104" s="15" t="s">
        <v>178</v>
      </c>
      <c r="L104" s="19">
        <v>45454543</v>
      </c>
      <c r="M104" s="14">
        <f t="shared" ca="1" si="6"/>
        <v>7032032980.9907856</v>
      </c>
      <c r="N104" s="13">
        <f t="shared" ca="1" si="7"/>
        <v>5821008.4378299592</v>
      </c>
    </row>
    <row r="105" spans="2:14" x14ac:dyDescent="0.3">
      <c r="B105" s="5">
        <v>1099</v>
      </c>
      <c r="C105" s="1" t="s">
        <v>574</v>
      </c>
      <c r="D105" s="1" t="s">
        <v>437</v>
      </c>
      <c r="E105" s="1" t="s">
        <v>614</v>
      </c>
      <c r="F105" t="s">
        <v>596</v>
      </c>
      <c r="G105" s="12" t="s">
        <v>324</v>
      </c>
      <c r="H105" s="4">
        <v>32770</v>
      </c>
      <c r="I105" s="5">
        <f t="shared" ca="1" si="10"/>
        <v>29</v>
      </c>
      <c r="J105" s="15" t="s">
        <v>178</v>
      </c>
      <c r="L105" s="19">
        <v>45454544</v>
      </c>
      <c r="M105" s="14">
        <f t="shared" ca="1" si="6"/>
        <v>7052613819.2209654</v>
      </c>
      <c r="N105" s="13">
        <f t="shared" ca="1" si="7"/>
        <v>1745453.9252267303</v>
      </c>
    </row>
    <row r="106" spans="2:14" x14ac:dyDescent="0.3">
      <c r="B106" s="5">
        <v>1100</v>
      </c>
      <c r="C106" s="1" t="s">
        <v>575</v>
      </c>
      <c r="D106" s="1" t="s">
        <v>589</v>
      </c>
      <c r="E106" s="1" t="s">
        <v>380</v>
      </c>
      <c r="F106" t="s">
        <v>597</v>
      </c>
      <c r="G106" s="12" t="s">
        <v>329</v>
      </c>
      <c r="H106" s="4">
        <v>30794</v>
      </c>
      <c r="I106" s="5">
        <f t="shared" ca="1" si="10"/>
        <v>34</v>
      </c>
      <c r="J106" s="15" t="s">
        <v>178</v>
      </c>
      <c r="L106" s="19">
        <v>45454545</v>
      </c>
      <c r="M106" s="14">
        <f t="shared" ca="1" si="6"/>
        <v>7000417160.8329382</v>
      </c>
      <c r="N106" s="13">
        <f t="shared" ca="1" si="7"/>
        <v>1801857.7804318275</v>
      </c>
    </row>
    <row r="107" spans="2:14" x14ac:dyDescent="0.3">
      <c r="B107" s="5">
        <v>1101</v>
      </c>
      <c r="C107" s="1" t="s">
        <v>576</v>
      </c>
      <c r="D107" s="1" t="s">
        <v>437</v>
      </c>
      <c r="E107" s="1" t="s">
        <v>615</v>
      </c>
      <c r="F107" t="s">
        <v>598</v>
      </c>
      <c r="G107" s="12" t="s">
        <v>324</v>
      </c>
      <c r="H107" s="4">
        <v>28818</v>
      </c>
      <c r="I107" s="5">
        <f t="shared" ca="1" si="10"/>
        <v>40</v>
      </c>
      <c r="J107" s="15" t="s">
        <v>178</v>
      </c>
      <c r="L107" s="19">
        <v>45454546</v>
      </c>
      <c r="M107" s="14">
        <f t="shared" ca="1" si="6"/>
        <v>7076754942.9536867</v>
      </c>
      <c r="N107" s="13">
        <f t="shared" ca="1" si="7"/>
        <v>1232143.6732330546</v>
      </c>
    </row>
    <row r="108" spans="2:14" x14ac:dyDescent="0.3">
      <c r="B108" s="5">
        <v>1102</v>
      </c>
      <c r="C108" s="1" t="s">
        <v>577</v>
      </c>
      <c r="D108" s="1" t="s">
        <v>439</v>
      </c>
      <c r="E108" s="1" t="s">
        <v>616</v>
      </c>
      <c r="F108" t="s">
        <v>600</v>
      </c>
      <c r="G108" s="12" t="s">
        <v>329</v>
      </c>
      <c r="H108" s="4">
        <v>26842</v>
      </c>
      <c r="I108" s="5">
        <f t="shared" ca="1" si="10"/>
        <v>45</v>
      </c>
      <c r="J108" s="15" t="s">
        <v>178</v>
      </c>
      <c r="L108" s="19">
        <v>45454545</v>
      </c>
      <c r="M108" s="14">
        <f t="shared" ca="1" si="6"/>
        <v>7009321086.2180815</v>
      </c>
      <c r="N108" s="13">
        <f t="shared" ca="1" si="7"/>
        <v>2891010.4759109095</v>
      </c>
    </row>
    <row r="109" spans="2:14" x14ac:dyDescent="0.3">
      <c r="B109" s="5">
        <v>1103</v>
      </c>
      <c r="C109" s="1" t="s">
        <v>578</v>
      </c>
      <c r="D109" s="1" t="s">
        <v>437</v>
      </c>
      <c r="E109" s="1" t="s">
        <v>591</v>
      </c>
      <c r="F109" t="s">
        <v>601</v>
      </c>
      <c r="G109" s="12" t="s">
        <v>324</v>
      </c>
      <c r="H109" s="4">
        <v>24866</v>
      </c>
      <c r="I109" s="5">
        <f t="shared" ca="1" si="10"/>
        <v>51</v>
      </c>
      <c r="J109" s="15" t="s">
        <v>184</v>
      </c>
      <c r="L109" s="19">
        <v>45454547</v>
      </c>
      <c r="M109" s="14">
        <f t="shared" ca="1" si="6"/>
        <v>7053318714.8875065</v>
      </c>
      <c r="N109" s="13">
        <f t="shared" ca="1" si="7"/>
        <v>3524506.9426064631</v>
      </c>
    </row>
    <row r="110" spans="2:14" x14ac:dyDescent="0.3">
      <c r="B110" s="5">
        <v>1104</v>
      </c>
      <c r="C110" s="1" t="s">
        <v>579</v>
      </c>
      <c r="D110" s="1" t="s">
        <v>590</v>
      </c>
      <c r="E110" s="1" t="s">
        <v>617</v>
      </c>
      <c r="F110" t="s">
        <v>602</v>
      </c>
      <c r="G110" s="12" t="s">
        <v>329</v>
      </c>
      <c r="H110" s="4">
        <v>22890</v>
      </c>
      <c r="I110" s="5">
        <f t="shared" ca="1" si="10"/>
        <v>56</v>
      </c>
      <c r="J110" s="15" t="s">
        <v>178</v>
      </c>
      <c r="L110" s="19">
        <v>45454548</v>
      </c>
      <c r="M110" s="14">
        <f t="shared" ca="1" si="6"/>
        <v>7050437023.2157259</v>
      </c>
      <c r="N110" s="13">
        <f t="shared" ca="1" si="7"/>
        <v>578188.72302033287</v>
      </c>
    </row>
    <row r="111" spans="2:14" x14ac:dyDescent="0.3">
      <c r="B111" s="5">
        <v>1105</v>
      </c>
      <c r="C111" s="1" t="s">
        <v>580</v>
      </c>
      <c r="D111" s="1" t="s">
        <v>437</v>
      </c>
      <c r="E111" s="1" t="s">
        <v>618</v>
      </c>
      <c r="F111" t="s">
        <v>603</v>
      </c>
      <c r="G111" s="12" t="s">
        <v>324</v>
      </c>
      <c r="H111" s="4">
        <v>20914</v>
      </c>
      <c r="I111" s="5">
        <f t="shared" ca="1" si="10"/>
        <v>62</v>
      </c>
      <c r="J111" s="15" t="s">
        <v>184</v>
      </c>
      <c r="L111" s="19">
        <v>45454549</v>
      </c>
      <c r="M111" s="14">
        <f t="shared" ca="1" si="6"/>
        <v>7094021246.3419542</v>
      </c>
      <c r="N111" s="13">
        <f t="shared" ca="1" si="7"/>
        <v>626184.62155382987</v>
      </c>
    </row>
    <row r="112" spans="2:14" x14ac:dyDescent="0.3">
      <c r="B112" s="5">
        <v>1106</v>
      </c>
      <c r="C112" s="1" t="s">
        <v>581</v>
      </c>
      <c r="D112" s="1" t="s">
        <v>591</v>
      </c>
      <c r="E112" s="1" t="s">
        <v>619</v>
      </c>
      <c r="F112" t="s">
        <v>604</v>
      </c>
      <c r="G112" s="12" t="s">
        <v>329</v>
      </c>
      <c r="H112" s="4">
        <v>32770</v>
      </c>
      <c r="I112" s="5">
        <f t="shared" ca="1" si="10"/>
        <v>29</v>
      </c>
      <c r="J112" s="15" t="s">
        <v>178</v>
      </c>
      <c r="L112" s="19">
        <v>45454510</v>
      </c>
      <c r="M112" s="14">
        <f t="shared" ca="1" si="6"/>
        <v>7018532104.1733561</v>
      </c>
      <c r="N112" s="13">
        <f t="shared" ca="1" si="7"/>
        <v>6968841.6981136752</v>
      </c>
    </row>
    <row r="113" spans="2:14" x14ac:dyDescent="0.3">
      <c r="B113" s="5">
        <v>1107</v>
      </c>
      <c r="C113" s="1" t="s">
        <v>582</v>
      </c>
      <c r="D113" s="1" t="s">
        <v>592</v>
      </c>
      <c r="E113" s="1" t="s">
        <v>620</v>
      </c>
      <c r="F113" t="s">
        <v>605</v>
      </c>
      <c r="G113" s="12" t="s">
        <v>324</v>
      </c>
      <c r="H113" s="4">
        <v>30794</v>
      </c>
      <c r="I113" s="5">
        <f t="shared" ca="1" si="10"/>
        <v>34</v>
      </c>
      <c r="J113" s="15" t="s">
        <v>178</v>
      </c>
      <c r="L113" s="19">
        <v>45454511</v>
      </c>
      <c r="M113" s="14">
        <f t="shared" ca="1" si="6"/>
        <v>7066610013.8712473</v>
      </c>
      <c r="N113" s="13">
        <f t="shared" ca="1" si="7"/>
        <v>5230979.0595985465</v>
      </c>
    </row>
    <row r="114" spans="2:14" x14ac:dyDescent="0.3">
      <c r="B114" s="5">
        <v>1108</v>
      </c>
      <c r="C114" s="1" t="s">
        <v>583</v>
      </c>
      <c r="D114" s="1" t="s">
        <v>437</v>
      </c>
      <c r="E114" s="1" t="s">
        <v>621</v>
      </c>
      <c r="F114" t="s">
        <v>606</v>
      </c>
      <c r="G114" s="12" t="s">
        <v>329</v>
      </c>
      <c r="H114" s="4">
        <v>28818</v>
      </c>
      <c r="I114" s="5">
        <f t="shared" ca="1" si="10"/>
        <v>40</v>
      </c>
      <c r="J114" s="15" t="s">
        <v>178</v>
      </c>
      <c r="L114" s="19">
        <v>45454512</v>
      </c>
      <c r="M114" s="14">
        <f t="shared" ca="1" si="6"/>
        <v>7094531334.2471952</v>
      </c>
      <c r="N114" s="13">
        <f t="shared" ca="1" si="7"/>
        <v>4451532.6618230473</v>
      </c>
    </row>
    <row r="115" spans="2:14" x14ac:dyDescent="0.3">
      <c r="B115" s="5">
        <v>1109</v>
      </c>
      <c r="C115" s="1" t="s">
        <v>584</v>
      </c>
      <c r="D115" s="1" t="s">
        <v>591</v>
      </c>
      <c r="E115" s="1" t="s">
        <v>622</v>
      </c>
      <c r="F115" t="s">
        <v>607</v>
      </c>
      <c r="G115" s="12" t="s">
        <v>324</v>
      </c>
      <c r="H115" s="4">
        <v>26842</v>
      </c>
      <c r="I115" s="5">
        <f t="shared" ca="1" si="10"/>
        <v>45</v>
      </c>
      <c r="J115" s="15" t="s">
        <v>184</v>
      </c>
      <c r="L115" s="19">
        <v>45454513</v>
      </c>
      <c r="M115" s="14">
        <f t="shared" ca="1" si="6"/>
        <v>7030429206.2023888</v>
      </c>
      <c r="N115" s="13">
        <f t="shared" ca="1" si="7"/>
        <v>2890060.4370406261</v>
      </c>
    </row>
    <row r="116" spans="2:14" x14ac:dyDescent="0.3">
      <c r="B116" s="5">
        <v>1110</v>
      </c>
      <c r="C116" s="1" t="s">
        <v>585</v>
      </c>
      <c r="D116" s="1" t="s">
        <v>439</v>
      </c>
      <c r="E116" s="1" t="s">
        <v>623</v>
      </c>
      <c r="F116" t="s">
        <v>608</v>
      </c>
      <c r="G116" s="12" t="s">
        <v>329</v>
      </c>
      <c r="H116" s="4">
        <v>24866</v>
      </c>
      <c r="I116" s="5">
        <f t="shared" ca="1" si="10"/>
        <v>51</v>
      </c>
      <c r="J116" s="15" t="s">
        <v>184</v>
      </c>
      <c r="L116" s="19">
        <v>45454514</v>
      </c>
      <c r="M116" s="14">
        <f t="shared" ca="1" si="6"/>
        <v>7050710469.1253281</v>
      </c>
      <c r="N116" s="13">
        <f t="shared" ca="1" si="7"/>
        <v>646785.89341067523</v>
      </c>
    </row>
    <row r="117" spans="2:14" x14ac:dyDescent="0.3">
      <c r="B117" s="5">
        <v>1111</v>
      </c>
      <c r="C117" s="1" t="s">
        <v>586</v>
      </c>
      <c r="D117" s="1" t="s">
        <v>589</v>
      </c>
      <c r="E117" s="1" t="s">
        <v>624</v>
      </c>
      <c r="F117" t="s">
        <v>609</v>
      </c>
      <c r="G117" s="12" t="s">
        <v>324</v>
      </c>
      <c r="H117" s="4">
        <v>22890</v>
      </c>
      <c r="I117" s="5">
        <f t="shared" ca="1" si="10"/>
        <v>56</v>
      </c>
      <c r="J117" s="15" t="s">
        <v>178</v>
      </c>
      <c r="L117" s="19">
        <v>45454515</v>
      </c>
      <c r="M117" s="14">
        <f t="shared" ca="1" si="6"/>
        <v>7033285890.9497957</v>
      </c>
      <c r="N117" s="13">
        <f t="shared" ca="1" si="7"/>
        <v>2750197.756202599</v>
      </c>
    </row>
    <row r="118" spans="2:14" x14ac:dyDescent="0.3">
      <c r="B118" s="5">
        <v>1112</v>
      </c>
      <c r="C118" s="1" t="s">
        <v>587</v>
      </c>
      <c r="D118" s="1" t="s">
        <v>437</v>
      </c>
      <c r="E118" s="1" t="s">
        <v>588</v>
      </c>
      <c r="F118" t="s">
        <v>609</v>
      </c>
      <c r="G118" s="12" t="s">
        <v>329</v>
      </c>
      <c r="H118" s="4">
        <v>35159</v>
      </c>
      <c r="I118" s="5">
        <f t="shared" ca="1" si="10"/>
        <v>22</v>
      </c>
      <c r="J118" s="15" t="s">
        <v>178</v>
      </c>
      <c r="L118" s="19">
        <v>45454516</v>
      </c>
      <c r="M118" s="14">
        <f t="shared" ca="1" si="6"/>
        <v>7058817528.2260809</v>
      </c>
      <c r="N118" s="13">
        <f t="shared" ca="1" si="7"/>
        <v>1443026.3909685025</v>
      </c>
    </row>
  </sheetData>
  <dataValidations count="2">
    <dataValidation type="list" allowBlank="1" showInputMessage="1" showErrorMessage="1" sqref="J121:J126" xr:uid="{A7D77147-5A00-427B-A46D-3644F9F0A061}">
      <formula1>$K$6:$K$8</formula1>
    </dataValidation>
    <dataValidation type="list" errorStyle="warning" allowBlank="1" showInputMessage="1" showErrorMessage="1" errorTitle="Gender Required" error="Please enter gender type." sqref="J7:J118" xr:uid="{DC623B02-66A5-48E3-B7E5-C0459B0267F9}">
      <formula1>$K$7:$K$9</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200CF-6686-446E-B143-9D5178CD0DF6}">
  <sheetPr codeName="Sheet4">
    <tabColor theme="7" tint="-0.499984740745262"/>
  </sheetPr>
  <dimension ref="A3:W33"/>
  <sheetViews>
    <sheetView zoomScale="110" zoomScaleNormal="110" workbookViewId="0">
      <pane xSplit="3" topLeftCell="L1" activePane="topRight" state="frozen"/>
      <selection pane="topRight" activeCell="U4" sqref="U4"/>
    </sheetView>
  </sheetViews>
  <sheetFormatPr defaultRowHeight="14.4" x14ac:dyDescent="0.3"/>
  <cols>
    <col min="1" max="1" width="10.88671875" style="12" customWidth="1"/>
    <col min="2" max="2" width="12.33203125" style="12" customWidth="1"/>
    <col min="3" max="3" width="0.33203125" style="57" customWidth="1"/>
    <col min="4" max="4" width="10.6640625" style="5" customWidth="1"/>
    <col min="5" max="5" width="10.6640625" style="3" customWidth="1"/>
    <col min="6" max="6" width="16.33203125" style="1" bestFit="1" customWidth="1"/>
    <col min="7" max="7" width="13.109375" style="16" bestFit="1" customWidth="1"/>
    <col min="8" max="8" width="19.109375" style="1" bestFit="1" customWidth="1"/>
    <col min="9" max="9" width="18" bestFit="1" customWidth="1"/>
    <col min="10" max="10" width="15.33203125" style="15" bestFit="1" customWidth="1"/>
    <col min="11" max="11" width="6.44140625" style="58" hidden="1" customWidth="1"/>
    <col min="12" max="12" width="18.44140625" bestFit="1" customWidth="1"/>
    <col min="13" max="13" width="11.6640625" style="9" customWidth="1"/>
    <col min="14" max="14" width="7.44140625" style="9" customWidth="1"/>
    <col min="15" max="15" width="11.88671875" style="10" bestFit="1" customWidth="1"/>
    <col min="16" max="16" width="11.6640625" style="15" customWidth="1"/>
    <col min="17" max="17" width="0" hidden="1" customWidth="1"/>
    <col min="18" max="18" width="11.6640625" style="5" customWidth="1"/>
    <col min="19" max="20" width="11.6640625" style="6" customWidth="1"/>
    <col min="21" max="21" width="11.6640625" style="123" customWidth="1"/>
    <col min="22" max="22" width="11.6640625" style="6" customWidth="1"/>
    <col min="23" max="23" width="11.6640625" style="17" customWidth="1"/>
    <col min="25" max="26" width="10.6640625" customWidth="1"/>
  </cols>
  <sheetData>
    <row r="3" spans="1:23" ht="15" thickBot="1" x14ac:dyDescent="0.35">
      <c r="D3" s="43" t="s">
        <v>331</v>
      </c>
      <c r="E3" s="44" t="s">
        <v>332</v>
      </c>
      <c r="F3" s="45" t="s">
        <v>333</v>
      </c>
      <c r="G3" s="46" t="s">
        <v>9</v>
      </c>
      <c r="H3" s="45" t="s">
        <v>174</v>
      </c>
      <c r="I3" s="47" t="s">
        <v>11</v>
      </c>
      <c r="J3" s="48" t="s">
        <v>348</v>
      </c>
      <c r="K3" s="59" t="s">
        <v>334</v>
      </c>
      <c r="L3" s="47" t="s">
        <v>21</v>
      </c>
      <c r="M3" s="49" t="s">
        <v>29</v>
      </c>
      <c r="N3" s="49" t="s">
        <v>335</v>
      </c>
      <c r="O3" s="50" t="s">
        <v>16</v>
      </c>
      <c r="P3" s="48" t="s">
        <v>336</v>
      </c>
      <c r="Q3" s="47" t="s">
        <v>337</v>
      </c>
      <c r="R3" s="43" t="s">
        <v>338</v>
      </c>
      <c r="S3" s="51" t="s">
        <v>2</v>
      </c>
      <c r="T3" s="51" t="s">
        <v>339</v>
      </c>
      <c r="U3" s="122" t="s">
        <v>665</v>
      </c>
      <c r="V3" s="51" t="s">
        <v>664</v>
      </c>
      <c r="W3" s="52" t="s">
        <v>349</v>
      </c>
    </row>
    <row r="4" spans="1:23" x14ac:dyDescent="0.3">
      <c r="D4" s="5">
        <v>1001</v>
      </c>
      <c r="E4" s="4">
        <v>43101</v>
      </c>
      <c r="F4" s="1" t="s">
        <v>179</v>
      </c>
      <c r="G4" s="16" t="s">
        <v>180</v>
      </c>
      <c r="H4" s="1" t="s">
        <v>181</v>
      </c>
      <c r="I4" t="s">
        <v>182</v>
      </c>
      <c r="J4" s="15" t="s">
        <v>341</v>
      </c>
      <c r="K4" s="58" t="s">
        <v>341</v>
      </c>
      <c r="L4" t="s">
        <v>58</v>
      </c>
      <c r="M4" s="9" t="s">
        <v>62</v>
      </c>
      <c r="N4" s="9">
        <v>8</v>
      </c>
      <c r="O4" s="10" t="s">
        <v>185</v>
      </c>
      <c r="P4" s="15" t="s">
        <v>342</v>
      </c>
      <c r="Q4" t="s">
        <v>342</v>
      </c>
      <c r="R4" s="5">
        <v>5</v>
      </c>
      <c r="S4" s="6">
        <v>15.99</v>
      </c>
      <c r="T4" s="6">
        <f>SUM(R4*S4)</f>
        <v>79.95</v>
      </c>
      <c r="U4" s="123">
        <f>HLOOKUP($R4,Lookups!B$3:H$4,2,TRUE)</f>
        <v>0.08</v>
      </c>
      <c r="V4" s="6">
        <f>SUM(T4*U4)</f>
        <v>6.3960000000000008</v>
      </c>
      <c r="W4" s="18">
        <f>SUM(T4-U4)</f>
        <v>79.87</v>
      </c>
    </row>
    <row r="5" spans="1:23" x14ac:dyDescent="0.3">
      <c r="D5" s="5">
        <v>1002</v>
      </c>
      <c r="E5" s="4">
        <v>43101</v>
      </c>
      <c r="F5" s="1" t="s">
        <v>186</v>
      </c>
      <c r="G5" s="16" t="s">
        <v>187</v>
      </c>
      <c r="H5" s="1" t="s">
        <v>188</v>
      </c>
      <c r="I5" t="s">
        <v>189</v>
      </c>
      <c r="J5" s="15" t="s">
        <v>341</v>
      </c>
      <c r="K5" s="58" t="s">
        <v>343</v>
      </c>
      <c r="L5" t="s">
        <v>96</v>
      </c>
      <c r="M5" s="9" t="s">
        <v>98</v>
      </c>
      <c r="N5" s="9">
        <v>7</v>
      </c>
      <c r="O5" s="10" t="s">
        <v>191</v>
      </c>
      <c r="P5" s="15" t="s">
        <v>342</v>
      </c>
      <c r="R5" s="5">
        <v>4</v>
      </c>
      <c r="S5" s="6">
        <v>14.99</v>
      </c>
      <c r="T5" s="6">
        <f t="shared" ref="T5:T33" si="0">SUM(R5*S5)</f>
        <v>59.96</v>
      </c>
      <c r="U5" s="123">
        <f>HLOOKUP($R5,Lookups!B$3:H$4,2,TRUE)</f>
        <v>0.05</v>
      </c>
      <c r="V5" s="6">
        <f t="shared" ref="V5:V33" si="1">SUM(T5*U5)</f>
        <v>2.9980000000000002</v>
      </c>
      <c r="W5" s="18">
        <f t="shared" ref="W5:W33" si="2">SUM(T5-U5)</f>
        <v>59.910000000000004</v>
      </c>
    </row>
    <row r="6" spans="1:23" ht="15" customHeight="1" thickBot="1" x14ac:dyDescent="0.35">
      <c r="A6" s="130" t="s">
        <v>630</v>
      </c>
      <c r="B6" s="130"/>
      <c r="D6" s="5">
        <v>1003</v>
      </c>
      <c r="E6" s="4">
        <v>43101</v>
      </c>
      <c r="F6" s="1" t="s">
        <v>192</v>
      </c>
      <c r="G6" s="16" t="s">
        <v>193</v>
      </c>
      <c r="H6" s="1" t="s">
        <v>194</v>
      </c>
      <c r="I6" t="s">
        <v>195</v>
      </c>
      <c r="J6" s="15" t="s">
        <v>341</v>
      </c>
      <c r="L6" t="s">
        <v>99</v>
      </c>
      <c r="M6" s="9" t="s">
        <v>39</v>
      </c>
      <c r="N6" s="9">
        <v>8</v>
      </c>
      <c r="O6" s="10" t="s">
        <v>197</v>
      </c>
      <c r="P6" s="15" t="s">
        <v>342</v>
      </c>
      <c r="R6" s="5">
        <v>5</v>
      </c>
      <c r="S6" s="6">
        <v>13.99</v>
      </c>
      <c r="T6" s="6">
        <f t="shared" si="0"/>
        <v>69.95</v>
      </c>
      <c r="U6" s="123">
        <f>HLOOKUP($R6,Lookups!B$3:H$4,2,TRUE)</f>
        <v>0.08</v>
      </c>
      <c r="V6" s="6">
        <f t="shared" si="1"/>
        <v>5.5960000000000001</v>
      </c>
      <c r="W6" s="18">
        <f t="shared" si="2"/>
        <v>69.87</v>
      </c>
    </row>
    <row r="7" spans="1:23" ht="15" thickTop="1" x14ac:dyDescent="0.3">
      <c r="A7" s="12" t="s">
        <v>370</v>
      </c>
      <c r="B7" s="42">
        <f>SUM(W4:$W$33)</f>
        <v>1655.2200000000005</v>
      </c>
      <c r="D7" s="5">
        <v>1004</v>
      </c>
      <c r="E7" s="4">
        <v>43101</v>
      </c>
      <c r="F7" s="1" t="s">
        <v>198</v>
      </c>
      <c r="G7" s="16" t="s">
        <v>193</v>
      </c>
      <c r="H7" s="1" t="s">
        <v>199</v>
      </c>
      <c r="I7" t="s">
        <v>200</v>
      </c>
      <c r="J7" s="15" t="s">
        <v>343</v>
      </c>
      <c r="L7" t="s">
        <v>146</v>
      </c>
      <c r="M7" s="9" t="s">
        <v>148</v>
      </c>
      <c r="N7" s="9">
        <v>6</v>
      </c>
      <c r="O7" s="10" t="s">
        <v>202</v>
      </c>
      <c r="P7" s="15" t="s">
        <v>337</v>
      </c>
      <c r="R7" s="5">
        <v>1</v>
      </c>
      <c r="S7" s="6">
        <v>25.99</v>
      </c>
      <c r="T7" s="6">
        <f t="shared" si="0"/>
        <v>25.99</v>
      </c>
      <c r="U7" s="123">
        <f>HLOOKUP($R7,Lookups!B$3:H$4,2,TRUE)</f>
        <v>0</v>
      </c>
      <c r="V7" s="6">
        <f t="shared" si="1"/>
        <v>0</v>
      </c>
      <c r="W7" s="18">
        <f t="shared" si="2"/>
        <v>25.99</v>
      </c>
    </row>
    <row r="8" spans="1:23" x14ac:dyDescent="0.3">
      <c r="A8" s="12" t="s">
        <v>628</v>
      </c>
      <c r="B8" s="42">
        <f>Table15[[#Totals],[Column2]]</f>
        <v>740</v>
      </c>
      <c r="D8" s="5">
        <v>1005</v>
      </c>
      <c r="E8" s="4">
        <v>43101</v>
      </c>
      <c r="F8" s="1" t="s">
        <v>203</v>
      </c>
      <c r="G8" s="16" t="s">
        <v>204</v>
      </c>
      <c r="H8" s="1" t="s">
        <v>205</v>
      </c>
      <c r="I8" t="s">
        <v>206</v>
      </c>
      <c r="J8" s="15" t="s">
        <v>343</v>
      </c>
      <c r="L8" t="s">
        <v>162</v>
      </c>
      <c r="M8" s="9" t="s">
        <v>39</v>
      </c>
      <c r="N8" s="9">
        <v>5</v>
      </c>
      <c r="O8" s="10" t="s">
        <v>208</v>
      </c>
      <c r="P8" s="15" t="s">
        <v>342</v>
      </c>
      <c r="R8" s="5">
        <v>3</v>
      </c>
      <c r="S8" s="6">
        <v>29.99</v>
      </c>
      <c r="T8" s="6">
        <f t="shared" si="0"/>
        <v>89.97</v>
      </c>
      <c r="U8" s="123">
        <f>HLOOKUP($R8,Lookups!B$3:H$4,2,TRUE)</f>
        <v>0.05</v>
      </c>
      <c r="V8" s="6">
        <f t="shared" si="1"/>
        <v>4.4984999999999999</v>
      </c>
      <c r="W8" s="18">
        <f t="shared" si="2"/>
        <v>89.92</v>
      </c>
    </row>
    <row r="9" spans="1:23" x14ac:dyDescent="0.3">
      <c r="A9" s="12" t="s">
        <v>360</v>
      </c>
      <c r="B9" s="42">
        <f>SUM(B7-B8)</f>
        <v>915.22000000000048</v>
      </c>
      <c r="D9" s="5">
        <v>1006</v>
      </c>
      <c r="E9" s="4">
        <v>43101</v>
      </c>
      <c r="F9" s="1" t="s">
        <v>209</v>
      </c>
      <c r="G9" s="16" t="s">
        <v>210</v>
      </c>
      <c r="H9" s="1" t="s">
        <v>211</v>
      </c>
      <c r="I9" t="s">
        <v>212</v>
      </c>
      <c r="J9" s="15" t="s">
        <v>341</v>
      </c>
      <c r="L9" t="s">
        <v>344</v>
      </c>
      <c r="M9" s="9" t="s">
        <v>76</v>
      </c>
      <c r="N9" s="9">
        <v>9</v>
      </c>
      <c r="O9" s="10" t="s">
        <v>214</v>
      </c>
      <c r="P9" s="15" t="s">
        <v>342</v>
      </c>
      <c r="R9" s="5">
        <v>2</v>
      </c>
      <c r="S9" s="6">
        <v>18</v>
      </c>
      <c r="T9" s="6">
        <f t="shared" si="0"/>
        <v>36</v>
      </c>
      <c r="U9" s="123">
        <f>HLOOKUP($R9,Lookups!B$3:H$4,2,TRUE)</f>
        <v>0</v>
      </c>
      <c r="V9" s="6">
        <f t="shared" si="1"/>
        <v>0</v>
      </c>
      <c r="W9" s="18">
        <f t="shared" si="2"/>
        <v>36</v>
      </c>
    </row>
    <row r="10" spans="1:23" x14ac:dyDescent="0.3">
      <c r="D10" s="5">
        <v>1007</v>
      </c>
      <c r="E10" s="4">
        <v>43101</v>
      </c>
      <c r="F10" s="1" t="s">
        <v>215</v>
      </c>
      <c r="G10" s="16" t="s">
        <v>216</v>
      </c>
      <c r="H10" s="1" t="s">
        <v>217</v>
      </c>
      <c r="I10" t="s">
        <v>218</v>
      </c>
      <c r="J10" s="15" t="s">
        <v>341</v>
      </c>
      <c r="L10" t="s">
        <v>117</v>
      </c>
      <c r="M10" s="9" t="s">
        <v>76</v>
      </c>
      <c r="N10" s="9">
        <v>5</v>
      </c>
      <c r="O10" s="10" t="s">
        <v>220</v>
      </c>
      <c r="P10" s="15" t="s">
        <v>337</v>
      </c>
      <c r="R10" s="5">
        <v>5</v>
      </c>
      <c r="S10" s="6">
        <v>27.99</v>
      </c>
      <c r="T10" s="6">
        <f t="shared" si="0"/>
        <v>139.94999999999999</v>
      </c>
      <c r="U10" s="123">
        <f>HLOOKUP($R10,Lookups!B$3:H$4,2,TRUE)</f>
        <v>0.08</v>
      </c>
      <c r="V10" s="6">
        <f t="shared" si="1"/>
        <v>11.196</v>
      </c>
      <c r="W10" s="18">
        <f t="shared" si="2"/>
        <v>139.86999999999998</v>
      </c>
    </row>
    <row r="11" spans="1:23" x14ac:dyDescent="0.3">
      <c r="D11" s="5">
        <v>1008</v>
      </c>
      <c r="E11" s="4">
        <v>43102</v>
      </c>
      <c r="F11" s="1" t="s">
        <v>221</v>
      </c>
      <c r="G11" s="16" t="s">
        <v>180</v>
      </c>
      <c r="H11" s="1" t="s">
        <v>222</v>
      </c>
      <c r="I11" t="s">
        <v>223</v>
      </c>
      <c r="J11" s="15" t="s">
        <v>343</v>
      </c>
      <c r="L11" t="s">
        <v>110</v>
      </c>
      <c r="M11" s="9" t="s">
        <v>76</v>
      </c>
      <c r="N11" s="9">
        <v>4</v>
      </c>
      <c r="O11" s="10" t="s">
        <v>225</v>
      </c>
      <c r="P11" s="15" t="s">
        <v>342</v>
      </c>
      <c r="R11" s="5">
        <v>1</v>
      </c>
      <c r="S11" s="6">
        <v>25.99</v>
      </c>
      <c r="T11" s="6">
        <f t="shared" si="0"/>
        <v>25.99</v>
      </c>
      <c r="U11" s="123">
        <f>HLOOKUP($R11,Lookups!B$3:H$4,2,TRUE)</f>
        <v>0</v>
      </c>
      <c r="V11" s="6">
        <f t="shared" si="1"/>
        <v>0</v>
      </c>
      <c r="W11" s="18">
        <f t="shared" si="2"/>
        <v>25.99</v>
      </c>
    </row>
    <row r="12" spans="1:23" ht="15" thickBot="1" x14ac:dyDescent="0.35">
      <c r="A12" s="131" t="s">
        <v>629</v>
      </c>
      <c r="B12" s="131"/>
      <c r="D12" s="5">
        <v>1009</v>
      </c>
      <c r="E12" s="4">
        <v>43102</v>
      </c>
      <c r="F12" s="1" t="s">
        <v>226</v>
      </c>
      <c r="G12" s="16" t="s">
        <v>227</v>
      </c>
      <c r="H12" s="1" t="s">
        <v>228</v>
      </c>
      <c r="I12" t="s">
        <v>229</v>
      </c>
      <c r="J12" s="15" t="s">
        <v>341</v>
      </c>
      <c r="L12" t="s">
        <v>119</v>
      </c>
      <c r="M12" s="9" t="s">
        <v>76</v>
      </c>
      <c r="N12" s="9">
        <v>8</v>
      </c>
      <c r="O12" s="10" t="s">
        <v>231</v>
      </c>
      <c r="P12" s="15" t="s">
        <v>342</v>
      </c>
      <c r="R12" s="5">
        <v>4</v>
      </c>
      <c r="S12" s="6">
        <v>12.99</v>
      </c>
      <c r="T12" s="6">
        <f t="shared" si="0"/>
        <v>51.96</v>
      </c>
      <c r="U12" s="123">
        <f>HLOOKUP($R12,Lookups!B$3:H$4,2,TRUE)</f>
        <v>0.05</v>
      </c>
      <c r="V12" s="6">
        <f t="shared" si="1"/>
        <v>2.5980000000000003</v>
      </c>
      <c r="W12" s="18">
        <f t="shared" si="2"/>
        <v>51.910000000000004</v>
      </c>
    </row>
    <row r="13" spans="1:23" x14ac:dyDescent="0.3">
      <c r="A13" s="12" t="s">
        <v>366</v>
      </c>
      <c r="B13" s="42">
        <v>120</v>
      </c>
      <c r="D13" s="5">
        <v>1010</v>
      </c>
      <c r="E13" s="4">
        <v>43102</v>
      </c>
      <c r="F13" s="1" t="s">
        <v>232</v>
      </c>
      <c r="G13" s="16" t="s">
        <v>233</v>
      </c>
      <c r="H13" s="1" t="s">
        <v>234</v>
      </c>
      <c r="I13" t="s">
        <v>235</v>
      </c>
      <c r="J13" s="15" t="s">
        <v>343</v>
      </c>
      <c r="L13" t="s">
        <v>107</v>
      </c>
      <c r="M13" s="9" t="s">
        <v>76</v>
      </c>
      <c r="N13" s="9">
        <v>5</v>
      </c>
      <c r="O13" s="10" t="s">
        <v>237</v>
      </c>
      <c r="P13" s="15" t="s">
        <v>337</v>
      </c>
      <c r="R13" s="5">
        <v>1</v>
      </c>
      <c r="S13" s="6">
        <v>26.99</v>
      </c>
      <c r="T13" s="6">
        <f t="shared" si="0"/>
        <v>26.99</v>
      </c>
      <c r="U13" s="123">
        <f>HLOOKUP($R13,Lookups!B$3:H$4,2,TRUE)</f>
        <v>0</v>
      </c>
      <c r="V13" s="6">
        <f t="shared" si="1"/>
        <v>0</v>
      </c>
      <c r="W13" s="18">
        <f t="shared" si="2"/>
        <v>26.99</v>
      </c>
    </row>
    <row r="14" spans="1:23" x14ac:dyDescent="0.3">
      <c r="A14" s="12" t="s">
        <v>367</v>
      </c>
      <c r="B14" s="42">
        <v>160</v>
      </c>
      <c r="D14" s="5">
        <v>1011</v>
      </c>
      <c r="E14" s="4">
        <v>43102</v>
      </c>
      <c r="F14" s="1" t="s">
        <v>238</v>
      </c>
      <c r="G14" s="16" t="s">
        <v>227</v>
      </c>
      <c r="H14" s="1" t="s">
        <v>239</v>
      </c>
      <c r="I14" t="s">
        <v>240</v>
      </c>
      <c r="J14" s="15" t="s">
        <v>341</v>
      </c>
      <c r="L14" t="s">
        <v>101</v>
      </c>
      <c r="M14" s="9" t="s">
        <v>103</v>
      </c>
      <c r="N14" s="9">
        <v>7</v>
      </c>
      <c r="O14" s="10" t="s">
        <v>242</v>
      </c>
      <c r="P14" s="15" t="s">
        <v>342</v>
      </c>
      <c r="R14" s="5">
        <v>3</v>
      </c>
      <c r="S14" s="6">
        <v>15.99</v>
      </c>
      <c r="T14" s="6">
        <f t="shared" si="0"/>
        <v>47.97</v>
      </c>
      <c r="U14" s="123">
        <f>HLOOKUP($R14,Lookups!B$3:H$4,2,TRUE)</f>
        <v>0.05</v>
      </c>
      <c r="V14" s="6">
        <f t="shared" si="1"/>
        <v>2.3985000000000003</v>
      </c>
      <c r="W14" s="18">
        <f t="shared" si="2"/>
        <v>47.92</v>
      </c>
    </row>
    <row r="15" spans="1:23" x14ac:dyDescent="0.3">
      <c r="A15" s="12" t="s">
        <v>371</v>
      </c>
      <c r="B15" s="42">
        <v>320</v>
      </c>
      <c r="D15" s="5">
        <v>1012</v>
      </c>
      <c r="E15" s="4">
        <v>43102</v>
      </c>
      <c r="F15" s="1" t="s">
        <v>243</v>
      </c>
      <c r="G15" s="16" t="s">
        <v>244</v>
      </c>
      <c r="H15" s="1" t="s">
        <v>205</v>
      </c>
      <c r="I15" t="s">
        <v>245</v>
      </c>
      <c r="J15" s="15" t="s">
        <v>341</v>
      </c>
      <c r="L15" t="s">
        <v>40</v>
      </c>
      <c r="M15" s="9" t="s">
        <v>45</v>
      </c>
      <c r="N15" s="9">
        <v>7</v>
      </c>
      <c r="O15" s="10" t="s">
        <v>247</v>
      </c>
      <c r="P15" s="15" t="s">
        <v>342</v>
      </c>
      <c r="R15" s="5">
        <v>5</v>
      </c>
      <c r="S15" s="6">
        <v>20.99</v>
      </c>
      <c r="T15" s="6">
        <f t="shared" si="0"/>
        <v>104.94999999999999</v>
      </c>
      <c r="U15" s="123">
        <f>HLOOKUP($R15,Lookups!B$3:H$4,2,TRUE)</f>
        <v>0.08</v>
      </c>
      <c r="V15" s="6">
        <f t="shared" si="1"/>
        <v>8.395999999999999</v>
      </c>
      <c r="W15" s="18">
        <f t="shared" si="2"/>
        <v>104.86999999999999</v>
      </c>
    </row>
    <row r="16" spans="1:23" x14ac:dyDescent="0.3">
      <c r="A16" s="12" t="s">
        <v>372</v>
      </c>
      <c r="B16" s="42">
        <v>40</v>
      </c>
      <c r="D16" s="5">
        <v>1013</v>
      </c>
      <c r="E16" s="4">
        <v>43102</v>
      </c>
      <c r="F16" s="1" t="s">
        <v>248</v>
      </c>
      <c r="G16" s="16" t="s">
        <v>249</v>
      </c>
      <c r="H16" s="1" t="s">
        <v>345</v>
      </c>
      <c r="I16" t="s">
        <v>346</v>
      </c>
      <c r="J16" s="15" t="s">
        <v>343</v>
      </c>
      <c r="L16" t="s">
        <v>117</v>
      </c>
      <c r="M16" s="9" t="s">
        <v>76</v>
      </c>
      <c r="N16" s="9">
        <v>5</v>
      </c>
      <c r="O16" s="10" t="s">
        <v>253</v>
      </c>
      <c r="P16" s="15" t="s">
        <v>342</v>
      </c>
      <c r="R16" s="5">
        <v>1</v>
      </c>
      <c r="S16" s="6">
        <v>27.99</v>
      </c>
      <c r="T16" s="6">
        <f t="shared" si="0"/>
        <v>27.99</v>
      </c>
      <c r="U16" s="123">
        <f>HLOOKUP($R16,Lookups!B$3:H$4,2,TRUE)</f>
        <v>0</v>
      </c>
      <c r="V16" s="6">
        <f t="shared" si="1"/>
        <v>0</v>
      </c>
      <c r="W16" s="18">
        <f t="shared" si="2"/>
        <v>27.99</v>
      </c>
    </row>
    <row r="17" spans="1:23" x14ac:dyDescent="0.3">
      <c r="A17" s="12" t="s">
        <v>373</v>
      </c>
      <c r="B17" s="42">
        <v>100</v>
      </c>
      <c r="D17" s="5">
        <v>1014</v>
      </c>
      <c r="E17" s="4">
        <v>43104</v>
      </c>
      <c r="F17" s="1" t="s">
        <v>254</v>
      </c>
      <c r="G17" s="16" t="s">
        <v>255</v>
      </c>
      <c r="H17" s="1" t="s">
        <v>239</v>
      </c>
      <c r="I17" t="s">
        <v>256</v>
      </c>
      <c r="J17" s="15" t="s">
        <v>343</v>
      </c>
      <c r="L17" t="s">
        <v>107</v>
      </c>
      <c r="M17" s="9" t="s">
        <v>76</v>
      </c>
      <c r="N17" s="9">
        <v>5</v>
      </c>
      <c r="O17" s="10" t="s">
        <v>258</v>
      </c>
      <c r="P17" s="15" t="s">
        <v>342</v>
      </c>
      <c r="R17" s="5">
        <v>1</v>
      </c>
      <c r="S17" s="6">
        <v>26.99</v>
      </c>
      <c r="T17" s="6">
        <f t="shared" si="0"/>
        <v>26.99</v>
      </c>
      <c r="U17" s="123">
        <f>HLOOKUP($R17,Lookups!B$3:H$4,2,TRUE)</f>
        <v>0</v>
      </c>
      <c r="V17" s="6">
        <f t="shared" si="1"/>
        <v>0</v>
      </c>
      <c r="W17" s="18">
        <f t="shared" si="2"/>
        <v>26.99</v>
      </c>
    </row>
    <row r="18" spans="1:23" x14ac:dyDescent="0.3">
      <c r="A18" s="12" t="s">
        <v>349</v>
      </c>
      <c r="B18" s="42">
        <f>SUM(B13:B17)</f>
        <v>740</v>
      </c>
      <c r="D18" s="5">
        <v>1015</v>
      </c>
      <c r="E18" s="4">
        <v>43104</v>
      </c>
      <c r="F18" s="1" t="s">
        <v>259</v>
      </c>
      <c r="G18" s="16" t="s">
        <v>260</v>
      </c>
      <c r="H18" s="1" t="s">
        <v>261</v>
      </c>
      <c r="I18" t="s">
        <v>182</v>
      </c>
      <c r="J18" s="15" t="s">
        <v>341</v>
      </c>
      <c r="L18" t="s">
        <v>125</v>
      </c>
      <c r="M18" s="9" t="s">
        <v>128</v>
      </c>
      <c r="N18" s="9">
        <v>6</v>
      </c>
      <c r="O18" s="10" t="s">
        <v>263</v>
      </c>
      <c r="P18" s="15" t="s">
        <v>337</v>
      </c>
      <c r="R18" s="5">
        <v>5</v>
      </c>
      <c r="S18" s="6">
        <v>20.99</v>
      </c>
      <c r="T18" s="6">
        <f t="shared" si="0"/>
        <v>104.94999999999999</v>
      </c>
      <c r="U18" s="123">
        <f>HLOOKUP($R18,Lookups!B$3:H$4,2,TRUE)</f>
        <v>0.08</v>
      </c>
      <c r="V18" s="6">
        <f t="shared" si="1"/>
        <v>8.395999999999999</v>
      </c>
      <c r="W18" s="18">
        <f t="shared" si="2"/>
        <v>104.86999999999999</v>
      </c>
    </row>
    <row r="19" spans="1:23" x14ac:dyDescent="0.3">
      <c r="D19" s="5">
        <v>1016</v>
      </c>
      <c r="E19" s="4">
        <v>43104</v>
      </c>
      <c r="F19" s="1" t="s">
        <v>264</v>
      </c>
      <c r="G19" s="16" t="s">
        <v>265</v>
      </c>
      <c r="H19" s="1" t="s">
        <v>266</v>
      </c>
      <c r="I19" t="s">
        <v>267</v>
      </c>
      <c r="J19" s="15" t="s">
        <v>343</v>
      </c>
      <c r="L19" t="s">
        <v>73</v>
      </c>
      <c r="M19" s="9" t="s">
        <v>76</v>
      </c>
      <c r="N19" s="9">
        <v>6</v>
      </c>
      <c r="O19" s="10" t="s">
        <v>269</v>
      </c>
      <c r="P19" s="15" t="s">
        <v>342</v>
      </c>
      <c r="R19" s="5">
        <v>1</v>
      </c>
      <c r="S19" s="6">
        <v>19.989999999999998</v>
      </c>
      <c r="T19" s="6">
        <f t="shared" si="0"/>
        <v>19.989999999999998</v>
      </c>
      <c r="U19" s="123">
        <f>HLOOKUP($R19,Lookups!B$3:H$4,2,TRUE)</f>
        <v>0</v>
      </c>
      <c r="V19" s="6">
        <f t="shared" si="1"/>
        <v>0</v>
      </c>
      <c r="W19" s="18">
        <f t="shared" si="2"/>
        <v>19.989999999999998</v>
      </c>
    </row>
    <row r="20" spans="1:23" x14ac:dyDescent="0.3">
      <c r="D20" s="5">
        <v>1017</v>
      </c>
      <c r="E20" s="4">
        <v>43104</v>
      </c>
      <c r="F20" s="1" t="s">
        <v>270</v>
      </c>
      <c r="G20" s="16" t="s">
        <v>271</v>
      </c>
      <c r="H20" s="1" t="s">
        <v>205</v>
      </c>
      <c r="I20" t="s">
        <v>272</v>
      </c>
      <c r="J20" s="15" t="s">
        <v>341</v>
      </c>
      <c r="L20" t="s">
        <v>160</v>
      </c>
      <c r="M20" s="9" t="s">
        <v>76</v>
      </c>
      <c r="N20" s="9">
        <v>4</v>
      </c>
      <c r="O20" s="10" t="s">
        <v>274</v>
      </c>
      <c r="P20" s="15" t="s">
        <v>342</v>
      </c>
      <c r="R20" s="5">
        <v>4</v>
      </c>
      <c r="S20" s="6">
        <v>20.99</v>
      </c>
      <c r="T20" s="6">
        <f t="shared" si="0"/>
        <v>83.96</v>
      </c>
      <c r="U20" s="123">
        <f>HLOOKUP($R20,Lookups!B$3:H$4,2,TRUE)</f>
        <v>0.05</v>
      </c>
      <c r="V20" s="6">
        <f t="shared" si="1"/>
        <v>4.1979999999999995</v>
      </c>
      <c r="W20" s="18">
        <f t="shared" si="2"/>
        <v>83.91</v>
      </c>
    </row>
    <row r="21" spans="1:23" x14ac:dyDescent="0.3">
      <c r="D21" s="5">
        <v>1018</v>
      </c>
      <c r="E21" s="4">
        <v>43105</v>
      </c>
      <c r="F21" s="1" t="s">
        <v>275</v>
      </c>
      <c r="G21" s="16" t="s">
        <v>233</v>
      </c>
      <c r="H21" s="1" t="s">
        <v>276</v>
      </c>
      <c r="I21" t="s">
        <v>277</v>
      </c>
      <c r="J21" s="15" t="s">
        <v>341</v>
      </c>
      <c r="L21" t="s">
        <v>154</v>
      </c>
      <c r="M21" s="9" t="s">
        <v>76</v>
      </c>
      <c r="N21" s="9">
        <v>5</v>
      </c>
      <c r="O21" s="10" t="s">
        <v>279</v>
      </c>
      <c r="P21" s="15" t="s">
        <v>337</v>
      </c>
      <c r="R21" s="5">
        <v>1</v>
      </c>
      <c r="S21" s="6">
        <v>27.99</v>
      </c>
      <c r="T21" s="6">
        <f t="shared" si="0"/>
        <v>27.99</v>
      </c>
      <c r="U21" s="123">
        <f>HLOOKUP($R21,Lookups!B$3:H$4,2,TRUE)</f>
        <v>0</v>
      </c>
      <c r="V21" s="6">
        <f t="shared" si="1"/>
        <v>0</v>
      </c>
      <c r="W21" s="18">
        <f t="shared" si="2"/>
        <v>27.99</v>
      </c>
    </row>
    <row r="22" spans="1:23" x14ac:dyDescent="0.3">
      <c r="D22" s="5">
        <v>1019</v>
      </c>
      <c r="E22" s="4">
        <v>43105</v>
      </c>
      <c r="F22" s="1" t="s">
        <v>179</v>
      </c>
      <c r="G22" s="16" t="s">
        <v>280</v>
      </c>
      <c r="H22" s="1" t="s">
        <v>261</v>
      </c>
      <c r="I22" t="s">
        <v>281</v>
      </c>
      <c r="J22" s="15" t="s">
        <v>343</v>
      </c>
      <c r="L22" t="s">
        <v>162</v>
      </c>
      <c r="M22" s="9" t="s">
        <v>39</v>
      </c>
      <c r="N22" s="9">
        <v>5</v>
      </c>
      <c r="O22" s="10" t="s">
        <v>283</v>
      </c>
      <c r="P22" s="15" t="s">
        <v>337</v>
      </c>
      <c r="R22" s="5">
        <v>3</v>
      </c>
      <c r="S22" s="6">
        <v>29.99</v>
      </c>
      <c r="T22" s="6">
        <f t="shared" si="0"/>
        <v>89.97</v>
      </c>
      <c r="U22" s="123">
        <f>HLOOKUP($R22,Lookups!B$3:H$4,2,TRUE)</f>
        <v>0.05</v>
      </c>
      <c r="V22" s="6">
        <f>SUM(T22*U22)</f>
        <v>4.4984999999999999</v>
      </c>
      <c r="W22" s="18">
        <f t="shared" si="2"/>
        <v>89.92</v>
      </c>
    </row>
    <row r="23" spans="1:23" x14ac:dyDescent="0.3">
      <c r="D23" s="5">
        <v>1020</v>
      </c>
      <c r="E23" s="4">
        <v>43105</v>
      </c>
      <c r="F23" s="1" t="s">
        <v>284</v>
      </c>
      <c r="G23" s="16" t="s">
        <v>280</v>
      </c>
      <c r="H23" s="1" t="s">
        <v>285</v>
      </c>
      <c r="I23" t="s">
        <v>286</v>
      </c>
      <c r="J23" s="15" t="s">
        <v>341</v>
      </c>
      <c r="L23" t="s">
        <v>58</v>
      </c>
      <c r="M23" s="9" t="s">
        <v>62</v>
      </c>
      <c r="N23" s="9">
        <v>8</v>
      </c>
      <c r="O23" s="10" t="s">
        <v>288</v>
      </c>
      <c r="P23" s="15" t="s">
        <v>337</v>
      </c>
      <c r="R23" s="5">
        <v>4</v>
      </c>
      <c r="S23" s="6">
        <v>15.99</v>
      </c>
      <c r="T23" s="6">
        <f t="shared" si="0"/>
        <v>63.96</v>
      </c>
      <c r="U23" s="123">
        <f>HLOOKUP($R23,Lookups!B$3:H$4,2,TRUE)</f>
        <v>0.05</v>
      </c>
      <c r="V23" s="6">
        <f t="shared" si="1"/>
        <v>3.1980000000000004</v>
      </c>
      <c r="W23" s="18">
        <f t="shared" si="2"/>
        <v>63.910000000000004</v>
      </c>
    </row>
    <row r="24" spans="1:23" x14ac:dyDescent="0.3">
      <c r="D24" s="5">
        <v>1021</v>
      </c>
      <c r="E24" s="4">
        <v>43106</v>
      </c>
      <c r="F24" s="1" t="s">
        <v>289</v>
      </c>
      <c r="G24" s="16" t="s">
        <v>204</v>
      </c>
      <c r="H24" s="1" t="s">
        <v>290</v>
      </c>
      <c r="I24" t="s">
        <v>277</v>
      </c>
      <c r="J24" s="15" t="s">
        <v>341</v>
      </c>
      <c r="L24" t="s">
        <v>99</v>
      </c>
      <c r="M24" s="9" t="s">
        <v>39</v>
      </c>
      <c r="N24" s="9">
        <v>8</v>
      </c>
      <c r="O24" s="10" t="s">
        <v>291</v>
      </c>
      <c r="P24" s="15" t="s">
        <v>342</v>
      </c>
      <c r="R24" s="5">
        <v>5</v>
      </c>
      <c r="S24" s="6">
        <v>13.99</v>
      </c>
      <c r="T24" s="6">
        <f t="shared" si="0"/>
        <v>69.95</v>
      </c>
      <c r="U24" s="123">
        <f>HLOOKUP($R24,Lookups!B$3:H$4,2,TRUE)</f>
        <v>0.08</v>
      </c>
      <c r="V24" s="6">
        <f t="shared" si="1"/>
        <v>5.5960000000000001</v>
      </c>
      <c r="W24" s="18">
        <f t="shared" si="2"/>
        <v>69.87</v>
      </c>
    </row>
    <row r="25" spans="1:23" x14ac:dyDescent="0.3">
      <c r="D25" s="5">
        <v>1022</v>
      </c>
      <c r="E25" s="4">
        <v>43106</v>
      </c>
      <c r="F25" s="1" t="s">
        <v>292</v>
      </c>
      <c r="G25" s="16" t="s">
        <v>227</v>
      </c>
      <c r="H25" s="1" t="s">
        <v>293</v>
      </c>
      <c r="I25" t="s">
        <v>294</v>
      </c>
      <c r="J25" s="15" t="s">
        <v>341</v>
      </c>
      <c r="L25" t="s">
        <v>119</v>
      </c>
      <c r="M25" s="9" t="s">
        <v>76</v>
      </c>
      <c r="N25" s="9">
        <v>8</v>
      </c>
      <c r="O25" s="10" t="s">
        <v>295</v>
      </c>
      <c r="P25" s="15" t="s">
        <v>342</v>
      </c>
      <c r="R25" s="5">
        <v>3</v>
      </c>
      <c r="S25" s="6">
        <v>22.99</v>
      </c>
      <c r="T25" s="6">
        <f t="shared" si="0"/>
        <v>68.97</v>
      </c>
      <c r="U25" s="123">
        <f>HLOOKUP($R25,Lookups!B$3:H$4,2,TRUE)</f>
        <v>0.05</v>
      </c>
      <c r="V25" s="6">
        <f t="shared" si="1"/>
        <v>3.4485000000000001</v>
      </c>
      <c r="W25" s="18">
        <f t="shared" si="2"/>
        <v>68.92</v>
      </c>
    </row>
    <row r="26" spans="1:23" x14ac:dyDescent="0.3">
      <c r="D26" s="5">
        <v>1023</v>
      </c>
      <c r="E26" s="4">
        <v>43106</v>
      </c>
      <c r="F26" s="1" t="s">
        <v>296</v>
      </c>
      <c r="G26" s="16" t="s">
        <v>204</v>
      </c>
      <c r="H26" s="1" t="s">
        <v>297</v>
      </c>
      <c r="I26" t="s">
        <v>298</v>
      </c>
      <c r="J26" s="15" t="s">
        <v>343</v>
      </c>
      <c r="L26" t="s">
        <v>58</v>
      </c>
      <c r="M26" s="9" t="s">
        <v>347</v>
      </c>
      <c r="N26" s="9">
        <v>8</v>
      </c>
      <c r="O26" s="10" t="s">
        <v>300</v>
      </c>
      <c r="P26" s="15" t="s">
        <v>342</v>
      </c>
      <c r="R26" s="5">
        <v>1</v>
      </c>
      <c r="S26" s="6">
        <v>15.99</v>
      </c>
      <c r="T26" s="6">
        <f t="shared" si="0"/>
        <v>15.99</v>
      </c>
      <c r="U26" s="123">
        <f>HLOOKUP($R26,Lookups!B$3:H$4,2,TRUE)</f>
        <v>0</v>
      </c>
      <c r="V26" s="6">
        <f t="shared" si="1"/>
        <v>0</v>
      </c>
      <c r="W26" s="18">
        <f t="shared" si="2"/>
        <v>15.99</v>
      </c>
    </row>
    <row r="27" spans="1:23" x14ac:dyDescent="0.3">
      <c r="D27" s="5">
        <v>1024</v>
      </c>
      <c r="E27" s="4">
        <v>43106</v>
      </c>
      <c r="F27" s="1" t="s">
        <v>301</v>
      </c>
      <c r="G27" s="16" t="s">
        <v>302</v>
      </c>
      <c r="H27" s="1" t="s">
        <v>297</v>
      </c>
      <c r="I27" t="s">
        <v>303</v>
      </c>
      <c r="J27" s="15" t="s">
        <v>341</v>
      </c>
      <c r="L27" t="s">
        <v>58</v>
      </c>
      <c r="M27" s="9" t="s">
        <v>62</v>
      </c>
      <c r="N27" s="9">
        <v>8</v>
      </c>
      <c r="O27" s="10" t="s">
        <v>305</v>
      </c>
      <c r="P27" s="15" t="s">
        <v>342</v>
      </c>
      <c r="R27" s="5">
        <v>4</v>
      </c>
      <c r="S27" s="6">
        <v>15.99</v>
      </c>
      <c r="T27" s="6">
        <f t="shared" si="0"/>
        <v>63.96</v>
      </c>
      <c r="U27" s="123">
        <f>HLOOKUP($R27,Lookups!B$3:H$4,2,TRUE)</f>
        <v>0.05</v>
      </c>
      <c r="V27" s="6">
        <f t="shared" si="1"/>
        <v>3.1980000000000004</v>
      </c>
      <c r="W27" s="18">
        <f t="shared" si="2"/>
        <v>63.910000000000004</v>
      </c>
    </row>
    <row r="28" spans="1:23" x14ac:dyDescent="0.3">
      <c r="D28" s="5">
        <v>1025</v>
      </c>
      <c r="E28" s="4">
        <v>43106</v>
      </c>
      <c r="F28" s="1" t="s">
        <v>306</v>
      </c>
      <c r="G28" s="16" t="s">
        <v>180</v>
      </c>
      <c r="H28" s="1" t="s">
        <v>297</v>
      </c>
      <c r="I28" t="s">
        <v>307</v>
      </c>
      <c r="J28" s="15" t="s">
        <v>343</v>
      </c>
      <c r="L28" t="s">
        <v>99</v>
      </c>
      <c r="M28" s="9" t="s">
        <v>39</v>
      </c>
      <c r="N28" s="9">
        <v>8</v>
      </c>
      <c r="O28" s="10" t="s">
        <v>309</v>
      </c>
      <c r="P28" s="15" t="s">
        <v>342</v>
      </c>
      <c r="R28" s="5">
        <v>1</v>
      </c>
      <c r="S28" s="6">
        <v>13.99</v>
      </c>
      <c r="T28" s="6">
        <f t="shared" si="0"/>
        <v>13.99</v>
      </c>
      <c r="U28" s="123">
        <f>HLOOKUP($R28,Lookups!B$3:H$4,2,TRUE)</f>
        <v>0</v>
      </c>
      <c r="V28" s="6">
        <f t="shared" si="1"/>
        <v>0</v>
      </c>
      <c r="W28" s="18">
        <f t="shared" si="2"/>
        <v>13.99</v>
      </c>
    </row>
    <row r="29" spans="1:23" x14ac:dyDescent="0.3">
      <c r="D29" s="5">
        <v>1026</v>
      </c>
      <c r="E29" s="4">
        <v>43106</v>
      </c>
      <c r="F29" s="1" t="s">
        <v>310</v>
      </c>
      <c r="G29" s="16" t="s">
        <v>311</v>
      </c>
      <c r="H29" s="1" t="s">
        <v>312</v>
      </c>
      <c r="I29" t="s">
        <v>313</v>
      </c>
      <c r="J29" s="15" t="s">
        <v>341</v>
      </c>
      <c r="L29" t="s">
        <v>125</v>
      </c>
      <c r="M29" s="9" t="s">
        <v>128</v>
      </c>
      <c r="N29" s="9">
        <v>6</v>
      </c>
      <c r="O29" s="10" t="s">
        <v>314</v>
      </c>
      <c r="P29" s="15" t="s">
        <v>337</v>
      </c>
      <c r="R29" s="5">
        <v>2</v>
      </c>
      <c r="S29" s="6">
        <v>25.99</v>
      </c>
      <c r="T29" s="6">
        <f t="shared" si="0"/>
        <v>51.98</v>
      </c>
      <c r="U29" s="123">
        <f>HLOOKUP($R29,Lookups!B$3:H$4,2,TRUE)</f>
        <v>0</v>
      </c>
      <c r="V29" s="6">
        <f t="shared" si="1"/>
        <v>0</v>
      </c>
      <c r="W29" s="18">
        <f t="shared" si="2"/>
        <v>51.98</v>
      </c>
    </row>
    <row r="30" spans="1:23" x14ac:dyDescent="0.3">
      <c r="D30" s="5">
        <v>1027</v>
      </c>
      <c r="E30" s="4">
        <v>43106</v>
      </c>
      <c r="F30" s="1" t="s">
        <v>315</v>
      </c>
      <c r="G30" s="16" t="s">
        <v>204</v>
      </c>
      <c r="H30" s="1" t="s">
        <v>181</v>
      </c>
      <c r="I30" t="s">
        <v>316</v>
      </c>
      <c r="J30" s="15" t="s">
        <v>343</v>
      </c>
      <c r="L30" t="s">
        <v>40</v>
      </c>
      <c r="M30" s="9" t="s">
        <v>45</v>
      </c>
      <c r="N30" s="9">
        <v>7</v>
      </c>
      <c r="O30" s="10" t="s">
        <v>317</v>
      </c>
      <c r="P30" s="15" t="s">
        <v>337</v>
      </c>
      <c r="R30" s="5">
        <v>1</v>
      </c>
      <c r="S30" s="6">
        <v>23.99</v>
      </c>
      <c r="T30" s="6">
        <f t="shared" si="0"/>
        <v>23.99</v>
      </c>
      <c r="U30" s="123">
        <f>HLOOKUP($R30,Lookups!B$3:H$4,2,TRUE)</f>
        <v>0</v>
      </c>
      <c r="V30" s="6">
        <f t="shared" si="1"/>
        <v>0</v>
      </c>
      <c r="W30" s="18">
        <f t="shared" si="2"/>
        <v>23.99</v>
      </c>
    </row>
    <row r="31" spans="1:23" x14ac:dyDescent="0.3">
      <c r="D31" s="5">
        <v>1028</v>
      </c>
      <c r="E31" s="4">
        <v>43106</v>
      </c>
      <c r="F31" s="1" t="s">
        <v>318</v>
      </c>
      <c r="G31" s="16" t="s">
        <v>319</v>
      </c>
      <c r="H31" s="1" t="s">
        <v>290</v>
      </c>
      <c r="I31" t="s">
        <v>320</v>
      </c>
      <c r="J31" s="15" t="s">
        <v>343</v>
      </c>
      <c r="L31" t="s">
        <v>154</v>
      </c>
      <c r="M31" s="9" t="s">
        <v>76</v>
      </c>
      <c r="N31" s="9">
        <v>5</v>
      </c>
      <c r="O31" s="10" t="s">
        <v>321</v>
      </c>
      <c r="P31" s="15" t="s">
        <v>342</v>
      </c>
      <c r="R31" s="5">
        <v>1</v>
      </c>
      <c r="S31" s="6">
        <v>27.99</v>
      </c>
      <c r="T31" s="6">
        <f t="shared" si="0"/>
        <v>27.99</v>
      </c>
      <c r="U31" s="123">
        <f>HLOOKUP($R31,Lookups!B$3:H$4,2,TRUE)</f>
        <v>0</v>
      </c>
      <c r="V31" s="6">
        <f t="shared" si="1"/>
        <v>0</v>
      </c>
      <c r="W31" s="18">
        <f t="shared" si="2"/>
        <v>27.99</v>
      </c>
    </row>
    <row r="32" spans="1:23" x14ac:dyDescent="0.3">
      <c r="D32" s="5">
        <v>1029</v>
      </c>
      <c r="E32" s="4">
        <v>43106</v>
      </c>
      <c r="F32" s="1" t="s">
        <v>322</v>
      </c>
      <c r="G32" s="16" t="s">
        <v>204</v>
      </c>
      <c r="H32" s="1" t="s">
        <v>181</v>
      </c>
      <c r="I32" t="s">
        <v>323</v>
      </c>
      <c r="J32" s="15" t="s">
        <v>341</v>
      </c>
      <c r="L32" t="s">
        <v>113</v>
      </c>
      <c r="M32" s="9" t="s">
        <v>116</v>
      </c>
      <c r="N32" s="9">
        <v>3</v>
      </c>
      <c r="O32" s="10" t="s">
        <v>325</v>
      </c>
      <c r="P32" s="15" t="s">
        <v>342</v>
      </c>
      <c r="R32" s="5">
        <v>3</v>
      </c>
      <c r="S32" s="6">
        <v>25.99</v>
      </c>
      <c r="T32" s="6">
        <f t="shared" si="0"/>
        <v>77.97</v>
      </c>
      <c r="U32" s="123">
        <f>HLOOKUP($R32,Lookups!B$3:H$4,2,TRUE)</f>
        <v>0.05</v>
      </c>
      <c r="V32" s="6">
        <f t="shared" si="1"/>
        <v>3.8985000000000003</v>
      </c>
      <c r="W32" s="18">
        <f t="shared" si="2"/>
        <v>77.92</v>
      </c>
    </row>
    <row r="33" spans="4:23" x14ac:dyDescent="0.3">
      <c r="D33" s="5">
        <v>1030</v>
      </c>
      <c r="E33" s="4">
        <v>43106</v>
      </c>
      <c r="F33" s="1" t="s">
        <v>326</v>
      </c>
      <c r="G33" s="16" t="s">
        <v>327</v>
      </c>
      <c r="H33" s="1" t="s">
        <v>285</v>
      </c>
      <c r="I33" t="s">
        <v>328</v>
      </c>
      <c r="J33" s="15" t="s">
        <v>341</v>
      </c>
      <c r="L33" t="s">
        <v>149</v>
      </c>
      <c r="M33" s="9" t="s">
        <v>39</v>
      </c>
      <c r="N33" s="9">
        <v>3</v>
      </c>
      <c r="O33" s="10" t="s">
        <v>330</v>
      </c>
      <c r="P33" s="15" t="s">
        <v>342</v>
      </c>
      <c r="R33" s="5">
        <v>2</v>
      </c>
      <c r="S33" s="6">
        <v>17.989999999999998</v>
      </c>
      <c r="T33" s="6">
        <f t="shared" si="0"/>
        <v>35.979999999999997</v>
      </c>
      <c r="U33" s="123">
        <f>HLOOKUP($R33,Lookups!B$3:H$4,2,TRUE)</f>
        <v>0</v>
      </c>
      <c r="V33" s="6">
        <f t="shared" si="1"/>
        <v>0</v>
      </c>
      <c r="W33" s="18">
        <f t="shared" si="2"/>
        <v>35.979999999999997</v>
      </c>
    </row>
  </sheetData>
  <mergeCells count="2">
    <mergeCell ref="A6:B6"/>
    <mergeCell ref="A12:B12"/>
  </mergeCells>
  <dataValidations count="2">
    <dataValidation type="list" allowBlank="1" showInputMessage="1" showErrorMessage="1" sqref="J35:J114 J4:J33" xr:uid="{78FD532B-E308-4251-AD08-1EA7FBDA850F}">
      <formula1>$K$4:$K$5</formula1>
    </dataValidation>
    <dataValidation type="list" allowBlank="1" showInputMessage="1" showErrorMessage="1" sqref="P35:P228 P4:P33" xr:uid="{2E11A38C-7F4E-4609-ACCE-FCA7749A6680}">
      <formula1>$Q$3:$Q$4</formula1>
    </dataValidation>
  </dataValidations>
  <pageMargins left="0.7" right="0.7" top="0.75" bottom="0.75" header="0.3" footer="0.3"/>
  <pageSetup paperSize="9"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0EC0B-36FC-4BF9-86BB-13B459140FDF}">
  <sheetPr codeName="Sheet5">
    <tabColor theme="7" tint="-0.499984740745262"/>
  </sheetPr>
  <dimension ref="A3:Z36"/>
  <sheetViews>
    <sheetView workbookViewId="0">
      <pane xSplit="3" topLeftCell="M1" activePane="topRight" state="frozen"/>
      <selection pane="topRight" activeCell="Y11" sqref="Y11"/>
    </sheetView>
  </sheetViews>
  <sheetFormatPr defaultRowHeight="14.4" x14ac:dyDescent="0.3"/>
  <cols>
    <col min="1" max="1" width="11.5546875" style="12" bestFit="1" customWidth="1"/>
    <col min="2" max="2" width="11" style="12" customWidth="1"/>
    <col min="3" max="3" width="0.44140625" style="57" customWidth="1"/>
    <col min="4" max="4" width="11" customWidth="1"/>
    <col min="5" max="5" width="11.6640625" style="4" customWidth="1"/>
    <col min="6" max="6" width="16.33203125" style="1" bestFit="1" customWidth="1"/>
    <col min="7" max="7" width="13.109375" style="1" bestFit="1" customWidth="1"/>
    <col min="8" max="8" width="19.109375" style="1" bestFit="1" customWidth="1"/>
    <col min="9" max="9" width="18" bestFit="1" customWidth="1"/>
    <col min="10" max="10" width="15.33203125" style="15" bestFit="1" customWidth="1"/>
    <col min="11" max="11" width="0" hidden="1" customWidth="1"/>
    <col min="12" max="12" width="18.44140625" bestFit="1" customWidth="1"/>
    <col min="13" max="13" width="12" style="9" customWidth="1"/>
    <col min="14" max="14" width="12" style="5" customWidth="1"/>
    <col min="15" max="15" width="12" style="10" customWidth="1"/>
    <col min="16" max="16" width="12" style="15" customWidth="1"/>
    <col min="17" max="17" width="0" hidden="1" customWidth="1"/>
    <col min="18" max="18" width="12" style="5" customWidth="1"/>
    <col min="19" max="20" width="12" style="6" customWidth="1"/>
    <col min="21" max="21" width="12" style="123" customWidth="1"/>
    <col min="22" max="23" width="12" style="6" customWidth="1"/>
    <col min="25" max="25" width="14.33203125" bestFit="1" customWidth="1"/>
    <col min="26" max="26" width="11" customWidth="1"/>
  </cols>
  <sheetData>
    <row r="3" spans="1:26" ht="15" thickBot="1" x14ac:dyDescent="0.35">
      <c r="D3" s="47" t="s">
        <v>331</v>
      </c>
      <c r="E3" s="53" t="s">
        <v>332</v>
      </c>
      <c r="F3" s="45" t="s">
        <v>333</v>
      </c>
      <c r="G3" s="45" t="s">
        <v>9</v>
      </c>
      <c r="H3" s="45" t="s">
        <v>174</v>
      </c>
      <c r="I3" s="47" t="s">
        <v>11</v>
      </c>
      <c r="J3" s="48" t="s">
        <v>348</v>
      </c>
      <c r="K3" s="47" t="s">
        <v>334</v>
      </c>
      <c r="L3" s="49" t="s">
        <v>21</v>
      </c>
      <c r="M3" s="49" t="s">
        <v>29</v>
      </c>
      <c r="N3" s="43" t="s">
        <v>335</v>
      </c>
      <c r="O3" s="50" t="s">
        <v>16</v>
      </c>
      <c r="P3" s="48" t="s">
        <v>336</v>
      </c>
      <c r="Q3" s="47" t="s">
        <v>337</v>
      </c>
      <c r="R3" s="43" t="s">
        <v>338</v>
      </c>
      <c r="S3" s="51" t="s">
        <v>2</v>
      </c>
      <c r="T3" s="51" t="s">
        <v>339</v>
      </c>
      <c r="U3" s="122" t="s">
        <v>665</v>
      </c>
      <c r="V3" s="51" t="s">
        <v>666</v>
      </c>
      <c r="W3" s="51" t="s">
        <v>340</v>
      </c>
      <c r="Y3" s="12"/>
      <c r="Z3" s="12"/>
    </row>
    <row r="4" spans="1:26" x14ac:dyDescent="0.3">
      <c r="D4" s="12">
        <v>1031</v>
      </c>
      <c r="E4" s="4">
        <v>43108</v>
      </c>
      <c r="F4" s="1" t="s">
        <v>226</v>
      </c>
      <c r="G4" s="1" t="s">
        <v>227</v>
      </c>
      <c r="H4" s="1" t="s">
        <v>228</v>
      </c>
      <c r="I4" s="12" t="s">
        <v>229</v>
      </c>
      <c r="J4" s="15" t="s">
        <v>341</v>
      </c>
      <c r="K4" s="12" t="s">
        <v>341</v>
      </c>
      <c r="L4" s="12" t="s">
        <v>99</v>
      </c>
      <c r="M4" s="9" t="s">
        <v>148</v>
      </c>
      <c r="N4" s="5">
        <v>8</v>
      </c>
      <c r="O4" s="19" t="s">
        <v>185</v>
      </c>
      <c r="P4" s="15" t="s">
        <v>342</v>
      </c>
      <c r="Q4" s="12" t="s">
        <v>342</v>
      </c>
      <c r="R4" s="5">
        <v>4</v>
      </c>
      <c r="S4" s="6">
        <v>14.99</v>
      </c>
      <c r="T4" s="6">
        <f>SUM(S4*R4)</f>
        <v>59.96</v>
      </c>
      <c r="U4" s="123">
        <f>HLOOKUP($R4,Lookups!$B$3:$H$4,2,TRUE)</f>
        <v>0.05</v>
      </c>
      <c r="V4" s="6">
        <f>SUM(T4*U4)</f>
        <v>2.9980000000000002</v>
      </c>
      <c r="W4" s="6">
        <f>SUM(T$4-V4)</f>
        <v>56.962000000000003</v>
      </c>
    </row>
    <row r="5" spans="1:26" x14ac:dyDescent="0.3">
      <c r="D5" s="12">
        <v>1032</v>
      </c>
      <c r="E5" s="4">
        <v>43108</v>
      </c>
      <c r="F5" s="1" t="s">
        <v>198</v>
      </c>
      <c r="G5" s="1" t="s">
        <v>193</v>
      </c>
      <c r="H5" s="1" t="s">
        <v>199</v>
      </c>
      <c r="I5" s="12" t="s">
        <v>200</v>
      </c>
      <c r="J5" s="15" t="s">
        <v>341</v>
      </c>
      <c r="K5" s="12" t="s">
        <v>343</v>
      </c>
      <c r="L5" s="12" t="s">
        <v>99</v>
      </c>
      <c r="M5" s="9" t="s">
        <v>62</v>
      </c>
      <c r="N5" s="5">
        <v>7</v>
      </c>
      <c r="O5" s="19">
        <v>2134345</v>
      </c>
      <c r="P5" s="15" t="s">
        <v>342</v>
      </c>
      <c r="Q5" s="12"/>
      <c r="R5" s="5">
        <v>5</v>
      </c>
      <c r="S5" s="6">
        <v>14.99</v>
      </c>
      <c r="T5" s="6">
        <f t="shared" ref="T5:T33" si="0">SUM(S5*R5)</f>
        <v>74.95</v>
      </c>
      <c r="U5" s="123">
        <f>HLOOKUP($R5,Lookups!$B$3:$H$4,2,TRUE)</f>
        <v>0.08</v>
      </c>
      <c r="V5" s="6">
        <f t="shared" ref="V5:V33" si="1">SUM(T5*U5)</f>
        <v>5.9960000000000004</v>
      </c>
      <c r="W5" s="6">
        <f t="shared" ref="W5:W33" si="2">SUM(T$4-V5)</f>
        <v>53.963999999999999</v>
      </c>
    </row>
    <row r="6" spans="1:26" ht="18" thickBot="1" x14ac:dyDescent="0.4">
      <c r="A6" s="132" t="s">
        <v>633</v>
      </c>
      <c r="B6" s="132"/>
      <c r="D6" s="12">
        <v>1033</v>
      </c>
      <c r="E6" s="4">
        <v>43108</v>
      </c>
      <c r="F6" s="1" t="s">
        <v>192</v>
      </c>
      <c r="G6" s="1" t="s">
        <v>193</v>
      </c>
      <c r="H6" s="1" t="s">
        <v>194</v>
      </c>
      <c r="I6" s="12" t="s">
        <v>195</v>
      </c>
      <c r="J6" s="15" t="s">
        <v>341</v>
      </c>
      <c r="K6" s="12"/>
      <c r="L6" s="12" t="s">
        <v>99</v>
      </c>
      <c r="M6" s="9" t="s">
        <v>62</v>
      </c>
      <c r="N6" s="5">
        <v>8</v>
      </c>
      <c r="O6" s="19">
        <v>1387632</v>
      </c>
      <c r="P6" s="15" t="s">
        <v>342</v>
      </c>
      <c r="Q6" s="12"/>
      <c r="R6" s="5">
        <v>4</v>
      </c>
      <c r="S6" s="6">
        <v>13.99</v>
      </c>
      <c r="T6" s="6">
        <f t="shared" si="0"/>
        <v>55.96</v>
      </c>
      <c r="U6" s="123">
        <f>HLOOKUP($R6,Lookups!$B$3:$H$4,2,TRUE)</f>
        <v>0.05</v>
      </c>
      <c r="V6" s="6">
        <f t="shared" si="1"/>
        <v>2.798</v>
      </c>
      <c r="W6" s="6">
        <f t="shared" si="2"/>
        <v>57.161999999999999</v>
      </c>
    </row>
    <row r="7" spans="1:26" ht="15" thickTop="1" x14ac:dyDescent="0.3">
      <c r="A7" s="12" t="s">
        <v>358</v>
      </c>
      <c r="B7" s="42">
        <f>SUM(W4:$W$33)</f>
        <v>1665.0640000000005</v>
      </c>
      <c r="D7" s="12">
        <v>1034</v>
      </c>
      <c r="E7" s="4">
        <v>43108</v>
      </c>
      <c r="F7" s="1" t="s">
        <v>310</v>
      </c>
      <c r="G7" s="1" t="s">
        <v>311</v>
      </c>
      <c r="H7" s="1" t="s">
        <v>312</v>
      </c>
      <c r="I7" s="12" t="s">
        <v>313</v>
      </c>
      <c r="J7" s="15" t="s">
        <v>343</v>
      </c>
      <c r="K7" s="12"/>
      <c r="L7" s="12" t="s">
        <v>40</v>
      </c>
      <c r="M7" s="9" t="s">
        <v>62</v>
      </c>
      <c r="N7" s="5">
        <v>6</v>
      </c>
      <c r="O7" s="19" t="s">
        <v>202</v>
      </c>
      <c r="P7" s="15" t="s">
        <v>337</v>
      </c>
      <c r="Q7" s="12"/>
      <c r="R7" s="5">
        <v>5</v>
      </c>
      <c r="S7" s="6">
        <v>25.99</v>
      </c>
      <c r="T7" s="6">
        <f t="shared" si="0"/>
        <v>129.94999999999999</v>
      </c>
      <c r="U7" s="123">
        <f>HLOOKUP($R7,Lookups!$B$3:$H$4,2,TRUE)</f>
        <v>0.08</v>
      </c>
      <c r="V7" s="6">
        <f t="shared" si="1"/>
        <v>10.395999999999999</v>
      </c>
      <c r="W7" s="6">
        <f t="shared" si="2"/>
        <v>49.564</v>
      </c>
    </row>
    <row r="8" spans="1:26" x14ac:dyDescent="0.3">
      <c r="A8" s="12" t="s">
        <v>628</v>
      </c>
      <c r="B8" s="42">
        <f>Table19[[#Totals],[Column2]]</f>
        <v>730</v>
      </c>
      <c r="D8" s="12">
        <v>1035</v>
      </c>
      <c r="E8" s="4">
        <v>43108</v>
      </c>
      <c r="F8" s="1" t="s">
        <v>232</v>
      </c>
      <c r="G8" s="1" t="s">
        <v>233</v>
      </c>
      <c r="H8" s="1" t="s">
        <v>234</v>
      </c>
      <c r="I8" s="12" t="s">
        <v>235</v>
      </c>
      <c r="J8" s="15" t="s">
        <v>343</v>
      </c>
      <c r="K8" s="12"/>
      <c r="L8" s="12" t="s">
        <v>40</v>
      </c>
      <c r="M8" s="9" t="s">
        <v>98</v>
      </c>
      <c r="N8" s="5">
        <v>5</v>
      </c>
      <c r="O8" s="19">
        <v>9045687</v>
      </c>
      <c r="P8" s="15" t="s">
        <v>342</v>
      </c>
      <c r="Q8" s="12"/>
      <c r="R8" s="5">
        <v>3</v>
      </c>
      <c r="S8" s="6">
        <v>29.99</v>
      </c>
      <c r="T8" s="6">
        <f t="shared" si="0"/>
        <v>89.97</v>
      </c>
      <c r="U8" s="123">
        <f>HLOOKUP($R8,Lookups!$B$3:$H$4,2,TRUE)</f>
        <v>0.05</v>
      </c>
      <c r="V8" s="6">
        <f t="shared" si="1"/>
        <v>4.4984999999999999</v>
      </c>
      <c r="W8" s="6">
        <f t="shared" si="2"/>
        <v>55.461500000000001</v>
      </c>
    </row>
    <row r="9" spans="1:26" x14ac:dyDescent="0.3">
      <c r="A9" s="12" t="s">
        <v>360</v>
      </c>
      <c r="B9" s="42">
        <f>SUM(B7-B8)</f>
        <v>935.06400000000053</v>
      </c>
      <c r="D9" s="12">
        <v>1036</v>
      </c>
      <c r="E9" s="4">
        <v>43108</v>
      </c>
      <c r="F9" s="1" t="s">
        <v>275</v>
      </c>
      <c r="G9" s="1" t="s">
        <v>233</v>
      </c>
      <c r="H9" s="1" t="s">
        <v>276</v>
      </c>
      <c r="I9" s="12" t="s">
        <v>277</v>
      </c>
      <c r="J9" s="15" t="s">
        <v>341</v>
      </c>
      <c r="K9" s="12"/>
      <c r="L9" s="12" t="s">
        <v>160</v>
      </c>
      <c r="M9" s="9" t="s">
        <v>347</v>
      </c>
      <c r="N9" s="5">
        <v>9</v>
      </c>
      <c r="O9" s="19">
        <v>5456545</v>
      </c>
      <c r="P9" s="15" t="s">
        <v>342</v>
      </c>
      <c r="Q9" s="12"/>
      <c r="R9" s="5">
        <v>2</v>
      </c>
      <c r="S9" s="6">
        <v>24.99</v>
      </c>
      <c r="T9" s="6">
        <f t="shared" si="0"/>
        <v>49.98</v>
      </c>
      <c r="U9" s="123">
        <f>HLOOKUP($R9,Lookups!$B$3:$H$4,2,TRUE)</f>
        <v>0</v>
      </c>
      <c r="V9" s="6">
        <f t="shared" si="1"/>
        <v>0</v>
      </c>
      <c r="W9" s="6">
        <f t="shared" si="2"/>
        <v>59.96</v>
      </c>
    </row>
    <row r="10" spans="1:26" x14ac:dyDescent="0.3">
      <c r="D10" s="12">
        <v>1037</v>
      </c>
      <c r="E10" s="4">
        <v>43108</v>
      </c>
      <c r="F10" s="1" t="s">
        <v>209</v>
      </c>
      <c r="G10" s="1" t="s">
        <v>210</v>
      </c>
      <c r="H10" s="1" t="s">
        <v>211</v>
      </c>
      <c r="I10" s="12" t="s">
        <v>212</v>
      </c>
      <c r="J10" s="15" t="s">
        <v>341</v>
      </c>
      <c r="K10" s="12"/>
      <c r="L10" s="12" t="s">
        <v>73</v>
      </c>
      <c r="M10" s="9" t="s">
        <v>45</v>
      </c>
      <c r="N10" s="5">
        <v>5</v>
      </c>
      <c r="O10" s="19" t="s">
        <v>220</v>
      </c>
      <c r="P10" s="15" t="s">
        <v>337</v>
      </c>
      <c r="Q10" s="12"/>
      <c r="R10" s="5">
        <v>3</v>
      </c>
      <c r="S10" s="6">
        <v>27.99</v>
      </c>
      <c r="T10" s="6">
        <f t="shared" si="0"/>
        <v>83.97</v>
      </c>
      <c r="U10" s="123">
        <f>HLOOKUP($R10,Lookups!$B$3:$H$4,2,TRUE)</f>
        <v>0.05</v>
      </c>
      <c r="V10" s="6">
        <f t="shared" si="1"/>
        <v>4.1985000000000001</v>
      </c>
      <c r="W10" s="6">
        <f t="shared" si="2"/>
        <v>55.761499999999998</v>
      </c>
    </row>
    <row r="11" spans="1:26" x14ac:dyDescent="0.3">
      <c r="D11" s="12">
        <v>1038</v>
      </c>
      <c r="E11" s="4">
        <v>43109</v>
      </c>
      <c r="F11" s="1" t="s">
        <v>284</v>
      </c>
      <c r="G11" s="1" t="s">
        <v>280</v>
      </c>
      <c r="H11" s="1" t="s">
        <v>285</v>
      </c>
      <c r="I11" s="12" t="s">
        <v>286</v>
      </c>
      <c r="J11" s="15" t="s">
        <v>343</v>
      </c>
      <c r="K11" s="12"/>
      <c r="L11" s="12" t="s">
        <v>117</v>
      </c>
      <c r="M11" s="9" t="s">
        <v>45</v>
      </c>
      <c r="N11" s="5">
        <v>4</v>
      </c>
      <c r="O11" s="19">
        <v>3344355</v>
      </c>
      <c r="P11" s="15" t="s">
        <v>342</v>
      </c>
      <c r="Q11" s="12"/>
      <c r="R11" s="5">
        <v>5</v>
      </c>
      <c r="S11" s="6">
        <v>25.99</v>
      </c>
      <c r="T11" s="6">
        <f t="shared" si="0"/>
        <v>129.94999999999999</v>
      </c>
      <c r="U11" s="123">
        <f>HLOOKUP($R11,Lookups!$B$3:$H$4,2,TRUE)</f>
        <v>0.08</v>
      </c>
      <c r="V11" s="6">
        <f t="shared" si="1"/>
        <v>10.395999999999999</v>
      </c>
      <c r="W11" s="6">
        <f t="shared" si="2"/>
        <v>49.564</v>
      </c>
    </row>
    <row r="12" spans="1:26" ht="15" thickBot="1" x14ac:dyDescent="0.35">
      <c r="A12" s="133" t="s">
        <v>629</v>
      </c>
      <c r="B12" s="133"/>
      <c r="D12" s="12">
        <v>1039</v>
      </c>
      <c r="E12" s="4">
        <v>43109</v>
      </c>
      <c r="F12" s="1" t="s">
        <v>238</v>
      </c>
      <c r="G12" s="1" t="s">
        <v>227</v>
      </c>
      <c r="H12" s="1" t="s">
        <v>239</v>
      </c>
      <c r="I12" s="12" t="s">
        <v>240</v>
      </c>
      <c r="J12" s="15" t="s">
        <v>341</v>
      </c>
      <c r="K12" s="12"/>
      <c r="L12" s="12" t="s">
        <v>117</v>
      </c>
      <c r="M12" s="9" t="s">
        <v>103</v>
      </c>
      <c r="N12" s="5">
        <v>8</v>
      </c>
      <c r="O12" s="9">
        <v>3344343</v>
      </c>
      <c r="P12" s="9" t="s">
        <v>342</v>
      </c>
      <c r="R12" s="9">
        <v>4</v>
      </c>
      <c r="S12" s="9">
        <v>22.99</v>
      </c>
      <c r="T12" s="9">
        <f t="shared" si="0"/>
        <v>91.96</v>
      </c>
      <c r="U12" s="123">
        <f>HLOOKUP($R12,Lookups!$B$3:$H$4,2,TRUE)</f>
        <v>0.05</v>
      </c>
      <c r="V12" s="6">
        <f t="shared" si="1"/>
        <v>4.5979999999999999</v>
      </c>
      <c r="W12" s="6">
        <f t="shared" si="2"/>
        <v>55.362000000000002</v>
      </c>
    </row>
    <row r="13" spans="1:26" x14ac:dyDescent="0.3">
      <c r="A13" s="12" t="s">
        <v>366</v>
      </c>
      <c r="B13" s="42">
        <v>110</v>
      </c>
      <c r="D13" s="12">
        <v>1040</v>
      </c>
      <c r="E13" s="4">
        <v>43109</v>
      </c>
      <c r="F13" s="1" t="s">
        <v>270</v>
      </c>
      <c r="G13" s="1" t="s">
        <v>271</v>
      </c>
      <c r="H13" s="1" t="s">
        <v>205</v>
      </c>
      <c r="I13" s="12" t="s">
        <v>272</v>
      </c>
      <c r="J13" s="15" t="s">
        <v>343</v>
      </c>
      <c r="K13" s="12"/>
      <c r="L13" s="12" t="s">
        <v>101</v>
      </c>
      <c r="M13" s="9" t="s">
        <v>76</v>
      </c>
      <c r="N13" s="5">
        <v>5</v>
      </c>
      <c r="O13" s="19">
        <v>6554544</v>
      </c>
      <c r="P13" s="15" t="s">
        <v>337</v>
      </c>
      <c r="Q13" s="12"/>
      <c r="R13" s="5">
        <v>5</v>
      </c>
      <c r="S13" s="6">
        <v>26.99</v>
      </c>
      <c r="T13" s="6">
        <f t="shared" si="0"/>
        <v>134.94999999999999</v>
      </c>
      <c r="U13" s="123">
        <f>HLOOKUP($R13,Lookups!$B$3:$H$4,2,TRUE)</f>
        <v>0.08</v>
      </c>
      <c r="V13" s="6">
        <f t="shared" si="1"/>
        <v>10.795999999999999</v>
      </c>
      <c r="W13" s="6">
        <f t="shared" si="2"/>
        <v>49.164000000000001</v>
      </c>
    </row>
    <row r="14" spans="1:26" x14ac:dyDescent="0.3">
      <c r="A14" s="12" t="s">
        <v>374</v>
      </c>
      <c r="B14" s="42">
        <v>160</v>
      </c>
      <c r="D14" s="12">
        <v>1041</v>
      </c>
      <c r="E14" s="4">
        <v>43109</v>
      </c>
      <c r="F14" s="1" t="s">
        <v>296</v>
      </c>
      <c r="G14" s="1" t="s">
        <v>204</v>
      </c>
      <c r="H14" s="1" t="s">
        <v>297</v>
      </c>
      <c r="I14" s="12" t="s">
        <v>298</v>
      </c>
      <c r="J14" s="15" t="s">
        <v>341</v>
      </c>
      <c r="K14" s="12"/>
      <c r="L14" s="12" t="s">
        <v>107</v>
      </c>
      <c r="M14" s="9" t="s">
        <v>76</v>
      </c>
      <c r="N14" s="5">
        <v>7</v>
      </c>
      <c r="O14" s="19">
        <v>3243244</v>
      </c>
      <c r="P14" s="15" t="s">
        <v>342</v>
      </c>
      <c r="Q14" s="12"/>
      <c r="R14" s="5">
        <v>3</v>
      </c>
      <c r="S14" s="6">
        <v>15.99</v>
      </c>
      <c r="T14" s="6">
        <f t="shared" si="0"/>
        <v>47.97</v>
      </c>
      <c r="U14" s="123">
        <f>HLOOKUP($R14,Lookups!$B$3:$H$4,2,TRUE)</f>
        <v>0.05</v>
      </c>
      <c r="V14" s="6">
        <f t="shared" si="1"/>
        <v>2.3985000000000003</v>
      </c>
      <c r="W14" s="6">
        <f t="shared" si="2"/>
        <v>57.561500000000002</v>
      </c>
    </row>
    <row r="15" spans="1:26" x14ac:dyDescent="0.3">
      <c r="A15" s="12" t="s">
        <v>375</v>
      </c>
      <c r="B15" s="42">
        <v>320</v>
      </c>
      <c r="D15" s="12">
        <v>1042</v>
      </c>
      <c r="E15" s="4">
        <v>43109</v>
      </c>
      <c r="F15" s="1" t="s">
        <v>264</v>
      </c>
      <c r="G15" s="1" t="s">
        <v>265</v>
      </c>
      <c r="H15" s="1" t="s">
        <v>266</v>
      </c>
      <c r="I15" s="12" t="s">
        <v>267</v>
      </c>
      <c r="J15" s="15" t="s">
        <v>341</v>
      </c>
      <c r="K15" s="12"/>
      <c r="L15" s="12" t="s">
        <v>107</v>
      </c>
      <c r="M15" s="9" t="s">
        <v>76</v>
      </c>
      <c r="N15" s="5">
        <v>7</v>
      </c>
      <c r="O15" s="19">
        <v>21454343</v>
      </c>
      <c r="P15" s="15" t="s">
        <v>342</v>
      </c>
      <c r="Q15" s="12"/>
      <c r="R15" s="5">
        <v>4</v>
      </c>
      <c r="S15" s="6">
        <v>13.99</v>
      </c>
      <c r="T15" s="6">
        <f t="shared" si="0"/>
        <v>55.96</v>
      </c>
      <c r="U15" s="123">
        <f>HLOOKUP($R15,Lookups!$B$3:$H$4,2,TRUE)</f>
        <v>0.05</v>
      </c>
      <c r="V15" s="6">
        <f t="shared" si="1"/>
        <v>2.798</v>
      </c>
      <c r="W15" s="6">
        <f t="shared" si="2"/>
        <v>57.161999999999999</v>
      </c>
    </row>
    <row r="16" spans="1:26" x14ac:dyDescent="0.3">
      <c r="A16" s="12" t="s">
        <v>368</v>
      </c>
      <c r="B16" s="42">
        <v>30</v>
      </c>
      <c r="D16" s="12">
        <v>1043</v>
      </c>
      <c r="E16" s="4">
        <v>43110</v>
      </c>
      <c r="F16" s="1" t="s">
        <v>318</v>
      </c>
      <c r="G16" s="1" t="s">
        <v>319</v>
      </c>
      <c r="H16" s="1" t="s">
        <v>290</v>
      </c>
      <c r="I16" s="12" t="s">
        <v>320</v>
      </c>
      <c r="J16" s="15" t="s">
        <v>343</v>
      </c>
      <c r="K16" s="12"/>
      <c r="L16" s="12" t="s">
        <v>110</v>
      </c>
      <c r="M16" s="9" t="s">
        <v>76</v>
      </c>
      <c r="N16" s="5">
        <v>5</v>
      </c>
      <c r="O16" s="19" t="s">
        <v>350</v>
      </c>
      <c r="P16" s="15" t="s">
        <v>342</v>
      </c>
      <c r="Q16" s="12"/>
      <c r="R16" s="5">
        <v>5</v>
      </c>
      <c r="S16" s="6">
        <v>27.99</v>
      </c>
      <c r="T16" s="6">
        <f t="shared" si="0"/>
        <v>139.94999999999999</v>
      </c>
      <c r="U16" s="123">
        <f>HLOOKUP($R16,Lookups!$B$3:$H$4,2,TRUE)</f>
        <v>0.08</v>
      </c>
      <c r="V16" s="6">
        <f t="shared" si="1"/>
        <v>11.196</v>
      </c>
      <c r="W16" s="6">
        <f t="shared" si="2"/>
        <v>48.764000000000003</v>
      </c>
    </row>
    <row r="17" spans="1:23" x14ac:dyDescent="0.3">
      <c r="A17" s="12" t="s">
        <v>369</v>
      </c>
      <c r="B17" s="42">
        <v>110</v>
      </c>
      <c r="D17" s="12">
        <v>1044</v>
      </c>
      <c r="E17" s="4">
        <v>43110</v>
      </c>
      <c r="F17" s="1" t="s">
        <v>203</v>
      </c>
      <c r="G17" s="1" t="s">
        <v>204</v>
      </c>
      <c r="H17" s="1" t="s">
        <v>205</v>
      </c>
      <c r="I17" s="12" t="s">
        <v>206</v>
      </c>
      <c r="J17" s="15" t="s">
        <v>343</v>
      </c>
      <c r="K17" s="12"/>
      <c r="L17" s="12" t="s">
        <v>162</v>
      </c>
      <c r="M17" s="9" t="s">
        <v>76</v>
      </c>
      <c r="N17" s="5">
        <v>5</v>
      </c>
      <c r="O17" s="19">
        <v>5477867</v>
      </c>
      <c r="P17" s="15" t="s">
        <v>342</v>
      </c>
      <c r="Q17" s="12"/>
      <c r="R17" s="5">
        <v>1</v>
      </c>
      <c r="S17" s="6">
        <v>26.99</v>
      </c>
      <c r="T17" s="6">
        <f t="shared" si="0"/>
        <v>26.99</v>
      </c>
      <c r="U17" s="123">
        <f>HLOOKUP($R17,Lookups!$B$3:$H$4,2,TRUE)</f>
        <v>0</v>
      </c>
      <c r="V17" s="6">
        <f t="shared" si="1"/>
        <v>0</v>
      </c>
      <c r="W17" s="6">
        <f t="shared" si="2"/>
        <v>59.96</v>
      </c>
    </row>
    <row r="18" spans="1:23" x14ac:dyDescent="0.3">
      <c r="A18" s="12" t="s">
        <v>349</v>
      </c>
      <c r="B18" s="42">
        <f>SUBTOTAL(109,Table19[Column2])</f>
        <v>730</v>
      </c>
      <c r="D18" s="12">
        <v>1045</v>
      </c>
      <c r="E18" s="4">
        <v>43110</v>
      </c>
      <c r="F18" s="1" t="s">
        <v>221</v>
      </c>
      <c r="G18" s="1" t="s">
        <v>180</v>
      </c>
      <c r="H18" s="1" t="s">
        <v>222</v>
      </c>
      <c r="I18" s="12" t="s">
        <v>223</v>
      </c>
      <c r="J18" s="15" t="s">
        <v>341</v>
      </c>
      <c r="K18" s="12"/>
      <c r="L18" s="12" t="s">
        <v>162</v>
      </c>
      <c r="M18" s="9" t="s">
        <v>76</v>
      </c>
      <c r="N18" s="5">
        <v>6</v>
      </c>
      <c r="O18" s="19">
        <v>6565654</v>
      </c>
      <c r="P18" s="15" t="s">
        <v>337</v>
      </c>
      <c r="Q18" s="12"/>
      <c r="R18" s="5">
        <v>5</v>
      </c>
      <c r="S18" s="6">
        <v>15.99</v>
      </c>
      <c r="T18" s="6">
        <f t="shared" si="0"/>
        <v>79.95</v>
      </c>
      <c r="U18" s="123">
        <f>HLOOKUP($R18,Lookups!$B$3:$H$4,2,TRUE)</f>
        <v>0.08</v>
      </c>
      <c r="V18" s="6">
        <f t="shared" si="1"/>
        <v>6.3960000000000008</v>
      </c>
      <c r="W18" s="6">
        <f t="shared" si="2"/>
        <v>53.564</v>
      </c>
    </row>
    <row r="19" spans="1:23" x14ac:dyDescent="0.3">
      <c r="D19" s="12">
        <v>1046</v>
      </c>
      <c r="E19" s="4">
        <v>43111</v>
      </c>
      <c r="F19" s="1" t="s">
        <v>254</v>
      </c>
      <c r="G19" s="1" t="s">
        <v>255</v>
      </c>
      <c r="H19" s="1" t="s">
        <v>239</v>
      </c>
      <c r="I19" s="12" t="s">
        <v>256</v>
      </c>
      <c r="J19" s="15" t="s">
        <v>343</v>
      </c>
      <c r="K19" s="12"/>
      <c r="L19" s="12" t="s">
        <v>113</v>
      </c>
      <c r="M19" s="9" t="s">
        <v>76</v>
      </c>
      <c r="N19" s="5">
        <v>6</v>
      </c>
      <c r="O19" s="19">
        <v>2323232</v>
      </c>
      <c r="P19" s="15" t="s">
        <v>342</v>
      </c>
      <c r="Q19" s="12"/>
      <c r="R19" s="5">
        <v>1</v>
      </c>
      <c r="S19" s="6">
        <v>19.989999999999998</v>
      </c>
      <c r="T19" s="6">
        <f t="shared" si="0"/>
        <v>19.989999999999998</v>
      </c>
      <c r="U19" s="123">
        <f>HLOOKUP($R19,Lookups!$B$3:$H$4,2,TRUE)</f>
        <v>0</v>
      </c>
      <c r="V19" s="6">
        <f t="shared" si="1"/>
        <v>0</v>
      </c>
      <c r="W19" s="6">
        <f t="shared" si="2"/>
        <v>59.96</v>
      </c>
    </row>
    <row r="20" spans="1:23" x14ac:dyDescent="0.3">
      <c r="D20" s="12">
        <v>1047</v>
      </c>
      <c r="E20" s="4">
        <v>43111</v>
      </c>
      <c r="F20" s="1" t="s">
        <v>259</v>
      </c>
      <c r="G20" s="1" t="s">
        <v>260</v>
      </c>
      <c r="H20" s="1" t="s">
        <v>261</v>
      </c>
      <c r="I20" s="12" t="s">
        <v>182</v>
      </c>
      <c r="J20" s="15" t="s">
        <v>341</v>
      </c>
      <c r="K20" s="12"/>
      <c r="L20" s="12" t="s">
        <v>58</v>
      </c>
      <c r="M20" s="9" t="s">
        <v>76</v>
      </c>
      <c r="N20" s="5">
        <v>4</v>
      </c>
      <c r="O20" s="19">
        <v>2332223</v>
      </c>
      <c r="P20" s="15" t="s">
        <v>342</v>
      </c>
      <c r="Q20" s="12"/>
      <c r="R20" s="5">
        <v>3</v>
      </c>
      <c r="S20" s="6">
        <v>30.99</v>
      </c>
      <c r="T20" s="6">
        <f t="shared" si="0"/>
        <v>92.97</v>
      </c>
      <c r="U20" s="123">
        <f>HLOOKUP($R20,Lookups!$B$3:$H$4,2,TRUE)</f>
        <v>0.05</v>
      </c>
      <c r="V20" s="6">
        <f t="shared" si="1"/>
        <v>4.6485000000000003</v>
      </c>
      <c r="W20" s="6">
        <f t="shared" si="2"/>
        <v>55.311500000000002</v>
      </c>
    </row>
    <row r="21" spans="1:23" x14ac:dyDescent="0.3">
      <c r="D21" s="12">
        <v>1048</v>
      </c>
      <c r="E21" s="4">
        <v>43111</v>
      </c>
      <c r="F21" s="1" t="s">
        <v>248</v>
      </c>
      <c r="G21" s="1" t="s">
        <v>249</v>
      </c>
      <c r="H21" s="1" t="s">
        <v>345</v>
      </c>
      <c r="I21" s="12" t="s">
        <v>346</v>
      </c>
      <c r="J21" s="15" t="s">
        <v>341</v>
      </c>
      <c r="K21" s="12"/>
      <c r="L21" s="12" t="s">
        <v>58</v>
      </c>
      <c r="M21" s="9" t="s">
        <v>76</v>
      </c>
      <c r="N21" s="5">
        <v>5</v>
      </c>
      <c r="O21" s="19">
        <v>6655544</v>
      </c>
      <c r="P21" s="15" t="s">
        <v>337</v>
      </c>
      <c r="Q21" s="12"/>
      <c r="R21" s="5">
        <v>1</v>
      </c>
      <c r="S21" s="6">
        <v>27.99</v>
      </c>
      <c r="T21" s="6">
        <f t="shared" si="0"/>
        <v>27.99</v>
      </c>
      <c r="U21" s="123">
        <f>HLOOKUP($R21,Lookups!$B$3:$H$4,2,TRUE)</f>
        <v>0</v>
      </c>
      <c r="V21" s="6">
        <f t="shared" si="1"/>
        <v>0</v>
      </c>
      <c r="W21" s="6">
        <f t="shared" si="2"/>
        <v>59.96</v>
      </c>
    </row>
    <row r="22" spans="1:23" x14ac:dyDescent="0.3">
      <c r="D22" s="12">
        <v>1049</v>
      </c>
      <c r="E22" s="4">
        <v>43112</v>
      </c>
      <c r="F22" s="1" t="s">
        <v>322</v>
      </c>
      <c r="G22" s="1" t="s">
        <v>204</v>
      </c>
      <c r="H22" s="1" t="s">
        <v>181</v>
      </c>
      <c r="I22" s="12" t="s">
        <v>323</v>
      </c>
      <c r="J22" s="15" t="s">
        <v>343</v>
      </c>
      <c r="K22" s="12"/>
      <c r="L22" s="12" t="s">
        <v>58</v>
      </c>
      <c r="M22" s="9" t="s">
        <v>76</v>
      </c>
      <c r="N22" s="5">
        <v>5</v>
      </c>
      <c r="O22" s="19">
        <v>3233221</v>
      </c>
      <c r="P22" s="15" t="s">
        <v>337</v>
      </c>
      <c r="Q22" s="12"/>
      <c r="R22" s="5">
        <v>3</v>
      </c>
      <c r="S22" s="6">
        <v>29.99</v>
      </c>
      <c r="T22" s="6">
        <f t="shared" si="0"/>
        <v>89.97</v>
      </c>
      <c r="U22" s="123">
        <f>HLOOKUP($R22,Lookups!$B$3:$H$4,2,TRUE)</f>
        <v>0.05</v>
      </c>
      <c r="V22" s="6">
        <f t="shared" si="1"/>
        <v>4.4984999999999999</v>
      </c>
      <c r="W22" s="6">
        <f t="shared" si="2"/>
        <v>55.461500000000001</v>
      </c>
    </row>
    <row r="23" spans="1:23" x14ac:dyDescent="0.3">
      <c r="D23" s="12">
        <v>1050</v>
      </c>
      <c r="E23" s="4">
        <v>43112</v>
      </c>
      <c r="F23" s="1" t="s">
        <v>326</v>
      </c>
      <c r="G23" s="1" t="s">
        <v>327</v>
      </c>
      <c r="H23" s="1" t="s">
        <v>285</v>
      </c>
      <c r="I23" s="12" t="s">
        <v>328</v>
      </c>
      <c r="J23" s="15" t="s">
        <v>341</v>
      </c>
      <c r="K23" s="12"/>
      <c r="L23" s="12" t="s">
        <v>58</v>
      </c>
      <c r="M23" s="9" t="s">
        <v>76</v>
      </c>
      <c r="N23" s="5">
        <v>8</v>
      </c>
      <c r="O23" s="19">
        <v>1439982</v>
      </c>
      <c r="P23" s="15" t="s">
        <v>337</v>
      </c>
      <c r="Q23" s="12"/>
      <c r="R23" s="5">
        <v>5</v>
      </c>
      <c r="S23" s="6">
        <v>15.99</v>
      </c>
      <c r="T23" s="6">
        <f t="shared" si="0"/>
        <v>79.95</v>
      </c>
      <c r="U23" s="123">
        <f>HLOOKUP($R23,Lookups!$B$3:$H$4,2,TRUE)</f>
        <v>0.08</v>
      </c>
      <c r="V23" s="6">
        <f t="shared" si="1"/>
        <v>6.3960000000000008</v>
      </c>
      <c r="W23" s="6">
        <f t="shared" si="2"/>
        <v>53.564</v>
      </c>
    </row>
    <row r="24" spans="1:23" x14ac:dyDescent="0.3">
      <c r="D24" s="12">
        <v>1051</v>
      </c>
      <c r="E24" s="4">
        <v>43112</v>
      </c>
      <c r="F24" s="1" t="s">
        <v>292</v>
      </c>
      <c r="G24" s="1" t="s">
        <v>227</v>
      </c>
      <c r="H24" s="1" t="s">
        <v>293</v>
      </c>
      <c r="I24" s="12" t="s">
        <v>294</v>
      </c>
      <c r="J24" s="15" t="s">
        <v>341</v>
      </c>
      <c r="K24" s="12"/>
      <c r="L24" s="12" t="s">
        <v>344</v>
      </c>
      <c r="M24" s="9" t="s">
        <v>76</v>
      </c>
      <c r="N24" s="5">
        <v>8</v>
      </c>
      <c r="O24" s="19" t="s">
        <v>291</v>
      </c>
      <c r="P24" s="15" t="s">
        <v>342</v>
      </c>
      <c r="Q24" s="12"/>
      <c r="R24" s="5">
        <v>5</v>
      </c>
      <c r="S24" s="6">
        <v>13.99</v>
      </c>
      <c r="T24" s="6">
        <f t="shared" si="0"/>
        <v>69.95</v>
      </c>
      <c r="U24" s="123">
        <f>HLOOKUP($R24,Lookups!$B$3:$H$4,2,TRUE)</f>
        <v>0.08</v>
      </c>
      <c r="V24" s="6">
        <f t="shared" si="1"/>
        <v>5.5960000000000001</v>
      </c>
      <c r="W24" s="6">
        <f t="shared" si="2"/>
        <v>54.364000000000004</v>
      </c>
    </row>
    <row r="25" spans="1:23" x14ac:dyDescent="0.3">
      <c r="D25" s="12">
        <v>1052</v>
      </c>
      <c r="E25" s="4">
        <v>43112</v>
      </c>
      <c r="F25" s="1" t="s">
        <v>243</v>
      </c>
      <c r="G25" s="1" t="s">
        <v>244</v>
      </c>
      <c r="H25" s="1" t="s">
        <v>205</v>
      </c>
      <c r="I25" s="12" t="s">
        <v>245</v>
      </c>
      <c r="J25" s="15" t="s">
        <v>341</v>
      </c>
      <c r="K25" s="12"/>
      <c r="L25" s="12" t="s">
        <v>149</v>
      </c>
      <c r="M25" s="9" t="s">
        <v>116</v>
      </c>
      <c r="N25" s="5">
        <v>8</v>
      </c>
      <c r="O25" s="19">
        <v>1434322</v>
      </c>
      <c r="P25" s="15" t="s">
        <v>342</v>
      </c>
      <c r="Q25" s="12"/>
      <c r="R25" s="5">
        <v>3</v>
      </c>
      <c r="S25" s="6">
        <v>22.99</v>
      </c>
      <c r="T25" s="6">
        <f t="shared" si="0"/>
        <v>68.97</v>
      </c>
      <c r="U25" s="123">
        <f>HLOOKUP($R25,Lookups!$B$3:$H$4,2,TRUE)</f>
        <v>0.05</v>
      </c>
      <c r="V25" s="6">
        <f t="shared" si="1"/>
        <v>3.4485000000000001</v>
      </c>
      <c r="W25" s="6">
        <f t="shared" si="2"/>
        <v>56.511499999999998</v>
      </c>
    </row>
    <row r="26" spans="1:23" x14ac:dyDescent="0.3">
      <c r="D26" s="12">
        <v>1053</v>
      </c>
      <c r="E26" s="4">
        <v>43112</v>
      </c>
      <c r="F26" s="1" t="s">
        <v>301</v>
      </c>
      <c r="G26" s="1" t="s">
        <v>302</v>
      </c>
      <c r="H26" s="1" t="s">
        <v>297</v>
      </c>
      <c r="I26" s="12" t="s">
        <v>303</v>
      </c>
      <c r="J26" s="15" t="s">
        <v>343</v>
      </c>
      <c r="K26" s="12"/>
      <c r="L26" s="12" t="s">
        <v>125</v>
      </c>
      <c r="M26" s="9" t="s">
        <v>39</v>
      </c>
      <c r="N26" s="5">
        <v>8</v>
      </c>
      <c r="O26" s="19">
        <v>3432211</v>
      </c>
      <c r="P26" s="15" t="s">
        <v>342</v>
      </c>
      <c r="Q26" s="12"/>
      <c r="R26" s="5">
        <v>5</v>
      </c>
      <c r="S26" s="6">
        <v>15.99</v>
      </c>
      <c r="T26" s="6">
        <f t="shared" si="0"/>
        <v>79.95</v>
      </c>
      <c r="U26" s="123">
        <f>HLOOKUP($R26,Lookups!$B$3:$H$4,2,TRUE)</f>
        <v>0.08</v>
      </c>
      <c r="V26" s="6">
        <f t="shared" si="1"/>
        <v>6.3960000000000008</v>
      </c>
      <c r="W26" s="6">
        <f t="shared" si="2"/>
        <v>53.564</v>
      </c>
    </row>
    <row r="27" spans="1:23" x14ac:dyDescent="0.3">
      <c r="D27" s="12">
        <v>1054</v>
      </c>
      <c r="E27" s="4">
        <v>43112</v>
      </c>
      <c r="F27" s="1" t="s">
        <v>315</v>
      </c>
      <c r="G27" s="1" t="s">
        <v>204</v>
      </c>
      <c r="H27" s="1" t="s">
        <v>181</v>
      </c>
      <c r="I27" s="12" t="s">
        <v>316</v>
      </c>
      <c r="J27" s="15" t="s">
        <v>341</v>
      </c>
      <c r="K27" s="12"/>
      <c r="L27" s="12" t="s">
        <v>125</v>
      </c>
      <c r="M27" s="9" t="s">
        <v>39</v>
      </c>
      <c r="N27" s="5">
        <v>8</v>
      </c>
      <c r="O27" s="19">
        <v>5476111</v>
      </c>
      <c r="P27" s="15" t="s">
        <v>342</v>
      </c>
      <c r="Q27" s="12"/>
      <c r="R27" s="5">
        <v>4</v>
      </c>
      <c r="S27" s="6">
        <v>15.99</v>
      </c>
      <c r="T27" s="6">
        <f t="shared" si="0"/>
        <v>63.96</v>
      </c>
      <c r="U27" s="123">
        <f>HLOOKUP($R27,Lookups!$B$3:$H$4,2,TRUE)</f>
        <v>0.05</v>
      </c>
      <c r="V27" s="6">
        <f t="shared" si="1"/>
        <v>3.1980000000000004</v>
      </c>
      <c r="W27" s="6">
        <f t="shared" si="2"/>
        <v>56.762</v>
      </c>
    </row>
    <row r="28" spans="1:23" x14ac:dyDescent="0.3">
      <c r="D28" s="12">
        <v>1055</v>
      </c>
      <c r="E28" s="4">
        <v>43112</v>
      </c>
      <c r="F28" s="1" t="s">
        <v>306</v>
      </c>
      <c r="G28" s="1" t="s">
        <v>180</v>
      </c>
      <c r="H28" s="1" t="s">
        <v>297</v>
      </c>
      <c r="I28" s="12" t="s">
        <v>307</v>
      </c>
      <c r="J28" s="15" t="s">
        <v>343</v>
      </c>
      <c r="K28" s="12"/>
      <c r="L28" s="12" t="s">
        <v>146</v>
      </c>
      <c r="M28" s="9" t="s">
        <v>39</v>
      </c>
      <c r="N28" s="5">
        <v>8</v>
      </c>
      <c r="O28" s="19">
        <v>1122435</v>
      </c>
      <c r="P28" s="15" t="s">
        <v>342</v>
      </c>
      <c r="Q28" s="12"/>
      <c r="R28" s="5">
        <v>1</v>
      </c>
      <c r="S28" s="6">
        <v>13.99</v>
      </c>
      <c r="T28" s="6">
        <f t="shared" si="0"/>
        <v>13.99</v>
      </c>
      <c r="U28" s="123">
        <f>HLOOKUP($R28,Lookups!$B$3:$H$4,2,TRUE)</f>
        <v>0</v>
      </c>
      <c r="V28" s="6">
        <f t="shared" si="1"/>
        <v>0</v>
      </c>
      <c r="W28" s="6">
        <f t="shared" si="2"/>
        <v>59.96</v>
      </c>
    </row>
    <row r="29" spans="1:23" x14ac:dyDescent="0.3">
      <c r="D29" s="12">
        <v>1056</v>
      </c>
      <c r="E29" s="4">
        <v>43113</v>
      </c>
      <c r="F29" s="1" t="s">
        <v>186</v>
      </c>
      <c r="G29" s="1" t="s">
        <v>187</v>
      </c>
      <c r="H29" s="1" t="s">
        <v>188</v>
      </c>
      <c r="I29" s="12" t="s">
        <v>189</v>
      </c>
      <c r="J29" s="15" t="s">
        <v>341</v>
      </c>
      <c r="K29" s="12"/>
      <c r="L29" s="12" t="s">
        <v>119</v>
      </c>
      <c r="M29" s="9" t="s">
        <v>39</v>
      </c>
      <c r="N29" s="5">
        <v>6</v>
      </c>
      <c r="O29" s="19">
        <v>3243212</v>
      </c>
      <c r="P29" s="15" t="s">
        <v>337</v>
      </c>
      <c r="Q29" s="12"/>
      <c r="R29" s="5">
        <v>2</v>
      </c>
      <c r="S29" s="6">
        <v>25.99</v>
      </c>
      <c r="T29" s="6">
        <f t="shared" si="0"/>
        <v>51.98</v>
      </c>
      <c r="U29" s="123">
        <f>HLOOKUP($R29,Lookups!$B$3:$H$4,2,TRUE)</f>
        <v>0</v>
      </c>
      <c r="V29" s="6">
        <f t="shared" si="1"/>
        <v>0</v>
      </c>
      <c r="W29" s="6">
        <f t="shared" si="2"/>
        <v>59.96</v>
      </c>
    </row>
    <row r="30" spans="1:23" x14ac:dyDescent="0.3">
      <c r="D30" s="12">
        <v>1057</v>
      </c>
      <c r="E30" s="4">
        <v>43113</v>
      </c>
      <c r="F30" s="1" t="s">
        <v>179</v>
      </c>
      <c r="G30" s="1" t="s">
        <v>180</v>
      </c>
      <c r="H30" s="1" t="s">
        <v>181</v>
      </c>
      <c r="I30" s="12" t="s">
        <v>182</v>
      </c>
      <c r="J30" s="15" t="s">
        <v>343</v>
      </c>
      <c r="K30" s="12"/>
      <c r="L30" s="12" t="s">
        <v>119</v>
      </c>
      <c r="M30" s="9" t="s">
        <v>39</v>
      </c>
      <c r="N30" s="5">
        <v>7</v>
      </c>
      <c r="O30" s="19" t="s">
        <v>317</v>
      </c>
      <c r="P30" s="15" t="s">
        <v>337</v>
      </c>
      <c r="Q30" s="12"/>
      <c r="R30" s="5">
        <v>4</v>
      </c>
      <c r="S30" s="6">
        <v>23.99</v>
      </c>
      <c r="T30" s="6">
        <f t="shared" si="0"/>
        <v>95.96</v>
      </c>
      <c r="U30" s="123">
        <f>HLOOKUP($R30,Lookups!$B$3:$H$4,2,TRUE)</f>
        <v>0.05</v>
      </c>
      <c r="V30" s="6">
        <f t="shared" si="1"/>
        <v>4.798</v>
      </c>
      <c r="W30" s="6">
        <f t="shared" si="2"/>
        <v>55.161999999999999</v>
      </c>
    </row>
    <row r="31" spans="1:23" x14ac:dyDescent="0.3">
      <c r="D31" s="12">
        <v>1058</v>
      </c>
      <c r="E31" s="4">
        <v>43113</v>
      </c>
      <c r="F31" s="1" t="s">
        <v>179</v>
      </c>
      <c r="G31" s="1" t="s">
        <v>280</v>
      </c>
      <c r="H31" s="1" t="s">
        <v>261</v>
      </c>
      <c r="I31" s="12" t="s">
        <v>281</v>
      </c>
      <c r="J31" s="15" t="s">
        <v>343</v>
      </c>
      <c r="K31" s="12"/>
      <c r="L31" s="12" t="s">
        <v>154</v>
      </c>
      <c r="M31" s="9" t="s">
        <v>39</v>
      </c>
      <c r="N31" s="5">
        <v>5</v>
      </c>
      <c r="O31" s="19">
        <v>5456544</v>
      </c>
      <c r="P31" s="15" t="s">
        <v>342</v>
      </c>
      <c r="Q31" s="12"/>
      <c r="R31" s="5">
        <v>3</v>
      </c>
      <c r="S31" s="6">
        <v>27.99</v>
      </c>
      <c r="T31" s="6">
        <f t="shared" si="0"/>
        <v>83.97</v>
      </c>
      <c r="U31" s="123">
        <f>HLOOKUP($R31,Lookups!$B$3:$H$4,2,TRUE)</f>
        <v>0.05</v>
      </c>
      <c r="V31" s="6">
        <f t="shared" si="1"/>
        <v>4.1985000000000001</v>
      </c>
      <c r="W31" s="6">
        <f t="shared" si="2"/>
        <v>55.761499999999998</v>
      </c>
    </row>
    <row r="32" spans="1:23" x14ac:dyDescent="0.3">
      <c r="D32" s="12">
        <v>1059</v>
      </c>
      <c r="E32" s="4">
        <v>43113</v>
      </c>
      <c r="F32" s="1" t="s">
        <v>289</v>
      </c>
      <c r="G32" s="1" t="s">
        <v>204</v>
      </c>
      <c r="H32" s="1" t="s">
        <v>290</v>
      </c>
      <c r="I32" s="12" t="s">
        <v>277</v>
      </c>
      <c r="J32" s="15" t="s">
        <v>341</v>
      </c>
      <c r="K32" s="12"/>
      <c r="L32" s="12" t="s">
        <v>154</v>
      </c>
      <c r="M32" s="9" t="s">
        <v>128</v>
      </c>
      <c r="N32" s="5">
        <v>3</v>
      </c>
      <c r="O32" s="19" t="s">
        <v>325</v>
      </c>
      <c r="P32" s="15" t="s">
        <v>342</v>
      </c>
      <c r="Q32" s="12"/>
      <c r="R32" s="5">
        <v>3</v>
      </c>
      <c r="S32" s="6">
        <v>25.99</v>
      </c>
      <c r="T32" s="6">
        <f t="shared" si="0"/>
        <v>77.97</v>
      </c>
      <c r="U32" s="123">
        <f>HLOOKUP($R32,Lookups!$B$3:$H$4,2,TRUE)</f>
        <v>0.05</v>
      </c>
      <c r="V32" s="6">
        <f t="shared" si="1"/>
        <v>3.8985000000000003</v>
      </c>
      <c r="W32" s="6">
        <f t="shared" si="2"/>
        <v>56.061500000000002</v>
      </c>
    </row>
    <row r="33" spans="4:23" x14ac:dyDescent="0.3">
      <c r="D33" s="12">
        <v>1060</v>
      </c>
      <c r="E33" s="4">
        <v>43113</v>
      </c>
      <c r="F33" s="1" t="s">
        <v>215</v>
      </c>
      <c r="G33" s="1" t="s">
        <v>216</v>
      </c>
      <c r="H33" s="1" t="s">
        <v>217</v>
      </c>
      <c r="I33" s="12" t="s">
        <v>218</v>
      </c>
      <c r="J33" s="15" t="s">
        <v>341</v>
      </c>
      <c r="K33" s="12"/>
      <c r="L33" s="12" t="s">
        <v>96</v>
      </c>
      <c r="M33" s="9" t="s">
        <v>128</v>
      </c>
      <c r="N33" s="5">
        <v>3</v>
      </c>
      <c r="O33" s="19">
        <v>2454323</v>
      </c>
      <c r="P33" s="15" t="s">
        <v>342</v>
      </c>
      <c r="Q33" s="12"/>
      <c r="R33" s="5">
        <v>5</v>
      </c>
      <c r="S33" s="6">
        <v>17.989999999999998</v>
      </c>
      <c r="T33" s="6">
        <f t="shared" si="0"/>
        <v>89.949999999999989</v>
      </c>
      <c r="U33" s="123">
        <f>HLOOKUP($R33,Lookups!$B$3:$H$4,2,TRUE)</f>
        <v>0.08</v>
      </c>
      <c r="V33" s="6">
        <f t="shared" si="1"/>
        <v>7.1959999999999988</v>
      </c>
      <c r="W33" s="6">
        <f t="shared" si="2"/>
        <v>52.764000000000003</v>
      </c>
    </row>
    <row r="34" spans="4:23" x14ac:dyDescent="0.3">
      <c r="D34" s="12"/>
      <c r="I34" s="12"/>
      <c r="K34" s="12"/>
      <c r="L34" s="12"/>
      <c r="O34" s="19"/>
      <c r="Q34" s="12"/>
    </row>
    <row r="35" spans="4:23" x14ac:dyDescent="0.3">
      <c r="O35" s="19"/>
    </row>
    <row r="36" spans="4:23" x14ac:dyDescent="0.3">
      <c r="D36" s="12"/>
      <c r="I36" s="12"/>
      <c r="K36" s="12"/>
      <c r="L36" s="12"/>
      <c r="O36" s="19"/>
      <c r="Q36" s="12"/>
    </row>
  </sheetData>
  <sortState ref="M4:M35">
    <sortCondition ref="M4"/>
  </sortState>
  <mergeCells count="2">
    <mergeCell ref="A6:B6"/>
    <mergeCell ref="A12:B12"/>
  </mergeCells>
  <conditionalFormatting sqref="B9">
    <cfRule type="colorScale" priority="2">
      <colorScale>
        <cfvo type="num" val="599"/>
        <cfvo type="num" val="600"/>
        <color rgb="FFFF0000"/>
        <color theme="9" tint="-0.249977111117893"/>
      </colorScale>
    </cfRule>
  </conditionalFormatting>
  <conditionalFormatting sqref="B18">
    <cfRule type="colorScale" priority="1">
      <colorScale>
        <cfvo type="num" val="500"/>
        <cfvo type="num" val="500"/>
        <color theme="9" tint="-0.249977111117893"/>
        <color rgb="FFFF0000"/>
      </colorScale>
    </cfRule>
  </conditionalFormatting>
  <dataValidations count="2">
    <dataValidation type="list" allowBlank="1" showInputMessage="1" showErrorMessage="1" sqref="J4:J150" xr:uid="{3621D0C9-0ED3-4FCB-B71E-8DAA68AEA6E6}">
      <formula1>$K$4:$K$5</formula1>
    </dataValidation>
    <dataValidation type="list" allowBlank="1" showInputMessage="1" showErrorMessage="1" sqref="P4:P145" xr:uid="{DDD897B1-7EF4-444A-8AA5-D4658773B20B}">
      <formula1>$Q$3:$Q$4</formula1>
    </dataValidation>
  </dataValidation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89BA3-CFC1-4BB4-B91A-7CDC8119C32F}">
  <sheetPr codeName="Sheet6">
    <tabColor theme="7" tint="-0.499984740745262"/>
  </sheetPr>
  <dimension ref="A3:W21"/>
  <sheetViews>
    <sheetView workbookViewId="0">
      <pane xSplit="2" topLeftCell="J1" activePane="topRight" state="frozen"/>
      <selection pane="topRight" activeCell="O10" sqref="O10"/>
    </sheetView>
  </sheetViews>
  <sheetFormatPr defaultRowHeight="14.4" x14ac:dyDescent="0.3"/>
  <cols>
    <col min="1" max="1" width="11.109375" customWidth="1"/>
    <col min="2" max="2" width="13.6640625" customWidth="1"/>
    <col min="3" max="3" width="0.33203125" style="66" customWidth="1"/>
    <col min="4" max="4" width="9.33203125" style="5" bestFit="1" customWidth="1"/>
    <col min="5" max="5" width="10.6640625" style="4" bestFit="1" customWidth="1"/>
    <col min="6" max="6" width="19.44140625" style="1" bestFit="1" customWidth="1"/>
    <col min="7" max="7" width="13.5546875" style="1" customWidth="1"/>
    <col min="8" max="8" width="17.6640625" bestFit="1" customWidth="1"/>
    <col min="9" max="9" width="15.6640625" style="1" bestFit="1" customWidth="1"/>
    <col min="10" max="10" width="13.44140625" style="15" bestFit="1" customWidth="1"/>
    <col min="11" max="11" width="11" hidden="1" customWidth="1"/>
    <col min="12" max="12" width="26.6640625" style="1" bestFit="1" customWidth="1"/>
    <col min="13" max="13" width="12" style="9" customWidth="1"/>
    <col min="14" max="14" width="5.33203125" style="5" bestFit="1" customWidth="1"/>
    <col min="15" max="15" width="11.88671875" style="62" bestFit="1" customWidth="1"/>
    <col min="16" max="16" width="9.44140625" style="10" bestFit="1" customWidth="1"/>
    <col min="17" max="17" width="12" hidden="1" customWidth="1"/>
    <col min="18" max="18" width="8.6640625" style="5" bestFit="1" customWidth="1"/>
    <col min="19" max="19" width="10.44140625" style="42" bestFit="1" customWidth="1"/>
    <col min="20" max="20" width="8.6640625" style="42" bestFit="1" customWidth="1"/>
    <col min="21" max="21" width="10.33203125" style="123" bestFit="1" customWidth="1"/>
    <col min="22" max="22" width="11.33203125" style="42" bestFit="1" customWidth="1"/>
    <col min="23" max="23" width="8.109375" style="61" bestFit="1" customWidth="1"/>
  </cols>
  <sheetData>
    <row r="3" spans="1:23" ht="15" thickBot="1" x14ac:dyDescent="0.35">
      <c r="D3" s="43" t="s">
        <v>331</v>
      </c>
      <c r="E3" s="53" t="s">
        <v>332</v>
      </c>
      <c r="F3" s="48" t="s">
        <v>333</v>
      </c>
      <c r="G3" s="48" t="s">
        <v>9</v>
      </c>
      <c r="H3" s="47" t="s">
        <v>174</v>
      </c>
      <c r="I3" s="45" t="s">
        <v>11</v>
      </c>
      <c r="J3" s="48" t="s">
        <v>424</v>
      </c>
      <c r="K3" s="47" t="s">
        <v>334</v>
      </c>
      <c r="L3" s="45" t="s">
        <v>21</v>
      </c>
      <c r="M3" s="73" t="s">
        <v>29</v>
      </c>
      <c r="N3" s="43" t="s">
        <v>335</v>
      </c>
      <c r="O3" s="118" t="s">
        <v>16</v>
      </c>
      <c r="P3" s="50" t="s">
        <v>336</v>
      </c>
      <c r="Q3" s="47" t="s">
        <v>337</v>
      </c>
      <c r="R3" s="43" t="s">
        <v>338</v>
      </c>
      <c r="S3" s="120" t="s">
        <v>2</v>
      </c>
      <c r="T3" s="120" t="s">
        <v>339</v>
      </c>
      <c r="U3" s="122" t="s">
        <v>665</v>
      </c>
      <c r="V3" s="120" t="s">
        <v>664</v>
      </c>
      <c r="W3" s="121" t="s">
        <v>340</v>
      </c>
    </row>
    <row r="4" spans="1:23" x14ac:dyDescent="0.3">
      <c r="D4" s="5">
        <v>1061</v>
      </c>
      <c r="E4" s="4">
        <v>43115</v>
      </c>
      <c r="F4" s="1" t="s">
        <v>425</v>
      </c>
      <c r="G4" s="1" t="s">
        <v>437</v>
      </c>
      <c r="H4" t="s">
        <v>472</v>
      </c>
      <c r="I4" s="1" t="s">
        <v>475</v>
      </c>
      <c r="J4" s="15" t="s">
        <v>477</v>
      </c>
      <c r="K4" t="s">
        <v>477</v>
      </c>
      <c r="L4" s="1" t="s">
        <v>34</v>
      </c>
      <c r="M4" s="9" t="s">
        <v>79</v>
      </c>
      <c r="N4" s="5">
        <v>4</v>
      </c>
      <c r="O4" s="62">
        <v>31232323</v>
      </c>
      <c r="P4" s="10" t="s">
        <v>479</v>
      </c>
      <c r="Q4" t="s">
        <v>479</v>
      </c>
      <c r="R4" s="5">
        <v>8</v>
      </c>
      <c r="S4" s="42">
        <v>25.99</v>
      </c>
      <c r="T4" s="42">
        <f>SUM(Table2[[#This Row],[Column15]]*Table2[[#This Row],[Column16]])</f>
        <v>207.92</v>
      </c>
      <c r="U4" s="123">
        <f>HLOOKUP($R4,Lookups!$B$3:$H$4,2,TRUE)</f>
        <v>0.08</v>
      </c>
      <c r="V4" s="6">
        <f>SUM(T4*U4)</f>
        <v>16.633599999999998</v>
      </c>
      <c r="W4" s="61">
        <f>SUM(T4-V4)</f>
        <v>191.28639999999999</v>
      </c>
    </row>
    <row r="5" spans="1:23" x14ac:dyDescent="0.3">
      <c r="D5" s="5">
        <v>1062</v>
      </c>
      <c r="E5" s="4">
        <v>43115</v>
      </c>
      <c r="F5" s="1" t="s">
        <v>426</v>
      </c>
      <c r="G5" s="1" t="s">
        <v>438</v>
      </c>
      <c r="H5" t="s">
        <v>447</v>
      </c>
      <c r="I5" s="1" t="s">
        <v>473</v>
      </c>
      <c r="J5" s="15" t="s">
        <v>477</v>
      </c>
      <c r="K5" t="s">
        <v>478</v>
      </c>
      <c r="L5" s="1" t="s">
        <v>80</v>
      </c>
      <c r="M5" s="9" t="s">
        <v>84</v>
      </c>
      <c r="N5" s="5">
        <v>3</v>
      </c>
      <c r="O5" s="62">
        <v>32132323</v>
      </c>
      <c r="P5" s="10" t="s">
        <v>479</v>
      </c>
      <c r="Q5" t="s">
        <v>480</v>
      </c>
      <c r="R5" s="5">
        <v>8</v>
      </c>
      <c r="S5" s="42">
        <v>18.989999999999998</v>
      </c>
      <c r="T5" s="42">
        <f>SUM(Table2[[#This Row],[Column15]]*Table2[[#This Row],[Column16]])</f>
        <v>151.91999999999999</v>
      </c>
      <c r="U5" s="123">
        <f>HLOOKUP($R5,Lookups!$B$3:$H$4,2,TRUE)</f>
        <v>0.08</v>
      </c>
      <c r="V5" s="6">
        <f t="shared" ref="V5:V21" si="0">SUM(T5*U5)</f>
        <v>12.153599999999999</v>
      </c>
      <c r="W5" s="61">
        <f t="shared" ref="W5:W21" si="1">SUM(T5-V5)</f>
        <v>139.76639999999998</v>
      </c>
    </row>
    <row r="6" spans="1:23" ht="18" thickBot="1" x14ac:dyDescent="0.4">
      <c r="A6" s="132" t="s">
        <v>630</v>
      </c>
      <c r="B6" s="132"/>
      <c r="D6" s="5">
        <v>1063</v>
      </c>
      <c r="E6" s="4">
        <v>43115</v>
      </c>
      <c r="F6" s="1" t="s">
        <v>427</v>
      </c>
      <c r="G6" s="1" t="s">
        <v>462</v>
      </c>
      <c r="H6" t="s">
        <v>448</v>
      </c>
      <c r="I6" s="1" t="s">
        <v>476</v>
      </c>
      <c r="J6" s="15" t="s">
        <v>478</v>
      </c>
      <c r="L6" s="1" t="s">
        <v>85</v>
      </c>
      <c r="M6" s="9" t="s">
        <v>88</v>
      </c>
      <c r="N6" s="5">
        <v>5</v>
      </c>
      <c r="O6" s="62">
        <v>32312323</v>
      </c>
      <c r="P6" s="10" t="s">
        <v>479</v>
      </c>
      <c r="R6" s="5">
        <v>7</v>
      </c>
      <c r="S6" s="42">
        <v>25.99</v>
      </c>
      <c r="T6" s="42">
        <f>SUM(Table2[[#This Row],[Column15]]*Table2[[#This Row],[Column16]])</f>
        <v>181.92999999999998</v>
      </c>
      <c r="U6" s="123">
        <f>HLOOKUP($R6,Lookups!$B$3:$H$4,2,TRUE)</f>
        <v>0.08</v>
      </c>
      <c r="V6" s="6">
        <f t="shared" si="0"/>
        <v>14.554399999999999</v>
      </c>
      <c r="W6" s="61">
        <f t="shared" si="1"/>
        <v>167.37559999999999</v>
      </c>
    </row>
    <row r="7" spans="1:23" ht="15" thickTop="1" x14ac:dyDescent="0.3">
      <c r="A7" t="s">
        <v>627</v>
      </c>
      <c r="B7">
        <f>SUM(Table2[[#All],[Column19]])</f>
        <v>2024.7141999999997</v>
      </c>
      <c r="D7" s="5">
        <v>1064</v>
      </c>
      <c r="E7" s="4">
        <v>43116</v>
      </c>
      <c r="F7" s="1" t="s">
        <v>428</v>
      </c>
      <c r="G7" s="1" t="s">
        <v>440</v>
      </c>
      <c r="H7" t="s">
        <v>449</v>
      </c>
      <c r="I7" s="1" t="s">
        <v>474</v>
      </c>
      <c r="J7" s="15" t="s">
        <v>477</v>
      </c>
      <c r="L7" s="1" t="s">
        <v>89</v>
      </c>
      <c r="M7" s="9" t="s">
        <v>92</v>
      </c>
      <c r="N7" s="5">
        <v>6</v>
      </c>
      <c r="O7" s="62">
        <v>32321323</v>
      </c>
      <c r="P7" s="10" t="s">
        <v>479</v>
      </c>
      <c r="R7" s="5">
        <v>6</v>
      </c>
      <c r="S7" s="42">
        <v>22.99</v>
      </c>
      <c r="T7" s="42">
        <f>SUM(Table2[[#This Row],[Column15]]*Table2[[#This Row],[Column16]])</f>
        <v>137.94</v>
      </c>
      <c r="U7" s="123">
        <f>HLOOKUP($R7,Lookups!$B$3:$H$4,2,TRUE)</f>
        <v>0.08</v>
      </c>
      <c r="V7" s="6">
        <f t="shared" si="0"/>
        <v>11.0352</v>
      </c>
      <c r="W7" s="61">
        <f t="shared" si="1"/>
        <v>126.90479999999999</v>
      </c>
    </row>
    <row r="8" spans="1:23" x14ac:dyDescent="0.3">
      <c r="A8" t="s">
        <v>628</v>
      </c>
      <c r="B8" s="42">
        <f>$B18</f>
        <v>802</v>
      </c>
      <c r="D8" s="5">
        <v>1065</v>
      </c>
      <c r="E8" s="4">
        <v>43116</v>
      </c>
      <c r="F8" s="1" t="s">
        <v>429</v>
      </c>
      <c r="G8" s="1" t="s">
        <v>441</v>
      </c>
      <c r="H8" t="s">
        <v>450</v>
      </c>
      <c r="I8" s="1" t="s">
        <v>471</v>
      </c>
      <c r="J8" s="15" t="s">
        <v>477</v>
      </c>
      <c r="L8" s="1" t="s">
        <v>93</v>
      </c>
      <c r="M8" s="9" t="s">
        <v>95</v>
      </c>
      <c r="N8" s="5">
        <v>4</v>
      </c>
      <c r="O8" s="62">
        <v>32323123</v>
      </c>
      <c r="P8" s="10" t="s">
        <v>479</v>
      </c>
      <c r="R8" s="5">
        <v>4</v>
      </c>
      <c r="S8" s="42">
        <v>21.99</v>
      </c>
      <c r="T8" s="42">
        <f>SUM(Table2[[#This Row],[Column15]]*Table2[[#This Row],[Column16]])</f>
        <v>87.96</v>
      </c>
      <c r="U8" s="123">
        <f>HLOOKUP($R8,Lookups!$B$3:$H$4,2,TRUE)</f>
        <v>0.05</v>
      </c>
      <c r="V8" s="6">
        <f t="shared" si="0"/>
        <v>4.3979999999999997</v>
      </c>
      <c r="W8" s="61">
        <f t="shared" si="1"/>
        <v>83.561999999999998</v>
      </c>
    </row>
    <row r="9" spans="1:23" x14ac:dyDescent="0.3">
      <c r="A9" t="s">
        <v>360</v>
      </c>
      <c r="B9" s="42">
        <f>SUM(B7-B8)</f>
        <v>1222.7141999999997</v>
      </c>
      <c r="D9" s="5">
        <v>1066</v>
      </c>
      <c r="E9" s="4">
        <v>43116</v>
      </c>
      <c r="F9" s="1" t="s">
        <v>436</v>
      </c>
      <c r="G9" s="1" t="s">
        <v>442</v>
      </c>
      <c r="H9" t="s">
        <v>451</v>
      </c>
      <c r="I9" s="1" t="s">
        <v>470</v>
      </c>
      <c r="J9" s="15" t="s">
        <v>478</v>
      </c>
      <c r="L9" s="1" t="s">
        <v>96</v>
      </c>
      <c r="M9" s="9" t="s">
        <v>98</v>
      </c>
      <c r="N9" s="5">
        <v>7</v>
      </c>
      <c r="O9" s="62">
        <v>32323213</v>
      </c>
      <c r="P9" s="10" t="s">
        <v>479</v>
      </c>
      <c r="R9" s="5">
        <v>4</v>
      </c>
      <c r="S9" s="42">
        <v>14.99</v>
      </c>
      <c r="T9" s="42">
        <f>SUM(Table2[[#This Row],[Column15]]*Table2[[#This Row],[Column16]])</f>
        <v>59.96</v>
      </c>
      <c r="U9" s="123">
        <f>HLOOKUP($R9,Lookups!$B$3:$H$4,2,TRUE)</f>
        <v>0.05</v>
      </c>
      <c r="V9" s="6">
        <f t="shared" si="0"/>
        <v>2.9980000000000002</v>
      </c>
      <c r="W9" s="61">
        <f t="shared" si="1"/>
        <v>56.962000000000003</v>
      </c>
    </row>
    <row r="10" spans="1:23" x14ac:dyDescent="0.3">
      <c r="D10" s="5">
        <v>1067</v>
      </c>
      <c r="E10" s="4">
        <v>43117</v>
      </c>
      <c r="F10" s="1" t="s">
        <v>430</v>
      </c>
      <c r="G10" s="1" t="s">
        <v>443</v>
      </c>
      <c r="H10" t="s">
        <v>452</v>
      </c>
      <c r="I10" s="1" t="s">
        <v>467</v>
      </c>
      <c r="J10" s="15" t="s">
        <v>477</v>
      </c>
      <c r="L10" s="1" t="s">
        <v>99</v>
      </c>
      <c r="M10" s="9" t="s">
        <v>39</v>
      </c>
      <c r="N10" s="5">
        <v>8</v>
      </c>
      <c r="O10" s="62">
        <v>32323231</v>
      </c>
      <c r="P10" s="10" t="s">
        <v>480</v>
      </c>
      <c r="R10" s="5">
        <v>5</v>
      </c>
      <c r="S10" s="42">
        <v>13.99</v>
      </c>
      <c r="T10" s="42">
        <f>SUM(Table2[[#This Row],[Column15]]*Table2[[#This Row],[Column16]])</f>
        <v>69.95</v>
      </c>
      <c r="U10" s="123">
        <f>HLOOKUP($R10,Lookups!$B$3:$H$4,2,TRUE)</f>
        <v>0.08</v>
      </c>
      <c r="V10" s="6">
        <f t="shared" si="0"/>
        <v>5.5960000000000001</v>
      </c>
      <c r="W10" s="61">
        <f t="shared" si="1"/>
        <v>64.353999999999999</v>
      </c>
    </row>
    <row r="11" spans="1:23" x14ac:dyDescent="0.3">
      <c r="D11" s="5">
        <v>1068</v>
      </c>
      <c r="E11" s="4">
        <v>43117</v>
      </c>
      <c r="F11" s="1" t="s">
        <v>431</v>
      </c>
      <c r="G11" s="1" t="s">
        <v>444</v>
      </c>
      <c r="H11" t="s">
        <v>453</v>
      </c>
      <c r="I11" s="1" t="s">
        <v>468</v>
      </c>
      <c r="J11" s="15" t="s">
        <v>477</v>
      </c>
      <c r="L11" s="1" t="s">
        <v>101</v>
      </c>
      <c r="M11" s="9" t="s">
        <v>103</v>
      </c>
      <c r="N11" s="5">
        <v>7</v>
      </c>
      <c r="O11" s="62">
        <v>30232323</v>
      </c>
      <c r="P11" s="10" t="s">
        <v>480</v>
      </c>
      <c r="R11" s="5">
        <v>5</v>
      </c>
      <c r="S11" s="42">
        <v>15.99</v>
      </c>
      <c r="T11" s="42">
        <f>SUM(Table2[[#This Row],[Column15]]*Table2[[#This Row],[Column16]])</f>
        <v>79.95</v>
      </c>
      <c r="U11" s="123">
        <f>HLOOKUP($R11,Lookups!$B$3:$H$4,2,TRUE)</f>
        <v>0.08</v>
      </c>
      <c r="V11" s="6">
        <f t="shared" si="0"/>
        <v>6.3960000000000008</v>
      </c>
      <c r="W11" s="61">
        <f t="shared" si="1"/>
        <v>73.554000000000002</v>
      </c>
    </row>
    <row r="12" spans="1:23" ht="15" thickBot="1" x14ac:dyDescent="0.35">
      <c r="A12" s="133" t="s">
        <v>629</v>
      </c>
      <c r="B12" s="133"/>
      <c r="D12" s="5">
        <v>1069</v>
      </c>
      <c r="E12" s="4">
        <v>43117</v>
      </c>
      <c r="F12" s="1" t="s">
        <v>425</v>
      </c>
      <c r="G12" s="1" t="s">
        <v>445</v>
      </c>
      <c r="H12" t="s">
        <v>454</v>
      </c>
      <c r="I12" s="1" t="s">
        <v>475</v>
      </c>
      <c r="J12" s="15" t="s">
        <v>477</v>
      </c>
      <c r="L12" s="1" t="s">
        <v>104</v>
      </c>
      <c r="M12" s="9" t="s">
        <v>84</v>
      </c>
      <c r="N12" s="5">
        <v>5</v>
      </c>
      <c r="O12" s="62">
        <v>32032323</v>
      </c>
      <c r="P12" s="10" t="s">
        <v>479</v>
      </c>
      <c r="R12" s="5">
        <v>10</v>
      </c>
      <c r="S12" s="42">
        <v>25.99</v>
      </c>
      <c r="T12" s="42">
        <f>SUM(Table2[[#This Row],[Column15]]*Table2[[#This Row],[Column16]])</f>
        <v>259.89999999999998</v>
      </c>
      <c r="U12" s="123">
        <f>HLOOKUP($R12,Lookups!$B$3:$H$4,2,TRUE)</f>
        <v>0.12</v>
      </c>
      <c r="V12" s="6">
        <f t="shared" si="0"/>
        <v>31.187999999999995</v>
      </c>
      <c r="W12" s="61">
        <f t="shared" si="1"/>
        <v>228.71199999999999</v>
      </c>
    </row>
    <row r="13" spans="1:23" x14ac:dyDescent="0.3">
      <c r="A13" t="s">
        <v>366</v>
      </c>
      <c r="B13" s="42">
        <v>132</v>
      </c>
      <c r="D13" s="5">
        <v>1070</v>
      </c>
      <c r="E13" s="4">
        <v>43118</v>
      </c>
      <c r="F13" s="1" t="s">
        <v>432</v>
      </c>
      <c r="G13" s="1" t="s">
        <v>439</v>
      </c>
      <c r="H13" t="s">
        <v>455</v>
      </c>
      <c r="I13" s="1" t="s">
        <v>469</v>
      </c>
      <c r="J13" s="15" t="s">
        <v>477</v>
      </c>
      <c r="L13" s="1" t="s">
        <v>107</v>
      </c>
      <c r="M13" s="9" t="s">
        <v>76</v>
      </c>
      <c r="N13" s="5">
        <v>5</v>
      </c>
      <c r="O13" s="62">
        <v>32302323</v>
      </c>
      <c r="P13" s="10" t="s">
        <v>479</v>
      </c>
      <c r="R13" s="5">
        <v>11</v>
      </c>
      <c r="S13" s="42">
        <v>26.99</v>
      </c>
      <c r="T13" s="42">
        <f>SUM(Table2[[#This Row],[Column15]]*Table2[[#This Row],[Column16]])</f>
        <v>296.89</v>
      </c>
      <c r="U13" s="123">
        <f>HLOOKUP($R13,Lookups!$B$3:$H$4,2,TRUE)</f>
        <v>0.12</v>
      </c>
      <c r="V13" s="6">
        <f t="shared" si="0"/>
        <v>35.626799999999996</v>
      </c>
      <c r="W13" s="61">
        <f t="shared" si="1"/>
        <v>261.26319999999998</v>
      </c>
    </row>
    <row r="14" spans="1:23" x14ac:dyDescent="0.3">
      <c r="A14" t="s">
        <v>367</v>
      </c>
      <c r="B14" s="42">
        <v>160</v>
      </c>
      <c r="D14" s="5">
        <v>1071</v>
      </c>
      <c r="E14" s="4">
        <v>43118</v>
      </c>
      <c r="F14" s="1" t="s">
        <v>433</v>
      </c>
      <c r="G14" s="1" t="s">
        <v>437</v>
      </c>
      <c r="H14" t="s">
        <v>456</v>
      </c>
      <c r="I14" s="1" t="s">
        <v>457</v>
      </c>
      <c r="J14" s="15" t="s">
        <v>477</v>
      </c>
      <c r="L14" s="1" t="s">
        <v>110</v>
      </c>
      <c r="M14" s="9" t="s">
        <v>76</v>
      </c>
      <c r="N14" s="5">
        <v>4</v>
      </c>
      <c r="O14" s="62">
        <v>32320323</v>
      </c>
      <c r="P14" s="10" t="s">
        <v>479</v>
      </c>
      <c r="R14" s="5">
        <v>4</v>
      </c>
      <c r="S14" s="42">
        <v>25.99</v>
      </c>
      <c r="T14" s="42">
        <f>SUM(Table2[[#This Row],[Column15]]*Table2[[#This Row],[Column16]])</f>
        <v>103.96</v>
      </c>
      <c r="U14" s="123">
        <f>HLOOKUP($R14,Lookups!$B$3:$H$4,2,TRUE)</f>
        <v>0.05</v>
      </c>
      <c r="V14" s="6">
        <f t="shared" si="0"/>
        <v>5.1980000000000004</v>
      </c>
      <c r="W14" s="61">
        <f t="shared" si="1"/>
        <v>98.762</v>
      </c>
    </row>
    <row r="15" spans="1:23" x14ac:dyDescent="0.3">
      <c r="A15" t="s">
        <v>371</v>
      </c>
      <c r="B15" s="42">
        <v>320</v>
      </c>
      <c r="D15" s="5">
        <v>1072</v>
      </c>
      <c r="E15" s="4">
        <v>43118</v>
      </c>
      <c r="F15" s="1" t="s">
        <v>425</v>
      </c>
      <c r="G15" s="1" t="s">
        <v>437</v>
      </c>
      <c r="H15" t="s">
        <v>459</v>
      </c>
      <c r="I15" s="1" t="s">
        <v>458</v>
      </c>
      <c r="J15" s="15" t="s">
        <v>477</v>
      </c>
      <c r="L15" s="1" t="s">
        <v>113</v>
      </c>
      <c r="M15" s="9" t="s">
        <v>116</v>
      </c>
      <c r="N15" s="5">
        <v>3</v>
      </c>
      <c r="O15" s="62">
        <v>32323230</v>
      </c>
      <c r="P15" s="10" t="s">
        <v>479</v>
      </c>
      <c r="R15" s="5">
        <v>6</v>
      </c>
      <c r="S15" s="42">
        <v>25.99</v>
      </c>
      <c r="T15" s="42">
        <f>SUM(Table2[[#This Row],[Column15]]*Table2[[#This Row],[Column16]])</f>
        <v>155.94</v>
      </c>
      <c r="U15" s="123">
        <f>HLOOKUP($R15,Lookups!$B$3:$H$4,2,TRUE)</f>
        <v>0.08</v>
      </c>
      <c r="V15" s="6">
        <f t="shared" si="0"/>
        <v>12.475200000000001</v>
      </c>
      <c r="W15" s="61">
        <f t="shared" si="1"/>
        <v>143.4648</v>
      </c>
    </row>
    <row r="16" spans="1:23" x14ac:dyDescent="0.3">
      <c r="A16" t="s">
        <v>372</v>
      </c>
      <c r="B16" s="42">
        <v>70</v>
      </c>
      <c r="D16" s="5">
        <v>1073</v>
      </c>
      <c r="E16" s="4">
        <v>43119</v>
      </c>
      <c r="F16" s="1" t="s">
        <v>432</v>
      </c>
      <c r="G16" s="1" t="s">
        <v>439</v>
      </c>
      <c r="H16" t="s">
        <v>455</v>
      </c>
      <c r="I16" s="1" t="s">
        <v>469</v>
      </c>
      <c r="J16" s="15" t="s">
        <v>477</v>
      </c>
      <c r="L16" s="1" t="s">
        <v>117</v>
      </c>
      <c r="M16" s="9" t="s">
        <v>76</v>
      </c>
      <c r="N16" s="5">
        <v>5</v>
      </c>
      <c r="O16" s="62">
        <v>32323023</v>
      </c>
      <c r="P16" s="10" t="s">
        <v>479</v>
      </c>
      <c r="R16" s="5">
        <v>3</v>
      </c>
      <c r="S16" s="42">
        <v>27.99</v>
      </c>
      <c r="T16" s="42">
        <f>SUM(Table2[[#This Row],[Column15]]*Table2[[#This Row],[Column16]])</f>
        <v>83.97</v>
      </c>
      <c r="U16" s="123">
        <f>HLOOKUP($R16,Lookups!$B$3:$H$4,2,TRUE)</f>
        <v>0.05</v>
      </c>
      <c r="V16" s="6">
        <f t="shared" si="0"/>
        <v>4.1985000000000001</v>
      </c>
      <c r="W16" s="61">
        <f t="shared" si="1"/>
        <v>79.771500000000003</v>
      </c>
    </row>
    <row r="17" spans="1:23" x14ac:dyDescent="0.3">
      <c r="A17" t="s">
        <v>373</v>
      </c>
      <c r="B17" s="42">
        <v>120</v>
      </c>
      <c r="D17" s="5">
        <v>1074</v>
      </c>
      <c r="E17" s="4">
        <v>43119</v>
      </c>
      <c r="F17" s="1" t="s">
        <v>435</v>
      </c>
      <c r="G17" s="1" t="s">
        <v>437</v>
      </c>
      <c r="H17" t="s">
        <v>463</v>
      </c>
      <c r="I17" s="1" t="s">
        <v>460</v>
      </c>
      <c r="J17" s="15" t="s">
        <v>477</v>
      </c>
      <c r="L17" s="1" t="s">
        <v>119</v>
      </c>
      <c r="M17" s="9" t="s">
        <v>76</v>
      </c>
      <c r="N17" s="5">
        <v>6</v>
      </c>
      <c r="O17" s="62">
        <v>32323203</v>
      </c>
      <c r="P17" s="10" t="s">
        <v>479</v>
      </c>
      <c r="R17" s="5">
        <v>2</v>
      </c>
      <c r="S17" s="42">
        <v>22.99</v>
      </c>
      <c r="T17" s="42">
        <f>SUM(Table2[[#This Row],[Column15]]*Table2[[#This Row],[Column16]])</f>
        <v>45.98</v>
      </c>
      <c r="U17" s="123">
        <f>HLOOKUP($R17,Lookups!$B$3:$H$4,2,TRUE)</f>
        <v>0</v>
      </c>
      <c r="V17" s="6">
        <f t="shared" si="0"/>
        <v>0</v>
      </c>
      <c r="W17" s="61">
        <f t="shared" si="1"/>
        <v>45.98</v>
      </c>
    </row>
    <row r="18" spans="1:23" x14ac:dyDescent="0.3">
      <c r="A18" s="68" t="s">
        <v>349</v>
      </c>
      <c r="B18" s="67">
        <f>SUM(B13:B17)</f>
        <v>802</v>
      </c>
      <c r="D18" s="5">
        <v>1075</v>
      </c>
      <c r="E18" s="4">
        <v>43119</v>
      </c>
      <c r="F18" s="1" t="s">
        <v>434</v>
      </c>
      <c r="G18" s="1" t="s">
        <v>439</v>
      </c>
      <c r="H18" t="s">
        <v>464</v>
      </c>
      <c r="I18" s="1" t="s">
        <v>465</v>
      </c>
      <c r="J18" s="15" t="s">
        <v>477</v>
      </c>
      <c r="L18" s="1" t="s">
        <v>122</v>
      </c>
      <c r="M18" s="9" t="s">
        <v>76</v>
      </c>
      <c r="N18" s="5">
        <v>9</v>
      </c>
      <c r="O18" s="62">
        <v>32323235</v>
      </c>
      <c r="P18" s="10" t="s">
        <v>479</v>
      </c>
      <c r="R18" s="5">
        <v>5</v>
      </c>
      <c r="S18" s="42">
        <v>24.99</v>
      </c>
      <c r="T18" s="42">
        <f>SUM(Table2[[#This Row],[Column15]]*Table2[[#This Row],[Column16]])</f>
        <v>124.94999999999999</v>
      </c>
      <c r="U18" s="123">
        <f>HLOOKUP($R18,Lookups!$B$3:$H$4,2,TRUE)</f>
        <v>0.08</v>
      </c>
      <c r="V18" s="6">
        <f t="shared" si="0"/>
        <v>9.9959999999999987</v>
      </c>
      <c r="W18" s="61">
        <f t="shared" si="1"/>
        <v>114.95399999999999</v>
      </c>
    </row>
    <row r="19" spans="1:23" x14ac:dyDescent="0.3">
      <c r="D19" s="5">
        <v>1078</v>
      </c>
      <c r="E19" s="4">
        <v>43120</v>
      </c>
      <c r="F19" s="1" t="s">
        <v>435</v>
      </c>
      <c r="G19" s="1" t="s">
        <v>461</v>
      </c>
      <c r="H19" t="s">
        <v>463</v>
      </c>
      <c r="I19" s="1" t="s">
        <v>466</v>
      </c>
      <c r="J19" s="15" t="s">
        <v>478</v>
      </c>
      <c r="L19" s="1" t="s">
        <v>125</v>
      </c>
      <c r="M19" s="9" t="s">
        <v>128</v>
      </c>
      <c r="N19" s="5">
        <v>6</v>
      </c>
      <c r="O19" s="62">
        <v>32323253</v>
      </c>
      <c r="P19" s="10" t="s">
        <v>479</v>
      </c>
      <c r="R19" s="5">
        <v>3</v>
      </c>
      <c r="S19" s="42">
        <v>25.99</v>
      </c>
      <c r="T19" s="42">
        <f>SUM(Table2[[#This Row],[Column15]]*Table2[[#This Row],[Column16]])</f>
        <v>77.97</v>
      </c>
      <c r="U19" s="123">
        <f>HLOOKUP($R19,Lookups!$B$3:$H$4,2,TRUE)</f>
        <v>0.05</v>
      </c>
      <c r="V19" s="6">
        <f t="shared" si="0"/>
        <v>3.8985000000000003</v>
      </c>
      <c r="W19" s="61">
        <f t="shared" si="1"/>
        <v>74.0715</v>
      </c>
    </row>
    <row r="20" spans="1:23" x14ac:dyDescent="0.3">
      <c r="D20" s="5">
        <v>1079</v>
      </c>
      <c r="E20" s="4">
        <v>43120</v>
      </c>
      <c r="F20" s="1" t="s">
        <v>430</v>
      </c>
      <c r="G20" s="1" t="s">
        <v>443</v>
      </c>
      <c r="H20" t="s">
        <v>452</v>
      </c>
      <c r="I20" s="1" t="s">
        <v>467</v>
      </c>
      <c r="J20" s="15" t="s">
        <v>477</v>
      </c>
      <c r="L20" s="1" t="s">
        <v>129</v>
      </c>
      <c r="M20" s="9" t="s">
        <v>45</v>
      </c>
      <c r="N20" s="5">
        <v>2</v>
      </c>
      <c r="O20" s="62">
        <v>32323253</v>
      </c>
      <c r="P20" s="10" t="s">
        <v>479</v>
      </c>
      <c r="R20" s="5">
        <v>2</v>
      </c>
      <c r="S20" s="42">
        <v>26.99</v>
      </c>
      <c r="T20" s="42">
        <f>SUM(Table2[[#This Row],[Column15]]*Table2[[#This Row],[Column16]])</f>
        <v>53.98</v>
      </c>
      <c r="U20" s="123">
        <f>HLOOKUP($R20,Lookups!$B$3:$H$4,2,TRUE)</f>
        <v>0</v>
      </c>
      <c r="V20" s="6">
        <f t="shared" si="0"/>
        <v>0</v>
      </c>
      <c r="W20" s="61">
        <f t="shared" si="1"/>
        <v>53.98</v>
      </c>
    </row>
    <row r="21" spans="1:23" x14ac:dyDescent="0.3">
      <c r="D21" s="5">
        <v>1080</v>
      </c>
      <c r="E21" s="4">
        <v>43120</v>
      </c>
      <c r="F21" s="1" t="s">
        <v>431</v>
      </c>
      <c r="G21" s="1" t="s">
        <v>446</v>
      </c>
      <c r="H21" t="s">
        <v>453</v>
      </c>
      <c r="I21" s="1" t="s">
        <v>468</v>
      </c>
      <c r="J21" s="15" t="s">
        <v>477</v>
      </c>
      <c r="L21" s="1" t="s">
        <v>133</v>
      </c>
      <c r="M21" s="9" t="s">
        <v>136</v>
      </c>
      <c r="N21" s="5">
        <v>3</v>
      </c>
      <c r="O21" s="62">
        <v>32325323</v>
      </c>
      <c r="P21" s="10" t="s">
        <v>479</v>
      </c>
      <c r="R21" s="5">
        <v>1</v>
      </c>
      <c r="S21" s="42">
        <v>19.989999999999998</v>
      </c>
      <c r="T21" s="42">
        <f>SUM(Table2[[#This Row],[Column15]]*Table2[[#This Row],[Column16]])</f>
        <v>19.989999999999998</v>
      </c>
      <c r="U21" s="123">
        <f>HLOOKUP($R21,Lookups!$B$3:$H$4,2,TRUE)</f>
        <v>0</v>
      </c>
      <c r="V21" s="6">
        <f t="shared" si="0"/>
        <v>0</v>
      </c>
      <c r="W21" s="61">
        <f t="shared" si="1"/>
        <v>19.989999999999998</v>
      </c>
    </row>
  </sheetData>
  <mergeCells count="2">
    <mergeCell ref="A6:B6"/>
    <mergeCell ref="A12:B12"/>
  </mergeCells>
  <dataValidations count="2">
    <dataValidation type="list" allowBlank="1" showInputMessage="1" showErrorMessage="1" sqref="J4:J21" xr:uid="{77C12CEE-502E-4191-AF22-BE0ABFB5308E}">
      <formula1>$K$4:$K$5</formula1>
    </dataValidation>
    <dataValidation type="list" allowBlank="1" showInputMessage="1" showErrorMessage="1" sqref="P4:P21" xr:uid="{839801D6-E933-4A65-A3D2-A33324552F36}">
      <formula1>$Q$4:$Q$5</formula1>
    </dataValidation>
  </dataValidations>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916AD-48C6-4109-89BC-6DA1B5D83D2B}">
  <sheetPr codeName="Sheet7">
    <tabColor theme="7" tint="-0.499984740745262"/>
  </sheetPr>
  <dimension ref="A3:W21"/>
  <sheetViews>
    <sheetView workbookViewId="0">
      <pane xSplit="2" topLeftCell="I1" activePane="topRight" state="frozen"/>
      <selection pane="topRight" activeCell="B8" sqref="B8"/>
    </sheetView>
  </sheetViews>
  <sheetFormatPr defaultRowHeight="14.4" x14ac:dyDescent="0.3"/>
  <cols>
    <col min="1" max="1" width="10.6640625" customWidth="1"/>
    <col min="2" max="2" width="9" customWidth="1"/>
    <col min="3" max="3" width="0.33203125" style="66" customWidth="1"/>
    <col min="4" max="4" width="9.33203125" style="5" bestFit="1" customWidth="1"/>
    <col min="5" max="5" width="10.6640625" style="4" bestFit="1" customWidth="1"/>
    <col min="6" max="6" width="11.109375" bestFit="1" customWidth="1"/>
    <col min="7" max="7" width="18" style="1" bestFit="1" customWidth="1"/>
    <col min="8" max="8" width="16.109375" style="1" bestFit="1" customWidth="1"/>
    <col min="9" max="9" width="13.88671875" style="63" bestFit="1" customWidth="1"/>
    <col min="10" max="10" width="13.44140625" style="15" bestFit="1" customWidth="1"/>
    <col min="11" max="11" width="8.88671875" hidden="1" customWidth="1"/>
    <col min="12" max="12" width="25.88671875" bestFit="1" customWidth="1"/>
    <col min="13" max="13" width="10.109375" style="64" bestFit="1" customWidth="1"/>
    <col min="14" max="14" width="5.33203125" style="5" bestFit="1" customWidth="1"/>
    <col min="15" max="15" width="12" style="19" customWidth="1"/>
    <col min="16" max="16" width="9.44140625" style="15" bestFit="1" customWidth="1"/>
    <col min="17" max="17" width="0" hidden="1" customWidth="1"/>
    <col min="18" max="18" width="8.6640625" style="5" bestFit="1" customWidth="1"/>
    <col min="19" max="20" width="12" style="42" customWidth="1"/>
    <col min="21" max="21" width="10.33203125" style="127" bestFit="1" customWidth="1"/>
    <col min="22" max="22" width="11.109375" style="42" bestFit="1" customWidth="1"/>
    <col min="23" max="23" width="8.109375" style="42" bestFit="1" customWidth="1"/>
  </cols>
  <sheetData>
    <row r="3" spans="1:23" x14ac:dyDescent="0.3">
      <c r="D3" s="5" t="s">
        <v>331</v>
      </c>
      <c r="E3" s="4" t="s">
        <v>332</v>
      </c>
      <c r="F3" t="s">
        <v>333</v>
      </c>
      <c r="G3" s="1" t="s">
        <v>9</v>
      </c>
      <c r="H3" s="1" t="s">
        <v>174</v>
      </c>
      <c r="I3" s="63" t="s">
        <v>11</v>
      </c>
      <c r="J3" s="15" t="s">
        <v>424</v>
      </c>
      <c r="K3" t="s">
        <v>334</v>
      </c>
      <c r="L3" t="s">
        <v>21</v>
      </c>
      <c r="M3" s="64" t="s">
        <v>29</v>
      </c>
      <c r="N3" s="5" t="s">
        <v>335</v>
      </c>
      <c r="O3" s="19" t="s">
        <v>16</v>
      </c>
      <c r="P3" s="15" t="s">
        <v>336</v>
      </c>
      <c r="R3" s="5" t="s">
        <v>338</v>
      </c>
      <c r="S3" s="42" t="s">
        <v>2</v>
      </c>
      <c r="T3" s="42" t="s">
        <v>339</v>
      </c>
      <c r="U3" s="127" t="s">
        <v>667</v>
      </c>
      <c r="V3" s="42" t="s">
        <v>668</v>
      </c>
      <c r="W3" s="42" t="s">
        <v>340</v>
      </c>
    </row>
    <row r="4" spans="1:23" x14ac:dyDescent="0.3">
      <c r="D4" s="5">
        <v>1081</v>
      </c>
      <c r="E4" s="4">
        <v>43122</v>
      </c>
      <c r="F4" t="s">
        <v>381</v>
      </c>
      <c r="G4" s="1" t="s">
        <v>399</v>
      </c>
      <c r="H4" s="1" t="s">
        <v>402</v>
      </c>
      <c r="I4" s="63" t="s">
        <v>403</v>
      </c>
      <c r="J4" s="15" t="s">
        <v>341</v>
      </c>
      <c r="K4" t="s">
        <v>341</v>
      </c>
      <c r="L4" t="s">
        <v>34</v>
      </c>
      <c r="M4" s="64" t="s">
        <v>39</v>
      </c>
      <c r="N4" s="5">
        <v>6</v>
      </c>
      <c r="O4" s="19">
        <v>2332309</v>
      </c>
      <c r="P4" s="15" t="s">
        <v>337</v>
      </c>
      <c r="Q4" t="s">
        <v>337</v>
      </c>
      <c r="R4" s="5">
        <v>4</v>
      </c>
      <c r="S4" s="42">
        <v>13.99</v>
      </c>
      <c r="T4" s="42">
        <f>SUM(Table3[[#This Row],[Column15]]*Table3[[#This Row],[Column16]])</f>
        <v>55.96</v>
      </c>
      <c r="U4" s="123">
        <f>HLOOKUP($R4,Lookups!$B$3:$H$4,2,TRUE)</f>
        <v>0.05</v>
      </c>
      <c r="V4" s="6">
        <f>SUM(T4*U4)</f>
        <v>2.798</v>
      </c>
      <c r="W4" s="42">
        <f>SUM(T4-V4)</f>
        <v>53.161999999999999</v>
      </c>
    </row>
    <row r="5" spans="1:23" x14ac:dyDescent="0.3">
      <c r="D5" s="5">
        <v>1082</v>
      </c>
      <c r="E5" s="4">
        <v>43122</v>
      </c>
      <c r="F5" t="s">
        <v>378</v>
      </c>
      <c r="G5" s="1" t="s">
        <v>419</v>
      </c>
      <c r="H5" s="1" t="s">
        <v>420</v>
      </c>
      <c r="I5" s="63" t="s">
        <v>421</v>
      </c>
      <c r="J5" s="15" t="s">
        <v>423</v>
      </c>
      <c r="K5" t="s">
        <v>423</v>
      </c>
      <c r="L5" t="s">
        <v>40</v>
      </c>
      <c r="M5" s="64" t="s">
        <v>45</v>
      </c>
      <c r="N5" s="5">
        <v>7</v>
      </c>
      <c r="O5" s="19">
        <v>2332387</v>
      </c>
      <c r="P5" s="15" t="s">
        <v>337</v>
      </c>
      <c r="Q5" t="s">
        <v>342</v>
      </c>
      <c r="R5" s="5">
        <v>5</v>
      </c>
      <c r="S5" s="42">
        <v>23.99</v>
      </c>
      <c r="T5" s="42">
        <f>SUM(Table3[[#This Row],[Column15]]*Table3[[#This Row],[Column16]])</f>
        <v>119.94999999999999</v>
      </c>
      <c r="U5" s="123">
        <f>HLOOKUP($R5,Lookups!$B$3:$H$4,2,TRUE)</f>
        <v>0.08</v>
      </c>
      <c r="V5" s="6">
        <f t="shared" ref="V5:V21" si="0">SUM(T5*U5)</f>
        <v>9.5960000000000001</v>
      </c>
      <c r="W5" s="42">
        <f t="shared" ref="W5:W21" si="1">SUM(T5-V5)</f>
        <v>110.35399999999998</v>
      </c>
    </row>
    <row r="6" spans="1:23" ht="18" thickBot="1" x14ac:dyDescent="0.4">
      <c r="A6" s="132" t="s">
        <v>630</v>
      </c>
      <c r="B6" s="132"/>
      <c r="D6" s="5">
        <v>1083</v>
      </c>
      <c r="E6" s="4">
        <v>43122</v>
      </c>
      <c r="F6" t="s">
        <v>377</v>
      </c>
      <c r="G6" s="1" t="s">
        <v>395</v>
      </c>
      <c r="H6" s="1" t="s">
        <v>402</v>
      </c>
      <c r="I6" s="63" t="s">
        <v>408</v>
      </c>
      <c r="J6" s="15" t="s">
        <v>341</v>
      </c>
      <c r="L6" t="s">
        <v>46</v>
      </c>
      <c r="M6" s="64" t="s">
        <v>50</v>
      </c>
      <c r="N6" s="5">
        <v>8</v>
      </c>
      <c r="O6" s="19">
        <v>2330232</v>
      </c>
      <c r="P6" s="15" t="s">
        <v>337</v>
      </c>
      <c r="R6" s="5">
        <v>6</v>
      </c>
      <c r="S6" s="42">
        <v>20.99</v>
      </c>
      <c r="T6" s="42">
        <f>SUM(Table3[[#This Row],[Column15]]*Table3[[#This Row],[Column16]])</f>
        <v>125.94</v>
      </c>
      <c r="U6" s="123">
        <f>HLOOKUP($R6,Lookups!$B$3:$H$4,2,TRUE)</f>
        <v>0.08</v>
      </c>
      <c r="V6" s="6">
        <f t="shared" si="0"/>
        <v>10.075200000000001</v>
      </c>
      <c r="W6" s="42">
        <f t="shared" si="1"/>
        <v>115.8648</v>
      </c>
    </row>
    <row r="7" spans="1:23" ht="15" thickTop="1" x14ac:dyDescent="0.3">
      <c r="A7" t="s">
        <v>627</v>
      </c>
      <c r="B7" s="42">
        <f>SUM(Table3[[#All],[Column19]])</f>
        <v>1387.8713000000002</v>
      </c>
      <c r="D7" s="5">
        <v>1084</v>
      </c>
      <c r="E7" s="4">
        <v>43122</v>
      </c>
      <c r="F7" t="s">
        <v>379</v>
      </c>
      <c r="G7" s="1" t="s">
        <v>396</v>
      </c>
      <c r="H7" s="1" t="s">
        <v>411</v>
      </c>
      <c r="I7" s="63" t="s">
        <v>412</v>
      </c>
      <c r="J7" s="15" t="s">
        <v>341</v>
      </c>
      <c r="L7" t="s">
        <v>51</v>
      </c>
      <c r="M7" s="64" t="s">
        <v>54</v>
      </c>
      <c r="N7" s="5">
        <v>5</v>
      </c>
      <c r="O7" s="19">
        <v>2343232</v>
      </c>
      <c r="P7" s="15" t="s">
        <v>337</v>
      </c>
      <c r="R7" s="5">
        <v>5</v>
      </c>
      <c r="S7" s="42">
        <v>20.99</v>
      </c>
      <c r="T7" s="42">
        <f>SUM(Table3[[#This Row],[Column15]]*Table3[[#This Row],[Column16]])</f>
        <v>104.94999999999999</v>
      </c>
      <c r="U7" s="123">
        <f>HLOOKUP($R7,Lookups!$B$3:$H$4,2,TRUE)</f>
        <v>0.08</v>
      </c>
      <c r="V7" s="6">
        <f t="shared" si="0"/>
        <v>8.395999999999999</v>
      </c>
      <c r="W7" s="42">
        <f t="shared" si="1"/>
        <v>96.553999999999988</v>
      </c>
    </row>
    <row r="8" spans="1:23" x14ac:dyDescent="0.3">
      <c r="A8" t="s">
        <v>628</v>
      </c>
      <c r="B8" s="42">
        <f>$B18</f>
        <v>869</v>
      </c>
      <c r="D8" s="5">
        <v>1085</v>
      </c>
      <c r="E8" s="4">
        <v>43123</v>
      </c>
      <c r="F8" t="s">
        <v>382</v>
      </c>
      <c r="G8" s="1" t="s">
        <v>397</v>
      </c>
      <c r="H8" s="1" t="s">
        <v>406</v>
      </c>
      <c r="I8" s="63" t="s">
        <v>413</v>
      </c>
      <c r="J8" s="15" t="s">
        <v>341</v>
      </c>
      <c r="L8" t="s">
        <v>55</v>
      </c>
      <c r="M8" s="64" t="s">
        <v>39</v>
      </c>
      <c r="N8" s="5">
        <v>6</v>
      </c>
      <c r="O8" s="19">
        <v>2331232</v>
      </c>
      <c r="P8" s="15" t="s">
        <v>337</v>
      </c>
      <c r="R8" s="5">
        <v>5</v>
      </c>
      <c r="S8" s="42">
        <v>20.99</v>
      </c>
      <c r="T8" s="42">
        <f>SUM(Table3[[#This Row],[Column15]]*Table3[[#This Row],[Column16]])</f>
        <v>104.94999999999999</v>
      </c>
      <c r="U8" s="123">
        <f>HLOOKUP($R8,Lookups!$B$3:$H$4,2,TRUE)</f>
        <v>0.08</v>
      </c>
      <c r="V8" s="6">
        <f t="shared" si="0"/>
        <v>8.395999999999999</v>
      </c>
      <c r="W8" s="42">
        <f t="shared" si="1"/>
        <v>96.553999999999988</v>
      </c>
    </row>
    <row r="9" spans="1:23" x14ac:dyDescent="0.3">
      <c r="A9" t="s">
        <v>360</v>
      </c>
      <c r="B9" s="42">
        <f>SUM(B7-B8)</f>
        <v>518.87130000000025</v>
      </c>
      <c r="D9" s="5">
        <v>1086</v>
      </c>
      <c r="E9" s="4">
        <v>43123</v>
      </c>
      <c r="F9" t="s">
        <v>380</v>
      </c>
      <c r="G9" s="1" t="s">
        <v>398</v>
      </c>
      <c r="H9" s="1" t="s">
        <v>411</v>
      </c>
      <c r="I9" s="63" t="s">
        <v>412</v>
      </c>
      <c r="J9" s="15" t="s">
        <v>341</v>
      </c>
      <c r="L9" t="s">
        <v>58</v>
      </c>
      <c r="M9" s="64" t="s">
        <v>62</v>
      </c>
      <c r="N9" s="5">
        <v>5</v>
      </c>
      <c r="O9" s="19">
        <v>2338232</v>
      </c>
      <c r="P9" s="15" t="s">
        <v>337</v>
      </c>
      <c r="R9" s="5">
        <v>4</v>
      </c>
      <c r="S9" s="42">
        <v>15.99</v>
      </c>
      <c r="T9" s="42">
        <f>SUM(Table3[[#This Row],[Column15]]*Table3[[#This Row],[Column16]])</f>
        <v>63.96</v>
      </c>
      <c r="U9" s="123">
        <f>HLOOKUP($R9,Lookups!$B$3:$H$4,2,TRUE)</f>
        <v>0.05</v>
      </c>
      <c r="V9" s="6">
        <f t="shared" si="0"/>
        <v>3.1980000000000004</v>
      </c>
      <c r="W9" s="42">
        <f t="shared" si="1"/>
        <v>60.762</v>
      </c>
    </row>
    <row r="10" spans="1:23" x14ac:dyDescent="0.3">
      <c r="D10" s="5">
        <v>1087</v>
      </c>
      <c r="E10" s="4">
        <v>43123</v>
      </c>
      <c r="F10" t="s">
        <v>383</v>
      </c>
      <c r="G10" s="1" t="s">
        <v>397</v>
      </c>
      <c r="H10" s="1" t="s">
        <v>406</v>
      </c>
      <c r="I10" s="63" t="s">
        <v>413</v>
      </c>
      <c r="J10" s="15" t="s">
        <v>341</v>
      </c>
      <c r="L10" t="s">
        <v>63</v>
      </c>
      <c r="M10" s="64" t="s">
        <v>68</v>
      </c>
      <c r="N10" s="5">
        <v>4</v>
      </c>
      <c r="O10" s="19">
        <v>2332342</v>
      </c>
      <c r="P10" s="15" t="s">
        <v>337</v>
      </c>
      <c r="R10" s="5">
        <v>2</v>
      </c>
      <c r="S10" s="42">
        <v>18.989999999999998</v>
      </c>
      <c r="T10" s="42">
        <f>SUM(Table3[[#This Row],[Column15]]*Table3[[#This Row],[Column16]])</f>
        <v>37.979999999999997</v>
      </c>
      <c r="U10" s="123">
        <f>HLOOKUP($R10,Lookups!$B$3:$H$4,2,TRUE)</f>
        <v>0</v>
      </c>
      <c r="V10" s="6">
        <f t="shared" si="0"/>
        <v>0</v>
      </c>
      <c r="W10" s="42">
        <f t="shared" si="1"/>
        <v>37.979999999999997</v>
      </c>
    </row>
    <row r="11" spans="1:23" x14ac:dyDescent="0.3">
      <c r="A11">
        <v>621.25</v>
      </c>
      <c r="D11" s="5">
        <v>1088</v>
      </c>
      <c r="E11" s="4">
        <v>43123</v>
      </c>
      <c r="F11" t="s">
        <v>384</v>
      </c>
      <c r="G11" s="1" t="s">
        <v>397</v>
      </c>
      <c r="H11" s="1" t="s">
        <v>406</v>
      </c>
      <c r="I11" s="63" t="s">
        <v>413</v>
      </c>
      <c r="J11" s="15" t="s">
        <v>341</v>
      </c>
      <c r="L11" t="s">
        <v>69</v>
      </c>
      <c r="M11" s="64" t="s">
        <v>72</v>
      </c>
      <c r="N11" s="5">
        <v>6</v>
      </c>
      <c r="O11" s="19">
        <v>2332324</v>
      </c>
      <c r="P11" s="15" t="s">
        <v>337</v>
      </c>
      <c r="R11" s="5">
        <v>4</v>
      </c>
      <c r="S11" s="42">
        <v>18.989999999999998</v>
      </c>
      <c r="T11" s="42">
        <f>SUM(Table3[[#This Row],[Column15]]*Table3[[#This Row],[Column16]])</f>
        <v>75.959999999999994</v>
      </c>
      <c r="U11" s="123">
        <f>HLOOKUP($R11,Lookups!$B$3:$H$4,2,TRUE)</f>
        <v>0.05</v>
      </c>
      <c r="V11" s="6">
        <f t="shared" si="0"/>
        <v>3.798</v>
      </c>
      <c r="W11" s="42">
        <f t="shared" si="1"/>
        <v>72.161999999999992</v>
      </c>
    </row>
    <row r="12" spans="1:23" ht="15" thickBot="1" x14ac:dyDescent="0.35">
      <c r="A12" s="133" t="s">
        <v>629</v>
      </c>
      <c r="B12" s="133"/>
      <c r="D12" s="5">
        <v>1089</v>
      </c>
      <c r="E12" s="4">
        <v>43124</v>
      </c>
      <c r="F12" t="s">
        <v>385</v>
      </c>
      <c r="G12" s="1" t="s">
        <v>395</v>
      </c>
      <c r="H12" s="1" t="s">
        <v>402</v>
      </c>
      <c r="I12" s="63" t="s">
        <v>408</v>
      </c>
      <c r="J12" s="15" t="s">
        <v>423</v>
      </c>
      <c r="L12" t="s">
        <v>73</v>
      </c>
      <c r="M12" s="64" t="s">
        <v>76</v>
      </c>
      <c r="N12" s="5">
        <v>5</v>
      </c>
      <c r="O12" s="19">
        <v>2332322</v>
      </c>
      <c r="P12" s="15" t="s">
        <v>337</v>
      </c>
      <c r="R12" s="5">
        <v>3</v>
      </c>
      <c r="S12" s="42">
        <v>19.989999999999998</v>
      </c>
      <c r="T12" s="42">
        <f>SUM(Table3[[#This Row],[Column15]]*Table3[[#This Row],[Column16]])</f>
        <v>59.97</v>
      </c>
      <c r="U12" s="123">
        <f>HLOOKUP($R12,Lookups!$B$3:$H$4,2,TRUE)</f>
        <v>0.05</v>
      </c>
      <c r="V12" s="6">
        <f t="shared" si="0"/>
        <v>2.9984999999999999</v>
      </c>
      <c r="W12" s="42">
        <f t="shared" si="1"/>
        <v>56.971499999999999</v>
      </c>
    </row>
    <row r="13" spans="1:23" x14ac:dyDescent="0.3">
      <c r="A13" t="s">
        <v>366</v>
      </c>
      <c r="B13" s="42">
        <v>150</v>
      </c>
      <c r="D13" s="5">
        <v>1090</v>
      </c>
      <c r="E13" s="4">
        <v>43124</v>
      </c>
      <c r="F13" t="s">
        <v>386</v>
      </c>
      <c r="G13" s="1" t="s">
        <v>399</v>
      </c>
      <c r="H13" s="1" t="s">
        <v>402</v>
      </c>
      <c r="I13" s="63" t="s">
        <v>403</v>
      </c>
      <c r="J13" s="15" t="s">
        <v>423</v>
      </c>
      <c r="L13" t="s">
        <v>34</v>
      </c>
      <c r="M13" s="64" t="s">
        <v>79</v>
      </c>
      <c r="N13" s="5">
        <v>4</v>
      </c>
      <c r="O13" s="19">
        <v>2133232</v>
      </c>
      <c r="P13" s="15" t="s">
        <v>337</v>
      </c>
      <c r="R13" s="5">
        <v>1</v>
      </c>
      <c r="S13" s="42">
        <v>25.99</v>
      </c>
      <c r="T13" s="42">
        <f>SUM(Table3[[#This Row],[Column15]]*Table3[[#This Row],[Column16]])</f>
        <v>25.99</v>
      </c>
      <c r="U13" s="123">
        <f>HLOOKUP($R13,Lookups!$B$3:$H$4,2,TRUE)</f>
        <v>0</v>
      </c>
      <c r="V13" s="6">
        <f t="shared" si="0"/>
        <v>0</v>
      </c>
      <c r="W13" s="42">
        <f t="shared" si="1"/>
        <v>25.99</v>
      </c>
    </row>
    <row r="14" spans="1:23" x14ac:dyDescent="0.3">
      <c r="A14" t="s">
        <v>367</v>
      </c>
      <c r="B14" s="42">
        <v>160</v>
      </c>
      <c r="D14" s="5">
        <v>1091</v>
      </c>
      <c r="E14" s="4">
        <v>43124</v>
      </c>
      <c r="F14" t="s">
        <v>387</v>
      </c>
      <c r="G14" s="1" t="s">
        <v>399</v>
      </c>
      <c r="H14" s="1" t="s">
        <v>402</v>
      </c>
      <c r="I14" s="63" t="s">
        <v>403</v>
      </c>
      <c r="J14" s="15" t="s">
        <v>423</v>
      </c>
      <c r="L14" t="s">
        <v>80</v>
      </c>
      <c r="M14" s="64" t="s">
        <v>84</v>
      </c>
      <c r="N14" s="5">
        <v>3</v>
      </c>
      <c r="O14" s="19">
        <v>2303232</v>
      </c>
      <c r="P14" s="15" t="s">
        <v>337</v>
      </c>
      <c r="R14" s="5">
        <v>3</v>
      </c>
      <c r="S14" s="42">
        <v>18.989999999999998</v>
      </c>
      <c r="T14" s="42">
        <f>SUM(Table3[[#This Row],[Column15]]*Table3[[#This Row],[Column16]])</f>
        <v>56.97</v>
      </c>
      <c r="U14" s="123">
        <f>HLOOKUP($R14,Lookups!$B$3:$H$4,2,TRUE)</f>
        <v>0.05</v>
      </c>
      <c r="V14" s="6">
        <f t="shared" si="0"/>
        <v>2.8485</v>
      </c>
      <c r="W14" s="42">
        <f t="shared" si="1"/>
        <v>54.121499999999997</v>
      </c>
    </row>
    <row r="15" spans="1:23" x14ac:dyDescent="0.3">
      <c r="A15" t="s">
        <v>371</v>
      </c>
      <c r="B15" s="42">
        <v>320</v>
      </c>
      <c r="D15" s="5">
        <v>1092</v>
      </c>
      <c r="E15" s="4">
        <v>43125</v>
      </c>
      <c r="F15" t="s">
        <v>388</v>
      </c>
      <c r="G15" s="1" t="s">
        <v>404</v>
      </c>
      <c r="H15" s="1" t="s">
        <v>402</v>
      </c>
      <c r="I15" s="63" t="s">
        <v>405</v>
      </c>
      <c r="J15" s="15" t="s">
        <v>341</v>
      </c>
      <c r="L15" t="s">
        <v>85</v>
      </c>
      <c r="M15" s="64" t="s">
        <v>88</v>
      </c>
      <c r="N15" s="5">
        <v>5</v>
      </c>
      <c r="O15" s="19">
        <v>2332329</v>
      </c>
      <c r="P15" s="15" t="s">
        <v>337</v>
      </c>
      <c r="R15" s="5">
        <v>3</v>
      </c>
      <c r="S15" s="42">
        <v>25.99</v>
      </c>
      <c r="T15" s="42">
        <f>SUM(Table3[[#This Row],[Column15]]*Table3[[#This Row],[Column16]])</f>
        <v>77.97</v>
      </c>
      <c r="U15" s="123">
        <f>HLOOKUP($R15,Lookups!$B$3:$H$4,2,TRUE)</f>
        <v>0.05</v>
      </c>
      <c r="V15" s="6">
        <f t="shared" si="0"/>
        <v>3.8985000000000003</v>
      </c>
      <c r="W15" s="42">
        <f t="shared" si="1"/>
        <v>74.0715</v>
      </c>
    </row>
    <row r="16" spans="1:23" x14ac:dyDescent="0.3">
      <c r="A16" t="s">
        <v>372</v>
      </c>
      <c r="B16" s="42">
        <v>100</v>
      </c>
      <c r="D16" s="5">
        <v>1093</v>
      </c>
      <c r="E16" s="4">
        <v>43125</v>
      </c>
      <c r="F16" t="s">
        <v>389</v>
      </c>
      <c r="G16" s="1" t="s">
        <v>414</v>
      </c>
      <c r="H16" s="1" t="s">
        <v>415</v>
      </c>
      <c r="I16" s="63" t="s">
        <v>416</v>
      </c>
      <c r="J16" s="15" t="s">
        <v>341</v>
      </c>
      <c r="L16" t="s">
        <v>89</v>
      </c>
      <c r="M16" s="64" t="s">
        <v>92</v>
      </c>
      <c r="N16" s="5">
        <v>6</v>
      </c>
      <c r="O16" s="19">
        <v>2332329</v>
      </c>
      <c r="P16" s="15" t="s">
        <v>337</v>
      </c>
      <c r="R16" s="5">
        <v>5</v>
      </c>
      <c r="S16" s="42">
        <v>22.99</v>
      </c>
      <c r="T16" s="42">
        <f>SUM(Table3[[#This Row],[Column15]]*Table3[[#This Row],[Column16]])</f>
        <v>114.94999999999999</v>
      </c>
      <c r="U16" s="123">
        <f>HLOOKUP($R16,Lookups!$B$3:$H$4,2,TRUE)</f>
        <v>0.08</v>
      </c>
      <c r="V16" s="6">
        <f t="shared" si="0"/>
        <v>9.1959999999999997</v>
      </c>
      <c r="W16" s="42">
        <f t="shared" si="1"/>
        <v>105.75399999999999</v>
      </c>
    </row>
    <row r="17" spans="1:23" x14ac:dyDescent="0.3">
      <c r="A17" t="s">
        <v>373</v>
      </c>
      <c r="B17" s="42">
        <v>139</v>
      </c>
      <c r="D17" s="5">
        <v>1094</v>
      </c>
      <c r="E17" s="4">
        <v>43126</v>
      </c>
      <c r="F17" t="s">
        <v>390</v>
      </c>
      <c r="G17" s="1" t="s">
        <v>417</v>
      </c>
      <c r="H17" s="1" t="s">
        <v>418</v>
      </c>
      <c r="I17" s="63" t="s">
        <v>403</v>
      </c>
      <c r="J17" s="15" t="s">
        <v>341</v>
      </c>
      <c r="L17" t="s">
        <v>93</v>
      </c>
      <c r="M17" s="64" t="s">
        <v>95</v>
      </c>
      <c r="N17" s="5">
        <v>4</v>
      </c>
      <c r="O17" s="19">
        <v>2332324</v>
      </c>
      <c r="P17" s="15" t="s">
        <v>337</v>
      </c>
      <c r="R17" s="5">
        <v>5</v>
      </c>
      <c r="S17" s="42">
        <v>21.99</v>
      </c>
      <c r="T17" s="42">
        <f>SUM(Table3[[#This Row],[Column15]]*Table3[[#This Row],[Column16]])</f>
        <v>109.94999999999999</v>
      </c>
      <c r="U17" s="123">
        <f>HLOOKUP($R17,Lookups!$B$3:$H$4,2,TRUE)</f>
        <v>0.08</v>
      </c>
      <c r="V17" s="6">
        <f t="shared" si="0"/>
        <v>8.7959999999999994</v>
      </c>
      <c r="W17" s="42">
        <f t="shared" si="1"/>
        <v>101.154</v>
      </c>
    </row>
    <row r="18" spans="1:23" x14ac:dyDescent="0.3">
      <c r="A18" s="68" t="s">
        <v>349</v>
      </c>
      <c r="B18" s="67">
        <f>SUM(B13:B17)</f>
        <v>869</v>
      </c>
      <c r="D18" s="5">
        <v>1095</v>
      </c>
      <c r="E18" s="4">
        <v>43126</v>
      </c>
      <c r="F18" t="s">
        <v>391</v>
      </c>
      <c r="G18" s="1" t="s">
        <v>400</v>
      </c>
      <c r="H18" s="1" t="s">
        <v>410</v>
      </c>
      <c r="I18" s="63" t="s">
        <v>409</v>
      </c>
      <c r="J18" s="15" t="s">
        <v>341</v>
      </c>
      <c r="L18" t="s">
        <v>96</v>
      </c>
      <c r="M18" s="64" t="s">
        <v>98</v>
      </c>
      <c r="N18" s="5">
        <v>7</v>
      </c>
      <c r="O18" s="19">
        <v>2933232</v>
      </c>
      <c r="P18" s="15" t="s">
        <v>337</v>
      </c>
      <c r="R18" s="5">
        <v>5</v>
      </c>
      <c r="S18" s="42">
        <v>14.99</v>
      </c>
      <c r="T18" s="42">
        <f>SUM(Table3[[#This Row],[Column15]]*Table3[[#This Row],[Column16]])</f>
        <v>74.95</v>
      </c>
      <c r="U18" s="123">
        <f>HLOOKUP($R18,Lookups!$B$3:$H$4,2,TRUE)</f>
        <v>0.08</v>
      </c>
      <c r="V18" s="6">
        <f t="shared" si="0"/>
        <v>5.9960000000000004</v>
      </c>
      <c r="W18" s="42">
        <f t="shared" si="1"/>
        <v>68.954000000000008</v>
      </c>
    </row>
    <row r="19" spans="1:23" x14ac:dyDescent="0.3">
      <c r="D19" s="5">
        <v>1096</v>
      </c>
      <c r="E19" s="4">
        <v>43127</v>
      </c>
      <c r="F19" t="s">
        <v>392</v>
      </c>
      <c r="G19" s="1" t="s">
        <v>400</v>
      </c>
      <c r="H19" s="1" t="s">
        <v>410</v>
      </c>
      <c r="I19" s="63" t="s">
        <v>409</v>
      </c>
      <c r="J19" s="15" t="s">
        <v>341</v>
      </c>
      <c r="L19" t="s">
        <v>99</v>
      </c>
      <c r="M19" s="64" t="s">
        <v>39</v>
      </c>
      <c r="N19" s="5">
        <v>8</v>
      </c>
      <c r="O19" s="19">
        <v>2332732</v>
      </c>
      <c r="P19" s="15" t="s">
        <v>337</v>
      </c>
      <c r="R19" s="5">
        <v>5</v>
      </c>
      <c r="S19" s="42">
        <v>13.99</v>
      </c>
      <c r="T19" s="42">
        <f>SUM(Table3[[#This Row],[Column15]]*Table3[[#This Row],[Column16]])</f>
        <v>69.95</v>
      </c>
      <c r="U19" s="123">
        <f>HLOOKUP($R19,Lookups!$B$3:$H$4,2,TRUE)</f>
        <v>0.08</v>
      </c>
      <c r="V19" s="6">
        <f t="shared" si="0"/>
        <v>5.5960000000000001</v>
      </c>
      <c r="W19" s="42">
        <f t="shared" si="1"/>
        <v>64.353999999999999</v>
      </c>
    </row>
    <row r="20" spans="1:23" x14ac:dyDescent="0.3">
      <c r="D20" s="5">
        <v>1097</v>
      </c>
      <c r="E20" s="4">
        <v>43127</v>
      </c>
      <c r="F20" t="s">
        <v>393</v>
      </c>
      <c r="G20" s="1" t="s">
        <v>401</v>
      </c>
      <c r="H20" s="1" t="s">
        <v>406</v>
      </c>
      <c r="I20" s="63" t="s">
        <v>407</v>
      </c>
      <c r="J20" s="15" t="s">
        <v>341</v>
      </c>
      <c r="L20" t="s">
        <v>101</v>
      </c>
      <c r="M20" s="64" t="s">
        <v>103</v>
      </c>
      <c r="N20" s="5">
        <v>7</v>
      </c>
      <c r="O20" s="19">
        <v>2332325</v>
      </c>
      <c r="P20" s="15" t="s">
        <v>337</v>
      </c>
      <c r="R20" s="5">
        <v>5</v>
      </c>
      <c r="S20" s="42">
        <v>15.99</v>
      </c>
      <c r="T20" s="42">
        <f>SUM(Table3[[#This Row],[Column15]]*Table3[[#This Row],[Column16]])</f>
        <v>79.95</v>
      </c>
      <c r="U20" s="123">
        <f>HLOOKUP($R20,Lookups!$B$3:$H$4,2,TRUE)</f>
        <v>0.08</v>
      </c>
      <c r="V20" s="6">
        <f t="shared" si="0"/>
        <v>6.3960000000000008</v>
      </c>
      <c r="W20" s="42">
        <f t="shared" si="1"/>
        <v>73.554000000000002</v>
      </c>
    </row>
    <row r="21" spans="1:23" x14ac:dyDescent="0.3">
      <c r="D21" s="5">
        <v>1098</v>
      </c>
      <c r="E21" s="4">
        <v>43127</v>
      </c>
      <c r="F21" t="s">
        <v>394</v>
      </c>
      <c r="G21" s="1" t="s">
        <v>401</v>
      </c>
      <c r="H21" s="1" t="s">
        <v>406</v>
      </c>
      <c r="I21" s="63" t="s">
        <v>407</v>
      </c>
      <c r="J21" s="15" t="s">
        <v>341</v>
      </c>
      <c r="L21" t="s">
        <v>104</v>
      </c>
      <c r="M21" s="64" t="s">
        <v>84</v>
      </c>
      <c r="N21" s="5">
        <v>5</v>
      </c>
      <c r="O21" s="19">
        <v>2332232</v>
      </c>
      <c r="P21" s="15" t="s">
        <v>337</v>
      </c>
      <c r="R21" s="5">
        <v>5</v>
      </c>
      <c r="S21" s="42">
        <v>25.99</v>
      </c>
      <c r="T21" s="42">
        <f>SUM(Table3[[#This Row],[Column15]]*Table3[[#This Row],[Column16]])</f>
        <v>129.94999999999999</v>
      </c>
      <c r="U21" s="123">
        <f>HLOOKUP($R21,Lookups!$B$3:$H$4,2,TRUE)</f>
        <v>0.08</v>
      </c>
      <c r="V21" s="6">
        <f t="shared" si="0"/>
        <v>10.395999999999999</v>
      </c>
      <c r="W21" s="42">
        <f t="shared" si="1"/>
        <v>119.55399999999999</v>
      </c>
    </row>
  </sheetData>
  <mergeCells count="2">
    <mergeCell ref="A12:B12"/>
    <mergeCell ref="A6:B6"/>
  </mergeCells>
  <dataValidations disablePrompts="1" count="2">
    <dataValidation type="list" allowBlank="1" showInputMessage="1" showErrorMessage="1" sqref="J4:J21" xr:uid="{8F63957B-5B2D-45A1-9C96-3931980C994D}">
      <formula1>$K$4:$K$5</formula1>
    </dataValidation>
    <dataValidation type="list" allowBlank="1" showInputMessage="1" showErrorMessage="1" sqref="P4:P21" xr:uid="{6EB77DFE-1AFF-44DA-8039-07DB56699989}">
      <formula1>$Q$4:$Q$5</formula1>
    </dataValidation>
  </dataValidations>
  <pageMargins left="0.7" right="0.7" top="0.75" bottom="0.75" header="0.3" footer="0.3"/>
  <pageSetup paperSize="9"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661C-7C0C-42CB-98E1-74D8E12907EC}">
  <sheetPr codeName="Sheet8">
    <tabColor theme="7" tint="-0.499984740745262"/>
  </sheetPr>
  <dimension ref="A3:W23"/>
  <sheetViews>
    <sheetView workbookViewId="0">
      <pane xSplit="2" topLeftCell="I1" activePane="topRight" state="frozen"/>
      <selection pane="topRight" activeCell="V4" sqref="V4"/>
    </sheetView>
  </sheetViews>
  <sheetFormatPr defaultRowHeight="14.4" x14ac:dyDescent="0.3"/>
  <cols>
    <col min="1" max="1" width="11.33203125" customWidth="1"/>
    <col min="2" max="2" width="10.33203125" customWidth="1"/>
    <col min="3" max="3" width="0.33203125" style="66" customWidth="1"/>
    <col min="4" max="4" width="9.33203125" style="5" bestFit="1" customWidth="1"/>
    <col min="5" max="5" width="10.6640625" style="4" bestFit="1" customWidth="1"/>
    <col min="6" max="6" width="19.109375" style="1" bestFit="1" customWidth="1"/>
    <col min="7" max="8" width="11" style="1" customWidth="1"/>
    <col min="9" max="9" width="11" customWidth="1"/>
    <col min="10" max="10" width="13.44140625" style="1" bestFit="1" customWidth="1"/>
    <col min="11" max="11" width="11" hidden="1" customWidth="1"/>
    <col min="12" max="12" width="26.6640625" bestFit="1" customWidth="1"/>
    <col min="13" max="13" width="10.109375" style="9" bestFit="1" customWidth="1"/>
    <col min="14" max="14" width="5.33203125" style="5" bestFit="1" customWidth="1"/>
    <col min="15" max="15" width="11.88671875" style="19" bestFit="1" customWidth="1"/>
    <col min="16" max="16" width="9.44140625" style="15" bestFit="1" customWidth="1"/>
    <col min="17" max="17" width="12" hidden="1" customWidth="1"/>
    <col min="18" max="18" width="8.6640625" style="5" bestFit="1" customWidth="1"/>
    <col min="19" max="19" width="10.44140625" style="6" bestFit="1" customWidth="1"/>
    <col min="20" max="20" width="8.6640625" style="6" bestFit="1" customWidth="1"/>
    <col min="21" max="21" width="10.33203125" style="123" bestFit="1" customWidth="1"/>
    <col min="22" max="22" width="11.109375" style="6" bestFit="1" customWidth="1"/>
    <col min="23" max="23" width="8.109375" style="6" bestFit="1" customWidth="1"/>
  </cols>
  <sheetData>
    <row r="3" spans="1:23" x14ac:dyDescent="0.3">
      <c r="D3" s="5" t="s">
        <v>331</v>
      </c>
      <c r="E3" s="4" t="s">
        <v>332</v>
      </c>
      <c r="F3" s="1" t="s">
        <v>333</v>
      </c>
      <c r="G3" s="1" t="s">
        <v>9</v>
      </c>
      <c r="H3" s="1" t="s">
        <v>174</v>
      </c>
      <c r="I3" s="12" t="s">
        <v>11</v>
      </c>
      <c r="J3" s="1" t="s">
        <v>424</v>
      </c>
      <c r="K3" s="12" t="s">
        <v>334</v>
      </c>
      <c r="L3" s="12" t="s">
        <v>21</v>
      </c>
      <c r="M3" s="9" t="s">
        <v>29</v>
      </c>
      <c r="N3" s="5" t="s">
        <v>335</v>
      </c>
      <c r="O3" s="19" t="s">
        <v>16</v>
      </c>
      <c r="P3" s="15" t="s">
        <v>336</v>
      </c>
      <c r="Q3" s="12" t="s">
        <v>337</v>
      </c>
      <c r="R3" s="5" t="s">
        <v>338</v>
      </c>
      <c r="S3" s="6" t="s">
        <v>2</v>
      </c>
      <c r="T3" s="6" t="s">
        <v>339</v>
      </c>
      <c r="U3" s="123" t="s">
        <v>665</v>
      </c>
      <c r="V3" s="6" t="s">
        <v>664</v>
      </c>
      <c r="W3" s="6" t="s">
        <v>340</v>
      </c>
    </row>
    <row r="4" spans="1:23" x14ac:dyDescent="0.3">
      <c r="D4" s="5">
        <v>1099</v>
      </c>
      <c r="E4" s="4">
        <v>43129</v>
      </c>
      <c r="F4" s="1" t="s">
        <v>481</v>
      </c>
      <c r="G4" s="1" t="s">
        <v>437</v>
      </c>
      <c r="H4" s="1" t="s">
        <v>499</v>
      </c>
      <c r="I4" s="12" t="s">
        <v>500</v>
      </c>
      <c r="J4" s="15" t="s">
        <v>477</v>
      </c>
      <c r="K4" s="12" t="s">
        <v>477</v>
      </c>
      <c r="L4" s="12" t="s">
        <v>113</v>
      </c>
      <c r="M4" s="9" t="s">
        <v>116</v>
      </c>
      <c r="N4" s="5">
        <v>3</v>
      </c>
      <c r="O4" s="19">
        <v>1100010</v>
      </c>
      <c r="P4" s="15" t="s">
        <v>337</v>
      </c>
      <c r="Q4" s="12" t="s">
        <v>337</v>
      </c>
      <c r="R4" s="5">
        <v>11</v>
      </c>
      <c r="S4" s="6">
        <v>25.99</v>
      </c>
      <c r="T4" s="6">
        <f>SUM(Table4[[#This Row],[Column15]]*Table4[[#This Row],[Column16]])</f>
        <v>285.89</v>
      </c>
      <c r="U4" s="123">
        <f>HLOOKUP($R4,Lookups!$B$3:$H$4,2,TRUE)</f>
        <v>0.12</v>
      </c>
      <c r="V4" s="6">
        <f>SUM(T4*U4)</f>
        <v>34.306799999999996</v>
      </c>
      <c r="W4" s="6">
        <f>SUM(T4-V4)</f>
        <v>251.58319999999998</v>
      </c>
    </row>
    <row r="5" spans="1:23" x14ac:dyDescent="0.3">
      <c r="D5" s="5">
        <v>1100</v>
      </c>
      <c r="E5" s="4">
        <v>43129</v>
      </c>
      <c r="F5" s="1" t="s">
        <v>489</v>
      </c>
      <c r="G5" s="1" t="s">
        <v>437</v>
      </c>
      <c r="H5" s="1" t="s">
        <v>501</v>
      </c>
      <c r="I5" s="12" t="s">
        <v>502</v>
      </c>
      <c r="J5" s="15" t="s">
        <v>477</v>
      </c>
      <c r="K5" s="12" t="s">
        <v>422</v>
      </c>
      <c r="L5" s="12" t="s">
        <v>117</v>
      </c>
      <c r="M5" s="9" t="s">
        <v>76</v>
      </c>
      <c r="N5" s="5">
        <v>5</v>
      </c>
      <c r="O5" s="19">
        <v>1100011</v>
      </c>
      <c r="P5" s="15" t="s">
        <v>337</v>
      </c>
      <c r="Q5" s="12" t="s">
        <v>342</v>
      </c>
      <c r="R5" s="5">
        <v>10</v>
      </c>
      <c r="S5" s="6">
        <v>27.99</v>
      </c>
      <c r="T5" s="6">
        <f>SUM(Table4[[#This Row],[Column15]]*Table4[[#This Row],[Column16]])</f>
        <v>279.89999999999998</v>
      </c>
      <c r="U5" s="123">
        <f>HLOOKUP($R5,Lookups!$B$3:$H$4,2,TRUE)</f>
        <v>0.12</v>
      </c>
      <c r="V5" s="6">
        <f t="shared" ref="V5:V21" si="0">SUM(T5*U5)</f>
        <v>33.587999999999994</v>
      </c>
      <c r="W5" s="6">
        <f t="shared" ref="W5:W21" si="1">SUM(T5-V5)</f>
        <v>246.31199999999998</v>
      </c>
    </row>
    <row r="6" spans="1:23" ht="18" thickBot="1" x14ac:dyDescent="0.4">
      <c r="A6" s="132" t="s">
        <v>630</v>
      </c>
      <c r="B6" s="132"/>
      <c r="D6" s="5">
        <v>1101</v>
      </c>
      <c r="E6" s="4">
        <v>43130</v>
      </c>
      <c r="F6" s="1" t="s">
        <v>488</v>
      </c>
      <c r="G6" s="1" t="s">
        <v>503</v>
      </c>
      <c r="H6" s="1" t="s">
        <v>504</v>
      </c>
      <c r="I6" s="12" t="s">
        <v>505</v>
      </c>
      <c r="J6" s="15" t="s">
        <v>477</v>
      </c>
      <c r="K6" s="12"/>
      <c r="L6" s="12" t="s">
        <v>119</v>
      </c>
      <c r="M6" s="9" t="s">
        <v>76</v>
      </c>
      <c r="N6" s="5">
        <v>6</v>
      </c>
      <c r="O6" s="19">
        <v>1100012</v>
      </c>
      <c r="P6" s="15" t="s">
        <v>337</v>
      </c>
      <c r="Q6" s="12"/>
      <c r="R6" s="5">
        <v>12</v>
      </c>
      <c r="S6" s="6">
        <v>22.99</v>
      </c>
      <c r="T6" s="6">
        <f>SUM(Table4[[#This Row],[Column15]]*Table4[[#This Row],[Column16]])</f>
        <v>275.88</v>
      </c>
      <c r="U6" s="123">
        <f>HLOOKUP($R6,Lookups!$B$3:$H$4,2,TRUE)</f>
        <v>0.12</v>
      </c>
      <c r="V6" s="6">
        <f t="shared" si="0"/>
        <v>33.105599999999995</v>
      </c>
      <c r="W6" s="6">
        <f t="shared" si="1"/>
        <v>242.77440000000001</v>
      </c>
    </row>
    <row r="7" spans="1:23" ht="15" thickTop="1" x14ac:dyDescent="0.3">
      <c r="A7" t="s">
        <v>627</v>
      </c>
      <c r="B7" s="42">
        <f>SUM(Table4[[#All],[Column19]])</f>
        <v>3378.4598999999994</v>
      </c>
      <c r="D7" s="5">
        <v>1102</v>
      </c>
      <c r="E7" s="4">
        <v>43130</v>
      </c>
      <c r="F7" s="1" t="s">
        <v>482</v>
      </c>
      <c r="G7" s="1" t="s">
        <v>510</v>
      </c>
      <c r="H7" s="1" t="s">
        <v>507</v>
      </c>
      <c r="I7" s="12" t="s">
        <v>506</v>
      </c>
      <c r="J7" s="15" t="s">
        <v>477</v>
      </c>
      <c r="K7" s="12"/>
      <c r="L7" s="12" t="s">
        <v>122</v>
      </c>
      <c r="M7" s="9" t="s">
        <v>76</v>
      </c>
      <c r="N7" s="5">
        <v>9</v>
      </c>
      <c r="O7" s="19">
        <v>1100013</v>
      </c>
      <c r="P7" s="15" t="s">
        <v>337</v>
      </c>
      <c r="Q7" s="12"/>
      <c r="R7" s="5">
        <v>5</v>
      </c>
      <c r="S7" s="6">
        <v>24.99</v>
      </c>
      <c r="T7" s="6">
        <f>SUM(Table4[[#This Row],[Column15]]*Table4[[#This Row],[Column16]])</f>
        <v>124.94999999999999</v>
      </c>
      <c r="U7" s="123">
        <f>HLOOKUP($R7,Lookups!$B$3:$H$4,2,TRUE)</f>
        <v>0.08</v>
      </c>
      <c r="V7" s="6">
        <f t="shared" si="0"/>
        <v>9.9959999999999987</v>
      </c>
      <c r="W7" s="6">
        <f t="shared" si="1"/>
        <v>114.95399999999999</v>
      </c>
    </row>
    <row r="8" spans="1:23" x14ac:dyDescent="0.3">
      <c r="A8" t="s">
        <v>628</v>
      </c>
      <c r="B8" s="42">
        <f>$B$18</f>
        <v>948</v>
      </c>
      <c r="D8" s="5">
        <v>1103</v>
      </c>
      <c r="E8" s="4">
        <v>43130</v>
      </c>
      <c r="F8" s="1" t="s">
        <v>490</v>
      </c>
      <c r="G8" s="1" t="s">
        <v>437</v>
      </c>
      <c r="H8" s="1" t="s">
        <v>516</v>
      </c>
      <c r="I8" s="12" t="s">
        <v>515</v>
      </c>
      <c r="J8" s="15" t="s">
        <v>477</v>
      </c>
      <c r="K8" s="12"/>
      <c r="L8" s="12" t="s">
        <v>125</v>
      </c>
      <c r="M8" s="9" t="s">
        <v>128</v>
      </c>
      <c r="N8" s="5">
        <v>6</v>
      </c>
      <c r="O8" s="19">
        <v>1100014</v>
      </c>
      <c r="P8" s="15" t="s">
        <v>337</v>
      </c>
      <c r="Q8" s="12"/>
      <c r="R8" s="5">
        <v>14</v>
      </c>
      <c r="S8" s="6">
        <v>25.99</v>
      </c>
      <c r="T8" s="6">
        <f>SUM(Table4[[#This Row],[Column15]]*Table4[[#This Row],[Column16]])</f>
        <v>363.85999999999996</v>
      </c>
      <c r="U8" s="123">
        <f>HLOOKUP($R8,Lookups!$B$3:$H$4,2,TRUE)</f>
        <v>0.12</v>
      </c>
      <c r="V8" s="6">
        <f t="shared" si="0"/>
        <v>43.663199999999996</v>
      </c>
      <c r="W8" s="6">
        <f t="shared" si="1"/>
        <v>320.19679999999994</v>
      </c>
    </row>
    <row r="9" spans="1:23" ht="15" thickBot="1" x14ac:dyDescent="0.35">
      <c r="A9" t="s">
        <v>360</v>
      </c>
      <c r="B9" s="70">
        <f>SUM(B7-B8)</f>
        <v>2430.4598999999994</v>
      </c>
      <c r="D9" s="5">
        <v>1104</v>
      </c>
      <c r="E9" s="4">
        <v>43131</v>
      </c>
      <c r="F9" s="1" t="s">
        <v>483</v>
      </c>
      <c r="G9" s="1" t="s">
        <v>437</v>
      </c>
      <c r="H9" s="1" t="s">
        <v>513</v>
      </c>
      <c r="I9" s="12" t="s">
        <v>517</v>
      </c>
      <c r="J9" s="15" t="s">
        <v>477</v>
      </c>
      <c r="K9" s="12"/>
      <c r="L9" s="12" t="s">
        <v>129</v>
      </c>
      <c r="M9" s="9" t="s">
        <v>45</v>
      </c>
      <c r="N9" s="5">
        <v>2</v>
      </c>
      <c r="O9" s="19">
        <v>1100015</v>
      </c>
      <c r="P9" s="15" t="s">
        <v>337</v>
      </c>
      <c r="Q9" s="12"/>
      <c r="R9" s="5">
        <v>2</v>
      </c>
      <c r="S9" s="6">
        <v>26.99</v>
      </c>
      <c r="T9" s="6">
        <f>SUM(Table4[[#This Row],[Column15]]*Table4[[#This Row],[Column16]])</f>
        <v>53.98</v>
      </c>
      <c r="U9" s="123">
        <f>HLOOKUP($R9,Lookups!$B$3:$H$4,2,TRUE)</f>
        <v>0</v>
      </c>
      <c r="V9" s="6">
        <f t="shared" si="0"/>
        <v>0</v>
      </c>
      <c r="W9" s="6">
        <f t="shared" si="1"/>
        <v>53.98</v>
      </c>
    </row>
    <row r="10" spans="1:23" ht="15" thickTop="1" x14ac:dyDescent="0.3">
      <c r="D10" s="5">
        <v>1105</v>
      </c>
      <c r="E10" s="4">
        <v>43131</v>
      </c>
      <c r="F10" s="1" t="s">
        <v>491</v>
      </c>
      <c r="G10" s="1" t="s">
        <v>518</v>
      </c>
      <c r="H10" s="1" t="s">
        <v>513</v>
      </c>
      <c r="I10" s="12" t="s">
        <v>517</v>
      </c>
      <c r="J10" s="15" t="s">
        <v>477</v>
      </c>
      <c r="K10" s="12"/>
      <c r="L10" s="12" t="s">
        <v>133</v>
      </c>
      <c r="M10" s="9" t="s">
        <v>136</v>
      </c>
      <c r="N10" s="5">
        <v>3</v>
      </c>
      <c r="O10" s="19">
        <v>1100016</v>
      </c>
      <c r="P10" s="15" t="s">
        <v>337</v>
      </c>
      <c r="Q10" s="12"/>
      <c r="R10" s="5">
        <v>6</v>
      </c>
      <c r="S10" s="6">
        <v>19.989999999999998</v>
      </c>
      <c r="T10" s="6">
        <f>SUM(Table4[[#This Row],[Column15]]*Table4[[#This Row],[Column16]])</f>
        <v>119.94</v>
      </c>
      <c r="U10" s="123">
        <f>HLOOKUP($R10,Lookups!$B$3:$H$4,2,TRUE)</f>
        <v>0.08</v>
      </c>
      <c r="V10" s="6">
        <f t="shared" si="0"/>
        <v>9.5952000000000002</v>
      </c>
      <c r="W10" s="6">
        <f t="shared" si="1"/>
        <v>110.34479999999999</v>
      </c>
    </row>
    <row r="11" spans="1:23" x14ac:dyDescent="0.3">
      <c r="D11" s="5">
        <v>1106</v>
      </c>
      <c r="E11" s="4">
        <v>43131</v>
      </c>
      <c r="F11" s="1" t="s">
        <v>486</v>
      </c>
      <c r="G11" s="1" t="s">
        <v>519</v>
      </c>
      <c r="H11" s="1" t="s">
        <v>523</v>
      </c>
      <c r="I11" s="12" t="s">
        <v>500</v>
      </c>
      <c r="J11" s="15" t="s">
        <v>422</v>
      </c>
      <c r="K11" s="12"/>
      <c r="L11" s="12" t="s">
        <v>137</v>
      </c>
      <c r="M11" s="9" t="s">
        <v>140</v>
      </c>
      <c r="N11" s="5">
        <v>5</v>
      </c>
      <c r="O11" s="19">
        <v>1100017</v>
      </c>
      <c r="P11" s="15" t="s">
        <v>337</v>
      </c>
      <c r="Q11" s="12"/>
      <c r="R11" s="5">
        <v>6</v>
      </c>
      <c r="S11" s="6">
        <v>19.989999999999998</v>
      </c>
      <c r="T11" s="6">
        <f>SUM(Table4[[#This Row],[Column15]]*Table4[[#This Row],[Column16]])</f>
        <v>119.94</v>
      </c>
      <c r="U11" s="123">
        <f>HLOOKUP($R11,Lookups!$B$3:$H$4,2,TRUE)</f>
        <v>0.08</v>
      </c>
      <c r="V11" s="6">
        <f t="shared" si="0"/>
        <v>9.5952000000000002</v>
      </c>
      <c r="W11" s="6">
        <f t="shared" si="1"/>
        <v>110.34479999999999</v>
      </c>
    </row>
    <row r="12" spans="1:23" ht="15" thickBot="1" x14ac:dyDescent="0.35">
      <c r="A12" s="133" t="s">
        <v>629</v>
      </c>
      <c r="B12" s="133"/>
      <c r="D12" s="5">
        <v>1107</v>
      </c>
      <c r="E12" s="4">
        <v>43132</v>
      </c>
      <c r="F12" s="1" t="s">
        <v>492</v>
      </c>
      <c r="G12" s="1" t="s">
        <v>515</v>
      </c>
      <c r="H12" s="1" t="s">
        <v>523</v>
      </c>
      <c r="I12" s="12" t="s">
        <v>515</v>
      </c>
      <c r="J12" s="15" t="s">
        <v>477</v>
      </c>
      <c r="K12" s="12"/>
      <c r="L12" s="12" t="s">
        <v>141</v>
      </c>
      <c r="M12" s="9" t="s">
        <v>136</v>
      </c>
      <c r="N12" s="5">
        <v>6</v>
      </c>
      <c r="O12" s="19">
        <v>1100018</v>
      </c>
      <c r="P12" s="15" t="s">
        <v>337</v>
      </c>
      <c r="Q12" s="12"/>
      <c r="R12" s="5">
        <v>7</v>
      </c>
      <c r="S12" s="6">
        <v>19.989999999999998</v>
      </c>
      <c r="T12" s="6">
        <f>SUM(Table4[[#This Row],[Column15]]*Table4[[#This Row],[Column16]])</f>
        <v>139.92999999999998</v>
      </c>
      <c r="U12" s="123">
        <f>HLOOKUP($R12,Lookups!$B$3:$H$4,2,TRUE)</f>
        <v>0.08</v>
      </c>
      <c r="V12" s="6">
        <f t="shared" si="0"/>
        <v>11.194399999999998</v>
      </c>
      <c r="W12" s="6">
        <f t="shared" si="1"/>
        <v>128.73559999999998</v>
      </c>
    </row>
    <row r="13" spans="1:23" x14ac:dyDescent="0.3">
      <c r="A13" t="s">
        <v>366</v>
      </c>
      <c r="B13" s="42">
        <v>160</v>
      </c>
      <c r="D13" s="5">
        <v>1108</v>
      </c>
      <c r="E13" s="4">
        <v>43132</v>
      </c>
      <c r="F13" s="1" t="s">
        <v>485</v>
      </c>
      <c r="G13" s="1" t="s">
        <v>508</v>
      </c>
      <c r="H13" s="1" t="s">
        <v>520</v>
      </c>
      <c r="I13" s="12" t="s">
        <v>521</v>
      </c>
      <c r="J13" s="15" t="s">
        <v>477</v>
      </c>
      <c r="K13" s="12"/>
      <c r="L13" s="12" t="s">
        <v>144</v>
      </c>
      <c r="M13" s="9" t="s">
        <v>136</v>
      </c>
      <c r="N13" s="5">
        <v>4</v>
      </c>
      <c r="O13" s="19">
        <v>1100019</v>
      </c>
      <c r="P13" s="15" t="s">
        <v>337</v>
      </c>
      <c r="Q13" s="12"/>
      <c r="R13" s="5">
        <v>3</v>
      </c>
      <c r="S13" s="6">
        <v>29.99</v>
      </c>
      <c r="T13" s="6">
        <f>SUM(Table4[[#This Row],[Column15]]*Table4[[#This Row],[Column16]])</f>
        <v>89.97</v>
      </c>
      <c r="U13" s="123">
        <f>HLOOKUP($R13,Lookups!$B$3:$H$4,2,TRUE)</f>
        <v>0.05</v>
      </c>
      <c r="V13" s="6">
        <f t="shared" si="0"/>
        <v>4.4984999999999999</v>
      </c>
      <c r="W13" s="6">
        <f t="shared" si="1"/>
        <v>85.471499999999992</v>
      </c>
    </row>
    <row r="14" spans="1:23" x14ac:dyDescent="0.3">
      <c r="A14" t="s">
        <v>367</v>
      </c>
      <c r="B14" s="42">
        <v>160</v>
      </c>
      <c r="D14" s="5">
        <v>1109</v>
      </c>
      <c r="E14" s="4">
        <v>43132</v>
      </c>
      <c r="F14" s="1" t="s">
        <v>493</v>
      </c>
      <c r="G14" s="1" t="s">
        <v>509</v>
      </c>
      <c r="H14" s="1" t="s">
        <v>520</v>
      </c>
      <c r="I14" s="12" t="s">
        <v>506</v>
      </c>
      <c r="J14" s="15" t="s">
        <v>477</v>
      </c>
      <c r="K14" s="12"/>
      <c r="L14" s="12" t="s">
        <v>146</v>
      </c>
      <c r="M14" s="9" t="s">
        <v>148</v>
      </c>
      <c r="N14" s="5">
        <v>6</v>
      </c>
      <c r="O14" s="19">
        <v>1100020</v>
      </c>
      <c r="P14" s="15" t="s">
        <v>337</v>
      </c>
      <c r="Q14" s="12"/>
      <c r="R14" s="5">
        <v>7</v>
      </c>
      <c r="S14" s="6">
        <v>25.99</v>
      </c>
      <c r="T14" s="6">
        <f>SUM(Table4[[#This Row],[Column15]]*Table4[[#This Row],[Column16]])</f>
        <v>181.92999999999998</v>
      </c>
      <c r="U14" s="123">
        <f>HLOOKUP($R14,Lookups!$B$3:$H$4,2,TRUE)</f>
        <v>0.08</v>
      </c>
      <c r="V14" s="6">
        <f t="shared" si="0"/>
        <v>14.554399999999999</v>
      </c>
      <c r="W14" s="6">
        <f t="shared" si="1"/>
        <v>167.37559999999999</v>
      </c>
    </row>
    <row r="15" spans="1:23" x14ac:dyDescent="0.3">
      <c r="A15" t="s">
        <v>371</v>
      </c>
      <c r="B15" s="42">
        <v>360</v>
      </c>
      <c r="D15" s="5">
        <v>1110</v>
      </c>
      <c r="E15" s="4">
        <v>43132</v>
      </c>
      <c r="F15" s="1" t="s">
        <v>484</v>
      </c>
      <c r="G15" s="1" t="s">
        <v>509</v>
      </c>
      <c r="H15" s="1" t="s">
        <v>507</v>
      </c>
      <c r="I15" s="12" t="s">
        <v>526</v>
      </c>
      <c r="J15" s="15" t="s">
        <v>477</v>
      </c>
      <c r="K15" s="12"/>
      <c r="L15" s="12" t="s">
        <v>149</v>
      </c>
      <c r="M15" s="9" t="s">
        <v>39</v>
      </c>
      <c r="N15" s="5">
        <v>3</v>
      </c>
      <c r="O15" s="19">
        <v>1100021</v>
      </c>
      <c r="P15" s="15" t="s">
        <v>337</v>
      </c>
      <c r="Q15" s="12"/>
      <c r="R15" s="5">
        <v>9</v>
      </c>
      <c r="S15" s="6">
        <v>17.989999999999998</v>
      </c>
      <c r="T15" s="6">
        <f>SUM(Table4[[#This Row],[Column15]]*Table4[[#This Row],[Column16]])</f>
        <v>161.91</v>
      </c>
      <c r="U15" s="123">
        <f>HLOOKUP($R15,Lookups!$B$3:$H$4,2,TRUE)</f>
        <v>0.08</v>
      </c>
      <c r="V15" s="6">
        <f t="shared" si="0"/>
        <v>12.9528</v>
      </c>
      <c r="W15" s="6">
        <f t="shared" si="1"/>
        <v>148.9572</v>
      </c>
    </row>
    <row r="16" spans="1:23" x14ac:dyDescent="0.3">
      <c r="A16" t="s">
        <v>372</v>
      </c>
      <c r="B16" s="42">
        <v>110</v>
      </c>
      <c r="D16" s="5">
        <v>1111</v>
      </c>
      <c r="E16" s="4">
        <v>43133</v>
      </c>
      <c r="F16" s="1" t="s">
        <v>487</v>
      </c>
      <c r="G16" s="1" t="s">
        <v>512</v>
      </c>
      <c r="H16" s="1" t="s">
        <v>504</v>
      </c>
      <c r="I16" s="12" t="s">
        <v>517</v>
      </c>
      <c r="J16" s="15" t="s">
        <v>477</v>
      </c>
      <c r="K16" s="12"/>
      <c r="L16" s="12" t="s">
        <v>151</v>
      </c>
      <c r="M16" s="9" t="s">
        <v>153</v>
      </c>
      <c r="N16" s="5">
        <v>2</v>
      </c>
      <c r="O16" s="19">
        <v>1100022</v>
      </c>
      <c r="P16" s="15" t="s">
        <v>337</v>
      </c>
      <c r="Q16" s="12"/>
      <c r="R16" s="5">
        <v>13</v>
      </c>
      <c r="S16" s="6">
        <v>21.99</v>
      </c>
      <c r="T16" s="6">
        <f>SUM(Table4[[#This Row],[Column15]]*Table4[[#This Row],[Column16]])</f>
        <v>285.87</v>
      </c>
      <c r="U16" s="123">
        <f>HLOOKUP($R16,Lookups!$B$3:$H$4,2,TRUE)</f>
        <v>0.12</v>
      </c>
      <c r="V16" s="6">
        <f t="shared" si="0"/>
        <v>34.304400000000001</v>
      </c>
      <c r="W16" s="6">
        <f t="shared" si="1"/>
        <v>251.56560000000002</v>
      </c>
    </row>
    <row r="17" spans="1:23" x14ac:dyDescent="0.3">
      <c r="A17" t="s">
        <v>373</v>
      </c>
      <c r="B17" s="42">
        <v>158</v>
      </c>
      <c r="D17" s="5">
        <v>1112</v>
      </c>
      <c r="E17" s="4">
        <v>43133</v>
      </c>
      <c r="F17" s="1" t="s">
        <v>494</v>
      </c>
      <c r="G17" s="1" t="s">
        <v>513</v>
      </c>
      <c r="H17" s="1" t="s">
        <v>524</v>
      </c>
      <c r="I17" s="12" t="s">
        <v>517</v>
      </c>
      <c r="J17" s="15" t="s">
        <v>422</v>
      </c>
      <c r="K17" s="12"/>
      <c r="L17" s="12" t="s">
        <v>154</v>
      </c>
      <c r="M17" s="9" t="s">
        <v>76</v>
      </c>
      <c r="N17" s="5">
        <v>5</v>
      </c>
      <c r="O17" s="19">
        <v>1100023</v>
      </c>
      <c r="P17" s="15" t="s">
        <v>337</v>
      </c>
      <c r="Q17" s="12"/>
      <c r="R17" s="5">
        <v>10</v>
      </c>
      <c r="S17" s="6">
        <v>27.99</v>
      </c>
      <c r="T17" s="6">
        <f>SUM(Table4[[#This Row],[Column15]]*Table4[[#This Row],[Column16]])</f>
        <v>279.89999999999998</v>
      </c>
      <c r="U17" s="123">
        <f>HLOOKUP($R17,Lookups!$B$3:$H$4,2,TRUE)</f>
        <v>0.12</v>
      </c>
      <c r="V17" s="6">
        <f t="shared" si="0"/>
        <v>33.587999999999994</v>
      </c>
      <c r="W17" s="6">
        <f t="shared" si="1"/>
        <v>246.31199999999998</v>
      </c>
    </row>
    <row r="18" spans="1:23" ht="15" thickBot="1" x14ac:dyDescent="0.35">
      <c r="A18" s="68" t="s">
        <v>349</v>
      </c>
      <c r="B18" s="70">
        <f>SUM(B13:B17)</f>
        <v>948</v>
      </c>
      <c r="D18" s="5">
        <v>1113</v>
      </c>
      <c r="E18" s="4">
        <v>43134</v>
      </c>
      <c r="F18" s="1" t="s">
        <v>495</v>
      </c>
      <c r="G18" s="1" t="s">
        <v>505</v>
      </c>
      <c r="H18" s="1" t="s">
        <v>520</v>
      </c>
      <c r="I18" s="12" t="s">
        <v>505</v>
      </c>
      <c r="J18" s="15" t="s">
        <v>477</v>
      </c>
      <c r="K18" s="12"/>
      <c r="L18" s="12" t="s">
        <v>157</v>
      </c>
      <c r="M18" s="9" t="s">
        <v>54</v>
      </c>
      <c r="N18" s="5">
        <v>6</v>
      </c>
      <c r="O18" s="19">
        <v>1100024</v>
      </c>
      <c r="P18" s="15" t="s">
        <v>337</v>
      </c>
      <c r="Q18" s="12"/>
      <c r="R18" s="5">
        <v>10</v>
      </c>
      <c r="S18" s="6">
        <v>19.989999999999998</v>
      </c>
      <c r="T18" s="6">
        <f>SUM(Table4[[#This Row],[Column15]]*Table4[[#This Row],[Column16]])</f>
        <v>199.89999999999998</v>
      </c>
      <c r="U18" s="123">
        <f>HLOOKUP($R18,Lookups!$B$3:$H$4,2,TRUE)</f>
        <v>0.12</v>
      </c>
      <c r="V18" s="6">
        <f t="shared" si="0"/>
        <v>23.987999999999996</v>
      </c>
      <c r="W18" s="6">
        <f t="shared" si="1"/>
        <v>175.91199999999998</v>
      </c>
    </row>
    <row r="19" spans="1:23" ht="15" thickTop="1" x14ac:dyDescent="0.3">
      <c r="D19" s="5">
        <v>1114</v>
      </c>
      <c r="E19" s="4">
        <v>43134</v>
      </c>
      <c r="F19" s="1" t="s">
        <v>496</v>
      </c>
      <c r="G19" s="1" t="s">
        <v>506</v>
      </c>
      <c r="H19" s="1" t="s">
        <v>520</v>
      </c>
      <c r="I19" s="12" t="s">
        <v>526</v>
      </c>
      <c r="J19" s="15" t="s">
        <v>477</v>
      </c>
      <c r="K19" s="12"/>
      <c r="L19" s="12" t="s">
        <v>160</v>
      </c>
      <c r="M19" s="9" t="s">
        <v>76</v>
      </c>
      <c r="N19" s="5">
        <v>4</v>
      </c>
      <c r="O19" s="19">
        <v>1100025</v>
      </c>
      <c r="P19" s="15" t="s">
        <v>337</v>
      </c>
      <c r="Q19" s="12"/>
      <c r="R19" s="5">
        <v>11</v>
      </c>
      <c r="S19" s="6">
        <v>30.99</v>
      </c>
      <c r="T19" s="6">
        <f>SUM(Table4[[#This Row],[Column15]]*Table4[[#This Row],[Column16]])</f>
        <v>340.89</v>
      </c>
      <c r="U19" s="123">
        <f>HLOOKUP($R19,Lookups!$B$3:$H$4,2,TRUE)</f>
        <v>0.12</v>
      </c>
      <c r="V19" s="6">
        <f t="shared" si="0"/>
        <v>40.906799999999997</v>
      </c>
      <c r="W19" s="6">
        <f t="shared" si="1"/>
        <v>299.98320000000001</v>
      </c>
    </row>
    <row r="20" spans="1:23" x14ac:dyDescent="0.3">
      <c r="D20" s="5">
        <v>1115</v>
      </c>
      <c r="E20" s="4">
        <v>43134</v>
      </c>
      <c r="F20" s="1" t="s">
        <v>497</v>
      </c>
      <c r="G20" s="1" t="s">
        <v>513</v>
      </c>
      <c r="H20" s="1" t="s">
        <v>525</v>
      </c>
      <c r="I20" s="12" t="s">
        <v>517</v>
      </c>
      <c r="J20" s="15" t="s">
        <v>477</v>
      </c>
      <c r="K20" s="12"/>
      <c r="L20" s="12" t="s">
        <v>162</v>
      </c>
      <c r="M20" s="9" t="s">
        <v>39</v>
      </c>
      <c r="N20" s="5">
        <v>5</v>
      </c>
      <c r="O20" s="19">
        <v>1100026</v>
      </c>
      <c r="P20" s="15" t="s">
        <v>337</v>
      </c>
      <c r="Q20" s="12"/>
      <c r="R20" s="5">
        <v>11</v>
      </c>
      <c r="S20" s="6">
        <v>29.99</v>
      </c>
      <c r="T20" s="6">
        <f>SUM(Table4[[#This Row],[Column15]]*Table4[[#This Row],[Column16]])</f>
        <v>329.89</v>
      </c>
      <c r="U20" s="123">
        <f>HLOOKUP($R20,Lookups!$B$3:$H$4,2,TRUE)</f>
        <v>0.12</v>
      </c>
      <c r="V20" s="6">
        <f t="shared" si="0"/>
        <v>39.586799999999997</v>
      </c>
      <c r="W20" s="6">
        <f t="shared" si="1"/>
        <v>290.3032</v>
      </c>
    </row>
    <row r="21" spans="1:23" x14ac:dyDescent="0.3">
      <c r="D21" s="5">
        <v>1116</v>
      </c>
      <c r="E21" s="4">
        <v>43134</v>
      </c>
      <c r="F21" s="1" t="s">
        <v>498</v>
      </c>
      <c r="G21" s="1" t="s">
        <v>514</v>
      </c>
      <c r="H21" s="1" t="s">
        <v>525</v>
      </c>
      <c r="I21" s="12" t="s">
        <v>522</v>
      </c>
      <c r="J21" s="15" t="s">
        <v>422</v>
      </c>
      <c r="K21" s="12"/>
      <c r="L21" s="12" t="s">
        <v>165</v>
      </c>
      <c r="M21" s="9" t="s">
        <v>169</v>
      </c>
      <c r="N21" s="5">
        <v>5</v>
      </c>
      <c r="O21" s="19">
        <v>1100027</v>
      </c>
      <c r="P21" s="15" t="s">
        <v>337</v>
      </c>
      <c r="Q21" s="12"/>
      <c r="R21" s="5">
        <v>5</v>
      </c>
      <c r="S21" s="6">
        <v>28.99</v>
      </c>
      <c r="T21" s="6">
        <f>SUM(Table4[[#This Row],[Column15]]*Table4[[#This Row],[Column16]])</f>
        <v>144.94999999999999</v>
      </c>
      <c r="U21" s="123">
        <f>HLOOKUP($R21,Lookups!$B$3:$H$4,2,TRUE)</f>
        <v>0.08</v>
      </c>
      <c r="V21" s="6">
        <f t="shared" si="0"/>
        <v>11.596</v>
      </c>
      <c r="W21" s="6">
        <f t="shared" si="1"/>
        <v>133.35399999999998</v>
      </c>
    </row>
    <row r="23" spans="1:23" x14ac:dyDescent="0.3">
      <c r="I23" s="12"/>
      <c r="K23" s="12"/>
      <c r="L23" s="12"/>
      <c r="Q23" s="12"/>
    </row>
  </sheetData>
  <mergeCells count="2">
    <mergeCell ref="A6:B6"/>
    <mergeCell ref="A12:B12"/>
  </mergeCells>
  <dataValidations count="2">
    <dataValidation type="list" allowBlank="1" showInputMessage="1" showErrorMessage="1" sqref="J4:J21" xr:uid="{FF96A09B-82E7-47DF-86AB-95DD79584BAA}">
      <formula1>$K$4:$K$5</formula1>
    </dataValidation>
    <dataValidation type="list" allowBlank="1" showInputMessage="1" showErrorMessage="1" sqref="P4:P21" xr:uid="{077D6ECC-3DF4-49CE-B30C-CF8500D8A05D}">
      <formula1>$Q$4:$Q$5</formula1>
    </dataValidation>
  </dataValidations>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5BD22-2408-47EE-AA48-74D62159FDC6}">
  <sheetPr codeName="Sheet9">
    <tabColor theme="7" tint="-0.499984740745262"/>
  </sheetPr>
  <dimension ref="A3:W21"/>
  <sheetViews>
    <sheetView workbookViewId="0">
      <pane xSplit="2" topLeftCell="J1" activePane="topRight" state="frozen"/>
      <selection pane="topRight" activeCell="L2" sqref="L2"/>
    </sheetView>
  </sheetViews>
  <sheetFormatPr defaultRowHeight="14.4" x14ac:dyDescent="0.3"/>
  <cols>
    <col min="1" max="1" width="11.33203125" customWidth="1"/>
    <col min="2" max="2" width="9.109375" customWidth="1"/>
    <col min="3" max="3" width="0.33203125" style="66" customWidth="1"/>
    <col min="4" max="4" width="9.33203125" style="5" bestFit="1" customWidth="1"/>
    <col min="5" max="5" width="10.6640625" style="4" bestFit="1" customWidth="1"/>
    <col min="6" max="6" width="20.5546875" style="1" bestFit="1" customWidth="1"/>
    <col min="7" max="7" width="11.88671875" style="1" bestFit="1" customWidth="1"/>
    <col min="8" max="8" width="13.44140625" style="1" bestFit="1" customWidth="1"/>
    <col min="9" max="9" width="13.88671875" bestFit="1" customWidth="1"/>
    <col min="10" max="10" width="13.44140625" style="15" bestFit="1" customWidth="1"/>
    <col min="11" max="11" width="11" hidden="1" customWidth="1"/>
    <col min="12" max="12" width="26.6640625" style="128" bestFit="1" customWidth="1"/>
    <col min="13" max="13" width="10.109375" style="9" bestFit="1" customWidth="1"/>
    <col min="14" max="14" width="5.33203125" style="5" bestFit="1" customWidth="1"/>
    <col min="15" max="15" width="11.88671875" style="19" bestFit="1" customWidth="1"/>
    <col min="16" max="16" width="9.44140625" style="15" bestFit="1" customWidth="1"/>
    <col min="17" max="17" width="12" hidden="1" customWidth="1"/>
    <col min="18" max="18" width="8.6640625" style="5" bestFit="1" customWidth="1"/>
    <col min="19" max="19" width="10.44140625" style="6" bestFit="1" customWidth="1"/>
    <col min="20" max="20" width="12" style="6" customWidth="1"/>
    <col min="21" max="21" width="12" style="123" customWidth="1"/>
    <col min="22" max="23" width="12" style="6" customWidth="1"/>
  </cols>
  <sheetData>
    <row r="3" spans="1:23" ht="15" thickBot="1" x14ac:dyDescent="0.35">
      <c r="D3" s="5" t="s">
        <v>331</v>
      </c>
      <c r="E3" s="4" t="s">
        <v>332</v>
      </c>
      <c r="F3" s="1" t="s">
        <v>333</v>
      </c>
      <c r="G3" s="1" t="s">
        <v>9</v>
      </c>
      <c r="H3" s="1" t="s">
        <v>174</v>
      </c>
      <c r="I3" t="s">
        <v>11</v>
      </c>
      <c r="J3" s="48" t="s">
        <v>424</v>
      </c>
      <c r="K3" s="47" t="s">
        <v>334</v>
      </c>
      <c r="L3" s="102" t="s">
        <v>21</v>
      </c>
      <c r="M3" s="102" t="s">
        <v>29</v>
      </c>
      <c r="N3" s="43" t="s">
        <v>335</v>
      </c>
      <c r="O3" s="115" t="s">
        <v>16</v>
      </c>
      <c r="P3" s="48" t="s">
        <v>336</v>
      </c>
      <c r="Q3" s="47" t="s">
        <v>337</v>
      </c>
      <c r="R3" s="43" t="s">
        <v>338</v>
      </c>
      <c r="S3" s="51" t="s">
        <v>2</v>
      </c>
      <c r="T3" s="51" t="s">
        <v>339</v>
      </c>
      <c r="U3" s="122" t="s">
        <v>662</v>
      </c>
      <c r="V3" s="51" t="s">
        <v>663</v>
      </c>
      <c r="W3" s="51" t="s">
        <v>340</v>
      </c>
    </row>
    <row r="4" spans="1:23" x14ac:dyDescent="0.3">
      <c r="D4" s="5">
        <v>1117</v>
      </c>
      <c r="E4" s="4">
        <v>43136</v>
      </c>
      <c r="F4" s="1" t="s">
        <v>527</v>
      </c>
      <c r="G4" s="1" t="s">
        <v>550</v>
      </c>
      <c r="H4" s="1" t="s">
        <v>554</v>
      </c>
      <c r="I4" t="s">
        <v>559</v>
      </c>
      <c r="J4" s="15" t="s">
        <v>477</v>
      </c>
      <c r="K4" t="s">
        <v>477</v>
      </c>
      <c r="L4" s="128" t="s">
        <v>89</v>
      </c>
      <c r="M4" s="9" t="s">
        <v>92</v>
      </c>
      <c r="N4" s="5">
        <v>6</v>
      </c>
      <c r="O4" s="19">
        <v>3232320</v>
      </c>
      <c r="P4" s="15" t="s">
        <v>479</v>
      </c>
      <c r="Q4" t="s">
        <v>479</v>
      </c>
      <c r="R4" s="5">
        <v>7</v>
      </c>
      <c r="S4" s="6">
        <v>22.99</v>
      </c>
      <c r="T4" s="6">
        <f>SUM(Table7[[#This Row],[Column15]]*Table7[[#This Row],[Column16]])</f>
        <v>160.92999999999998</v>
      </c>
      <c r="U4" s="123">
        <f>HLOOKUP($R4,Lookups!$B$3:$H$4,2,TRUE)</f>
        <v>0.08</v>
      </c>
      <c r="V4" s="6">
        <f>SUM(T4*U4)</f>
        <v>12.874399999999998</v>
      </c>
      <c r="W4" s="6">
        <f>SUM(T4-V4)</f>
        <v>148.05559999999997</v>
      </c>
    </row>
    <row r="5" spans="1:23" x14ac:dyDescent="0.3">
      <c r="D5" s="5">
        <v>1118</v>
      </c>
      <c r="E5" s="4">
        <v>43136</v>
      </c>
      <c r="F5" s="1" t="s">
        <v>528</v>
      </c>
      <c r="G5" s="1" t="s">
        <v>505</v>
      </c>
      <c r="H5" s="1" t="s">
        <v>524</v>
      </c>
      <c r="I5" t="s">
        <v>560</v>
      </c>
      <c r="J5" s="15" t="s">
        <v>477</v>
      </c>
      <c r="K5" t="s">
        <v>422</v>
      </c>
      <c r="L5" s="128" t="s">
        <v>93</v>
      </c>
      <c r="M5" s="9" t="s">
        <v>95</v>
      </c>
      <c r="N5" s="5">
        <v>4</v>
      </c>
      <c r="O5" s="19">
        <v>3232321</v>
      </c>
      <c r="P5" s="15" t="s">
        <v>479</v>
      </c>
      <c r="Q5" t="s">
        <v>480</v>
      </c>
      <c r="R5" s="5">
        <v>8</v>
      </c>
      <c r="S5" s="6">
        <v>21.99</v>
      </c>
      <c r="T5" s="6">
        <f>SUM(Table7[[#This Row],[Column15]]*Table7[[#This Row],[Column16]])</f>
        <v>175.92</v>
      </c>
      <c r="U5" s="123">
        <f>HLOOKUP($R5,Lookups!$B$3:$H$4,2,TRUE)</f>
        <v>0.08</v>
      </c>
      <c r="V5" s="6">
        <f t="shared" ref="V5:V21" si="0">SUM(T5*U5)</f>
        <v>14.073599999999999</v>
      </c>
      <c r="W5" s="6">
        <f t="shared" ref="W5:W21" si="1">SUM(T5-V5)</f>
        <v>161.84639999999999</v>
      </c>
    </row>
    <row r="6" spans="1:23" ht="18" thickBot="1" x14ac:dyDescent="0.4">
      <c r="A6" s="132" t="s">
        <v>630</v>
      </c>
      <c r="B6" s="132"/>
      <c r="D6" s="5">
        <v>1119</v>
      </c>
      <c r="E6" s="4">
        <v>43136</v>
      </c>
      <c r="F6" s="1" t="s">
        <v>529</v>
      </c>
      <c r="G6" s="1" t="s">
        <v>551</v>
      </c>
      <c r="H6" s="1" t="s">
        <v>555</v>
      </c>
      <c r="I6" t="s">
        <v>559</v>
      </c>
      <c r="J6" s="15" t="s">
        <v>477</v>
      </c>
      <c r="L6" s="128" t="s">
        <v>96</v>
      </c>
      <c r="M6" s="9" t="s">
        <v>98</v>
      </c>
      <c r="N6" s="5">
        <v>7</v>
      </c>
      <c r="O6" s="19">
        <v>3232322</v>
      </c>
      <c r="P6" s="15" t="s">
        <v>479</v>
      </c>
      <c r="R6" s="5">
        <v>7</v>
      </c>
      <c r="S6" s="6">
        <v>14.99</v>
      </c>
      <c r="T6" s="6">
        <f>SUM(Table7[[#This Row],[Column15]]*Table7[[#This Row],[Column16]])</f>
        <v>104.93</v>
      </c>
      <c r="U6" s="123">
        <f>HLOOKUP($R6,Lookups!$B$3:$H$4,2,TRUE)</f>
        <v>0.08</v>
      </c>
      <c r="V6" s="6">
        <f t="shared" si="0"/>
        <v>8.394400000000001</v>
      </c>
      <c r="W6" s="6">
        <f t="shared" si="1"/>
        <v>96.535600000000002</v>
      </c>
    </row>
    <row r="7" spans="1:23" ht="15" thickTop="1" x14ac:dyDescent="0.3">
      <c r="A7" t="s">
        <v>627</v>
      </c>
      <c r="B7" s="42">
        <f>SUM(Table7[[#All],[Column19]])</f>
        <v>2107.5029</v>
      </c>
      <c r="D7" s="5">
        <v>1120</v>
      </c>
      <c r="E7" s="4">
        <v>43136</v>
      </c>
      <c r="F7" s="1" t="s">
        <v>530</v>
      </c>
      <c r="G7" s="1" t="s">
        <v>546</v>
      </c>
      <c r="H7" s="1" t="s">
        <v>520</v>
      </c>
      <c r="I7" t="s">
        <v>561</v>
      </c>
      <c r="J7" s="15" t="s">
        <v>477</v>
      </c>
      <c r="L7" s="128" t="s">
        <v>99</v>
      </c>
      <c r="M7" s="9" t="s">
        <v>39</v>
      </c>
      <c r="N7" s="5">
        <v>8</v>
      </c>
      <c r="O7" s="19">
        <v>3232323</v>
      </c>
      <c r="P7" s="15" t="s">
        <v>479</v>
      </c>
      <c r="R7" s="5">
        <v>12</v>
      </c>
      <c r="S7" s="6">
        <v>13.99</v>
      </c>
      <c r="T7" s="6">
        <f>SUM(Table7[[#This Row],[Column15]]*Table7[[#This Row],[Column16]])</f>
        <v>167.88</v>
      </c>
      <c r="U7" s="123">
        <f>HLOOKUP($R7,Lookups!$B$3:$H$4,2,TRUE)</f>
        <v>0.12</v>
      </c>
      <c r="V7" s="6">
        <f t="shared" si="0"/>
        <v>20.145599999999998</v>
      </c>
      <c r="W7" s="6">
        <f t="shared" si="1"/>
        <v>147.73439999999999</v>
      </c>
    </row>
    <row r="8" spans="1:23" x14ac:dyDescent="0.3">
      <c r="A8" t="s">
        <v>628</v>
      </c>
      <c r="B8" s="42">
        <f>$B$18</f>
        <v>910</v>
      </c>
      <c r="D8" s="5">
        <v>1121</v>
      </c>
      <c r="E8" s="4">
        <v>43137</v>
      </c>
      <c r="F8" s="1" t="s">
        <v>540</v>
      </c>
      <c r="G8" s="1" t="s">
        <v>505</v>
      </c>
      <c r="H8" s="1" t="s">
        <v>556</v>
      </c>
      <c r="I8" t="s">
        <v>559</v>
      </c>
      <c r="J8" s="15" t="s">
        <v>477</v>
      </c>
      <c r="L8" s="128" t="s">
        <v>101</v>
      </c>
      <c r="M8" s="9" t="s">
        <v>103</v>
      </c>
      <c r="N8" s="5">
        <v>7</v>
      </c>
      <c r="O8" s="19">
        <v>3232324</v>
      </c>
      <c r="P8" s="15" t="s">
        <v>480</v>
      </c>
      <c r="R8" s="5">
        <v>9</v>
      </c>
      <c r="S8" s="6">
        <v>15.99</v>
      </c>
      <c r="T8" s="6">
        <f>SUM(Table7[[#This Row],[Column15]]*Table7[[#This Row],[Column16]])</f>
        <v>143.91</v>
      </c>
      <c r="U8" s="123">
        <f>HLOOKUP($R8,Lookups!$B$3:$H$4,2,TRUE)</f>
        <v>0.08</v>
      </c>
      <c r="V8" s="6">
        <f t="shared" si="0"/>
        <v>11.5128</v>
      </c>
      <c r="W8" s="6">
        <f t="shared" si="1"/>
        <v>132.3972</v>
      </c>
    </row>
    <row r="9" spans="1:23" ht="15" thickBot="1" x14ac:dyDescent="0.35">
      <c r="A9" t="s">
        <v>360</v>
      </c>
      <c r="B9" s="71">
        <f>SUM(B7-B8)</f>
        <v>1197.5029</v>
      </c>
      <c r="D9" s="5">
        <v>1123</v>
      </c>
      <c r="E9" s="4">
        <v>43137</v>
      </c>
      <c r="F9" s="1" t="s">
        <v>544</v>
      </c>
      <c r="G9" s="1" t="s">
        <v>505</v>
      </c>
      <c r="H9" s="1" t="s">
        <v>557</v>
      </c>
      <c r="I9" t="s">
        <v>559</v>
      </c>
      <c r="J9" s="15" t="s">
        <v>477</v>
      </c>
      <c r="L9" s="128" t="s">
        <v>104</v>
      </c>
      <c r="M9" s="9" t="s">
        <v>84</v>
      </c>
      <c r="N9" s="5">
        <v>5</v>
      </c>
      <c r="O9" s="19">
        <v>3232325</v>
      </c>
      <c r="P9" s="15" t="s">
        <v>480</v>
      </c>
      <c r="R9" s="5">
        <v>5</v>
      </c>
      <c r="S9" s="6">
        <v>25.99</v>
      </c>
      <c r="T9" s="6">
        <f>SUM(Table7[[#This Row],[Column15]]*Table7[[#This Row],[Column16]])</f>
        <v>129.94999999999999</v>
      </c>
      <c r="U9" s="123">
        <f>HLOOKUP($R9,Lookups!$B$3:$H$4,2,TRUE)</f>
        <v>0.08</v>
      </c>
      <c r="V9" s="6">
        <f t="shared" si="0"/>
        <v>10.395999999999999</v>
      </c>
      <c r="W9" s="6">
        <f t="shared" si="1"/>
        <v>119.55399999999999</v>
      </c>
    </row>
    <row r="10" spans="1:23" ht="15" thickTop="1" x14ac:dyDescent="0.3">
      <c r="D10" s="5">
        <v>1124</v>
      </c>
      <c r="E10" s="4">
        <v>43138</v>
      </c>
      <c r="F10" s="1" t="s">
        <v>531</v>
      </c>
      <c r="G10" s="1" t="s">
        <v>505</v>
      </c>
      <c r="H10" s="1" t="s">
        <v>499</v>
      </c>
      <c r="I10" t="s">
        <v>562</v>
      </c>
      <c r="J10" s="15" t="s">
        <v>477</v>
      </c>
      <c r="L10" s="128" t="s">
        <v>107</v>
      </c>
      <c r="M10" s="9" t="s">
        <v>76</v>
      </c>
      <c r="N10" s="5">
        <v>5</v>
      </c>
      <c r="O10" s="19">
        <v>3232326</v>
      </c>
      <c r="P10" s="15" t="s">
        <v>480</v>
      </c>
      <c r="R10" s="5">
        <v>5</v>
      </c>
      <c r="S10" s="6">
        <v>26.99</v>
      </c>
      <c r="T10" s="6">
        <f>SUM(Table7[[#This Row],[Column15]]*Table7[[#This Row],[Column16]])</f>
        <v>134.94999999999999</v>
      </c>
      <c r="U10" s="123">
        <f>HLOOKUP($R10,Lookups!$B$3:$H$4,2,TRUE)</f>
        <v>0.08</v>
      </c>
      <c r="V10" s="6">
        <f t="shared" si="0"/>
        <v>10.795999999999999</v>
      </c>
      <c r="W10" s="6">
        <f t="shared" si="1"/>
        <v>124.154</v>
      </c>
    </row>
    <row r="11" spans="1:23" x14ac:dyDescent="0.3">
      <c r="D11" s="5">
        <v>1125</v>
      </c>
      <c r="E11" s="4">
        <v>43138</v>
      </c>
      <c r="F11" s="1" t="s">
        <v>532</v>
      </c>
      <c r="G11" s="1" t="s">
        <v>505</v>
      </c>
      <c r="H11" s="1" t="s">
        <v>499</v>
      </c>
      <c r="I11" t="s">
        <v>563</v>
      </c>
      <c r="J11" s="15" t="s">
        <v>477</v>
      </c>
      <c r="L11" s="128" t="s">
        <v>110</v>
      </c>
      <c r="M11" s="9" t="s">
        <v>76</v>
      </c>
      <c r="N11" s="5">
        <v>4</v>
      </c>
      <c r="O11" s="19">
        <v>3223237</v>
      </c>
      <c r="P11" s="15" t="s">
        <v>480</v>
      </c>
      <c r="R11" s="5">
        <v>5</v>
      </c>
      <c r="S11" s="6">
        <v>25.99</v>
      </c>
      <c r="T11" s="6">
        <f>SUM(Table7[[#This Row],[Column15]]*Table7[[#This Row],[Column16]])</f>
        <v>129.94999999999999</v>
      </c>
      <c r="U11" s="123">
        <f>HLOOKUP($R11,Lookups!$B$3:$H$4,2,TRUE)</f>
        <v>0.08</v>
      </c>
      <c r="V11" s="6">
        <f t="shared" si="0"/>
        <v>10.395999999999999</v>
      </c>
      <c r="W11" s="6">
        <f t="shared" si="1"/>
        <v>119.55399999999999</v>
      </c>
    </row>
    <row r="12" spans="1:23" ht="15" thickBot="1" x14ac:dyDescent="0.35">
      <c r="A12" s="133" t="s">
        <v>629</v>
      </c>
      <c r="B12" s="133"/>
      <c r="D12" s="5">
        <v>1126</v>
      </c>
      <c r="E12" s="4">
        <v>43138</v>
      </c>
      <c r="F12" s="1" t="s">
        <v>533</v>
      </c>
      <c r="G12" s="1" t="s">
        <v>547</v>
      </c>
      <c r="H12" s="1" t="s">
        <v>520</v>
      </c>
      <c r="I12" t="s">
        <v>564</v>
      </c>
      <c r="J12" s="15" t="s">
        <v>477</v>
      </c>
      <c r="L12" s="128" t="s">
        <v>113</v>
      </c>
      <c r="M12" s="9" t="s">
        <v>116</v>
      </c>
      <c r="N12" s="5">
        <v>3</v>
      </c>
      <c r="O12" s="19">
        <v>3232328</v>
      </c>
      <c r="P12" s="15" t="s">
        <v>480</v>
      </c>
      <c r="R12" s="5">
        <v>6</v>
      </c>
      <c r="S12" s="6">
        <v>25.99</v>
      </c>
      <c r="T12" s="6">
        <f>SUM(Table7[[#This Row],[Column15]]*Table7[[#This Row],[Column16]])</f>
        <v>155.94</v>
      </c>
      <c r="U12" s="123">
        <f>HLOOKUP($R12,Lookups!$B$3:$H$4,2,TRUE)</f>
        <v>0.08</v>
      </c>
      <c r="V12" s="6">
        <f t="shared" si="0"/>
        <v>12.475200000000001</v>
      </c>
      <c r="W12" s="6">
        <f t="shared" si="1"/>
        <v>143.4648</v>
      </c>
    </row>
    <row r="13" spans="1:23" x14ac:dyDescent="0.3">
      <c r="A13" t="s">
        <v>366</v>
      </c>
      <c r="B13" s="42">
        <v>155</v>
      </c>
      <c r="D13" s="5">
        <v>1127</v>
      </c>
      <c r="E13" s="4">
        <v>43138</v>
      </c>
      <c r="F13" s="1" t="s">
        <v>534</v>
      </c>
      <c r="G13" s="1" t="s">
        <v>552</v>
      </c>
      <c r="H13" s="1" t="s">
        <v>520</v>
      </c>
      <c r="I13" t="s">
        <v>565</v>
      </c>
      <c r="J13" s="15" t="s">
        <v>477</v>
      </c>
      <c r="L13" s="128" t="s">
        <v>117</v>
      </c>
      <c r="M13" s="9" t="s">
        <v>76</v>
      </c>
      <c r="N13" s="5">
        <v>5</v>
      </c>
      <c r="O13" s="19">
        <v>3232329</v>
      </c>
      <c r="P13" s="15" t="s">
        <v>480</v>
      </c>
      <c r="R13" s="5">
        <v>6</v>
      </c>
      <c r="S13" s="6">
        <v>27.99</v>
      </c>
      <c r="T13" s="6">
        <f>SUM(Table7[[#This Row],[Column15]]*Table7[[#This Row],[Column16]])</f>
        <v>167.94</v>
      </c>
      <c r="U13" s="123">
        <f>HLOOKUP($R13,Lookups!$B$3:$H$4,2,TRUE)</f>
        <v>0.08</v>
      </c>
      <c r="V13" s="6">
        <f t="shared" si="0"/>
        <v>13.4352</v>
      </c>
      <c r="W13" s="6">
        <f t="shared" si="1"/>
        <v>154.50479999999999</v>
      </c>
    </row>
    <row r="14" spans="1:23" x14ac:dyDescent="0.3">
      <c r="A14" t="s">
        <v>367</v>
      </c>
      <c r="B14" s="42">
        <v>160</v>
      </c>
      <c r="D14" s="5">
        <v>1128</v>
      </c>
      <c r="E14" s="4">
        <v>43139</v>
      </c>
      <c r="F14" s="1" t="s">
        <v>535</v>
      </c>
      <c r="G14" s="1" t="s">
        <v>553</v>
      </c>
      <c r="H14" s="1" t="s">
        <v>557</v>
      </c>
      <c r="I14" t="s">
        <v>559</v>
      </c>
      <c r="J14" s="15" t="s">
        <v>477</v>
      </c>
      <c r="L14" s="128" t="s">
        <v>119</v>
      </c>
      <c r="M14" s="9" t="s">
        <v>76</v>
      </c>
      <c r="N14" s="5">
        <v>6</v>
      </c>
      <c r="O14" s="19">
        <v>3232310</v>
      </c>
      <c r="P14" s="15" t="s">
        <v>480</v>
      </c>
      <c r="R14" s="5">
        <v>4</v>
      </c>
      <c r="S14" s="6">
        <v>22.99</v>
      </c>
      <c r="T14" s="6">
        <f>SUM(Table7[[#This Row],[Column15]]*Table7[[#This Row],[Column16]])</f>
        <v>91.96</v>
      </c>
      <c r="U14" s="123">
        <f>HLOOKUP($R14,Lookups!$B$3:$H$4,2,TRUE)</f>
        <v>0.05</v>
      </c>
      <c r="V14" s="6">
        <f t="shared" si="0"/>
        <v>4.5979999999999999</v>
      </c>
      <c r="W14" s="6">
        <f t="shared" si="1"/>
        <v>87.361999999999995</v>
      </c>
    </row>
    <row r="15" spans="1:23" x14ac:dyDescent="0.3">
      <c r="A15" t="s">
        <v>371</v>
      </c>
      <c r="B15" s="42">
        <v>320</v>
      </c>
      <c r="D15" s="5">
        <v>1129</v>
      </c>
      <c r="E15" s="4">
        <v>43139</v>
      </c>
      <c r="F15" s="1" t="s">
        <v>542</v>
      </c>
      <c r="G15" s="1" t="s">
        <v>505</v>
      </c>
      <c r="H15" s="1" t="s">
        <v>524</v>
      </c>
      <c r="I15" t="s">
        <v>566</v>
      </c>
      <c r="J15" s="15" t="s">
        <v>477</v>
      </c>
      <c r="L15" s="128" t="s">
        <v>122</v>
      </c>
      <c r="M15" s="9" t="s">
        <v>76</v>
      </c>
      <c r="N15" s="5">
        <v>9</v>
      </c>
      <c r="O15" s="19">
        <v>3232311</v>
      </c>
      <c r="P15" s="15" t="s">
        <v>480</v>
      </c>
      <c r="R15" s="5">
        <v>4</v>
      </c>
      <c r="S15" s="6">
        <v>24.99</v>
      </c>
      <c r="T15" s="6">
        <f>SUM(Table7[[#This Row],[Column15]]*Table7[[#This Row],[Column16]])</f>
        <v>99.96</v>
      </c>
      <c r="U15" s="123">
        <f>HLOOKUP($R15,Lookups!$B$3:$H$4,2,TRUE)</f>
        <v>0.05</v>
      </c>
      <c r="V15" s="6">
        <f t="shared" si="0"/>
        <v>4.9980000000000002</v>
      </c>
      <c r="W15" s="6">
        <f t="shared" si="1"/>
        <v>94.961999999999989</v>
      </c>
    </row>
    <row r="16" spans="1:23" x14ac:dyDescent="0.3">
      <c r="A16" t="s">
        <v>372</v>
      </c>
      <c r="B16" s="42">
        <v>140</v>
      </c>
      <c r="D16" s="5">
        <v>1130</v>
      </c>
      <c r="E16" s="4">
        <v>43140</v>
      </c>
      <c r="F16" s="1" t="s">
        <v>541</v>
      </c>
      <c r="G16" s="1" t="s">
        <v>545</v>
      </c>
      <c r="H16" s="1" t="s">
        <v>520</v>
      </c>
      <c r="I16" t="s">
        <v>559</v>
      </c>
      <c r="J16" s="15" t="s">
        <v>477</v>
      </c>
      <c r="L16" s="128" t="s">
        <v>125</v>
      </c>
      <c r="M16" s="9" t="s">
        <v>128</v>
      </c>
      <c r="N16" s="5">
        <v>6</v>
      </c>
      <c r="O16" s="19">
        <v>2323212</v>
      </c>
      <c r="P16" s="15" t="s">
        <v>480</v>
      </c>
      <c r="R16" s="5">
        <v>6</v>
      </c>
      <c r="S16" s="6">
        <v>25.99</v>
      </c>
      <c r="T16" s="6">
        <f>SUM(Table7[[#This Row],[Column15]]*Table7[[#This Row],[Column16]])</f>
        <v>155.94</v>
      </c>
      <c r="U16" s="123">
        <f>HLOOKUP($R16,Lookups!$B$3:$H$4,2,TRUE)</f>
        <v>0.08</v>
      </c>
      <c r="V16" s="6">
        <f t="shared" si="0"/>
        <v>12.475200000000001</v>
      </c>
      <c r="W16" s="6">
        <f t="shared" si="1"/>
        <v>143.4648</v>
      </c>
    </row>
    <row r="17" spans="1:23" x14ac:dyDescent="0.3">
      <c r="A17" t="s">
        <v>373</v>
      </c>
      <c r="B17" s="42">
        <v>135</v>
      </c>
      <c r="D17" s="5">
        <v>1131</v>
      </c>
      <c r="E17" s="4">
        <v>43140</v>
      </c>
      <c r="F17" s="1" t="s">
        <v>536</v>
      </c>
      <c r="G17" s="1" t="s">
        <v>505</v>
      </c>
      <c r="H17" s="1" t="s">
        <v>558</v>
      </c>
      <c r="I17" t="s">
        <v>567</v>
      </c>
      <c r="J17" s="15" t="s">
        <v>477</v>
      </c>
      <c r="L17" s="128" t="s">
        <v>129</v>
      </c>
      <c r="M17" s="9" t="s">
        <v>45</v>
      </c>
      <c r="N17" s="5">
        <v>2</v>
      </c>
      <c r="O17" s="19">
        <v>3232313</v>
      </c>
      <c r="P17" s="15" t="s">
        <v>480</v>
      </c>
      <c r="R17" s="5">
        <v>5</v>
      </c>
      <c r="S17" s="6">
        <v>26.99</v>
      </c>
      <c r="T17" s="6">
        <f>SUM(Table7[[#This Row],[Column15]]*Table7[[#This Row],[Column16]])</f>
        <v>134.94999999999999</v>
      </c>
      <c r="U17" s="123">
        <f>HLOOKUP($R17,Lookups!$B$3:$H$4,2,TRUE)</f>
        <v>0.08</v>
      </c>
      <c r="V17" s="6">
        <f t="shared" si="0"/>
        <v>10.795999999999999</v>
      </c>
      <c r="W17" s="6">
        <f t="shared" si="1"/>
        <v>124.154</v>
      </c>
    </row>
    <row r="18" spans="1:23" ht="15" thickBot="1" x14ac:dyDescent="0.35">
      <c r="A18" s="69" t="s">
        <v>349</v>
      </c>
      <c r="B18" s="70">
        <f>SUM(B13:B17)</f>
        <v>910</v>
      </c>
      <c r="D18" s="5">
        <v>1132</v>
      </c>
      <c r="E18" s="4">
        <v>43140</v>
      </c>
      <c r="F18" s="1" t="s">
        <v>537</v>
      </c>
      <c r="G18" s="1" t="s">
        <v>548</v>
      </c>
      <c r="H18" s="1" t="s">
        <v>558</v>
      </c>
      <c r="I18" t="s">
        <v>567</v>
      </c>
      <c r="J18" s="15" t="s">
        <v>477</v>
      </c>
      <c r="L18" s="128" t="s">
        <v>133</v>
      </c>
      <c r="M18" s="9" t="s">
        <v>136</v>
      </c>
      <c r="N18" s="5">
        <v>3</v>
      </c>
      <c r="O18" s="19">
        <v>3232314</v>
      </c>
      <c r="P18" s="15" t="s">
        <v>480</v>
      </c>
      <c r="R18" s="5">
        <v>3</v>
      </c>
      <c r="S18" s="6">
        <v>19.989999999999998</v>
      </c>
      <c r="T18" s="6">
        <f>SUM(Table7[[#This Row],[Column15]]*Table7[[#This Row],[Column16]])</f>
        <v>59.97</v>
      </c>
      <c r="U18" s="123">
        <f>HLOOKUP($R18,Lookups!$B$3:$H$4,2,TRUE)</f>
        <v>0.05</v>
      </c>
      <c r="V18" s="6">
        <f t="shared" si="0"/>
        <v>2.9984999999999999</v>
      </c>
      <c r="W18" s="6">
        <f t="shared" si="1"/>
        <v>56.971499999999999</v>
      </c>
    </row>
    <row r="19" spans="1:23" ht="15" thickTop="1" x14ac:dyDescent="0.3">
      <c r="D19" s="5">
        <v>1133</v>
      </c>
      <c r="E19" s="4">
        <v>43140</v>
      </c>
      <c r="F19" s="1" t="s">
        <v>538</v>
      </c>
      <c r="G19" s="1" t="s">
        <v>511</v>
      </c>
      <c r="H19" s="1" t="s">
        <v>557</v>
      </c>
      <c r="I19" t="s">
        <v>568</v>
      </c>
      <c r="J19" s="15" t="s">
        <v>477</v>
      </c>
      <c r="L19" s="128" t="s">
        <v>137</v>
      </c>
      <c r="M19" s="9" t="s">
        <v>140</v>
      </c>
      <c r="N19" s="5">
        <v>5</v>
      </c>
      <c r="O19" s="19">
        <v>3232315</v>
      </c>
      <c r="P19" s="15" t="s">
        <v>479</v>
      </c>
      <c r="R19" s="5">
        <v>6</v>
      </c>
      <c r="S19" s="6">
        <v>19.989999999999998</v>
      </c>
      <c r="T19" s="6">
        <f>SUM(Table7[[#This Row],[Column15]]*Table7[[#This Row],[Column16]])</f>
        <v>119.94</v>
      </c>
      <c r="U19" s="123">
        <f>HLOOKUP($R19,Lookups!$B$3:$H$4,2,TRUE)</f>
        <v>0.08</v>
      </c>
      <c r="V19" s="6">
        <f t="shared" si="0"/>
        <v>9.5952000000000002</v>
      </c>
      <c r="W19" s="6">
        <f t="shared" si="1"/>
        <v>110.34479999999999</v>
      </c>
    </row>
    <row r="20" spans="1:23" x14ac:dyDescent="0.3">
      <c r="D20" s="5">
        <v>1134</v>
      </c>
      <c r="E20" s="4">
        <v>43141</v>
      </c>
      <c r="F20" s="1" t="s">
        <v>543</v>
      </c>
      <c r="G20" s="1" t="s">
        <v>549</v>
      </c>
      <c r="H20" s="1" t="s">
        <v>524</v>
      </c>
      <c r="I20" t="s">
        <v>559</v>
      </c>
      <c r="J20" s="15" t="s">
        <v>477</v>
      </c>
      <c r="L20" s="128" t="s">
        <v>141</v>
      </c>
      <c r="M20" s="9" t="s">
        <v>136</v>
      </c>
      <c r="N20" s="5">
        <v>6</v>
      </c>
      <c r="O20" s="19">
        <v>3232316</v>
      </c>
      <c r="P20" s="15" t="s">
        <v>479</v>
      </c>
      <c r="R20" s="5">
        <v>3</v>
      </c>
      <c r="S20" s="6">
        <v>19.989999999999998</v>
      </c>
      <c r="T20" s="6">
        <f>SUM(Table7[[#This Row],[Column15]]*Table7[[#This Row],[Column16]])</f>
        <v>59.97</v>
      </c>
      <c r="U20" s="123">
        <f>HLOOKUP($R20,Lookups!$B$3:$H$4,2,TRUE)</f>
        <v>0.05</v>
      </c>
      <c r="V20" s="6">
        <f t="shared" si="0"/>
        <v>2.9984999999999999</v>
      </c>
      <c r="W20" s="6">
        <f t="shared" si="1"/>
        <v>56.971499999999999</v>
      </c>
    </row>
    <row r="21" spans="1:23" x14ac:dyDescent="0.3">
      <c r="D21" s="5">
        <v>1135</v>
      </c>
      <c r="E21" s="4">
        <v>43141</v>
      </c>
      <c r="F21" s="1" t="s">
        <v>539</v>
      </c>
      <c r="G21" s="1" t="s">
        <v>505</v>
      </c>
      <c r="H21" s="1" t="s">
        <v>524</v>
      </c>
      <c r="I21" t="s">
        <v>569</v>
      </c>
      <c r="J21" s="15" t="s">
        <v>477</v>
      </c>
      <c r="L21" s="128" t="s">
        <v>144</v>
      </c>
      <c r="M21" s="9" t="s">
        <v>136</v>
      </c>
      <c r="N21" s="5">
        <v>4</v>
      </c>
      <c r="O21" s="19">
        <v>3223217</v>
      </c>
      <c r="P21" s="15" t="s">
        <v>479</v>
      </c>
      <c r="R21" s="5">
        <v>3</v>
      </c>
      <c r="S21" s="6">
        <v>29.99</v>
      </c>
      <c r="T21" s="6">
        <f>SUM(Table7[[#This Row],[Column15]]*Table7[[#This Row],[Column16]])</f>
        <v>89.97</v>
      </c>
      <c r="U21" s="123">
        <f>HLOOKUP($R21,Lookups!$B$3:$H$4,2,TRUE)</f>
        <v>0.05</v>
      </c>
      <c r="V21" s="6">
        <f t="shared" si="0"/>
        <v>4.4984999999999999</v>
      </c>
      <c r="W21" s="6">
        <f t="shared" si="1"/>
        <v>85.471499999999992</v>
      </c>
    </row>
  </sheetData>
  <mergeCells count="2">
    <mergeCell ref="A6:B6"/>
    <mergeCell ref="A12:B12"/>
  </mergeCells>
  <dataValidations count="2">
    <dataValidation type="list" allowBlank="1" showInputMessage="1" showErrorMessage="1" sqref="J4:J21" xr:uid="{AA6CECE4-FC70-4003-99F4-B5EE5C421808}">
      <formula1>$K$4:$K$5</formula1>
    </dataValidation>
    <dataValidation type="list" allowBlank="1" showInputMessage="1" showErrorMessage="1" sqref="P4:P21" xr:uid="{6594A693-1DCF-45E9-8DE1-B2DA0AF6DE46}">
      <formula1>$Q$4:$Q$5</formula1>
    </dataValidation>
  </dataValidations>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2B9DD-6A6F-4F53-969E-7D914E52DA1D}">
  <sheetPr codeName="Sheet10">
    <tabColor theme="7" tint="-0.499984740745262"/>
  </sheetPr>
  <dimension ref="A1:V21"/>
  <sheetViews>
    <sheetView workbookViewId="0">
      <pane xSplit="2" topLeftCell="H1" activePane="topRight" state="frozen"/>
      <selection pane="topRight" activeCell="L8" sqref="L8"/>
    </sheetView>
  </sheetViews>
  <sheetFormatPr defaultRowHeight="14.4" x14ac:dyDescent="0.3"/>
  <cols>
    <col min="1" max="1" width="10.6640625" customWidth="1"/>
    <col min="2" max="2" width="9.109375" customWidth="1"/>
    <col min="3" max="3" width="0.33203125" style="66" customWidth="1"/>
    <col min="4" max="4" width="9.33203125" style="5" bestFit="1" customWidth="1"/>
    <col min="5" max="5" width="10.6640625" style="65" bestFit="1" customWidth="1"/>
    <col min="6" max="6" width="16.5546875" bestFit="1" customWidth="1"/>
    <col min="7" max="7" width="11" style="1" customWidth="1"/>
    <col min="8" max="8" width="13.44140625" style="1" bestFit="1" customWidth="1"/>
    <col min="9" max="9" width="14.88671875" bestFit="1" customWidth="1"/>
    <col min="10" max="10" width="13.44140625" style="15" bestFit="1" customWidth="1"/>
    <col min="11" max="11" width="0" hidden="1" customWidth="1"/>
    <col min="12" max="12" width="25.88671875" bestFit="1" customWidth="1"/>
    <col min="13" max="13" width="10.109375" style="9" bestFit="1" customWidth="1"/>
    <col min="14" max="14" width="5.33203125" style="5" bestFit="1" customWidth="1"/>
    <col min="15" max="15" width="12" style="19" customWidth="1"/>
    <col min="16" max="16" width="9.44140625" style="15" bestFit="1" customWidth="1"/>
    <col min="17" max="17" width="12" hidden="1" customWidth="1"/>
    <col min="18" max="18" width="8.6640625" style="5" bestFit="1" customWidth="1"/>
    <col min="19" max="19" width="10.44140625" style="6" bestFit="1" customWidth="1"/>
    <col min="20" max="20" width="8.6640625" style="6" bestFit="1" customWidth="1"/>
    <col min="21" max="21" width="10.33203125" style="6" bestFit="1" customWidth="1"/>
    <col min="22" max="22" width="8.109375" style="6" bestFit="1" customWidth="1"/>
  </cols>
  <sheetData>
    <row r="1" spans="1:22" x14ac:dyDescent="0.3">
      <c r="P1" s="6" t="s">
        <v>669</v>
      </c>
    </row>
    <row r="3" spans="1:22" x14ac:dyDescent="0.3">
      <c r="D3" s="5" t="s">
        <v>331</v>
      </c>
      <c r="E3" s="65" t="s">
        <v>332</v>
      </c>
      <c r="F3" t="s">
        <v>333</v>
      </c>
      <c r="G3" s="1" t="s">
        <v>9</v>
      </c>
      <c r="H3" s="1" t="s">
        <v>174</v>
      </c>
      <c r="I3" t="s">
        <v>11</v>
      </c>
      <c r="J3" s="15" t="s">
        <v>424</v>
      </c>
      <c r="K3" t="s">
        <v>334</v>
      </c>
      <c r="L3" t="s">
        <v>21</v>
      </c>
      <c r="M3" s="9" t="s">
        <v>29</v>
      </c>
      <c r="N3" s="5" t="s">
        <v>335</v>
      </c>
      <c r="O3" s="19" t="s">
        <v>16</v>
      </c>
      <c r="P3" s="15" t="s">
        <v>336</v>
      </c>
      <c r="Q3" t="s">
        <v>337</v>
      </c>
      <c r="R3" s="5" t="s">
        <v>338</v>
      </c>
      <c r="S3" s="6" t="s">
        <v>2</v>
      </c>
      <c r="T3" s="6" t="s">
        <v>339</v>
      </c>
      <c r="U3" s="6" t="s">
        <v>667</v>
      </c>
      <c r="V3" s="6" t="s">
        <v>340</v>
      </c>
    </row>
    <row r="4" spans="1:22" x14ac:dyDescent="0.3">
      <c r="D4" s="5">
        <v>1135</v>
      </c>
      <c r="E4" s="65">
        <v>43143</v>
      </c>
      <c r="F4" t="s">
        <v>570</v>
      </c>
      <c r="G4" s="1" t="s">
        <v>439</v>
      </c>
      <c r="H4" s="1" t="s">
        <v>610</v>
      </c>
      <c r="I4" t="s">
        <v>593</v>
      </c>
      <c r="J4" s="15" t="s">
        <v>477</v>
      </c>
      <c r="K4" t="s">
        <v>477</v>
      </c>
      <c r="L4" t="s">
        <v>69</v>
      </c>
      <c r="M4" s="9" t="s">
        <v>72</v>
      </c>
      <c r="N4" s="5">
        <v>6</v>
      </c>
      <c r="O4" s="19">
        <v>45454540</v>
      </c>
      <c r="P4" s="15" t="s">
        <v>479</v>
      </c>
      <c r="Q4" t="s">
        <v>479</v>
      </c>
      <c r="R4" s="5">
        <v>9</v>
      </c>
      <c r="S4" s="6">
        <v>18.989999999999998</v>
      </c>
      <c r="T4" s="6">
        <f>SUM(Table1[[#This Row],[Column15]]*Table1[[#This Row],[Column16]])</f>
        <v>170.91</v>
      </c>
      <c r="V4" s="6">
        <f>SUM(Table1[[#This Row],[Column17]]-Table1[[#This Row],[Column18]])</f>
        <v>170.91</v>
      </c>
    </row>
    <row r="5" spans="1:22" x14ac:dyDescent="0.3">
      <c r="D5" s="5">
        <v>1136</v>
      </c>
      <c r="E5" s="65">
        <v>43143</v>
      </c>
      <c r="F5" t="s">
        <v>571</v>
      </c>
      <c r="G5" s="1" t="s">
        <v>437</v>
      </c>
      <c r="H5" s="1" t="s">
        <v>611</v>
      </c>
      <c r="I5" t="s">
        <v>594</v>
      </c>
      <c r="J5" s="15" t="s">
        <v>477</v>
      </c>
      <c r="K5" t="s">
        <v>422</v>
      </c>
      <c r="L5" t="s">
        <v>73</v>
      </c>
      <c r="M5" s="9" t="s">
        <v>76</v>
      </c>
      <c r="N5" s="5">
        <v>5</v>
      </c>
      <c r="O5" s="19">
        <v>45454541</v>
      </c>
      <c r="P5" s="15" t="s">
        <v>479</v>
      </c>
      <c r="Q5" t="s">
        <v>480</v>
      </c>
      <c r="R5" s="5">
        <v>10</v>
      </c>
      <c r="S5" s="6">
        <v>19.989999999999998</v>
      </c>
      <c r="T5" s="6">
        <f>SUM(Table1[[#This Row],[Column15]]*Table1[[#This Row],[Column16]])</f>
        <v>199.89999999999998</v>
      </c>
      <c r="V5" s="6">
        <f>SUM(Table1[[#This Row],[Column17]]-Table1[[#This Row],[Column18]])</f>
        <v>199.89999999999998</v>
      </c>
    </row>
    <row r="6" spans="1:22" ht="18" thickBot="1" x14ac:dyDescent="0.4">
      <c r="A6" s="132" t="s">
        <v>632</v>
      </c>
      <c r="B6" s="132"/>
      <c r="D6" s="5">
        <v>1137</v>
      </c>
      <c r="E6" s="65">
        <v>43144</v>
      </c>
      <c r="F6" t="s">
        <v>572</v>
      </c>
      <c r="G6" s="1" t="s">
        <v>588</v>
      </c>
      <c r="H6" s="1" t="s">
        <v>612</v>
      </c>
      <c r="I6" t="s">
        <v>599</v>
      </c>
      <c r="J6" s="15" t="s">
        <v>477</v>
      </c>
      <c r="L6" t="s">
        <v>34</v>
      </c>
      <c r="M6" s="9" t="s">
        <v>79</v>
      </c>
      <c r="N6" s="5">
        <v>4</v>
      </c>
      <c r="O6" s="19">
        <v>45454542</v>
      </c>
      <c r="P6" s="15" t="s">
        <v>479</v>
      </c>
      <c r="R6" s="5">
        <v>10</v>
      </c>
      <c r="S6" s="6">
        <v>25.99</v>
      </c>
      <c r="T6" s="6">
        <f>SUM(Table1[[#This Row],[Column15]]*Table1[[#This Row],[Column16]])</f>
        <v>259.89999999999998</v>
      </c>
      <c r="V6" s="6">
        <f>SUM(Table1[[#This Row],[Column17]]-Table1[[#This Row],[Column18]])</f>
        <v>259.89999999999998</v>
      </c>
    </row>
    <row r="7" spans="1:22" ht="15" thickTop="1" x14ac:dyDescent="0.3">
      <c r="A7" t="s">
        <v>627</v>
      </c>
      <c r="B7" s="42">
        <f>SUM(Table1[[#All],[Column19]])</f>
        <v>3314.52</v>
      </c>
      <c r="D7" s="5">
        <v>1138</v>
      </c>
      <c r="E7" s="65">
        <v>43144</v>
      </c>
      <c r="F7" t="s">
        <v>573</v>
      </c>
      <c r="G7" s="1" t="s">
        <v>439</v>
      </c>
      <c r="H7" s="1" t="s">
        <v>613</v>
      </c>
      <c r="I7" t="s">
        <v>595</v>
      </c>
      <c r="J7" s="15" t="s">
        <v>477</v>
      </c>
      <c r="L7" t="s">
        <v>80</v>
      </c>
      <c r="M7" s="9" t="s">
        <v>84</v>
      </c>
      <c r="N7" s="5">
        <v>3</v>
      </c>
      <c r="O7" s="19">
        <v>45454543</v>
      </c>
      <c r="P7" s="15" t="s">
        <v>479</v>
      </c>
      <c r="R7" s="5">
        <v>8</v>
      </c>
      <c r="S7" s="6">
        <v>18.989999999999998</v>
      </c>
      <c r="T7" s="6">
        <f>SUM(Table1[[#This Row],[Column15]]*Table1[[#This Row],[Column16]])</f>
        <v>151.91999999999999</v>
      </c>
      <c r="V7" s="6">
        <f>SUM(Table1[[#This Row],[Column17]]-Table1[[#This Row],[Column18]])</f>
        <v>151.91999999999999</v>
      </c>
    </row>
    <row r="8" spans="1:22" x14ac:dyDescent="0.3">
      <c r="A8" t="s">
        <v>628</v>
      </c>
      <c r="B8" s="42">
        <f>Table10[[#Totals],[Column2]]</f>
        <v>1119</v>
      </c>
      <c r="D8" s="5">
        <v>1139</v>
      </c>
      <c r="E8" s="65">
        <v>43145</v>
      </c>
      <c r="F8" t="s">
        <v>574</v>
      </c>
      <c r="G8" s="1" t="s">
        <v>437</v>
      </c>
      <c r="H8" s="1" t="s">
        <v>614</v>
      </c>
      <c r="I8" t="s">
        <v>596</v>
      </c>
      <c r="J8" s="15" t="s">
        <v>477</v>
      </c>
      <c r="L8" t="s">
        <v>85</v>
      </c>
      <c r="M8" s="9" t="s">
        <v>88</v>
      </c>
      <c r="N8" s="5">
        <v>5</v>
      </c>
      <c r="O8" s="19">
        <v>45454544</v>
      </c>
      <c r="P8" s="15" t="s">
        <v>479</v>
      </c>
      <c r="R8" s="5">
        <v>10</v>
      </c>
      <c r="S8" s="6">
        <v>25.99</v>
      </c>
      <c r="T8" s="6">
        <f>SUM(Table1[[#This Row],[Column15]]*Table1[[#This Row],[Column16]])</f>
        <v>259.89999999999998</v>
      </c>
      <c r="V8" s="6">
        <f>SUM(Table1[[#This Row],[Column17]]-Table1[[#This Row],[Column18]])</f>
        <v>259.89999999999998</v>
      </c>
    </row>
    <row r="9" spans="1:22" x14ac:dyDescent="0.3">
      <c r="A9" t="s">
        <v>360</v>
      </c>
      <c r="B9" s="42">
        <f>SUM(B7-B8)</f>
        <v>2195.52</v>
      </c>
      <c r="D9" s="5">
        <v>1140</v>
      </c>
      <c r="E9" s="65">
        <v>43145</v>
      </c>
      <c r="F9" t="s">
        <v>575</v>
      </c>
      <c r="G9" s="1" t="s">
        <v>589</v>
      </c>
      <c r="H9" s="1" t="s">
        <v>380</v>
      </c>
      <c r="I9" t="s">
        <v>597</v>
      </c>
      <c r="J9" s="15" t="s">
        <v>477</v>
      </c>
      <c r="L9" t="s">
        <v>89</v>
      </c>
      <c r="M9" s="9" t="s">
        <v>92</v>
      </c>
      <c r="N9" s="5">
        <v>6</v>
      </c>
      <c r="O9" s="19">
        <v>45454545</v>
      </c>
      <c r="P9" s="15" t="s">
        <v>479</v>
      </c>
      <c r="R9" s="5">
        <v>10</v>
      </c>
      <c r="S9" s="6">
        <v>22.99</v>
      </c>
      <c r="T9" s="6">
        <f>SUM(Table1[[#This Row],[Column15]]*Table1[[#This Row],[Column16]])</f>
        <v>229.89999999999998</v>
      </c>
      <c r="V9" s="6">
        <f>SUM(Table1[[#This Row],[Column17]]-Table1[[#This Row],[Column18]])</f>
        <v>229.89999999999998</v>
      </c>
    </row>
    <row r="10" spans="1:22" x14ac:dyDescent="0.3">
      <c r="D10" s="5">
        <v>1141</v>
      </c>
      <c r="E10" s="65">
        <v>43145</v>
      </c>
      <c r="F10" t="s">
        <v>576</v>
      </c>
      <c r="G10" s="1" t="s">
        <v>437</v>
      </c>
      <c r="H10" s="1" t="s">
        <v>615</v>
      </c>
      <c r="I10" t="s">
        <v>598</v>
      </c>
      <c r="J10" s="15" t="s">
        <v>477</v>
      </c>
      <c r="L10" t="s">
        <v>93</v>
      </c>
      <c r="M10" s="9" t="s">
        <v>95</v>
      </c>
      <c r="N10" s="5">
        <v>4</v>
      </c>
      <c r="O10" s="19">
        <v>45454546</v>
      </c>
      <c r="P10" s="15" t="s">
        <v>479</v>
      </c>
      <c r="R10" s="5">
        <v>8</v>
      </c>
      <c r="S10" s="6">
        <v>21.99</v>
      </c>
      <c r="T10" s="6">
        <f>SUM(Table1[[#This Row],[Column15]]*Table1[[#This Row],[Column16]])</f>
        <v>175.92</v>
      </c>
      <c r="V10" s="6">
        <f>SUM(Table1[[#This Row],[Column17]]-Table1[[#This Row],[Column18]])</f>
        <v>175.92</v>
      </c>
    </row>
    <row r="11" spans="1:22" x14ac:dyDescent="0.3">
      <c r="D11" s="5">
        <v>1142</v>
      </c>
      <c r="E11" s="65">
        <v>43145</v>
      </c>
      <c r="F11" t="s">
        <v>577</v>
      </c>
      <c r="G11" s="1" t="s">
        <v>439</v>
      </c>
      <c r="H11" s="1" t="s">
        <v>616</v>
      </c>
      <c r="I11" t="s">
        <v>600</v>
      </c>
      <c r="J11" s="15" t="s">
        <v>477</v>
      </c>
      <c r="L11" t="s">
        <v>96</v>
      </c>
      <c r="M11" s="9" t="s">
        <v>98</v>
      </c>
      <c r="N11" s="5">
        <v>7</v>
      </c>
      <c r="O11" s="19">
        <v>45454545</v>
      </c>
      <c r="P11" s="15" t="s">
        <v>479</v>
      </c>
      <c r="R11" s="5">
        <v>10</v>
      </c>
      <c r="S11" s="6">
        <v>14.99</v>
      </c>
      <c r="T11" s="6">
        <f>SUM(Table1[[#This Row],[Column15]]*Table1[[#This Row],[Column16]])</f>
        <v>149.9</v>
      </c>
      <c r="V11" s="6">
        <f>SUM(Table1[[#This Row],[Column17]]-Table1[[#This Row],[Column18]])</f>
        <v>149.9</v>
      </c>
    </row>
    <row r="12" spans="1:22" ht="15" thickBot="1" x14ac:dyDescent="0.35">
      <c r="A12" s="133" t="s">
        <v>631</v>
      </c>
      <c r="B12" s="133"/>
      <c r="D12" s="5">
        <v>1143</v>
      </c>
      <c r="E12" s="65">
        <v>43146</v>
      </c>
      <c r="F12" t="s">
        <v>578</v>
      </c>
      <c r="G12" s="1" t="s">
        <v>437</v>
      </c>
      <c r="H12" s="1" t="s">
        <v>591</v>
      </c>
      <c r="I12" t="s">
        <v>601</v>
      </c>
      <c r="J12" s="15" t="s">
        <v>477</v>
      </c>
      <c r="L12" t="s">
        <v>99</v>
      </c>
      <c r="M12" s="9" t="s">
        <v>39</v>
      </c>
      <c r="N12" s="5">
        <v>8</v>
      </c>
      <c r="O12" s="19">
        <v>45454547</v>
      </c>
      <c r="P12" s="15" t="s">
        <v>479</v>
      </c>
      <c r="R12" s="5">
        <v>8</v>
      </c>
      <c r="S12" s="6">
        <v>13.99</v>
      </c>
      <c r="T12" s="6">
        <f>SUM(Table1[[#This Row],[Column15]]*Table1[[#This Row],[Column16]])</f>
        <v>111.92</v>
      </c>
      <c r="V12" s="6">
        <f>SUM(Table1[[#This Row],[Column17]]-Table1[[#This Row],[Column18]])</f>
        <v>111.92</v>
      </c>
    </row>
    <row r="13" spans="1:22" x14ac:dyDescent="0.3">
      <c r="A13" t="s">
        <v>366</v>
      </c>
      <c r="B13" s="42">
        <v>149</v>
      </c>
      <c r="D13" s="5">
        <v>1144</v>
      </c>
      <c r="E13" s="65">
        <v>43146</v>
      </c>
      <c r="F13" t="s">
        <v>579</v>
      </c>
      <c r="G13" s="1" t="s">
        <v>590</v>
      </c>
      <c r="H13" s="1" t="s">
        <v>617</v>
      </c>
      <c r="I13" t="s">
        <v>602</v>
      </c>
      <c r="J13" s="15" t="s">
        <v>477</v>
      </c>
      <c r="L13" t="s">
        <v>101</v>
      </c>
      <c r="M13" s="9" t="s">
        <v>103</v>
      </c>
      <c r="N13" s="5">
        <v>7</v>
      </c>
      <c r="O13" s="19">
        <v>45454548</v>
      </c>
      <c r="P13" s="15" t="s">
        <v>479</v>
      </c>
      <c r="R13" s="5">
        <v>9</v>
      </c>
      <c r="S13" s="6">
        <v>15.99</v>
      </c>
      <c r="T13" s="6">
        <f>SUM(Table1[[#This Row],[Column15]]*Table1[[#This Row],[Column16]])</f>
        <v>143.91</v>
      </c>
      <c r="V13" s="6">
        <f>SUM(Table1[[#This Row],[Column17]]-Table1[[#This Row],[Column18]])</f>
        <v>143.91</v>
      </c>
    </row>
    <row r="14" spans="1:22" x14ac:dyDescent="0.3">
      <c r="A14" t="s">
        <v>367</v>
      </c>
      <c r="B14" s="42">
        <v>200</v>
      </c>
      <c r="D14" s="5">
        <v>1145</v>
      </c>
      <c r="E14" s="65">
        <v>43147</v>
      </c>
      <c r="F14" t="s">
        <v>580</v>
      </c>
      <c r="G14" s="1" t="s">
        <v>437</v>
      </c>
      <c r="H14" s="1" t="s">
        <v>618</v>
      </c>
      <c r="I14" t="s">
        <v>603</v>
      </c>
      <c r="J14" s="15" t="s">
        <v>477</v>
      </c>
      <c r="L14" t="s">
        <v>104</v>
      </c>
      <c r="M14" s="9" t="s">
        <v>84</v>
      </c>
      <c r="N14" s="5">
        <v>5</v>
      </c>
      <c r="O14" s="19">
        <v>45454549</v>
      </c>
      <c r="P14" s="15" t="s">
        <v>479</v>
      </c>
      <c r="R14" s="5">
        <v>8</v>
      </c>
      <c r="S14" s="6">
        <v>25.99</v>
      </c>
      <c r="T14" s="6">
        <f>SUM(Table1[[#This Row],[Column15]]*Table1[[#This Row],[Column16]])</f>
        <v>207.92</v>
      </c>
      <c r="V14" s="6">
        <f>SUM(Table1[[#This Row],[Column17]]-Table1[[#This Row],[Column18]])</f>
        <v>207.92</v>
      </c>
    </row>
    <row r="15" spans="1:22" x14ac:dyDescent="0.3">
      <c r="A15" t="s">
        <v>371</v>
      </c>
      <c r="B15" s="42">
        <v>400</v>
      </c>
      <c r="D15" s="5">
        <v>1146</v>
      </c>
      <c r="E15" s="65">
        <v>43147</v>
      </c>
      <c r="F15" t="s">
        <v>581</v>
      </c>
      <c r="G15" s="1" t="s">
        <v>591</v>
      </c>
      <c r="H15" s="1" t="s">
        <v>619</v>
      </c>
      <c r="I15" t="s">
        <v>604</v>
      </c>
      <c r="J15" s="15" t="s">
        <v>477</v>
      </c>
      <c r="L15" t="s">
        <v>107</v>
      </c>
      <c r="M15" s="9" t="s">
        <v>76</v>
      </c>
      <c r="N15" s="5">
        <v>5</v>
      </c>
      <c r="O15" s="19">
        <v>45454510</v>
      </c>
      <c r="P15" s="15" t="s">
        <v>479</v>
      </c>
      <c r="R15" s="5">
        <v>9</v>
      </c>
      <c r="S15" s="6">
        <v>26.99</v>
      </c>
      <c r="T15" s="6">
        <f>SUM(Table1[[#This Row],[Column15]]*Table1[[#This Row],[Column16]])</f>
        <v>242.91</v>
      </c>
      <c r="V15" s="6">
        <f>SUM(Table1[[#This Row],[Column17]]-Table1[[#This Row],[Column18]])</f>
        <v>242.91</v>
      </c>
    </row>
    <row r="16" spans="1:22" x14ac:dyDescent="0.3">
      <c r="A16" t="s">
        <v>372</v>
      </c>
      <c r="B16" s="42">
        <v>190</v>
      </c>
      <c r="D16" s="5">
        <v>1147</v>
      </c>
      <c r="E16" s="65">
        <v>43147</v>
      </c>
      <c r="F16" t="s">
        <v>582</v>
      </c>
      <c r="G16" s="1" t="s">
        <v>592</v>
      </c>
      <c r="H16" s="1" t="s">
        <v>620</v>
      </c>
      <c r="I16" t="s">
        <v>605</v>
      </c>
      <c r="J16" s="15" t="s">
        <v>477</v>
      </c>
      <c r="L16" t="s">
        <v>110</v>
      </c>
      <c r="M16" s="9" t="s">
        <v>76</v>
      </c>
      <c r="N16" s="5">
        <v>4</v>
      </c>
      <c r="O16" s="19">
        <v>45454511</v>
      </c>
      <c r="P16" s="15" t="s">
        <v>479</v>
      </c>
      <c r="R16" s="5">
        <v>10</v>
      </c>
      <c r="S16" s="6">
        <v>25.99</v>
      </c>
      <c r="T16" s="6">
        <f>SUM(Table1[[#This Row],[Column15]]*Table1[[#This Row],[Column16]])</f>
        <v>259.89999999999998</v>
      </c>
      <c r="V16" s="6">
        <f>SUM(Table1[[#This Row],[Column17]]-Table1[[#This Row],[Column18]])</f>
        <v>259.89999999999998</v>
      </c>
    </row>
    <row r="17" spans="1:22" x14ac:dyDescent="0.3">
      <c r="A17" t="s">
        <v>373</v>
      </c>
      <c r="B17" s="42">
        <v>180</v>
      </c>
      <c r="D17" s="5">
        <v>1148</v>
      </c>
      <c r="E17" s="65">
        <v>43147</v>
      </c>
      <c r="F17" t="s">
        <v>583</v>
      </c>
      <c r="G17" s="1" t="s">
        <v>437</v>
      </c>
      <c r="H17" s="1" t="s">
        <v>621</v>
      </c>
      <c r="I17" t="s">
        <v>606</v>
      </c>
      <c r="J17" s="15" t="s">
        <v>477</v>
      </c>
      <c r="L17" t="s">
        <v>113</v>
      </c>
      <c r="M17" s="9" t="s">
        <v>116</v>
      </c>
      <c r="N17" s="5">
        <v>3</v>
      </c>
      <c r="O17" s="19">
        <v>45454512</v>
      </c>
      <c r="P17" s="15" t="s">
        <v>479</v>
      </c>
      <c r="R17" s="5">
        <v>6</v>
      </c>
      <c r="S17" s="6">
        <v>25.99</v>
      </c>
      <c r="T17" s="6">
        <f>SUM(Table1[[#This Row],[Column15]]*Table1[[#This Row],[Column16]])</f>
        <v>155.94</v>
      </c>
      <c r="V17" s="6">
        <f>SUM(Table1[[#This Row],[Column17]]-Table1[[#This Row],[Column18]])</f>
        <v>155.94</v>
      </c>
    </row>
    <row r="18" spans="1:22" x14ac:dyDescent="0.3">
      <c r="A18" s="12" t="s">
        <v>349</v>
      </c>
      <c r="B18" s="42">
        <f>SUBTOTAL(109,Table10[Column2])</f>
        <v>1119</v>
      </c>
      <c r="D18" s="5">
        <v>1149</v>
      </c>
      <c r="E18" s="65">
        <v>43148</v>
      </c>
      <c r="F18" t="s">
        <v>584</v>
      </c>
      <c r="G18" s="1" t="s">
        <v>591</v>
      </c>
      <c r="H18" s="1" t="s">
        <v>622</v>
      </c>
      <c r="I18" t="s">
        <v>607</v>
      </c>
      <c r="J18" s="15" t="s">
        <v>477</v>
      </c>
      <c r="L18" t="s">
        <v>117</v>
      </c>
      <c r="M18" s="9" t="s">
        <v>76</v>
      </c>
      <c r="N18" s="5">
        <v>5</v>
      </c>
      <c r="O18" s="19">
        <v>45454513</v>
      </c>
      <c r="P18" s="15" t="s">
        <v>479</v>
      </c>
      <c r="R18" s="5">
        <v>9</v>
      </c>
      <c r="S18" s="6">
        <v>27.99</v>
      </c>
      <c r="T18" s="6">
        <f>SUM(Table1[[#This Row],[Column15]]*Table1[[#This Row],[Column16]])</f>
        <v>251.91</v>
      </c>
      <c r="V18" s="6">
        <f>SUM(Table1[[#This Row],[Column17]]-Table1[[#This Row],[Column18]])</f>
        <v>251.91</v>
      </c>
    </row>
    <row r="19" spans="1:22" x14ac:dyDescent="0.3">
      <c r="D19" s="5">
        <v>1150</v>
      </c>
      <c r="E19" s="65">
        <v>43148</v>
      </c>
      <c r="F19" t="s">
        <v>585</v>
      </c>
      <c r="G19" s="1" t="s">
        <v>439</v>
      </c>
      <c r="H19" s="1" t="s">
        <v>623</v>
      </c>
      <c r="I19" t="s">
        <v>608</v>
      </c>
      <c r="J19" s="15" t="s">
        <v>477</v>
      </c>
      <c r="L19" t="s">
        <v>119</v>
      </c>
      <c r="M19" s="9" t="s">
        <v>76</v>
      </c>
      <c r="N19" s="5">
        <v>6</v>
      </c>
      <c r="O19" s="19">
        <v>45454514</v>
      </c>
      <c r="P19" s="15" t="s">
        <v>479</v>
      </c>
      <c r="R19" s="5">
        <v>6</v>
      </c>
      <c r="S19" s="6">
        <v>22.99</v>
      </c>
      <c r="T19" s="6">
        <f>SUM(Table1[[#This Row],[Column15]]*Table1[[#This Row],[Column16]])</f>
        <v>137.94</v>
      </c>
      <c r="V19" s="6">
        <f>SUM(Table1[[#This Row],[Column17]]-Table1[[#This Row],[Column18]])</f>
        <v>137.94</v>
      </c>
    </row>
    <row r="20" spans="1:22" x14ac:dyDescent="0.3">
      <c r="D20" s="5">
        <v>1151</v>
      </c>
      <c r="E20" s="65">
        <v>43148</v>
      </c>
      <c r="F20" t="s">
        <v>586</v>
      </c>
      <c r="G20" s="1" t="s">
        <v>589</v>
      </c>
      <c r="H20" s="1" t="s">
        <v>624</v>
      </c>
      <c r="I20" t="s">
        <v>609</v>
      </c>
      <c r="J20" s="15" t="s">
        <v>477</v>
      </c>
      <c r="L20" t="s">
        <v>122</v>
      </c>
      <c r="M20" s="9" t="s">
        <v>76</v>
      </c>
      <c r="N20" s="5">
        <v>9</v>
      </c>
      <c r="O20" s="19">
        <v>45454515</v>
      </c>
      <c r="P20" s="15" t="s">
        <v>479</v>
      </c>
      <c r="R20" s="5">
        <v>4</v>
      </c>
      <c r="S20" s="6">
        <v>24.99</v>
      </c>
      <c r="T20" s="6">
        <f>SUM(Table1[[#This Row],[Column15]]*Table1[[#This Row],[Column16]])</f>
        <v>99.96</v>
      </c>
      <c r="V20" s="6">
        <f>SUM(Table1[[#This Row],[Column17]]-Table1[[#This Row],[Column18]])</f>
        <v>99.96</v>
      </c>
    </row>
    <row r="21" spans="1:22" x14ac:dyDescent="0.3">
      <c r="D21" s="5">
        <v>1152</v>
      </c>
      <c r="E21" s="65">
        <v>43148</v>
      </c>
      <c r="F21" t="s">
        <v>587</v>
      </c>
      <c r="G21" s="1" t="s">
        <v>437</v>
      </c>
      <c r="H21" s="1" t="s">
        <v>588</v>
      </c>
      <c r="I21" t="s">
        <v>609</v>
      </c>
      <c r="J21" s="15" t="s">
        <v>477</v>
      </c>
      <c r="L21" t="s">
        <v>125</v>
      </c>
      <c r="M21" s="9" t="s">
        <v>128</v>
      </c>
      <c r="N21" s="5">
        <v>6</v>
      </c>
      <c r="O21" s="19">
        <v>45454516</v>
      </c>
      <c r="P21" s="15" t="s">
        <v>479</v>
      </c>
      <c r="R21" s="5">
        <v>4</v>
      </c>
      <c r="S21" s="6">
        <v>25.99</v>
      </c>
      <c r="T21" s="6">
        <f>SUM(Table1[[#This Row],[Column15]]*Table1[[#This Row],[Column16]])</f>
        <v>103.96</v>
      </c>
      <c r="V21" s="6">
        <f>SUM(Table1[[#This Row],[Column17]]-Table1[[#This Row],[Column18]])</f>
        <v>103.96</v>
      </c>
    </row>
  </sheetData>
  <mergeCells count="2">
    <mergeCell ref="A6:B6"/>
    <mergeCell ref="A12:B12"/>
  </mergeCells>
  <dataValidations disablePrompts="1" count="2">
    <dataValidation type="list" allowBlank="1" showInputMessage="1" showErrorMessage="1" sqref="J4:J21" xr:uid="{3590D3F7-8703-4A1B-8938-919663930D1E}">
      <formula1>$K$4:$K$5</formula1>
    </dataValidation>
    <dataValidation type="list" allowBlank="1" showInputMessage="1" showErrorMessage="1" sqref="P4:P21" xr:uid="{C6352B06-59D9-44C7-90AC-B9C44AB23B2F}">
      <formula1>$Q$4:$Q$5</formula1>
    </dataValidation>
  </dataValidations>
  <pageMargins left="0.7" right="0.7" top="0.75" bottom="0.75" header="0.3" footer="0.3"/>
  <pageSetup paperSize="9" orientation="portrait" r:id="rId1"/>
  <tableParts count="3">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B02C-0276-49BB-AAB2-C0BA4100D549}">
  <sheetPr>
    <tabColor rgb="FF00B050"/>
  </sheetPr>
  <dimension ref="A1:M25"/>
  <sheetViews>
    <sheetView topLeftCell="A16" zoomScaleNormal="100" workbookViewId="0">
      <selection activeCell="D15" sqref="D15"/>
    </sheetView>
  </sheetViews>
  <sheetFormatPr defaultRowHeight="14.4" outlineLevelRow="3" outlineLevelCol="4" x14ac:dyDescent="0.3"/>
  <cols>
    <col min="1" max="1" width="14.33203125" customWidth="1" outlineLevel="3"/>
    <col min="2" max="2" width="12.88671875" customWidth="1" outlineLevel="4"/>
    <col min="3" max="3" width="10.88671875" style="72" customWidth="1" outlineLevel="4"/>
    <col min="4" max="4" width="13.88671875" customWidth="1" outlineLevel="4" collapsed="1"/>
    <col min="5" max="5" width="12" style="12" customWidth="1" outlineLevel="3"/>
    <col min="6" max="6" width="16.88671875" style="12" customWidth="1" outlineLevel="2"/>
    <col min="7" max="7" width="15.109375" style="12" customWidth="1" outlineLevel="2"/>
    <col min="8" max="8" width="15.6640625" customWidth="1" outlineLevel="1"/>
    <col min="9" max="9" width="95.5546875" customWidth="1" outlineLevel="2"/>
    <col min="10" max="10" width="11.5546875" customWidth="1"/>
    <col min="11" max="11" width="11" customWidth="1"/>
    <col min="12" max="12" width="10.109375" style="63" bestFit="1" customWidth="1"/>
  </cols>
  <sheetData>
    <row r="1" spans="1:13" ht="33.75" customHeight="1" thickBot="1" x14ac:dyDescent="0.4">
      <c r="A1" s="85" t="s">
        <v>654</v>
      </c>
      <c r="B1" s="99" t="s">
        <v>649</v>
      </c>
      <c r="C1" s="92" t="s">
        <v>650</v>
      </c>
      <c r="D1" s="100" t="s">
        <v>648</v>
      </c>
      <c r="E1" s="96" t="s">
        <v>658</v>
      </c>
      <c r="F1" s="96" t="s">
        <v>358</v>
      </c>
      <c r="G1" s="96" t="s">
        <v>628</v>
      </c>
      <c r="H1" s="92" t="s">
        <v>360</v>
      </c>
      <c r="I1" s="96" t="s">
        <v>646</v>
      </c>
      <c r="J1" s="63"/>
    </row>
    <row r="2" spans="1:13" hidden="1" outlineLevel="3" x14ac:dyDescent="0.3">
      <c r="B2" s="65">
        <v>43101</v>
      </c>
      <c r="C2" s="65">
        <v>43106</v>
      </c>
      <c r="D2" s="72">
        <v>2</v>
      </c>
      <c r="E2" s="12" t="s">
        <v>639</v>
      </c>
      <c r="F2" s="6">
        <v>1599.2000000000005</v>
      </c>
      <c r="G2" s="6">
        <v>740</v>
      </c>
      <c r="H2" s="80">
        <f>ABS(F2-G2)</f>
        <v>859.2000000000005</v>
      </c>
      <c r="I2" s="75" t="s">
        <v>647</v>
      </c>
      <c r="J2" s="64"/>
    </row>
    <row r="3" spans="1:13" hidden="1" outlineLevel="3" x14ac:dyDescent="0.3">
      <c r="B3" s="65">
        <v>43108</v>
      </c>
      <c r="C3" s="65">
        <v>43113</v>
      </c>
      <c r="D3" s="72">
        <v>3</v>
      </c>
      <c r="E3" s="12" t="s">
        <v>640</v>
      </c>
      <c r="F3" s="6">
        <v>2126.1529999999998</v>
      </c>
      <c r="G3" s="6">
        <v>730</v>
      </c>
      <c r="H3" s="80">
        <f t="shared" ref="H3:H6" si="0">ABS(F3-G3)</f>
        <v>1396.1529999999998</v>
      </c>
      <c r="I3" s="75" t="s">
        <v>647</v>
      </c>
      <c r="J3" s="64"/>
    </row>
    <row r="4" spans="1:13" hidden="1" outlineLevel="3" x14ac:dyDescent="0.3">
      <c r="B4" s="65">
        <v>43115</v>
      </c>
      <c r="C4" s="65">
        <v>43120</v>
      </c>
      <c r="D4" s="72">
        <v>2</v>
      </c>
      <c r="E4" s="12" t="s">
        <v>641</v>
      </c>
      <c r="F4" s="6">
        <v>2201.06</v>
      </c>
      <c r="G4" s="6">
        <v>802</v>
      </c>
      <c r="H4" s="80">
        <f t="shared" si="0"/>
        <v>1399.06</v>
      </c>
      <c r="I4" s="75" t="s">
        <v>647</v>
      </c>
      <c r="J4" s="64"/>
    </row>
    <row r="5" spans="1:13" hidden="1" outlineLevel="3" x14ac:dyDescent="0.3">
      <c r="A5" t="s">
        <v>660</v>
      </c>
      <c r="B5" s="65">
        <v>43122</v>
      </c>
      <c r="C5" s="65">
        <v>43127</v>
      </c>
      <c r="D5" s="72">
        <v>4</v>
      </c>
      <c r="E5" s="12" t="s">
        <v>642</v>
      </c>
      <c r="F5" s="6">
        <v>1490.25</v>
      </c>
      <c r="G5" s="6">
        <v>869</v>
      </c>
      <c r="H5" s="80">
        <f t="shared" si="0"/>
        <v>621.25</v>
      </c>
      <c r="I5" s="75" t="s">
        <v>647</v>
      </c>
      <c r="J5" s="64"/>
    </row>
    <row r="6" spans="1:13" hidden="1" outlineLevel="3" x14ac:dyDescent="0.3">
      <c r="A6">
        <f>_xlfn.DAYS(B6,C6)</f>
        <v>-5</v>
      </c>
      <c r="B6" s="65">
        <v>43129</v>
      </c>
      <c r="C6" s="65">
        <v>43134</v>
      </c>
      <c r="D6" s="72">
        <v>3</v>
      </c>
      <c r="E6" t="s">
        <v>643</v>
      </c>
      <c r="F6" s="6">
        <v>3779.48</v>
      </c>
      <c r="G6" s="6">
        <v>948</v>
      </c>
      <c r="H6" s="80">
        <f t="shared" si="0"/>
        <v>2831.48</v>
      </c>
      <c r="I6" s="75" t="s">
        <v>647</v>
      </c>
      <c r="J6" s="64"/>
    </row>
    <row r="7" spans="1:13" ht="33.75" customHeight="1" outlineLevel="1" collapsed="1" x14ac:dyDescent="0.3">
      <c r="A7" s="81" t="s">
        <v>651</v>
      </c>
      <c r="B7" s="101">
        <f>_xlfn.DAYS(C6,B2)</f>
        <v>33</v>
      </c>
      <c r="C7" s="92" t="s">
        <v>653</v>
      </c>
      <c r="D7" s="82">
        <f>SUM(D2:D6)</f>
        <v>14</v>
      </c>
      <c r="E7" s="90">
        <f>COUNTA(E2:E6)</f>
        <v>5</v>
      </c>
      <c r="F7" s="91">
        <f>SUBTOTAL(9,F2:F6)</f>
        <v>11196.143</v>
      </c>
      <c r="G7" s="91">
        <f>SUBTOTAL(9,G2:G6)</f>
        <v>4089</v>
      </c>
      <c r="H7" s="92">
        <f>SUBTOTAL(9,H2:H6)</f>
        <v>7107.143</v>
      </c>
      <c r="I7" s="89" t="s">
        <v>661</v>
      </c>
      <c r="J7" s="64"/>
    </row>
    <row r="8" spans="1:13" hidden="1" outlineLevel="3" x14ac:dyDescent="0.3">
      <c r="B8" s="65">
        <v>43136</v>
      </c>
      <c r="C8" s="65">
        <v>43141</v>
      </c>
      <c r="D8" s="72">
        <v>3</v>
      </c>
      <c r="E8" t="s">
        <v>644</v>
      </c>
      <c r="F8" s="6">
        <v>2284.96</v>
      </c>
      <c r="G8" s="6">
        <v>910</v>
      </c>
      <c r="H8" s="80">
        <f>ABS(F8-G8)</f>
        <v>1374.96</v>
      </c>
      <c r="I8" s="75" t="s">
        <v>647</v>
      </c>
      <c r="J8" s="64"/>
    </row>
    <row r="9" spans="1:13" hidden="1" outlineLevel="3" x14ac:dyDescent="0.3">
      <c r="B9" s="65">
        <v>43143</v>
      </c>
      <c r="C9" s="65">
        <v>43148</v>
      </c>
      <c r="D9" s="72">
        <v>3</v>
      </c>
      <c r="E9" t="s">
        <v>645</v>
      </c>
      <c r="F9" s="6">
        <v>3314.52</v>
      </c>
      <c r="G9" s="6">
        <v>1119</v>
      </c>
      <c r="H9" s="80">
        <f t="shared" ref="H9:H12" si="1">ABS(F9-G9)</f>
        <v>2195.52</v>
      </c>
      <c r="I9" s="75" t="s">
        <v>647</v>
      </c>
      <c r="J9" s="64"/>
    </row>
    <row r="10" spans="1:13" s="12" customFormat="1" hidden="1" outlineLevel="3" x14ac:dyDescent="0.3">
      <c r="B10" s="65">
        <v>43151</v>
      </c>
      <c r="C10" s="74">
        <v>43156</v>
      </c>
      <c r="D10" s="76">
        <v>2</v>
      </c>
      <c r="E10" s="12" t="s">
        <v>652</v>
      </c>
      <c r="F10" s="78">
        <v>10</v>
      </c>
      <c r="G10" s="78">
        <v>5</v>
      </c>
      <c r="H10" s="80">
        <f t="shared" si="1"/>
        <v>5</v>
      </c>
      <c r="I10" s="75" t="s">
        <v>647</v>
      </c>
    </row>
    <row r="11" spans="1:13" hidden="1" outlineLevel="3" x14ac:dyDescent="0.3">
      <c r="B11" s="74">
        <v>43158</v>
      </c>
      <c r="C11" s="77">
        <v>43160</v>
      </c>
      <c r="D11" s="76">
        <v>3</v>
      </c>
      <c r="E11" s="12" t="s">
        <v>656</v>
      </c>
      <c r="F11" s="78">
        <v>10</v>
      </c>
      <c r="G11" s="78">
        <v>5</v>
      </c>
      <c r="H11" s="80">
        <f t="shared" si="1"/>
        <v>5</v>
      </c>
      <c r="I11" s="75" t="s">
        <v>647</v>
      </c>
    </row>
    <row r="12" spans="1:13" hidden="1" outlineLevel="3" x14ac:dyDescent="0.3">
      <c r="B12" s="74">
        <v>43162</v>
      </c>
      <c r="C12" s="77">
        <v>43167</v>
      </c>
      <c r="D12" s="76">
        <v>2</v>
      </c>
      <c r="E12" s="12" t="s">
        <v>655</v>
      </c>
      <c r="F12" s="78">
        <v>10</v>
      </c>
      <c r="G12" s="78">
        <v>5</v>
      </c>
      <c r="H12" s="80">
        <f t="shared" si="1"/>
        <v>5</v>
      </c>
      <c r="I12" s="75" t="s">
        <v>647</v>
      </c>
    </row>
    <row r="13" spans="1:13" s="12" customFormat="1" ht="33.75" customHeight="1" outlineLevel="1" collapsed="1" x14ac:dyDescent="0.3">
      <c r="A13" s="83" t="s">
        <v>657</v>
      </c>
      <c r="B13" s="101"/>
      <c r="C13" s="92" t="s">
        <v>653</v>
      </c>
      <c r="D13" s="84">
        <f>SUBTOTAL(9,D8:D12)</f>
        <v>13</v>
      </c>
      <c r="E13" s="93">
        <f>COUNTA(E8:E12)</f>
        <v>5</v>
      </c>
      <c r="F13" s="94">
        <f>SUBTOTAL(9,F8:F12)</f>
        <v>5629.48</v>
      </c>
      <c r="G13" s="94">
        <f>SUBTOTAL(9,G8:G12)</f>
        <v>2044</v>
      </c>
      <c r="H13" s="95">
        <f>SUBTOTAL(9,H8:H12)</f>
        <v>3585.48</v>
      </c>
      <c r="I13" s="97" t="s">
        <v>661</v>
      </c>
      <c r="J13" s="6"/>
      <c r="K13" s="75"/>
      <c r="L13" s="64"/>
    </row>
    <row r="14" spans="1:13" outlineLevel="1" x14ac:dyDescent="0.3">
      <c r="A14" s="87"/>
      <c r="B14" s="87"/>
      <c r="C14" s="87"/>
      <c r="D14" s="87"/>
      <c r="E14" s="87"/>
      <c r="F14" s="87"/>
      <c r="G14" s="87"/>
      <c r="H14" s="87"/>
      <c r="I14" s="88"/>
      <c r="L14" s="42"/>
      <c r="M14" s="63"/>
    </row>
    <row r="15" spans="1:13" ht="33.75" customHeight="1" x14ac:dyDescent="0.3">
      <c r="A15" s="79" t="s">
        <v>659</v>
      </c>
      <c r="B15" s="79"/>
      <c r="C15" s="79"/>
      <c r="D15" s="86">
        <f>SUM(D7,D13)</f>
        <v>27</v>
      </c>
      <c r="E15" s="98">
        <f>SUM(E7,E13)</f>
        <v>10</v>
      </c>
      <c r="F15" s="94">
        <f>SUM(F7,F13)</f>
        <v>16825.623</v>
      </c>
      <c r="G15" s="94">
        <f>SUM(G7,G13)</f>
        <v>6133</v>
      </c>
      <c r="H15" s="95">
        <f>SUM(H7,H13)</f>
        <v>10692.623</v>
      </c>
      <c r="I15" s="97" t="s">
        <v>661</v>
      </c>
      <c r="L15" s="42"/>
    </row>
    <row r="16" spans="1:13" x14ac:dyDescent="0.3">
      <c r="C16"/>
      <c r="F16" s="42"/>
      <c r="G16" s="42"/>
      <c r="H16" s="42"/>
      <c r="I16" s="42"/>
      <c r="J16" s="67"/>
      <c r="L16" s="42"/>
    </row>
    <row r="17" spans="3:10" x14ac:dyDescent="0.3">
      <c r="C17"/>
      <c r="E17"/>
      <c r="F17" s="42"/>
      <c r="G17" s="42"/>
      <c r="H17" s="42"/>
      <c r="I17" s="67"/>
    </row>
    <row r="18" spans="3:10" x14ac:dyDescent="0.3">
      <c r="C18"/>
      <c r="E18"/>
      <c r="F18" s="42"/>
      <c r="G18" s="42"/>
      <c r="H18" s="42"/>
    </row>
    <row r="19" spans="3:10" x14ac:dyDescent="0.3">
      <c r="C19"/>
      <c r="E19"/>
      <c r="F19"/>
      <c r="G19"/>
      <c r="J19" s="67"/>
    </row>
    <row r="20" spans="3:10" x14ac:dyDescent="0.3">
      <c r="C20"/>
      <c r="E20"/>
      <c r="F20"/>
      <c r="G20"/>
    </row>
    <row r="21" spans="3:10" x14ac:dyDescent="0.3">
      <c r="C21"/>
      <c r="E21"/>
      <c r="F21"/>
      <c r="G21"/>
    </row>
    <row r="22" spans="3:10" x14ac:dyDescent="0.3">
      <c r="C22"/>
      <c r="E22"/>
      <c r="F22"/>
      <c r="G22"/>
    </row>
    <row r="23" spans="3:10" x14ac:dyDescent="0.3">
      <c r="C23"/>
      <c r="E23"/>
      <c r="F23"/>
      <c r="G23"/>
    </row>
    <row r="24" spans="3:10" x14ac:dyDescent="0.3">
      <c r="C24"/>
      <c r="E24"/>
      <c r="F24"/>
      <c r="G24"/>
    </row>
    <row r="25" spans="3:10" x14ac:dyDescent="0.3">
      <c r="C25"/>
      <c r="E25"/>
      <c r="F25"/>
      <c r="G25"/>
    </row>
  </sheetData>
  <pageMargins left="0.7" right="0.7" top="0.75" bottom="0.75" header="0.3" footer="0.3"/>
  <pageSetup paperSize="9" orientation="portrait" r:id="rId1"/>
  <ignoredErrors>
    <ignoredError sqref="E13"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Lookups</vt:lpstr>
      <vt:lpstr>Tbl_Dvd</vt:lpstr>
      <vt:lpstr>Customers</vt:lpstr>
      <vt:lpstr>1stWk</vt:lpstr>
      <vt:lpstr>2ndWk</vt:lpstr>
      <vt:lpstr>3rdWk</vt:lpstr>
      <vt:lpstr>4thWk</vt:lpstr>
      <vt:lpstr>5thWk</vt:lpstr>
      <vt:lpstr>6thWK</vt:lpstr>
      <vt:lpstr>7thWK</vt:lpstr>
      <vt:lpstr>Outlines</vt:lpstr>
      <vt:lpstr>Tbl_Dvd!Criteria</vt:lpstr>
      <vt:lpstr>Cus.Ref</vt:lpstr>
      <vt:lpstr>Customers</vt:lpstr>
      <vt:lpstr>Customers.Tlb</vt:lpstr>
      <vt:lpstr>Tbl.Customers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Barra aka soulman</dc:creator>
  <cp:lastModifiedBy>Soulseeker</cp:lastModifiedBy>
  <dcterms:created xsi:type="dcterms:W3CDTF">2018-01-16T13:29:31Z</dcterms:created>
  <dcterms:modified xsi:type="dcterms:W3CDTF">2018-03-14T00:01:34Z</dcterms:modified>
</cp:coreProperties>
</file>