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-janb/Documents/GitHub/cea-glaucoma-ai-screening/data-raw/"/>
    </mc:Choice>
  </mc:AlternateContent>
  <xr:revisionPtr revIDLastSave="0" documentId="13_ncr:1_{F3BE53DB-A336-EA42-80C1-B54D9D44AEB0}" xr6:coauthVersionLast="47" xr6:coauthVersionMax="47" xr10:uidLastSave="{00000000-0000-0000-0000-000000000000}"/>
  <bookViews>
    <workbookView xWindow="31220" yWindow="500" windowWidth="39440" windowHeight="22000" xr2:uid="{FD0EB534-D8A5-7F4D-B937-536B03C78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F23" i="1" l="1"/>
  <c r="J23" i="1" s="1"/>
  <c r="F22" i="1"/>
  <c r="J22" i="1" s="1"/>
  <c r="J21" i="1" s="1"/>
  <c r="F19" i="1"/>
  <c r="F18" i="1"/>
  <c r="I13" i="1"/>
  <c r="F17" i="1"/>
  <c r="I17" i="1" s="1"/>
  <c r="F16" i="1"/>
  <c r="F15" i="1"/>
  <c r="F14" i="1"/>
  <c r="F6" i="1"/>
  <c r="I6" i="1" s="1"/>
  <c r="J6" i="1" s="1"/>
  <c r="F5" i="1"/>
  <c r="F3" i="1"/>
  <c r="F11" i="1"/>
  <c r="F8" i="1"/>
  <c r="F9" i="1"/>
  <c r="H34" i="1"/>
  <c r="F10" i="1" s="1"/>
  <c r="F4" i="1"/>
  <c r="G3" i="1"/>
  <c r="G19" i="1"/>
  <c r="G18" i="1"/>
  <c r="G17" i="1"/>
  <c r="G16" i="1"/>
  <c r="G15" i="1"/>
  <c r="G14" i="1"/>
  <c r="G11" i="1"/>
  <c r="G4" i="1"/>
  <c r="G5" i="1"/>
  <c r="G10" i="1"/>
  <c r="G9" i="1"/>
  <c r="G8" i="1"/>
  <c r="G7" i="1"/>
  <c r="I8" i="1" l="1"/>
  <c r="I14" i="1"/>
  <c r="I15" i="1"/>
  <c r="I9" i="1"/>
  <c r="I11" i="1"/>
  <c r="J11" i="1" s="1"/>
  <c r="I19" i="1"/>
  <c r="I18" i="1"/>
  <c r="J18" i="1" s="1"/>
  <c r="I3" i="1"/>
  <c r="J3" i="1" s="1"/>
  <c r="I5" i="1"/>
  <c r="J5" i="1" s="1"/>
  <c r="I10" i="1"/>
  <c r="J10" i="1" s="1"/>
  <c r="I4" i="1"/>
  <c r="J4" i="1" s="1"/>
  <c r="F7" i="1"/>
  <c r="I7" i="1" s="1"/>
  <c r="J7" i="1" s="1"/>
  <c r="I16" i="1"/>
  <c r="J16" i="1" s="1"/>
  <c r="J19" i="1"/>
  <c r="J8" i="1"/>
  <c r="J9" i="1"/>
  <c r="J14" i="1"/>
  <c r="J15" i="1"/>
  <c r="J17" i="1"/>
  <c r="I2" i="1" l="1"/>
  <c r="J12" i="1"/>
  <c r="J2" i="1"/>
</calcChain>
</file>

<file path=xl/sharedStrings.xml><?xml version="1.0" encoding="utf-8"?>
<sst xmlns="http://schemas.openxmlformats.org/spreadsheetml/2006/main" count="118" uniqueCount="90">
  <si>
    <t>Item</t>
  </si>
  <si>
    <t>Price per patient per year</t>
  </si>
  <si>
    <t>Outpatient non-physician services</t>
  </si>
  <si>
    <t>Inpatient services</t>
  </si>
  <si>
    <t>Practical life skills</t>
  </si>
  <si>
    <t>Blind aids</t>
  </si>
  <si>
    <t xml:space="preserve">Communication aids: </t>
  </si>
  <si>
    <t xml:space="preserve">Vision aids: </t>
  </si>
  <si>
    <t>Measuring devices</t>
  </si>
  <si>
    <t>Direct non-medical</t>
  </si>
  <si>
    <t xml:space="preserve">Discipline specific mean rates </t>
  </si>
  <si>
    <t xml:space="preserve">Type specific mean rates </t>
  </si>
  <si>
    <t xml:space="preserve">Costs of care per day </t>
  </si>
  <si>
    <t xml:space="preserve">Costs per item </t>
  </si>
  <si>
    <t>Unit</t>
  </si>
  <si>
    <t>Days</t>
  </si>
  <si>
    <t>Contacts</t>
  </si>
  <si>
    <t>Quantity</t>
  </si>
  <si>
    <t>Transportation</t>
  </si>
  <si>
    <t>Km, quantity</t>
  </si>
  <si>
    <t xml:space="preserve">EUR per km for transportation by car </t>
  </si>
  <si>
    <t>Assistance in activities of daily living</t>
  </si>
  <si>
    <t>Utilisation</t>
  </si>
  <si>
    <t>Mean</t>
  </si>
  <si>
    <t>Price per 6 months</t>
  </si>
  <si>
    <t xml:space="preserve">General practitioner: </t>
  </si>
  <si>
    <t xml:space="preserve">Mobility training: </t>
  </si>
  <si>
    <t>Direct medical costs</t>
  </si>
  <si>
    <t>Home care: Assistance in household</t>
  </si>
  <si>
    <t>Price (german)</t>
  </si>
  <si>
    <t>Home care: Assistance in personal hygiene</t>
  </si>
  <si>
    <t>Informal care: Assistance in household</t>
  </si>
  <si>
    <t>Informal care: Assistance in personal hygiene</t>
  </si>
  <si>
    <t>Informal care: Communication with public inst</t>
  </si>
  <si>
    <t>Informal care: Companionship vacations</t>
  </si>
  <si>
    <t>Indirect costs</t>
  </si>
  <si>
    <t>Hours</t>
  </si>
  <si>
    <t>Day</t>
  </si>
  <si>
    <t>Work loss days</t>
  </si>
  <si>
    <t xml:space="preserve">2021 2022 </t>
  </si>
  <si>
    <t>Inflation correction</t>
  </si>
  <si>
    <t>Purchasing power parity (PPP)</t>
  </si>
  <si>
    <t>Germany (2022)</t>
  </si>
  <si>
    <t>Netherlands (2022)</t>
  </si>
  <si>
    <t>1. Calculate prices per patient per year</t>
  </si>
  <si>
    <t>2. Inflation correction</t>
  </si>
  <si>
    <t>3 PPP corretion</t>
  </si>
  <si>
    <t>Price (Dutch)</t>
  </si>
  <si>
    <t>Price (conversed)</t>
  </si>
  <si>
    <t>Conversion ratio</t>
  </si>
  <si>
    <t>https://www.gipdatabank.nl/databank?infotype=h&amp;label=00-totaal&amp;tabel=B_01-basis&amp;geg=tk_gebr&amp;item=E</t>
  </si>
  <si>
    <t>Sources</t>
  </si>
  <si>
    <t>Chuvarayan et al</t>
  </si>
  <si>
    <t>Gipdatabank</t>
  </si>
  <si>
    <t>2012 2022</t>
  </si>
  <si>
    <t xml:space="preserve">2013 2022 </t>
  </si>
  <si>
    <t xml:space="preserve">2014 2022 </t>
  </si>
  <si>
    <t>2015 2022</t>
  </si>
  <si>
    <t xml:space="preserve">2016 2022 </t>
  </si>
  <si>
    <t xml:space="preserve">2017 2022 </t>
  </si>
  <si>
    <t xml:space="preserve">2018 2022 </t>
  </si>
  <si>
    <t xml:space="preserve">2019 2022 </t>
  </si>
  <si>
    <t xml:space="preserve">2020 2022 </t>
  </si>
  <si>
    <t xml:space="preserve">Assistance in activities of daily living </t>
  </si>
  <si>
    <t>Loss of productivity absentheeism</t>
  </si>
  <si>
    <t>Loss of productivity occupational disability</t>
  </si>
  <si>
    <t>https://www.zorginstituutnederland.nl/Verzekerde+zorg/visuele-hulpmiddelen-zvw</t>
  </si>
  <si>
    <t>Days per year</t>
  </si>
  <si>
    <t>Price (Dutch hour)</t>
  </si>
  <si>
    <t>Frictieperiod</t>
  </si>
  <si>
    <t>price_per_patient_year</t>
  </si>
  <si>
    <t>TRANSPOSED</t>
  </si>
  <si>
    <t>gp</t>
  </si>
  <si>
    <t>inpatient_services</t>
  </si>
  <si>
    <t>physician</t>
  </si>
  <si>
    <t>mobility_training</t>
  </si>
  <si>
    <t>practical_skills</t>
  </si>
  <si>
    <t>blind_aids</t>
  </si>
  <si>
    <t>communication_aids</t>
  </si>
  <si>
    <t>vision_aids</t>
  </si>
  <si>
    <t>measuring_devices</t>
  </si>
  <si>
    <t>transportation</t>
  </si>
  <si>
    <t>home_care_household</t>
  </si>
  <si>
    <t>home_care_personal</t>
  </si>
  <si>
    <t>informal_care_household</t>
  </si>
  <si>
    <t>informal_care_personal</t>
  </si>
  <si>
    <t>informal_care_communication</t>
  </si>
  <si>
    <t>informal_care_companionship</t>
  </si>
  <si>
    <t>productivity_absent</t>
  </si>
  <si>
    <t>productivity_disability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</si>
</sst>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5" formatCode="0.000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5" borderId="0" xfId="0" applyFont="1" applyFill="1" applyAlignment="1">
      <alignment horizontal="left" vertical="top"/>
    </xf>
    <xf numFmtId="44" fontId="2" fillId="5" borderId="0" xfId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44" fontId="2" fillId="4" borderId="0" xfId="1" applyFont="1" applyFill="1" applyAlignment="1">
      <alignment horizontal="left" vertical="top"/>
    </xf>
    <xf numFmtId="166" fontId="2" fillId="4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4" fontId="3" fillId="2" borderId="0" xfId="1" applyFont="1" applyFill="1" applyAlignment="1">
      <alignment horizontal="left" vertical="top"/>
    </xf>
    <xf numFmtId="166" fontId="3" fillId="2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44" fontId="3" fillId="3" borderId="0" xfId="1" applyFont="1" applyFill="1" applyAlignment="1">
      <alignment horizontal="left" vertical="top" wrapText="1"/>
    </xf>
    <xf numFmtId="166" fontId="3" fillId="3" borderId="0" xfId="0" applyNumberFormat="1" applyFont="1" applyFill="1" applyAlignment="1">
      <alignment horizontal="left" vertical="top" wrapText="1"/>
    </xf>
    <xf numFmtId="44" fontId="3" fillId="3" borderId="0" xfId="1" applyFont="1" applyFill="1" applyAlignment="1">
      <alignment horizontal="left" vertical="top"/>
    </xf>
    <xf numFmtId="166" fontId="3" fillId="3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44" fontId="4" fillId="3" borderId="0" xfId="1" applyFont="1" applyFill="1" applyAlignment="1">
      <alignment horizontal="left" vertical="top"/>
    </xf>
    <xf numFmtId="166" fontId="4" fillId="3" borderId="0" xfId="0" applyNumberFormat="1" applyFont="1" applyFill="1" applyAlignment="1">
      <alignment horizontal="left" vertical="top"/>
    </xf>
    <xf numFmtId="165" fontId="4" fillId="3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4" fontId="3" fillId="0" borderId="0" xfId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44" fontId="2" fillId="0" borderId="0" xfId="0" applyNumberFormat="1" applyFont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44" fontId="3" fillId="7" borderId="0" xfId="1" applyFont="1" applyFill="1" applyAlignment="1">
      <alignment horizontal="left" vertical="top"/>
    </xf>
    <xf numFmtId="166" fontId="3" fillId="7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horizontal="left" vertical="top"/>
    </xf>
    <xf numFmtId="44" fontId="3" fillId="6" borderId="0" xfId="1" applyFont="1" applyFill="1" applyAlignment="1">
      <alignment horizontal="left" vertical="top"/>
    </xf>
    <xf numFmtId="166" fontId="3" fillId="6" borderId="0" xfId="0" applyNumberFormat="1" applyFont="1" applyFill="1" applyAlignment="1">
      <alignment horizontal="left" vertical="top"/>
    </xf>
    <xf numFmtId="0" fontId="3" fillId="6" borderId="0" xfId="0" applyFont="1" applyFill="1"/>
    <xf numFmtId="0" fontId="2" fillId="6" borderId="0" xfId="0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6794-EE34-4D45-909F-53AA53ED897A}">
  <dimension ref="A1:AD41"/>
  <sheetViews>
    <sheetView tabSelected="1" topLeftCell="B1" workbookViewId="0">
      <selection activeCell="L2" sqref="L2:AD2"/>
    </sheetView>
  </sheetViews>
  <sheetFormatPr baseColWidth="10" defaultRowHeight="19" x14ac:dyDescent="0.2"/>
  <cols>
    <col min="1" max="1" width="44.1640625" style="24" bestFit="1" customWidth="1"/>
    <col min="2" max="2" width="49.33203125" style="24" bestFit="1" customWidth="1"/>
    <col min="3" max="3" width="28.33203125" style="24" customWidth="1"/>
    <col min="4" max="4" width="16.33203125" style="25" bestFit="1" customWidth="1"/>
    <col min="5" max="6" width="16.33203125" style="25" customWidth="1"/>
    <col min="7" max="7" width="11" style="26" customWidth="1"/>
    <col min="8" max="8" width="16.33203125" style="24" bestFit="1" customWidth="1"/>
    <col min="9" max="9" width="19.6640625" style="24" bestFit="1" customWidth="1"/>
    <col min="10" max="10" width="26.33203125" style="24" bestFit="1" customWidth="1"/>
    <col min="11" max="12" width="14.1640625" style="24" bestFit="1" customWidth="1"/>
    <col min="13" max="13" width="10.83203125" style="24"/>
    <col min="14" max="14" width="18.33203125" style="24" bestFit="1" customWidth="1"/>
    <col min="15" max="15" width="10.5" style="24" bestFit="1" customWidth="1"/>
    <col min="16" max="16" width="17.33203125" style="24" bestFit="1" customWidth="1"/>
    <col min="17" max="17" width="14.6640625" style="24" bestFit="1" customWidth="1"/>
    <col min="18" max="18" width="12.33203125" style="24" bestFit="1" customWidth="1"/>
    <col min="19" max="19" width="20.6640625" style="24" bestFit="1" customWidth="1"/>
    <col min="20" max="20" width="11.1640625" style="24" bestFit="1" customWidth="1"/>
    <col min="21" max="21" width="19.1640625" style="24" bestFit="1" customWidth="1"/>
    <col min="22" max="22" width="14.83203125" style="24" bestFit="1" customWidth="1"/>
    <col min="23" max="23" width="22.83203125" style="24" bestFit="1" customWidth="1"/>
    <col min="24" max="24" width="21.1640625" style="24" bestFit="1" customWidth="1"/>
    <col min="25" max="25" width="25.33203125" style="24" bestFit="1" customWidth="1"/>
    <col min="26" max="26" width="23.83203125" style="24" bestFit="1" customWidth="1"/>
    <col min="27" max="27" width="30.5" style="24" bestFit="1" customWidth="1"/>
    <col min="28" max="28" width="30" style="24" bestFit="1" customWidth="1"/>
    <col min="29" max="29" width="20" style="24" bestFit="1" customWidth="1"/>
    <col min="30" max="30" width="22" style="24" bestFit="1" customWidth="1"/>
    <col min="31" max="16384" width="10.83203125" style="24"/>
  </cols>
  <sheetData>
    <row r="1" spans="1:30" s="4" customFormat="1" x14ac:dyDescent="0.2">
      <c r="A1" s="1" t="s">
        <v>0</v>
      </c>
      <c r="B1" s="1" t="s">
        <v>14</v>
      </c>
      <c r="C1" s="1" t="s">
        <v>14</v>
      </c>
      <c r="D1" s="2" t="s">
        <v>29</v>
      </c>
      <c r="E1" s="2" t="s">
        <v>47</v>
      </c>
      <c r="F1" s="2" t="s">
        <v>48</v>
      </c>
      <c r="G1" s="3" t="s">
        <v>22</v>
      </c>
      <c r="H1" s="1" t="s">
        <v>23</v>
      </c>
      <c r="I1" s="1" t="s">
        <v>24</v>
      </c>
      <c r="J1" s="1" t="s">
        <v>70</v>
      </c>
      <c r="K1" s="27"/>
      <c r="L1" s="27" t="s">
        <v>71</v>
      </c>
      <c r="M1" s="24" t="s">
        <v>72</v>
      </c>
      <c r="N1" s="24" t="s">
        <v>73</v>
      </c>
      <c r="O1" s="24" t="s">
        <v>74</v>
      </c>
      <c r="P1" s="24" t="s">
        <v>75</v>
      </c>
      <c r="Q1" s="24" t="s">
        <v>76</v>
      </c>
      <c r="R1" s="24" t="s">
        <v>77</v>
      </c>
      <c r="S1" s="24" t="s">
        <v>78</v>
      </c>
      <c r="T1" s="24" t="s">
        <v>79</v>
      </c>
      <c r="U1" s="24" t="s">
        <v>80</v>
      </c>
      <c r="V1" s="24" t="s">
        <v>81</v>
      </c>
      <c r="W1" s="24" t="s">
        <v>82</v>
      </c>
      <c r="X1" s="24" t="s">
        <v>83</v>
      </c>
      <c r="Y1" s="24" t="s">
        <v>84</v>
      </c>
      <c r="Z1" s="24" t="s">
        <v>85</v>
      </c>
      <c r="AA1" s="24" t="s">
        <v>86</v>
      </c>
      <c r="AB1" s="24" t="s">
        <v>87</v>
      </c>
      <c r="AC1" s="24" t="s">
        <v>88</v>
      </c>
      <c r="AD1" s="24" t="s">
        <v>89</v>
      </c>
    </row>
    <row r="2" spans="1:30" s="5" customFormat="1" x14ac:dyDescent="0.2">
      <c r="A2" s="5" t="s">
        <v>27</v>
      </c>
      <c r="D2" s="6"/>
      <c r="E2" s="6"/>
      <c r="F2" s="6"/>
      <c r="G2" s="7"/>
      <c r="I2" s="6">
        <f>SUM(I3:I11)</f>
        <v>3115.4714549586952</v>
      </c>
      <c r="J2" s="6">
        <f>SUM(J3:J11)</f>
        <v>6230.9429099173904</v>
      </c>
      <c r="K2" s="27"/>
      <c r="L2" s="27"/>
      <c r="M2" s="29">
        <f>J3</f>
        <v>95.295690000000008</v>
      </c>
      <c r="N2" s="29">
        <f>J4</f>
        <v>579.27800000000002</v>
      </c>
      <c r="O2" s="29">
        <f>J5</f>
        <v>105.7085</v>
      </c>
      <c r="P2" s="29">
        <f>J6</f>
        <v>186.23083030198185</v>
      </c>
      <c r="Q2" s="29">
        <f>J7</f>
        <v>121.57738309458219</v>
      </c>
      <c r="R2" s="29">
        <f>J8</f>
        <v>2870.7933333333331</v>
      </c>
      <c r="S2" s="29">
        <f>J9</f>
        <v>2019.6</v>
      </c>
      <c r="T2" s="29">
        <f>J10</f>
        <v>167.19332373294768</v>
      </c>
      <c r="U2" s="29">
        <f>J11</f>
        <v>85.265849454545446</v>
      </c>
      <c r="V2" s="29">
        <f>J13</f>
        <v>15.66</v>
      </c>
      <c r="W2" s="29">
        <f>J14</f>
        <v>14.195999999999998</v>
      </c>
      <c r="X2" s="29">
        <f>J15</f>
        <v>2.879</v>
      </c>
      <c r="Y2" s="29">
        <f>J16</f>
        <v>847.32853333333333</v>
      </c>
      <c r="Z2" s="29">
        <f>J17</f>
        <v>141.43866666666668</v>
      </c>
      <c r="AA2" s="29">
        <f>J18</f>
        <v>784.93133333333333</v>
      </c>
      <c r="AB2" s="29">
        <f>J19</f>
        <v>159.58693333333335</v>
      </c>
      <c r="AC2" s="29">
        <f>J22</f>
        <v>10062.020867460158</v>
      </c>
      <c r="AD2" s="29">
        <f>J23</f>
        <v>17736.455017147469</v>
      </c>
    </row>
    <row r="3" spans="1:30" s="8" customFormat="1" ht="20" x14ac:dyDescent="0.2">
      <c r="A3" s="8" t="s">
        <v>25</v>
      </c>
      <c r="B3" s="9" t="s">
        <v>16</v>
      </c>
      <c r="C3" s="8" t="s">
        <v>10</v>
      </c>
      <c r="D3" s="10">
        <v>22.41</v>
      </c>
      <c r="E3" s="10">
        <v>30.87</v>
      </c>
      <c r="F3" s="10">
        <f>E3</f>
        <v>30.87</v>
      </c>
      <c r="G3" s="11">
        <f>54/120</f>
        <v>0.45</v>
      </c>
      <c r="H3" s="8">
        <v>3.43</v>
      </c>
      <c r="I3" s="10">
        <f>F3*G3*H3</f>
        <v>47.647845000000004</v>
      </c>
      <c r="J3" s="10">
        <f t="shared" ref="J3:J4" si="0">I3*2</f>
        <v>95.295690000000008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1:30" s="13" customFormat="1" ht="20" x14ac:dyDescent="0.2">
      <c r="A4" s="12" t="s">
        <v>3</v>
      </c>
      <c r="B4" s="12" t="s">
        <v>15</v>
      </c>
      <c r="C4" s="13" t="s">
        <v>12</v>
      </c>
      <c r="D4" s="14">
        <v>697.15</v>
      </c>
      <c r="E4" s="14">
        <v>644</v>
      </c>
      <c r="F4" s="14">
        <f>E4</f>
        <v>644</v>
      </c>
      <c r="G4" s="15">
        <f>7/120</f>
        <v>5.8333333333333334E-2</v>
      </c>
      <c r="H4" s="13">
        <v>7.71</v>
      </c>
      <c r="I4" s="16">
        <f>F4*G4*H4</f>
        <v>289.63900000000001</v>
      </c>
      <c r="J4" s="16">
        <f t="shared" si="0"/>
        <v>579.27800000000002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 spans="1:30" s="8" customFormat="1" x14ac:dyDescent="0.2">
      <c r="A5" s="8" t="s">
        <v>2</v>
      </c>
      <c r="B5" s="8" t="s">
        <v>16</v>
      </c>
      <c r="C5" s="8" t="s">
        <v>11</v>
      </c>
      <c r="D5" s="10">
        <v>41.56</v>
      </c>
      <c r="E5" s="10">
        <v>39.89</v>
      </c>
      <c r="F5" s="10">
        <f>E5</f>
        <v>39.89</v>
      </c>
      <c r="G5" s="11">
        <f>15/120</f>
        <v>0.125</v>
      </c>
      <c r="H5" s="8">
        <v>10.6</v>
      </c>
      <c r="I5" s="10">
        <f t="shared" ref="I5:I7" si="1">F5*G5*H5</f>
        <v>52.85425</v>
      </c>
      <c r="J5" s="10">
        <f>I5*2</f>
        <v>105.7085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 s="8" customFormat="1" x14ac:dyDescent="0.2">
      <c r="A6" s="8" t="s">
        <v>26</v>
      </c>
      <c r="B6" s="8" t="s">
        <v>16</v>
      </c>
      <c r="C6" s="8" t="s">
        <v>11</v>
      </c>
      <c r="D6" s="10">
        <v>139.9</v>
      </c>
      <c r="E6" s="10"/>
      <c r="F6" s="10">
        <f>D6*B36*H34</f>
        <v>161.95140027548211</v>
      </c>
      <c r="G6" s="11">
        <v>9.1700000000000004E-2</v>
      </c>
      <c r="H6" s="8">
        <v>6.27</v>
      </c>
      <c r="I6" s="10">
        <f t="shared" si="1"/>
        <v>93.115415150990927</v>
      </c>
      <c r="J6" s="10">
        <f>I6*2</f>
        <v>186.23083030198185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30" s="8" customFormat="1" x14ac:dyDescent="0.2">
      <c r="A7" s="8" t="s">
        <v>4</v>
      </c>
      <c r="B7" s="8" t="s">
        <v>16</v>
      </c>
      <c r="C7" s="8" t="s">
        <v>11</v>
      </c>
      <c r="D7" s="10">
        <v>70</v>
      </c>
      <c r="E7" s="10"/>
      <c r="F7" s="10">
        <f>D7*B36*H34</f>
        <v>81.033581267217642</v>
      </c>
      <c r="G7" s="11">
        <f>7/120</f>
        <v>5.8333333333333334E-2</v>
      </c>
      <c r="H7" s="8">
        <v>12.86</v>
      </c>
      <c r="I7" s="10">
        <f t="shared" si="1"/>
        <v>60.788691547291094</v>
      </c>
      <c r="J7" s="10">
        <f t="shared" ref="J7:J11" si="2">I7*2</f>
        <v>121.57738309458219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0" s="13" customFormat="1" x14ac:dyDescent="0.2">
      <c r="A8" s="13" t="s">
        <v>5</v>
      </c>
      <c r="B8" s="13" t="s">
        <v>17</v>
      </c>
      <c r="C8" s="13" t="s">
        <v>13</v>
      </c>
      <c r="D8" s="16">
        <v>1510.8</v>
      </c>
      <c r="E8" s="16">
        <v>2270</v>
      </c>
      <c r="F8" s="16">
        <f>E8</f>
        <v>2270</v>
      </c>
      <c r="G8" s="17">
        <f>28/120</f>
        <v>0.23333333333333334</v>
      </c>
      <c r="H8" s="13">
        <v>2.71</v>
      </c>
      <c r="I8" s="16">
        <f t="shared" ref="I8:I11" si="3">F8*G8*H8</f>
        <v>1435.3966666666665</v>
      </c>
      <c r="J8" s="16">
        <f t="shared" si="2"/>
        <v>2870.7933333333331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30" s="13" customFormat="1" x14ac:dyDescent="0.2">
      <c r="A9" s="13" t="s">
        <v>6</v>
      </c>
      <c r="B9" s="13" t="s">
        <v>17</v>
      </c>
      <c r="C9" s="13" t="s">
        <v>13</v>
      </c>
      <c r="D9" s="16">
        <v>1732.33</v>
      </c>
      <c r="E9" s="16">
        <v>1530</v>
      </c>
      <c r="F9" s="16">
        <f>E9</f>
        <v>1530</v>
      </c>
      <c r="G9" s="17">
        <f>45/120</f>
        <v>0.375</v>
      </c>
      <c r="H9" s="13">
        <v>1.76</v>
      </c>
      <c r="I9" s="16">
        <f t="shared" si="3"/>
        <v>1009.8</v>
      </c>
      <c r="J9" s="16">
        <f t="shared" si="2"/>
        <v>2019.6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 spans="1:30" s="13" customFormat="1" x14ac:dyDescent="0.2">
      <c r="A10" s="13" t="s">
        <v>7</v>
      </c>
      <c r="B10" s="13" t="s">
        <v>17</v>
      </c>
      <c r="C10" s="13" t="s">
        <v>13</v>
      </c>
      <c r="D10" s="16">
        <v>82.68</v>
      </c>
      <c r="E10" s="16"/>
      <c r="F10" s="16">
        <f>D10*B36*H34</f>
        <v>95.712235702479347</v>
      </c>
      <c r="G10" s="17">
        <f>47/120</f>
        <v>0.39166666666666666</v>
      </c>
      <c r="H10" s="13">
        <v>2.23</v>
      </c>
      <c r="I10" s="16">
        <f t="shared" si="3"/>
        <v>83.596661866473838</v>
      </c>
      <c r="J10" s="16">
        <f t="shared" si="2"/>
        <v>167.19332373294768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 spans="1:30" s="13" customFormat="1" x14ac:dyDescent="0.2">
      <c r="A11" s="13" t="s">
        <v>8</v>
      </c>
      <c r="B11" s="13" t="s">
        <v>17</v>
      </c>
      <c r="C11" s="13" t="s">
        <v>13</v>
      </c>
      <c r="D11" s="16">
        <v>276.20999999999998</v>
      </c>
      <c r="E11" s="16"/>
      <c r="F11" s="16">
        <f>D11*B36*H34</f>
        <v>319.74693545454545</v>
      </c>
      <c r="G11" s="17">
        <f>4/120</f>
        <v>3.3333333333333333E-2</v>
      </c>
      <c r="H11" s="13">
        <v>4</v>
      </c>
      <c r="I11" s="16">
        <f t="shared" si="3"/>
        <v>42.632924727272723</v>
      </c>
      <c r="J11" s="16">
        <f t="shared" si="2"/>
        <v>85.265849454545446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s="5" customFormat="1" x14ac:dyDescent="0.2">
      <c r="A12" s="5" t="s">
        <v>9</v>
      </c>
      <c r="D12" s="6"/>
      <c r="E12" s="6"/>
      <c r="F12" s="6"/>
      <c r="G12" s="7"/>
      <c r="I12" s="6"/>
      <c r="J12" s="6">
        <f>SUM(J13:J19)</f>
        <v>1966.0204666666666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s="8" customFormat="1" x14ac:dyDescent="0.2">
      <c r="A13" s="8" t="s">
        <v>18</v>
      </c>
      <c r="B13" s="8" t="s">
        <v>19</v>
      </c>
      <c r="C13" s="8" t="s">
        <v>20</v>
      </c>
      <c r="D13" s="10">
        <v>15.66</v>
      </c>
      <c r="E13" s="10"/>
      <c r="F13" s="10"/>
      <c r="G13" s="18"/>
      <c r="I13" s="10">
        <f>F13*G13*H13</f>
        <v>0</v>
      </c>
      <c r="J13" s="10">
        <v>15.66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s="13" customFormat="1" ht="20" x14ac:dyDescent="0.2">
      <c r="A14" s="13" t="s">
        <v>28</v>
      </c>
      <c r="B14" s="12" t="s">
        <v>63</v>
      </c>
      <c r="C14" s="13" t="s">
        <v>15</v>
      </c>
      <c r="D14" s="16">
        <v>15.34</v>
      </c>
      <c r="E14" s="16">
        <v>32.76</v>
      </c>
      <c r="F14" s="16">
        <f t="shared" ref="F14:F19" si="4">E14</f>
        <v>32.76</v>
      </c>
      <c r="G14" s="17">
        <f>2/120</f>
        <v>1.6666666666666666E-2</v>
      </c>
      <c r="H14" s="13">
        <v>13</v>
      </c>
      <c r="I14" s="16">
        <f t="shared" ref="I14:I15" si="5">F14*G14*H14</f>
        <v>7.097999999999999</v>
      </c>
      <c r="J14" s="16">
        <f t="shared" ref="J14:J19" si="6">I14*2</f>
        <v>14.195999999999998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 spans="1:30" s="13" customFormat="1" x14ac:dyDescent="0.25">
      <c r="A15" s="13" t="s">
        <v>30</v>
      </c>
      <c r="B15" s="19" t="s">
        <v>63</v>
      </c>
      <c r="C15" s="13" t="s">
        <v>15</v>
      </c>
      <c r="D15" s="16">
        <v>37.51</v>
      </c>
      <c r="E15" s="16">
        <v>57.58</v>
      </c>
      <c r="F15" s="16">
        <f t="shared" si="4"/>
        <v>57.58</v>
      </c>
      <c r="G15" s="17">
        <f>2/120</f>
        <v>1.6666666666666666E-2</v>
      </c>
      <c r="H15" s="13">
        <v>1.5</v>
      </c>
      <c r="I15" s="16">
        <f t="shared" si="5"/>
        <v>1.4395</v>
      </c>
      <c r="J15" s="16">
        <f t="shared" si="6"/>
        <v>2.879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s="8" customFormat="1" x14ac:dyDescent="0.2">
      <c r="A16" s="8" t="s">
        <v>31</v>
      </c>
      <c r="B16" s="8" t="s">
        <v>21</v>
      </c>
      <c r="C16" s="8" t="s">
        <v>36</v>
      </c>
      <c r="D16" s="10">
        <v>12.29</v>
      </c>
      <c r="E16" s="10">
        <v>18.8</v>
      </c>
      <c r="F16" s="10">
        <f t="shared" si="4"/>
        <v>18.8</v>
      </c>
      <c r="G16" s="11">
        <f>44/120</f>
        <v>0.36666666666666664</v>
      </c>
      <c r="H16" s="8">
        <v>61.46</v>
      </c>
      <c r="I16" s="10">
        <f t="shared" ref="I16:I19" si="7">F16*G16*H16</f>
        <v>423.66426666666666</v>
      </c>
      <c r="J16" s="10">
        <f t="shared" si="6"/>
        <v>847.32853333333333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 spans="1:30" s="8" customFormat="1" x14ac:dyDescent="0.2">
      <c r="A17" s="8" t="s">
        <v>32</v>
      </c>
      <c r="B17" s="8" t="s">
        <v>21</v>
      </c>
      <c r="C17" s="8" t="s">
        <v>36</v>
      </c>
      <c r="D17" s="10">
        <v>12.29</v>
      </c>
      <c r="E17" s="10">
        <v>18.8</v>
      </c>
      <c r="F17" s="10">
        <f t="shared" si="4"/>
        <v>18.8</v>
      </c>
      <c r="G17" s="11">
        <f>10/120</f>
        <v>8.3333333333333329E-2</v>
      </c>
      <c r="H17" s="8">
        <v>45.14</v>
      </c>
      <c r="I17" s="10">
        <f t="shared" si="7"/>
        <v>70.719333333333338</v>
      </c>
      <c r="J17" s="10">
        <f t="shared" si="6"/>
        <v>141.43866666666668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s="8" customFormat="1" x14ac:dyDescent="0.2">
      <c r="A18" s="8" t="s">
        <v>33</v>
      </c>
      <c r="B18" s="8" t="s">
        <v>21</v>
      </c>
      <c r="C18" s="8" t="s">
        <v>36</v>
      </c>
      <c r="D18" s="10">
        <v>12.29</v>
      </c>
      <c r="E18" s="10">
        <v>18.8</v>
      </c>
      <c r="F18" s="10">
        <f t="shared" si="4"/>
        <v>18.8</v>
      </c>
      <c r="G18" s="11">
        <f>47/120</f>
        <v>0.39166666666666666</v>
      </c>
      <c r="H18" s="8">
        <v>53.3</v>
      </c>
      <c r="I18" s="10">
        <f t="shared" si="7"/>
        <v>392.46566666666666</v>
      </c>
      <c r="J18" s="10">
        <f t="shared" si="6"/>
        <v>784.93133333333333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 spans="1:30" s="8" customFormat="1" x14ac:dyDescent="0.2">
      <c r="A19" s="8" t="s">
        <v>34</v>
      </c>
      <c r="B19" s="8" t="s">
        <v>21</v>
      </c>
      <c r="C19" s="8" t="s">
        <v>36</v>
      </c>
      <c r="D19" s="10">
        <v>12.29</v>
      </c>
      <c r="E19" s="10">
        <v>18.8</v>
      </c>
      <c r="F19" s="10">
        <f t="shared" si="4"/>
        <v>18.8</v>
      </c>
      <c r="G19" s="11">
        <f>34/120</f>
        <v>0.28333333333333333</v>
      </c>
      <c r="H19" s="8">
        <v>14.98</v>
      </c>
      <c r="I19" s="10">
        <f t="shared" si="7"/>
        <v>79.793466666666674</v>
      </c>
      <c r="J19" s="10">
        <f t="shared" si="6"/>
        <v>159.58693333333335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 spans="1:30" s="4" customFormat="1" x14ac:dyDescent="0.2">
      <c r="A20" s="1" t="s">
        <v>0</v>
      </c>
      <c r="B20" s="1" t="s">
        <v>14</v>
      </c>
      <c r="C20" s="1" t="s">
        <v>14</v>
      </c>
      <c r="D20" s="2" t="s">
        <v>29</v>
      </c>
      <c r="E20" s="2" t="s">
        <v>68</v>
      </c>
      <c r="F20" s="1" t="s">
        <v>67</v>
      </c>
      <c r="G20" s="3" t="s">
        <v>69</v>
      </c>
      <c r="H20" s="1"/>
      <c r="I20" s="1" t="s">
        <v>24</v>
      </c>
      <c r="J20" s="1" t="s">
        <v>1</v>
      </c>
      <c r="K20" s="27"/>
      <c r="L20" s="27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s="5" customFormat="1" x14ac:dyDescent="0.2">
      <c r="A21" s="5" t="s">
        <v>35</v>
      </c>
      <c r="D21" s="6"/>
      <c r="E21" s="6"/>
      <c r="G21" s="7"/>
      <c r="I21" s="6"/>
      <c r="J21" s="6">
        <f>SUM(J22:J23)</f>
        <v>27798.475884607629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0" s="20" customFormat="1" x14ac:dyDescent="0.2">
      <c r="A22" s="20" t="s">
        <v>64</v>
      </c>
      <c r="B22" s="20" t="s">
        <v>38</v>
      </c>
      <c r="C22" s="20" t="s">
        <v>37</v>
      </c>
      <c r="D22" s="21">
        <v>99.14</v>
      </c>
      <c r="E22" s="21">
        <v>39.880000000000003</v>
      </c>
      <c r="F22" s="23">
        <f>3126.72/D22</f>
        <v>31.538430502319951</v>
      </c>
      <c r="G22" s="22"/>
      <c r="H22" s="23"/>
      <c r="I22" s="21"/>
      <c r="J22" s="21">
        <f>F22*8*E22</f>
        <v>10062.020867460158</v>
      </c>
    </row>
    <row r="23" spans="1:30" s="20" customFormat="1" x14ac:dyDescent="0.2">
      <c r="A23" s="20" t="s">
        <v>65</v>
      </c>
      <c r="B23" s="20" t="s">
        <v>38</v>
      </c>
      <c r="C23" s="20" t="s">
        <v>37</v>
      </c>
      <c r="D23" s="21">
        <v>99.14</v>
      </c>
      <c r="E23" s="21">
        <v>39.880000000000003</v>
      </c>
      <c r="F23" s="23">
        <f>5511.51/D23</f>
        <v>55.593201533185393</v>
      </c>
      <c r="G23" s="22">
        <v>115</v>
      </c>
      <c r="H23" s="23"/>
      <c r="I23" s="21"/>
      <c r="J23" s="21">
        <f>F23*8*E23</f>
        <v>17736.455017147469</v>
      </c>
    </row>
    <row r="24" spans="1:30" x14ac:dyDescent="0.2">
      <c r="H24" s="27"/>
    </row>
    <row r="26" spans="1:30" ht="25" customHeight="1" x14ac:dyDescent="0.25">
      <c r="A26" s="28" t="s">
        <v>44</v>
      </c>
      <c r="D26" s="39"/>
      <c r="J26" s="29"/>
    </row>
    <row r="27" spans="1:30" ht="20" x14ac:dyDescent="0.25">
      <c r="A27" s="28" t="s">
        <v>45</v>
      </c>
    </row>
    <row r="28" spans="1:30" ht="20" x14ac:dyDescent="0.25">
      <c r="A28" s="28" t="s">
        <v>46</v>
      </c>
    </row>
    <row r="31" spans="1:30" x14ac:dyDescent="0.2">
      <c r="A31" s="30" t="s">
        <v>40</v>
      </c>
      <c r="B31" s="30"/>
      <c r="D31" s="31" t="s">
        <v>41</v>
      </c>
      <c r="E31" s="31"/>
      <c r="F31" s="31"/>
      <c r="G31" s="32"/>
      <c r="H31" s="30"/>
    </row>
    <row r="32" spans="1:30" ht="22" customHeight="1" x14ac:dyDescent="0.25">
      <c r="A32" s="33" t="s">
        <v>54</v>
      </c>
      <c r="B32" s="34">
        <v>1.2649999999999999</v>
      </c>
      <c r="D32" s="35" t="s">
        <v>42</v>
      </c>
      <c r="E32" s="35"/>
      <c r="F32" s="35"/>
      <c r="G32" s="36"/>
      <c r="H32" s="36">
        <v>0.69399999999999995</v>
      </c>
    </row>
    <row r="33" spans="1:8" x14ac:dyDescent="0.25">
      <c r="A33" s="37" t="s">
        <v>55</v>
      </c>
      <c r="B33" s="34">
        <v>1.234</v>
      </c>
      <c r="D33" s="35" t="s">
        <v>43</v>
      </c>
      <c r="E33" s="35"/>
      <c r="F33" s="35"/>
      <c r="G33" s="36"/>
      <c r="H33" s="34">
        <v>0.72599999999999998</v>
      </c>
    </row>
    <row r="34" spans="1:8" x14ac:dyDescent="0.2">
      <c r="A34" s="34" t="s">
        <v>56</v>
      </c>
      <c r="B34" s="34">
        <v>1.222</v>
      </c>
      <c r="D34" s="34" t="s">
        <v>49</v>
      </c>
      <c r="E34" s="35"/>
      <c r="F34" s="35"/>
      <c r="G34" s="36"/>
      <c r="H34" s="34">
        <f>H32/H33</f>
        <v>0.9559228650137741</v>
      </c>
    </row>
    <row r="35" spans="1:8" x14ac:dyDescent="0.2">
      <c r="A35" s="34" t="s">
        <v>57</v>
      </c>
      <c r="B35" s="34">
        <v>1.214</v>
      </c>
    </row>
    <row r="36" spans="1:8" x14ac:dyDescent="0.2">
      <c r="A36" s="34" t="s">
        <v>58</v>
      </c>
      <c r="B36" s="38">
        <v>1.2110000000000001</v>
      </c>
    </row>
    <row r="37" spans="1:8" x14ac:dyDescent="0.2">
      <c r="A37" s="34" t="s">
        <v>59</v>
      </c>
      <c r="B37" s="34">
        <v>1.194</v>
      </c>
      <c r="D37" s="25" t="s">
        <v>51</v>
      </c>
    </row>
    <row r="38" spans="1:8" x14ac:dyDescent="0.2">
      <c r="A38" s="34" t="s">
        <v>60</v>
      </c>
      <c r="B38" s="34">
        <v>1.1739999999999999</v>
      </c>
      <c r="D38" s="25" t="s">
        <v>52</v>
      </c>
    </row>
    <row r="39" spans="1:8" x14ac:dyDescent="0.2">
      <c r="A39" s="34" t="s">
        <v>61</v>
      </c>
      <c r="B39" s="34">
        <v>1.1439999999999999</v>
      </c>
      <c r="D39" s="25" t="s">
        <v>53</v>
      </c>
      <c r="E39" s="25" t="s">
        <v>50</v>
      </c>
    </row>
    <row r="40" spans="1:8" x14ac:dyDescent="0.2">
      <c r="A40" s="34" t="s">
        <v>62</v>
      </c>
      <c r="B40" s="34">
        <v>1.1299999999999999</v>
      </c>
      <c r="E40" s="25" t="s">
        <v>66</v>
      </c>
    </row>
    <row r="41" spans="1:8" x14ac:dyDescent="0.2">
      <c r="A41" s="34" t="s">
        <v>39</v>
      </c>
      <c r="B41" s="34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Bart-Jan Boverhof</dc:creator>
  <cp:lastModifiedBy>Bart-Jan Boverhof</cp:lastModifiedBy>
  <dcterms:created xsi:type="dcterms:W3CDTF">2024-02-13T13:23:41Z</dcterms:created>
  <dcterms:modified xsi:type="dcterms:W3CDTF">2024-02-16T14:22:02Z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2024-02-13T17:37:45Z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cbd7e259-8b5b-45b6-8630-c676bc1830bd</vt:lpwstr>
  </property>
  <property fmtid="{D5CDD505-2E9C-101B-9397-08002B2CF9AE}" pid="8" name="MSIP_Label_8772ba27-cab8-4042-a351-a31f6e4eacdc_ContentBits">
    <vt:lpwstr>0</vt:lpwstr>
  </property>
</Properties>
</file>