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ka\Desktop\Uczelnia magister\II semestr\Wycena przedsiębiorstw\"/>
    </mc:Choice>
  </mc:AlternateContent>
  <xr:revisionPtr revIDLastSave="0" documentId="13_ncr:1_{DFA4EAC7-7B99-41E6-B89B-CF5927373C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ktor" sheetId="2" r:id="rId1"/>
    <sheet name="Arkusz1" sheetId="1" r:id="rId2"/>
    <sheet name="wycena" sheetId="4" r:id="rId3"/>
    <sheet name="wartośc rezydualna" sheetId="14" r:id="rId4"/>
    <sheet name="g" sheetId="15" r:id="rId5"/>
    <sheet name="IC" sheetId="12" r:id="rId6"/>
    <sheet name="beta WACC itd" sheetId="16" r:id="rId7"/>
    <sheet name="Arkusz3" sheetId="18" r:id="rId8"/>
  </sheets>
  <definedNames>
    <definedName name="_xlnm._FilterDatabase" localSheetId="6" hidden="1">'beta WACC itd'!$H$1:$J$61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7" i="18" l="1"/>
  <c r="K25" i="18"/>
  <c r="K21" i="18"/>
  <c r="G17" i="18" a="1"/>
  <c r="H17" i="18" s="1"/>
  <c r="D17" i="18"/>
  <c r="E17" i="18"/>
  <c r="F17" i="18"/>
  <c r="C17" i="18"/>
  <c r="G15" i="18" a="1"/>
  <c r="G15" i="18" s="1"/>
  <c r="D15" i="18"/>
  <c r="E15" i="18"/>
  <c r="F15" i="18"/>
  <c r="C15" i="18"/>
  <c r="H88" i="18"/>
  <c r="T80" i="18"/>
  <c r="Q69" i="18"/>
  <c r="AD63" i="18" a="1"/>
  <c r="AD63" i="18" s="1"/>
  <c r="AC63" i="18"/>
  <c r="AC74" i="18" a="1"/>
  <c r="AC74" i="18" s="1"/>
  <c r="T63" i="18"/>
  <c r="U63" i="18"/>
  <c r="V63" i="18"/>
  <c r="W63" i="18"/>
  <c r="X63" i="18"/>
  <c r="Y63" i="18"/>
  <c r="Z63" i="18"/>
  <c r="AA63" i="18"/>
  <c r="AB63" i="18"/>
  <c r="S63" i="18"/>
  <c r="O51" i="18" a="1"/>
  <c r="O51" i="18" s="1"/>
  <c r="O50" i="18" a="1"/>
  <c r="O50" i="18" s="1"/>
  <c r="O52" i="18" a="1"/>
  <c r="O52" i="18" s="1"/>
  <c r="O53" i="18" a="1"/>
  <c r="O53" i="18" s="1"/>
  <c r="O49" i="18" a="1"/>
  <c r="O49" i="18" s="1"/>
  <c r="O54" i="18" a="1"/>
  <c r="O54" i="18" s="1"/>
  <c r="O55" i="18" a="1"/>
  <c r="O55" i="18" s="1"/>
  <c r="G17" i="18" l="1"/>
  <c r="K17" i="18"/>
  <c r="J17" i="18"/>
  <c r="I17" i="18"/>
  <c r="J15" i="18"/>
  <c r="K15" i="18"/>
  <c r="I15" i="18"/>
  <c r="H15" i="18"/>
  <c r="AE63" i="18"/>
  <c r="AH63" i="18"/>
  <c r="AG63" i="18"/>
  <c r="AF63" i="18"/>
  <c r="AF74" i="18"/>
  <c r="AD74" i="18"/>
  <c r="AH74" i="18"/>
  <c r="AG74" i="18"/>
  <c r="AE74" i="18"/>
  <c r="S51" i="18"/>
  <c r="R51" i="18"/>
  <c r="Q51" i="18"/>
  <c r="P51" i="18"/>
  <c r="Q50" i="18"/>
  <c r="S50" i="18"/>
  <c r="R50" i="18"/>
  <c r="P50" i="18"/>
  <c r="S52" i="18"/>
  <c r="R52" i="18"/>
  <c r="Q52" i="18"/>
  <c r="P52" i="18"/>
  <c r="S53" i="18"/>
  <c r="R53" i="18"/>
  <c r="Q53" i="18"/>
  <c r="P53" i="18"/>
  <c r="S49" i="18"/>
  <c r="R49" i="18"/>
  <c r="Q49" i="18"/>
  <c r="P49" i="18"/>
  <c r="P54" i="18"/>
  <c r="S54" i="18"/>
  <c r="R54" i="18"/>
  <c r="Q54" i="18"/>
  <c r="Q55" i="18"/>
  <c r="R55" i="18"/>
  <c r="P55" i="18"/>
  <c r="S55" i="18"/>
  <c r="J31" i="18" l="1"/>
  <c r="K31" i="18"/>
  <c r="I31" i="18"/>
  <c r="K29" i="18"/>
  <c r="J29" i="18"/>
  <c r="I29" i="18"/>
  <c r="D34" i="18" l="1"/>
  <c r="E34" i="18"/>
  <c r="F34" i="18"/>
  <c r="C34" i="18"/>
  <c r="D31" i="18"/>
  <c r="E31" i="18"/>
  <c r="F31" i="18"/>
  <c r="C31" i="18"/>
  <c r="D20" i="18"/>
  <c r="E20" i="18"/>
  <c r="F20" i="18"/>
  <c r="C20" i="18"/>
  <c r="D19" i="18"/>
  <c r="E19" i="18"/>
  <c r="F19" i="18"/>
  <c r="C19" i="18"/>
  <c r="T9" i="18"/>
  <c r="U9" i="18"/>
  <c r="V9" i="18"/>
  <c r="S9" i="18"/>
  <c r="D24" i="18"/>
  <c r="E24" i="18"/>
  <c r="F24" i="18"/>
  <c r="C24" i="18"/>
  <c r="H12" i="14"/>
  <c r="H14" i="14"/>
  <c r="H16" i="14" s="1"/>
  <c r="H15" i="14"/>
  <c r="R28" i="4"/>
  <c r="H10" i="14"/>
  <c r="E10" i="14"/>
  <c r="F10" i="14"/>
  <c r="G10" i="14"/>
  <c r="D10" i="14"/>
  <c r="D9" i="14"/>
  <c r="E9" i="14"/>
  <c r="F9" i="14" s="1"/>
  <c r="G9" i="14" s="1"/>
  <c r="H9" i="14" s="1"/>
  <c r="C9" i="14"/>
  <c r="B9" i="14"/>
  <c r="J73" i="16"/>
  <c r="J72" i="16"/>
  <c r="J71" i="16"/>
  <c r="N22" i="4"/>
  <c r="M19" i="4"/>
  <c r="M18" i="4"/>
  <c r="J70" i="16"/>
  <c r="J69" i="16"/>
  <c r="J64" i="16"/>
  <c r="J63" i="16"/>
  <c r="J65" i="16" s="1"/>
  <c r="J66" i="16"/>
  <c r="S30" i="4" l="1"/>
  <c r="S32" i="4" s="1"/>
  <c r="S29" i="4"/>
  <c r="R29" i="4"/>
  <c r="Q29" i="4"/>
  <c r="P29" i="4"/>
  <c r="O29" i="4"/>
  <c r="N29" i="4"/>
  <c r="R26" i="4"/>
  <c r="Q26" i="4"/>
  <c r="P26" i="4"/>
  <c r="O26" i="4"/>
  <c r="N26" i="4"/>
  <c r="G8" i="14"/>
  <c r="G7" i="14"/>
  <c r="H7" i="14" s="1"/>
  <c r="F7" i="14"/>
  <c r="D7" i="14"/>
  <c r="E7" i="14"/>
  <c r="D8" i="14"/>
  <c r="B24" i="4"/>
  <c r="L14" i="4"/>
  <c r="L27" i="4" s="1"/>
  <c r="E14" i="4"/>
  <c r="E27" i="4"/>
  <c r="B27" i="4"/>
  <c r="F8" i="14"/>
  <c r="E8" i="14"/>
  <c r="G6" i="15" l="1"/>
  <c r="G4" i="15"/>
  <c r="C4" i="15"/>
  <c r="D4" i="15"/>
  <c r="E4" i="15"/>
  <c r="F4" i="15"/>
  <c r="H4" i="15"/>
  <c r="I4" i="15"/>
  <c r="J4" i="15"/>
  <c r="K4" i="15"/>
  <c r="L4" i="15"/>
  <c r="B4" i="15"/>
  <c r="M25" i="4"/>
  <c r="D14" i="4" l="1"/>
  <c r="D27" i="4" s="1"/>
  <c r="C14" i="4"/>
  <c r="C27" i="4" s="1"/>
  <c r="G25" i="4"/>
  <c r="K25" i="4"/>
  <c r="L25" i="4"/>
  <c r="J16" i="4"/>
  <c r="J25" i="4" s="1"/>
  <c r="I16" i="4"/>
  <c r="I25" i="4" s="1"/>
  <c r="H16" i="4"/>
  <c r="H25" i="4" s="1"/>
  <c r="F16" i="4"/>
  <c r="F25" i="4" s="1"/>
  <c r="E16" i="4"/>
  <c r="E25" i="4" s="1"/>
  <c r="D16" i="4"/>
  <c r="D25" i="4" s="1"/>
  <c r="C16" i="4"/>
  <c r="C25" i="4" s="1"/>
  <c r="B16" i="4"/>
  <c r="B25" i="4" s="1"/>
  <c r="B3" i="12"/>
  <c r="C3" i="12"/>
  <c r="D3" i="12"/>
  <c r="E3" i="12"/>
  <c r="F3" i="12"/>
  <c r="H3" i="12"/>
  <c r="I3" i="12"/>
  <c r="J3" i="12"/>
  <c r="M27" i="4" l="1"/>
  <c r="E70" i="4"/>
  <c r="F70" i="4"/>
  <c r="G70" i="4"/>
  <c r="H70" i="4"/>
  <c r="D70" i="4"/>
  <c r="D71" i="4" s="1"/>
  <c r="D72" i="4" s="1"/>
  <c r="O16" i="4" l="1"/>
  <c r="J18" i="4"/>
  <c r="I18" i="4"/>
  <c r="J19" i="4"/>
  <c r="K19" i="4"/>
  <c r="L19" i="4"/>
  <c r="F14" i="4"/>
  <c r="F27" i="4" s="1"/>
  <c r="G14" i="4"/>
  <c r="G27" i="4" s="1"/>
  <c r="H14" i="4"/>
  <c r="H27" i="4" s="1"/>
  <c r="I14" i="4"/>
  <c r="I27" i="4" s="1"/>
  <c r="J14" i="4"/>
  <c r="J27" i="4" s="1"/>
  <c r="K14" i="4"/>
  <c r="K27" i="4" s="1"/>
  <c r="L18" i="4" l="1"/>
  <c r="I19" i="4"/>
  <c r="K18" i="4"/>
  <c r="B9" i="4" l="1"/>
  <c r="C9" i="4"/>
  <c r="C10" i="4" s="1"/>
  <c r="D9" i="4"/>
  <c r="D10" i="4" s="1"/>
  <c r="E9" i="4"/>
  <c r="E10" i="4" s="1"/>
  <c r="G9" i="4"/>
  <c r="G10" i="4" s="1"/>
  <c r="F9" i="4"/>
  <c r="F10" i="4" s="1"/>
  <c r="M10" i="4" l="1"/>
  <c r="L10" i="4"/>
  <c r="K10" i="4"/>
  <c r="J10" i="4"/>
  <c r="I10" i="4"/>
  <c r="AI112" i="1" l="1"/>
  <c r="AI111" i="1"/>
  <c r="AJ111" i="1"/>
  <c r="AK111" i="1"/>
  <c r="AL111" i="1"/>
  <c r="U70" i="1" l="1"/>
  <c r="G44" i="2"/>
  <c r="L54" i="2"/>
  <c r="M54" i="2"/>
  <c r="N54" i="2"/>
  <c r="K54" i="2"/>
  <c r="AC112" i="1"/>
  <c r="S84" i="1" s="1"/>
  <c r="AI118" i="1" l="1"/>
  <c r="AE126" i="1"/>
  <c r="AC118" i="1"/>
  <c r="AD118" i="1"/>
  <c r="AE118" i="1"/>
  <c r="AC119" i="1"/>
  <c r="AD119" i="1"/>
  <c r="AE119" i="1"/>
  <c r="AC120" i="1"/>
  <c r="AD120" i="1"/>
  <c r="AE120" i="1"/>
  <c r="AB120" i="1"/>
  <c r="AB119" i="1"/>
  <c r="AB118" i="1"/>
  <c r="AI99" i="1"/>
  <c r="AC98" i="1"/>
  <c r="AC97" i="1"/>
  <c r="AI113" i="1"/>
  <c r="AI107" i="1"/>
  <c r="AI114" i="1" s="1"/>
  <c r="AI117" i="1"/>
  <c r="AI116" i="1"/>
  <c r="V85" i="1" l="1"/>
  <c r="U85" i="1"/>
  <c r="T85" i="1"/>
  <c r="S85" i="1"/>
  <c r="AD112" i="1"/>
  <c r="AJ118" i="1" s="1"/>
  <c r="AE112" i="1"/>
  <c r="AK118" i="1" s="1"/>
  <c r="AF112" i="1"/>
  <c r="AL118" i="1" s="1"/>
  <c r="V83" i="1"/>
  <c r="T83" i="1"/>
  <c r="N97" i="1" s="1"/>
  <c r="U83" i="1"/>
  <c r="O97" i="1" s="1"/>
  <c r="S83" i="1"/>
  <c r="T82" i="1"/>
  <c r="U82" i="1"/>
  <c r="V82" i="1"/>
  <c r="S82" i="1"/>
  <c r="AJ100" i="1"/>
  <c r="AK100" i="1"/>
  <c r="AL100" i="1"/>
  <c r="AI100" i="1"/>
  <c r="M97" i="1" l="1"/>
  <c r="P97" i="1"/>
  <c r="U84" i="1"/>
  <c r="T84" i="1"/>
  <c r="V84" i="1"/>
  <c r="M96" i="1"/>
  <c r="M95" i="1"/>
  <c r="M98" i="1" s="1"/>
  <c r="L47" i="2"/>
  <c r="M47" i="2"/>
  <c r="N47" i="2"/>
  <c r="K47" i="2"/>
  <c r="L41" i="2"/>
  <c r="M41" i="2"/>
  <c r="N41" i="2"/>
  <c r="K41" i="2"/>
  <c r="AJ117" i="1"/>
  <c r="AK117" i="1"/>
  <c r="AL117" i="1"/>
  <c r="AJ116" i="1"/>
  <c r="AK116" i="1"/>
  <c r="AL116" i="1"/>
  <c r="K34" i="2"/>
  <c r="L27" i="2"/>
  <c r="M27" i="2"/>
  <c r="N27" i="2"/>
  <c r="K27" i="2"/>
  <c r="AJ107" i="1"/>
  <c r="AJ114" i="1" s="1"/>
  <c r="AK107" i="1"/>
  <c r="AK114" i="1" s="1"/>
  <c r="AL107" i="1"/>
  <c r="AL114" i="1" s="1"/>
  <c r="P95" i="1" l="1"/>
  <c r="P96" i="1"/>
  <c r="N95" i="1"/>
  <c r="N96" i="1"/>
  <c r="O96" i="1"/>
  <c r="O95" i="1"/>
  <c r="O98" i="1" s="1"/>
  <c r="AJ112" i="1"/>
  <c r="AK112" i="1"/>
  <c r="AL112" i="1"/>
  <c r="AJ113" i="1"/>
  <c r="AK113" i="1"/>
  <c r="AL113" i="1"/>
  <c r="N98" i="1" l="1"/>
  <c r="P98" i="1"/>
  <c r="N20" i="2"/>
  <c r="M20" i="2"/>
  <c r="L20" i="2"/>
  <c r="K20" i="2"/>
  <c r="L12" i="2"/>
  <c r="M12" i="2"/>
  <c r="N12" i="2"/>
  <c r="K12" i="2"/>
  <c r="AC95" i="1"/>
  <c r="AC94" i="1"/>
  <c r="AC101" i="1" s="1"/>
  <c r="E39" i="2" l="1"/>
  <c r="D39" i="2"/>
  <c r="C39" i="2"/>
  <c r="B39" i="2"/>
  <c r="AM90" i="1"/>
  <c r="AK104" i="1"/>
  <c r="AM104" i="1"/>
  <c r="AL104" i="1"/>
  <c r="AJ104" i="1"/>
  <c r="AJ105" i="1" s="1"/>
  <c r="AI101" i="1" s="1"/>
  <c r="AJ99" i="1"/>
  <c r="AK99" i="1"/>
  <c r="AL99" i="1"/>
  <c r="AK97" i="1"/>
  <c r="AL97" i="1"/>
  <c r="AI95" i="1"/>
  <c r="AI94" i="1"/>
  <c r="AJ95" i="1"/>
  <c r="AK95" i="1"/>
  <c r="AL95" i="1"/>
  <c r="AI96" i="1"/>
  <c r="AJ97" i="1"/>
  <c r="AI97" i="1"/>
  <c r="C32" i="2"/>
  <c r="D32" i="2"/>
  <c r="E32" i="2"/>
  <c r="B32" i="2"/>
  <c r="G19" i="2"/>
  <c r="G20" i="2"/>
  <c r="G18" i="2"/>
  <c r="G17" i="2"/>
  <c r="G15" i="2"/>
  <c r="G14" i="2"/>
  <c r="E24" i="2"/>
  <c r="C24" i="2"/>
  <c r="E18" i="2"/>
  <c r="C18" i="2"/>
  <c r="E6" i="2"/>
  <c r="C6" i="2"/>
  <c r="C12" i="2"/>
  <c r="E12" i="2"/>
  <c r="AJ96" i="1"/>
  <c r="AK96" i="1"/>
  <c r="AL96" i="1"/>
  <c r="AC103" i="1"/>
  <c r="AD102" i="1"/>
  <c r="AE102" i="1"/>
  <c r="AF102" i="1"/>
  <c r="AD103" i="1"/>
  <c r="AE103" i="1"/>
  <c r="AF103" i="1"/>
  <c r="AD104" i="1"/>
  <c r="AE104" i="1"/>
  <c r="AF104" i="1"/>
  <c r="AD94" i="1"/>
  <c r="AE94" i="1"/>
  <c r="AF94" i="1"/>
  <c r="AD95" i="1"/>
  <c r="AE95" i="1"/>
  <c r="AF95" i="1"/>
  <c r="AD96" i="1"/>
  <c r="AE96" i="1"/>
  <c r="AF96" i="1"/>
  <c r="AD97" i="1"/>
  <c r="AE97" i="1"/>
  <c r="AF97" i="1"/>
  <c r="AD98" i="1"/>
  <c r="AE98" i="1"/>
  <c r="AF98" i="1"/>
  <c r="AC105" i="1"/>
  <c r="AC104" i="1"/>
  <c r="AC102" i="1"/>
  <c r="AC96" i="1"/>
  <c r="M69" i="1"/>
  <c r="M70" i="1" s="1"/>
  <c r="M62" i="1"/>
  <c r="M61" i="1"/>
  <c r="M73" i="1" s="1"/>
  <c r="AP48" i="1"/>
  <c r="AN48" i="1"/>
  <c r="AO48" i="1"/>
  <c r="AM48" i="1"/>
  <c r="AP27" i="1"/>
  <c r="AO27" i="1"/>
  <c r="AQ27" i="1"/>
  <c r="AN27" i="1"/>
  <c r="AO22" i="1"/>
  <c r="AP22" i="1"/>
  <c r="AQ22" i="1"/>
  <c r="AO23" i="1"/>
  <c r="AP23" i="1"/>
  <c r="AQ23" i="1"/>
  <c r="AO24" i="1"/>
  <c r="AP24" i="1"/>
  <c r="AQ24" i="1"/>
  <c r="AO25" i="1"/>
  <c r="AP25" i="1"/>
  <c r="AQ25" i="1"/>
  <c r="AN26" i="1"/>
  <c r="AN25" i="1"/>
  <c r="AN23" i="1"/>
  <c r="AN24" i="1"/>
  <c r="AN22" i="1"/>
  <c r="AL70" i="1"/>
  <c r="AI57" i="1"/>
  <c r="AG49" i="1"/>
  <c r="AH49" i="1"/>
  <c r="AI49" i="1"/>
  <c r="AJ49" i="1"/>
  <c r="AK49" i="1"/>
  <c r="AG50" i="1"/>
  <c r="AH50" i="1"/>
  <c r="AI50" i="1"/>
  <c r="AJ50" i="1"/>
  <c r="AK50" i="1"/>
  <c r="AG51" i="1"/>
  <c r="AH51" i="1"/>
  <c r="AI51" i="1"/>
  <c r="AJ51" i="1"/>
  <c r="AK51" i="1"/>
  <c r="AG52" i="1"/>
  <c r="AH52" i="1"/>
  <c r="AI52" i="1"/>
  <c r="AJ52" i="1"/>
  <c r="AK52" i="1"/>
  <c r="AG53" i="1"/>
  <c r="AH53" i="1"/>
  <c r="AI53" i="1"/>
  <c r="AJ53" i="1"/>
  <c r="AK53" i="1"/>
  <c r="AG54" i="1"/>
  <c r="AH54" i="1"/>
  <c r="AI54" i="1"/>
  <c r="AJ54" i="1"/>
  <c r="AK54" i="1"/>
  <c r="AG56" i="1"/>
  <c r="AH56" i="1"/>
  <c r="AI56" i="1"/>
  <c r="AJ56" i="1"/>
  <c r="AK56" i="1"/>
  <c r="AG58" i="1"/>
  <c r="AI58" i="1"/>
  <c r="AK58" i="1"/>
  <c r="AG59" i="1"/>
  <c r="AH59" i="1"/>
  <c r="AI59" i="1"/>
  <c r="AJ59" i="1"/>
  <c r="AK59" i="1"/>
  <c r="AG60" i="1"/>
  <c r="AH60" i="1"/>
  <c r="AI60" i="1"/>
  <c r="AJ60" i="1"/>
  <c r="AK60" i="1"/>
  <c r="AG61" i="1"/>
  <c r="AH61" i="1"/>
  <c r="AI61" i="1"/>
  <c r="AJ61" i="1"/>
  <c r="AK61" i="1"/>
  <c r="AG62" i="1"/>
  <c r="AH62" i="1"/>
  <c r="AI62" i="1"/>
  <c r="AJ62" i="1"/>
  <c r="AK62" i="1"/>
  <c r="AG63" i="1"/>
  <c r="AH63" i="1"/>
  <c r="AJ63" i="1"/>
  <c r="AK63" i="1"/>
  <c r="AG64" i="1"/>
  <c r="AH64" i="1"/>
  <c r="AI64" i="1"/>
  <c r="AJ64" i="1"/>
  <c r="AK64" i="1"/>
  <c r="AG65" i="1"/>
  <c r="AH65" i="1"/>
  <c r="AI65" i="1"/>
  <c r="AJ65" i="1"/>
  <c r="AK65" i="1"/>
  <c r="AG66" i="1"/>
  <c r="AH66" i="1"/>
  <c r="AI66" i="1"/>
  <c r="AJ66" i="1"/>
  <c r="AK66" i="1"/>
  <c r="AI67" i="1"/>
  <c r="AG68" i="1"/>
  <c r="AH68" i="1"/>
  <c r="AI68" i="1"/>
  <c r="AJ68" i="1"/>
  <c r="AK68" i="1"/>
  <c r="AG69" i="1"/>
  <c r="AH69" i="1"/>
  <c r="AI69" i="1"/>
  <c r="AJ69" i="1"/>
  <c r="AK69" i="1"/>
  <c r="AG70" i="1"/>
  <c r="AH70" i="1"/>
  <c r="AI70" i="1"/>
  <c r="AJ70" i="1"/>
  <c r="AK70" i="1"/>
  <c r="AG71" i="1"/>
  <c r="AH71" i="1"/>
  <c r="AI71" i="1"/>
  <c r="AJ71" i="1"/>
  <c r="AK71" i="1"/>
  <c r="AG72" i="1"/>
  <c r="AH72" i="1"/>
  <c r="AI72" i="1"/>
  <c r="AJ72" i="1"/>
  <c r="AK72" i="1"/>
  <c r="AI73" i="1"/>
  <c r="AG74" i="1"/>
  <c r="AH74" i="1"/>
  <c r="AI74" i="1"/>
  <c r="AJ74" i="1"/>
  <c r="AK74" i="1"/>
  <c r="AG75" i="1"/>
  <c r="AH75" i="1"/>
  <c r="AI75" i="1"/>
  <c r="AJ75" i="1"/>
  <c r="AK75" i="1"/>
  <c r="AG76" i="1"/>
  <c r="AH76" i="1"/>
  <c r="AI76" i="1"/>
  <c r="AJ76" i="1"/>
  <c r="AK76" i="1"/>
  <c r="AG77" i="1"/>
  <c r="AH77" i="1"/>
  <c r="AI77" i="1"/>
  <c r="AJ77" i="1"/>
  <c r="AK77" i="1"/>
  <c r="AG78" i="1"/>
  <c r="AH78" i="1"/>
  <c r="AI78" i="1"/>
  <c r="AJ78" i="1"/>
  <c r="AK78" i="1"/>
  <c r="AH79" i="1"/>
  <c r="AI79" i="1"/>
  <c r="AJ79" i="1"/>
  <c r="AH80" i="1"/>
  <c r="AJ80" i="1"/>
  <c r="AG81" i="1"/>
  <c r="AH81" i="1"/>
  <c r="AI81" i="1"/>
  <c r="AJ81" i="1"/>
  <c r="AK81" i="1"/>
  <c r="AG82" i="1"/>
  <c r="AH82" i="1"/>
  <c r="AI82" i="1"/>
  <c r="AJ82" i="1"/>
  <c r="AK82" i="1"/>
  <c r="AH83" i="1"/>
  <c r="AI83" i="1"/>
  <c r="AJ83" i="1"/>
  <c r="AG84" i="1"/>
  <c r="AH84" i="1"/>
  <c r="AI84" i="1"/>
  <c r="AJ84" i="1"/>
  <c r="AK84" i="1"/>
  <c r="AG85" i="1"/>
  <c r="AH85" i="1"/>
  <c r="AI85" i="1"/>
  <c r="AJ85" i="1"/>
  <c r="AK85" i="1"/>
  <c r="AG86" i="1"/>
  <c r="AH86" i="1"/>
  <c r="AI86" i="1"/>
  <c r="AJ86" i="1"/>
  <c r="AK86" i="1"/>
  <c r="AH87" i="1"/>
  <c r="AI87" i="1"/>
  <c r="AJ87" i="1"/>
  <c r="AG88" i="1"/>
  <c r="AH88" i="1"/>
  <c r="AI88" i="1"/>
  <c r="AJ88" i="1"/>
  <c r="AK88" i="1"/>
  <c r="AG89" i="1"/>
  <c r="AH89" i="1"/>
  <c r="AI89" i="1"/>
  <c r="AJ89" i="1"/>
  <c r="AK89" i="1"/>
  <c r="AG90" i="1"/>
  <c r="AH90" i="1"/>
  <c r="AI90" i="1"/>
  <c r="AJ90" i="1"/>
  <c r="AK90" i="1"/>
  <c r="AG91" i="1"/>
  <c r="AH91" i="1"/>
  <c r="AI91" i="1"/>
  <c r="AJ91" i="1"/>
  <c r="AK91" i="1"/>
  <c r="AG92" i="1"/>
  <c r="AH92" i="1"/>
  <c r="AI92" i="1"/>
  <c r="AJ92" i="1"/>
  <c r="AK92" i="1"/>
  <c r="AK48" i="1"/>
  <c r="AJ48" i="1"/>
  <c r="AI48" i="1"/>
  <c r="AH48" i="1"/>
  <c r="AG48" i="1"/>
  <c r="M78" i="1"/>
  <c r="M77" i="1"/>
  <c r="N74" i="1"/>
  <c r="O74" i="1"/>
  <c r="P74" i="1"/>
  <c r="M74" i="1"/>
  <c r="P62" i="1"/>
  <c r="O62" i="1"/>
  <c r="O61" i="1"/>
  <c r="N62" i="1"/>
  <c r="O69" i="1"/>
  <c r="O70" i="1" s="1"/>
  <c r="O71" i="1" s="1"/>
  <c r="N69" i="1"/>
  <c r="N70" i="1" s="1"/>
  <c r="N71" i="1" s="1"/>
  <c r="P69" i="1"/>
  <c r="P70" i="1" s="1"/>
  <c r="N66" i="1"/>
  <c r="O66" i="1"/>
  <c r="P66" i="1"/>
  <c r="M66" i="1"/>
  <c r="N61" i="1"/>
  <c r="P61" i="1"/>
  <c r="M64" i="1"/>
  <c r="N58" i="1"/>
  <c r="O58" i="1"/>
  <c r="P58" i="1"/>
  <c r="M58" i="1"/>
  <c r="N57" i="1"/>
  <c r="N59" i="1" s="1"/>
  <c r="O57" i="1"/>
  <c r="O59" i="1" s="1"/>
  <c r="P57" i="1"/>
  <c r="M57" i="1"/>
  <c r="N55" i="1"/>
  <c r="O55" i="1"/>
  <c r="P55" i="1"/>
  <c r="M55" i="1"/>
  <c r="N49" i="1"/>
  <c r="O49" i="1"/>
  <c r="P49" i="1"/>
  <c r="M49" i="1"/>
  <c r="AL94" i="1" l="1"/>
  <c r="AL105" i="1"/>
  <c r="AK101" i="1" s="1"/>
  <c r="AM105" i="1"/>
  <c r="AL101" i="1" s="1"/>
  <c r="AJ94" i="1"/>
  <c r="AK105" i="1"/>
  <c r="AJ101" i="1" s="1"/>
  <c r="AK94" i="1"/>
  <c r="N73" i="1"/>
  <c r="N75" i="1" s="1"/>
  <c r="M59" i="1"/>
  <c r="P59" i="1"/>
  <c r="AE101" i="1"/>
  <c r="AD101" i="1"/>
  <c r="P73" i="1"/>
  <c r="P75" i="1" s="1"/>
  <c r="AF101" i="1"/>
  <c r="M67" i="1"/>
  <c r="O73" i="1"/>
  <c r="O75" i="1" s="1"/>
  <c r="M71" i="1"/>
  <c r="M75" i="1"/>
  <c r="P67" i="1"/>
  <c r="O67" i="1"/>
  <c r="N67" i="1"/>
  <c r="P71" i="1"/>
  <c r="O64" i="1"/>
  <c r="N64" i="1"/>
  <c r="P64" i="1"/>
  <c r="C80" i="1"/>
  <c r="D80" i="1"/>
  <c r="E80" i="1"/>
  <c r="B80" i="1"/>
  <c r="D73" i="1" l="1"/>
  <c r="F72" i="1"/>
  <c r="F73" i="1"/>
  <c r="F74" i="1"/>
  <c r="F75" i="1"/>
  <c r="F76" i="1"/>
  <c r="F77" i="1"/>
  <c r="F71" i="1"/>
  <c r="E72" i="1"/>
  <c r="E73" i="1"/>
  <c r="E74" i="1"/>
  <c r="E75" i="1"/>
  <c r="E76" i="1"/>
  <c r="E77" i="1"/>
  <c r="E71" i="1"/>
  <c r="D71" i="1"/>
  <c r="D72" i="1"/>
  <c r="D74" i="1"/>
  <c r="D75" i="1"/>
  <c r="D76" i="1"/>
  <c r="D77" i="1"/>
  <c r="C71" i="1"/>
  <c r="B71" i="1"/>
  <c r="C77" i="1"/>
  <c r="C76" i="1"/>
  <c r="C74" i="1"/>
  <c r="C72" i="1"/>
  <c r="B74" i="1"/>
  <c r="B76" i="1"/>
  <c r="B77" i="1"/>
  <c r="B72" i="1"/>
  <c r="B69" i="1"/>
  <c r="C69" i="1"/>
  <c r="D69" i="1"/>
  <c r="E69" i="1"/>
  <c r="C62" i="1"/>
  <c r="D62" i="1"/>
  <c r="E62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B64" i="1"/>
  <c r="B65" i="1"/>
  <c r="B66" i="1"/>
  <c r="B67" i="1"/>
  <c r="B68" i="1"/>
  <c r="B62" i="1"/>
  <c r="B41" i="1"/>
  <c r="B42" i="1"/>
  <c r="B43" i="1"/>
  <c r="B45" i="1" l="1"/>
  <c r="B44" i="1"/>
  <c r="K33" i="1"/>
  <c r="J33" i="1"/>
  <c r="I33" i="1"/>
  <c r="H33" i="1"/>
  <c r="G33" i="1"/>
  <c r="G34" i="1"/>
  <c r="G35" i="1"/>
  <c r="H34" i="1"/>
  <c r="H35" i="1"/>
  <c r="I34" i="1"/>
  <c r="I35" i="1"/>
  <c r="K34" i="1"/>
  <c r="K35" i="1"/>
  <c r="J34" i="1"/>
  <c r="J31" i="1"/>
  <c r="J32" i="1"/>
  <c r="J35" i="1"/>
  <c r="J30" i="1"/>
  <c r="K30" i="1"/>
  <c r="I30" i="1"/>
  <c r="G32" i="1"/>
  <c r="H32" i="1"/>
  <c r="I32" i="1"/>
  <c r="H30" i="1"/>
  <c r="G30" i="1"/>
  <c r="C42" i="1"/>
  <c r="D42" i="1"/>
  <c r="E42" i="1"/>
  <c r="C43" i="1"/>
  <c r="D43" i="1"/>
  <c r="E43" i="1"/>
  <c r="C41" i="1"/>
  <c r="D41" i="1"/>
  <c r="E41" i="1"/>
  <c r="E45" i="1" l="1"/>
  <c r="C45" i="1"/>
  <c r="E44" i="1"/>
  <c r="D45" i="1"/>
  <c r="C44" i="1"/>
  <c r="D44" i="1"/>
  <c r="J6" i="1"/>
  <c r="J7" i="1"/>
  <c r="J8" i="1"/>
  <c r="J9" i="1"/>
  <c r="J10" i="1"/>
  <c r="J15" i="1"/>
  <c r="J17" i="1"/>
  <c r="J18" i="1"/>
  <c r="J19" i="1"/>
  <c r="J5" i="1"/>
  <c r="G17" i="1" l="1"/>
  <c r="H17" i="1"/>
  <c r="I17" i="1"/>
  <c r="K17" i="1"/>
  <c r="G18" i="1"/>
  <c r="H18" i="1"/>
  <c r="I18" i="1"/>
  <c r="K18" i="1"/>
  <c r="G19" i="1"/>
  <c r="H19" i="1"/>
  <c r="I19" i="1"/>
  <c r="K19" i="1"/>
  <c r="G31" i="1"/>
  <c r="H31" i="1"/>
  <c r="I31" i="1"/>
  <c r="K31" i="1"/>
  <c r="K32" i="1"/>
  <c r="C36" i="1"/>
  <c r="D36" i="1"/>
  <c r="E36" i="1"/>
  <c r="B36" i="1"/>
  <c r="D20" i="1"/>
  <c r="E20" i="1"/>
  <c r="C20" i="1"/>
  <c r="B20" i="1"/>
  <c r="C16" i="1"/>
  <c r="D16" i="1"/>
  <c r="E16" i="1"/>
  <c r="B16" i="1"/>
  <c r="K5" i="1"/>
  <c r="G5" i="1"/>
  <c r="K15" i="1"/>
  <c r="I15" i="1"/>
  <c r="H15" i="1"/>
  <c r="G15" i="1"/>
  <c r="H5" i="1"/>
  <c r="I5" i="1"/>
  <c r="B39" i="1" l="1"/>
  <c r="E47" i="1"/>
  <c r="E48" i="1"/>
  <c r="E46" i="1"/>
  <c r="J36" i="1"/>
  <c r="D47" i="1"/>
  <c r="D48" i="1"/>
  <c r="D46" i="1"/>
  <c r="C48" i="1"/>
  <c r="C46" i="1"/>
  <c r="C47" i="1"/>
  <c r="B46" i="1"/>
  <c r="B47" i="1"/>
  <c r="B48" i="1"/>
  <c r="J16" i="1"/>
  <c r="H16" i="1"/>
  <c r="I20" i="1"/>
  <c r="J20" i="1"/>
  <c r="D39" i="1"/>
  <c r="G36" i="1"/>
  <c r="K36" i="1"/>
  <c r="K16" i="1"/>
  <c r="G20" i="1"/>
  <c r="G16" i="1"/>
  <c r="H20" i="1"/>
  <c r="C39" i="1"/>
  <c r="I16" i="1"/>
  <c r="K20" i="1"/>
  <c r="I36" i="1"/>
  <c r="E39" i="1"/>
  <c r="H36" i="1"/>
  <c r="K6" i="1"/>
  <c r="K7" i="1"/>
  <c r="K8" i="1"/>
  <c r="H6" i="1"/>
  <c r="I6" i="1"/>
  <c r="H7" i="1"/>
  <c r="I7" i="1"/>
  <c r="H8" i="1"/>
  <c r="I8" i="1"/>
  <c r="G6" i="1"/>
  <c r="G7" i="1"/>
  <c r="G8" i="1"/>
  <c r="E49" i="1" l="1"/>
  <c r="B49" i="1"/>
  <c r="C49" i="1"/>
  <c r="D49" i="1"/>
</calcChain>
</file>

<file path=xl/sharedStrings.xml><?xml version="1.0" encoding="utf-8"?>
<sst xmlns="http://schemas.openxmlformats.org/spreadsheetml/2006/main" count="439" uniqueCount="235">
  <si>
    <t>AKTYWA TRWAŁ</t>
  </si>
  <si>
    <t>Rzeczowe aktywa trwałe</t>
  </si>
  <si>
    <t>Aktywa niematerialne</t>
  </si>
  <si>
    <t>Nakłady na prace rozwojowe</t>
  </si>
  <si>
    <t>AKTYWA OBROTOWE</t>
  </si>
  <si>
    <t>Dynamika 2019, 100%=2018</t>
  </si>
  <si>
    <t>Dynamika 2020, 100*=2019</t>
  </si>
  <si>
    <t>Dynamika 2021, 100%=2020</t>
  </si>
  <si>
    <t>Dynamika 2021, 2018=100%</t>
  </si>
  <si>
    <t xml:space="preserve">GK CD PROJEKT </t>
  </si>
  <si>
    <t>CD PROJEKT S.A.</t>
  </si>
  <si>
    <t>Należności handlowe</t>
  </si>
  <si>
    <t>Lokaty bankowe powyżej 3 miesięcy</t>
  </si>
  <si>
    <t>Aktywa razem</t>
  </si>
  <si>
    <t xml:space="preserve">Aktywa razem </t>
  </si>
  <si>
    <t>Kapitał własny</t>
  </si>
  <si>
    <t>Zobowiązania długoterminowe</t>
  </si>
  <si>
    <t>Zobowiązania krótkoterminowe</t>
  </si>
  <si>
    <t>Pasywa razem</t>
  </si>
  <si>
    <t>Nieruchomości inwestycyjne</t>
  </si>
  <si>
    <t>Inwestycje w jednostkach podporządkowanych</t>
  </si>
  <si>
    <t>Pozostałe aktywa finansowe</t>
  </si>
  <si>
    <t>Środki pieniężne i ekwiwalenty środków pieniężnych</t>
  </si>
  <si>
    <t>Dynamika 2021, 100%=2019</t>
  </si>
  <si>
    <t>aktywa ogółem</t>
  </si>
  <si>
    <t>aktywa trwałe</t>
  </si>
  <si>
    <t xml:space="preserve">aktywa obrotowe </t>
  </si>
  <si>
    <t>udział S.A. AT</t>
  </si>
  <si>
    <t>udział AO</t>
  </si>
  <si>
    <t>PASYWA CD PROJEKT S.A.</t>
  </si>
  <si>
    <t>-Pozostałe rezerwy</t>
  </si>
  <si>
    <t xml:space="preserve">-Rozliczenia międzyokresowe przychodów </t>
  </si>
  <si>
    <t>-Zobowiązania handlowe</t>
  </si>
  <si>
    <t xml:space="preserve">Kapitał własny </t>
  </si>
  <si>
    <t>Kapitał zakładowy</t>
  </si>
  <si>
    <t>Kapitał zapasowy</t>
  </si>
  <si>
    <t>Kapitał zapasowy ze sprzedaży akcji powyżej wartości nominalnej</t>
  </si>
  <si>
    <t>Pozostałe kapitały</t>
  </si>
  <si>
    <t>Niepodzielony wynik finansowy</t>
  </si>
  <si>
    <t>Wynik finansowy bieżącego okresu</t>
  </si>
  <si>
    <t>Kapitał własny razem</t>
  </si>
  <si>
    <t>-</t>
  </si>
  <si>
    <t>2021, 2018</t>
  </si>
  <si>
    <t>Złota zasada bilansowa</t>
  </si>
  <si>
    <t>Wartość firmy</t>
  </si>
  <si>
    <t>Rozliczenia międzyokresowe</t>
  </si>
  <si>
    <t>Aktywa z tytułu odroczonego podatku dochodowego</t>
  </si>
  <si>
    <t>Pozostałe należności</t>
  </si>
  <si>
    <t>Zapasy</t>
  </si>
  <si>
    <t>Pozostałe zobowiązania finansowe</t>
  </si>
  <si>
    <t>Rezerwy z tytułu odroczonego podatku dochodowego</t>
  </si>
  <si>
    <t>Rozliczenia międzyokresowe przychodów</t>
  </si>
  <si>
    <t>Rezerwa na świadczenia emerytalne i podobne</t>
  </si>
  <si>
    <t>ZOBOWIĄZANIA KRÓTKOTERMINOWE</t>
  </si>
  <si>
    <t>Zobowiązania handlowe</t>
  </si>
  <si>
    <t>Pozostałe zobowiązania</t>
  </si>
  <si>
    <t>Pozostałe rezerwy</t>
  </si>
  <si>
    <t>Zobowiązania z tytułu bieżącego podatku dochodowego</t>
  </si>
  <si>
    <t>Koszty odsetek</t>
  </si>
  <si>
    <t>EBIT</t>
  </si>
  <si>
    <t>koszty odsetek</t>
  </si>
  <si>
    <t>aktywa krótkoterminowe (obrotowe)</t>
  </si>
  <si>
    <t>kapitał obcy krótkoterminowy</t>
  </si>
  <si>
    <t>środki pieniężne i ich ekwiwalenty</t>
  </si>
  <si>
    <t>wskaźnik środków pieniężnych</t>
  </si>
  <si>
    <t>wskaźnik bieżącej płynności</t>
  </si>
  <si>
    <t>relacja kapitałów obcych długoterminowych do kapitału stałego</t>
  </si>
  <si>
    <t>kapitał obcy długoterminowy</t>
  </si>
  <si>
    <t>kapitał stały</t>
  </si>
  <si>
    <t>KON</t>
  </si>
  <si>
    <t>relacja KON do aktywów ogółem</t>
  </si>
  <si>
    <t>wskaźnik pokrycia odsetek</t>
  </si>
  <si>
    <t>zapasy</t>
  </si>
  <si>
    <t>należności krótkoterminowe</t>
  </si>
  <si>
    <t>GK PROJEKT RED</t>
  </si>
  <si>
    <t>Akcje i udziały w jednostkach podporządkowanych nie objętych konsolidacją</t>
  </si>
  <si>
    <t>Należności z tytułu bieżącego podatku dochodowego</t>
  </si>
  <si>
    <t>100%=2018</t>
  </si>
  <si>
    <t>2020, 100%=2019</t>
  </si>
  <si>
    <t>2021, 100%=2020</t>
  </si>
  <si>
    <t>2021, 100%=2019</t>
  </si>
  <si>
    <t>2021, 100%=2018</t>
  </si>
  <si>
    <t>Rok</t>
  </si>
  <si>
    <t xml:space="preserve">kapitał obcy krótkoterminowy </t>
  </si>
  <si>
    <t>aktywa krótkoterminowe</t>
  </si>
  <si>
    <t>zysk strata netto</t>
  </si>
  <si>
    <t>średni stan aktywów ogółem</t>
  </si>
  <si>
    <t>wynik ze sprzedaży</t>
  </si>
  <si>
    <t>przychody netto ze sprzedaży produtków, towarów i materiałów</t>
  </si>
  <si>
    <t>Wskaźnik płynności przyśpieszonej</t>
  </si>
  <si>
    <t>Wskaźnik inwestycji krótkoterminowych</t>
  </si>
  <si>
    <t>biężąca płynność</t>
  </si>
  <si>
    <t>q1</t>
  </si>
  <si>
    <t>q2</t>
  </si>
  <si>
    <t>q3</t>
  </si>
  <si>
    <t>q4</t>
  </si>
  <si>
    <t>płynnośc przyśpieszona</t>
  </si>
  <si>
    <t>średnia</t>
  </si>
  <si>
    <t>relacja zobowiązań i rezerw na zobowiązania do kapitału własnego</t>
  </si>
  <si>
    <t>wskaźnik pokrycia zobowiązań odsetkowych nadwyżką finansową</t>
  </si>
  <si>
    <t>amortyzacja</t>
  </si>
  <si>
    <t>zobowiązania odsetkowe</t>
  </si>
  <si>
    <t>przeciętny stań zobowiązań odsetkowych</t>
  </si>
  <si>
    <t>dla WIG GRY</t>
  </si>
  <si>
    <t>pokrycie kosztów kapitałem obrotowym netto</t>
  </si>
  <si>
    <t>rotacja należności</t>
  </si>
  <si>
    <t>rotacja majątku ogółem</t>
  </si>
  <si>
    <t>przychody ze sprzedaży</t>
  </si>
  <si>
    <t>srednia</t>
  </si>
  <si>
    <t>średni stan należności krótko.</t>
  </si>
  <si>
    <t>wskaźnik rotacji zob. krótko</t>
  </si>
  <si>
    <t>ROE</t>
  </si>
  <si>
    <t>ROA</t>
  </si>
  <si>
    <t>WIGGRY</t>
  </si>
  <si>
    <t>ROS</t>
  </si>
  <si>
    <t>równanie wyznaczone na podstawie modelu Du Ponta</t>
  </si>
  <si>
    <t>średni sten kapitału własnego</t>
  </si>
  <si>
    <t>przychody ogółem</t>
  </si>
  <si>
    <t>Pozostałe przychody operacyjne</t>
  </si>
  <si>
    <t>Przychody finansowe</t>
  </si>
  <si>
    <t>(Utrata wartości)/odwrócenie utraty wartości instrumentów finansowych</t>
  </si>
  <si>
    <t>przychody ze sprzedaży ogółem</t>
  </si>
  <si>
    <t>udzaił</t>
  </si>
  <si>
    <t>kw</t>
  </si>
  <si>
    <t>zob.dług</t>
  </si>
  <si>
    <t>krótk</t>
  </si>
  <si>
    <t>marża zysku netto ROS</t>
  </si>
  <si>
    <t>suma</t>
  </si>
  <si>
    <t>rotacja aktywów trwałych</t>
  </si>
  <si>
    <t>efektywna stopa podatkowa</t>
  </si>
  <si>
    <t>wydatki inwestycyjne</t>
  </si>
  <si>
    <t>zmiana KON</t>
  </si>
  <si>
    <t>zob. krótk.</t>
  </si>
  <si>
    <t>aktywa obrotowe</t>
  </si>
  <si>
    <t>FCF</t>
  </si>
  <si>
    <t>rok</t>
  </si>
  <si>
    <t>t</t>
  </si>
  <si>
    <t>lata 2022-2024</t>
  </si>
  <si>
    <t>wartości teoretyczne</t>
  </si>
  <si>
    <t>zysk netto</t>
  </si>
  <si>
    <t>dywidenda</t>
  </si>
  <si>
    <t>NOPAT</t>
  </si>
  <si>
    <t>KO2</t>
  </si>
  <si>
    <t>Kapitał obcy</t>
  </si>
  <si>
    <t>koszt kapitału obcego</t>
  </si>
  <si>
    <t>odsetki</t>
  </si>
  <si>
    <t>udział kapitału obcego we własnym</t>
  </si>
  <si>
    <t>stopa wolna od ryzyka</t>
  </si>
  <si>
    <t>stopa zwrotu z portfela rynkowego</t>
  </si>
  <si>
    <t xml:space="preserve">kurs cd projekt </t>
  </si>
  <si>
    <t>stopa zwrotu z cd projekt</t>
  </si>
  <si>
    <t>koszt kapitału własnego</t>
  </si>
  <si>
    <t>WACC</t>
  </si>
  <si>
    <t>y</t>
  </si>
  <si>
    <t>PODSUMOWANIE - WYJŚCIE</t>
  </si>
  <si>
    <t>Statystyki regresji</t>
  </si>
  <si>
    <t>Wielokrotność R</t>
  </si>
  <si>
    <t>R kwadrat</t>
  </si>
  <si>
    <t>Dopasowany R kwadrat</t>
  </si>
  <si>
    <t>Błąd standardowy</t>
  </si>
  <si>
    <t>Obserwacje</t>
  </si>
  <si>
    <t>ANALIZA WARIANCJI</t>
  </si>
  <si>
    <t>Regresja</t>
  </si>
  <si>
    <t>Resztkowy</t>
  </si>
  <si>
    <t>Razem</t>
  </si>
  <si>
    <t>Przecięcie</t>
  </si>
  <si>
    <t>df</t>
  </si>
  <si>
    <t>SS</t>
  </si>
  <si>
    <t>MS</t>
  </si>
  <si>
    <t>F</t>
  </si>
  <si>
    <t>Istotność F</t>
  </si>
  <si>
    <t>Współczynniki</t>
  </si>
  <si>
    <t>t Stat</t>
  </si>
  <si>
    <t>Wartość-p</t>
  </si>
  <si>
    <t>Dolne 95%</t>
  </si>
  <si>
    <t>Górne 95%</t>
  </si>
  <si>
    <t>Dolne 95,0%</t>
  </si>
  <si>
    <t>Górne 95,0%</t>
  </si>
  <si>
    <t>ROIC</t>
  </si>
  <si>
    <t>IC</t>
  </si>
  <si>
    <t>b0</t>
  </si>
  <si>
    <t>b1</t>
  </si>
  <si>
    <t>r2</t>
  </si>
  <si>
    <t>Se</t>
  </si>
  <si>
    <t>V</t>
  </si>
  <si>
    <t>kapitał obcy</t>
  </si>
  <si>
    <t>EP</t>
  </si>
  <si>
    <t>premia za ryzyko</t>
  </si>
  <si>
    <t>zysk netto/NOPAT</t>
  </si>
  <si>
    <t>wartość rezydualna</t>
  </si>
  <si>
    <t>wartość kapitału przedsiebiorstwa</t>
  </si>
  <si>
    <t>l.akcji</t>
  </si>
  <si>
    <t>29.02.2022</t>
  </si>
  <si>
    <t>data</t>
  </si>
  <si>
    <t>miesięczna stopa zwrotu CD PROJEKT</t>
  </si>
  <si>
    <t>miesieczna stopa zwrotu  WIG 20</t>
  </si>
  <si>
    <t>cov</t>
  </si>
  <si>
    <t>var</t>
  </si>
  <si>
    <t>reglinp</t>
  </si>
  <si>
    <t>BETA</t>
  </si>
  <si>
    <t>rf</t>
  </si>
  <si>
    <t>Ko</t>
  </si>
  <si>
    <t>Uko</t>
  </si>
  <si>
    <t>Kkw</t>
  </si>
  <si>
    <t>UKW</t>
  </si>
  <si>
    <t>g</t>
  </si>
  <si>
    <t>RV</t>
  </si>
  <si>
    <t>Przychody netto ze sprzedaży</t>
  </si>
  <si>
    <t>Zysk netto</t>
  </si>
  <si>
    <t>Aktywa obrotowe</t>
  </si>
  <si>
    <t>Wsk. Obrotowości i aktywów</t>
  </si>
  <si>
    <t>Wskaźnik zadłużenia</t>
  </si>
  <si>
    <t>Zobowiązania suma</t>
  </si>
  <si>
    <t>Wskaźnik płynności bieżącej</t>
  </si>
  <si>
    <t>Przychody ze sprzedaży</t>
  </si>
  <si>
    <t>Koszty sprzedaży</t>
  </si>
  <si>
    <t>Zysk ze sprzedaży</t>
  </si>
  <si>
    <t>Pozostałe przychody op.</t>
  </si>
  <si>
    <t>Pozostałe koszty op.</t>
  </si>
  <si>
    <t>koszty operacyjne</t>
  </si>
  <si>
    <t>Zysk z działalności op.</t>
  </si>
  <si>
    <t>Koszty finansowe</t>
  </si>
  <si>
    <t>Zyski i straty nadzwyczajny</t>
  </si>
  <si>
    <t>Zysk brutto</t>
  </si>
  <si>
    <t>Podatek dochodowy</t>
  </si>
  <si>
    <t>FCF (wolny przepływ pieniędzy)</t>
  </si>
  <si>
    <t>Przychody</t>
  </si>
  <si>
    <t>wzrost przychodów</t>
  </si>
  <si>
    <t>udział kapitału obcego</t>
  </si>
  <si>
    <t>udział kapitału własnego</t>
  </si>
  <si>
    <t>WR</t>
  </si>
  <si>
    <t>NAV</t>
  </si>
  <si>
    <t>Zobowiązania razem</t>
  </si>
  <si>
    <t>kapital</t>
  </si>
  <si>
    <t>wartosc 1 akcji: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</si>
</sst>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zł&quot;;[Red]\-#,##0.00\ &quot;zł&quot;"/>
    <numFmt numFmtId="164" formatCode="0.0%"/>
    <numFmt numFmtId="165" formatCode="0.0000"/>
    <numFmt numFmtId="166" formatCode="#,##0.000000000"/>
  </numFmts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rgb="FFBDC1C6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0212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3C404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3">
    <xf numFmtId="0" fontId="0" fillId="0" borderId="0" xfId="0"/>
    <xf numFmtId="3" fontId="0" fillId="0" borderId="0" xfId="0" applyNumberFormat="1"/>
    <xf numFmtId="10" fontId="0" fillId="0" borderId="0" xfId="1" applyNumberFormat="1" applyFont="1"/>
    <xf numFmtId="10" fontId="0" fillId="0" borderId="0" xfId="1" applyNumberFormat="1" applyFont="1" applyBorder="1"/>
    <xf numFmtId="0" fontId="0" fillId="0" borderId="1" xfId="0" applyBorder="1"/>
    <xf numFmtId="3" fontId="0" fillId="0" borderId="1" xfId="0" applyNumberFormat="1" applyBorder="1"/>
    <xf numFmtId="10" fontId="0" fillId="0" borderId="1" xfId="1" applyNumberFormat="1" applyFont="1" applyBorder="1"/>
    <xf numFmtId="3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3" fontId="0" fillId="0" borderId="0" xfId="0" applyNumberFormat="1" applyAlignment="1">
      <alignment horizontal="left"/>
    </xf>
    <xf numFmtId="10" fontId="0" fillId="0" borderId="0" xfId="1" applyNumberFormat="1" applyFont="1" applyAlignment="1">
      <alignment vertical="top"/>
    </xf>
    <xf numFmtId="0" fontId="0" fillId="0" borderId="0" xfId="1" applyNumberFormat="1" applyFont="1" applyBorder="1"/>
    <xf numFmtId="3" fontId="0" fillId="0" borderId="0" xfId="1" applyNumberFormat="1" applyFont="1" applyBorder="1"/>
    <xf numFmtId="10" fontId="0" fillId="0" borderId="0" xfId="0" applyNumberFormat="1" applyAlignment="1">
      <alignment vertical="top"/>
    </xf>
    <xf numFmtId="9" fontId="0" fillId="0" borderId="0" xfId="1" applyFont="1" applyAlignment="1">
      <alignment vertical="top"/>
    </xf>
    <xf numFmtId="2" fontId="0" fillId="0" borderId="0" xfId="0" applyNumberFormat="1" applyAlignment="1">
      <alignment vertical="top"/>
    </xf>
    <xf numFmtId="0" fontId="2" fillId="0" borderId="0" xfId="0" applyFont="1"/>
    <xf numFmtId="0" fontId="0" fillId="2" borderId="0" xfId="0" applyFill="1"/>
    <xf numFmtId="3" fontId="0" fillId="2" borderId="0" xfId="0" applyNumberFormat="1" applyFill="1" applyAlignment="1">
      <alignment vertical="top"/>
    </xf>
    <xf numFmtId="0" fontId="0" fillId="2" borderId="0" xfId="0" applyFill="1" applyAlignment="1">
      <alignment vertical="top"/>
    </xf>
    <xf numFmtId="0" fontId="0" fillId="2" borderId="1" xfId="0" applyFill="1" applyBorder="1" applyAlignment="1">
      <alignment vertical="top"/>
    </xf>
    <xf numFmtId="3" fontId="0" fillId="2" borderId="1" xfId="0" applyNumberFormat="1" applyFill="1" applyBorder="1" applyAlignment="1">
      <alignment vertical="top"/>
    </xf>
    <xf numFmtId="10" fontId="0" fillId="0" borderId="0" xfId="1" applyNumberFormat="1" applyFont="1" applyFill="1" applyBorder="1"/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left"/>
    </xf>
    <xf numFmtId="164" fontId="0" fillId="0" borderId="0" xfId="1" applyNumberFormat="1" applyFont="1"/>
    <xf numFmtId="0" fontId="0" fillId="0" borderId="0" xfId="1" applyNumberFormat="1" applyFont="1"/>
    <xf numFmtId="3" fontId="0" fillId="0" borderId="2" xfId="0" applyNumberFormat="1" applyBorder="1" applyAlignment="1">
      <alignment vertical="top"/>
    </xf>
    <xf numFmtId="0" fontId="0" fillId="0" borderId="2" xfId="0" applyBorder="1"/>
    <xf numFmtId="3" fontId="0" fillId="2" borderId="2" xfId="0" applyNumberFormat="1" applyFill="1" applyBorder="1" applyAlignment="1">
      <alignment vertical="top"/>
    </xf>
    <xf numFmtId="3" fontId="0" fillId="0" borderId="2" xfId="0" applyNumberFormat="1" applyBorder="1"/>
    <xf numFmtId="3" fontId="0" fillId="2" borderId="3" xfId="0" applyNumberFormat="1" applyFill="1" applyBorder="1" applyAlignment="1">
      <alignment vertical="top"/>
    </xf>
    <xf numFmtId="3" fontId="0" fillId="2" borderId="0" xfId="0" applyNumberFormat="1" applyFill="1"/>
    <xf numFmtId="3" fontId="0" fillId="2" borderId="2" xfId="0" applyNumberFormat="1" applyFill="1" applyBorder="1"/>
    <xf numFmtId="3" fontId="0" fillId="2" borderId="2" xfId="0" applyNumberFormat="1" applyFill="1" applyBorder="1" applyAlignment="1">
      <alignment horizontal="left"/>
    </xf>
    <xf numFmtId="3" fontId="0" fillId="2" borderId="4" xfId="0" applyNumberFormat="1" applyFill="1" applyBorder="1" applyAlignment="1">
      <alignment vertical="top"/>
    </xf>
    <xf numFmtId="3" fontId="0" fillId="2" borderId="5" xfId="0" applyNumberFormat="1" applyFill="1" applyBorder="1" applyAlignment="1">
      <alignment vertical="top"/>
    </xf>
    <xf numFmtId="0" fontId="4" fillId="0" borderId="7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164" fontId="0" fillId="0" borderId="0" xfId="1" quotePrefix="1" applyNumberFormat="1" applyFont="1"/>
    <xf numFmtId="164" fontId="0" fillId="2" borderId="0" xfId="1" applyNumberFormat="1" applyFont="1" applyFill="1"/>
    <xf numFmtId="0" fontId="1" fillId="0" borderId="6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10" fontId="0" fillId="0" borderId="0" xfId="0" applyNumberFormat="1"/>
    <xf numFmtId="164" fontId="5" fillId="0" borderId="10" xfId="0" applyNumberFormat="1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2" fontId="1" fillId="0" borderId="6" xfId="0" applyNumberFormat="1" applyFont="1" applyBorder="1" applyAlignment="1">
      <alignment horizontal="justify" vertical="center" wrapText="1"/>
    </xf>
    <xf numFmtId="0" fontId="0" fillId="4" borderId="0" xfId="0" applyFill="1"/>
    <xf numFmtId="0" fontId="0" fillId="4" borderId="2" xfId="0" applyFill="1" applyBorder="1"/>
    <xf numFmtId="3" fontId="0" fillId="4" borderId="0" xfId="0" applyNumberFormat="1" applyFill="1" applyAlignment="1">
      <alignment vertical="top"/>
    </xf>
    <xf numFmtId="0" fontId="3" fillId="0" borderId="0" xfId="0" applyFont="1"/>
    <xf numFmtId="2" fontId="0" fillId="0" borderId="0" xfId="1" applyNumberFormat="1" applyFont="1" applyAlignment="1">
      <alignment vertical="top"/>
    </xf>
    <xf numFmtId="0" fontId="0" fillId="3" borderId="0" xfId="0" applyFill="1"/>
    <xf numFmtId="2" fontId="0" fillId="3" borderId="0" xfId="0" applyNumberFormat="1" applyFill="1"/>
    <xf numFmtId="2" fontId="0" fillId="3" borderId="0" xfId="0" applyNumberFormat="1" applyFill="1" applyAlignment="1">
      <alignment vertical="top"/>
    </xf>
    <xf numFmtId="10" fontId="3" fillId="0" borderId="6" xfId="0" applyNumberFormat="1" applyFont="1" applyBorder="1" applyAlignment="1">
      <alignment horizontal="justify" vertical="center" wrapText="1"/>
    </xf>
    <xf numFmtId="10" fontId="3" fillId="0" borderId="8" xfId="0" applyNumberFormat="1" applyFont="1" applyBorder="1" applyAlignment="1">
      <alignment horizontal="justify" vertical="center" wrapText="1"/>
    </xf>
    <xf numFmtId="9" fontId="3" fillId="0" borderId="8" xfId="0" applyNumberFormat="1" applyFont="1" applyBorder="1" applyAlignment="1">
      <alignment horizontal="justify" vertical="center" wrapText="1"/>
    </xf>
    <xf numFmtId="3" fontId="0" fillId="5" borderId="0" xfId="0" applyNumberFormat="1" applyFill="1"/>
    <xf numFmtId="4" fontId="0" fillId="0" borderId="0" xfId="0" applyNumberFormat="1"/>
    <xf numFmtId="4" fontId="0" fillId="0" borderId="0" xfId="0" applyNumberFormat="1" applyAlignment="1">
      <alignment vertical="top"/>
    </xf>
    <xf numFmtId="2" fontId="0" fillId="0" borderId="0" xfId="0" applyNumberFormat="1"/>
    <xf numFmtId="0" fontId="3" fillId="0" borderId="0" xfId="0" applyFont="1" applyAlignment="1">
      <alignment horizontal="right"/>
    </xf>
    <xf numFmtId="165" fontId="0" fillId="0" borderId="0" xfId="1" applyNumberFormat="1" applyFont="1"/>
    <xf numFmtId="0" fontId="0" fillId="0" borderId="11" xfId="0" applyBorder="1"/>
    <xf numFmtId="0" fontId="6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Continuous"/>
    </xf>
    <xf numFmtId="0" fontId="0" fillId="6" borderId="0" xfId="0" applyFill="1"/>
    <xf numFmtId="4" fontId="0" fillId="0" borderId="0" xfId="1" applyNumberFormat="1" applyFont="1"/>
    <xf numFmtId="3" fontId="0" fillId="0" borderId="0" xfId="1" applyNumberFormat="1" applyFont="1"/>
    <xf numFmtId="166" fontId="0" fillId="0" borderId="11" xfId="0" applyNumberFormat="1" applyBorder="1"/>
    <xf numFmtId="4" fontId="2" fillId="7" borderId="0" xfId="0" applyNumberFormat="1" applyFont="1" applyFill="1"/>
    <xf numFmtId="14" fontId="0" fillId="0" borderId="0" xfId="0" applyNumberFormat="1"/>
    <xf numFmtId="9" fontId="0" fillId="0" borderId="0" xfId="1" applyFont="1"/>
    <xf numFmtId="9" fontId="0" fillId="0" borderId="0" xfId="1" applyFont="1" applyAlignment="1">
      <alignment wrapText="1"/>
    </xf>
    <xf numFmtId="0" fontId="0" fillId="0" borderId="0" xfId="0" applyAlignment="1">
      <alignment wrapText="1"/>
    </xf>
    <xf numFmtId="9" fontId="0" fillId="8" borderId="0" xfId="1" applyFont="1" applyFill="1"/>
    <xf numFmtId="2" fontId="0" fillId="8" borderId="0" xfId="0" applyNumberFormat="1" applyFill="1"/>
    <xf numFmtId="0" fontId="0" fillId="0" borderId="13" xfId="0" applyBorder="1"/>
    <xf numFmtId="0" fontId="0" fillId="0" borderId="14" xfId="0" applyBorder="1"/>
    <xf numFmtId="3" fontId="0" fillId="0" borderId="13" xfId="0" applyNumberFormat="1" applyBorder="1"/>
    <xf numFmtId="9" fontId="0" fillId="0" borderId="13" xfId="1" applyFont="1" applyBorder="1"/>
    <xf numFmtId="0" fontId="7" fillId="0" borderId="0" xfId="0" applyFont="1"/>
    <xf numFmtId="0" fontId="8" fillId="0" borderId="0" xfId="0" applyFont="1"/>
    <xf numFmtId="8" fontId="0" fillId="0" borderId="0" xfId="0" applyNumberFormat="1"/>
    <xf numFmtId="0" fontId="0" fillId="0" borderId="15" xfId="0" applyBorder="1"/>
    <xf numFmtId="3" fontId="9" fillId="9" borderId="16" xfId="0" applyNumberFormat="1" applyFont="1" applyFill="1" applyBorder="1" applyAlignment="1">
      <alignment horizontal="left" vertical="center" wrapText="1" indent="1"/>
    </xf>
    <xf numFmtId="0" fontId="4" fillId="0" borderId="7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667847769028872"/>
          <c:y val="8.2434358626520002E-2"/>
          <c:w val="0.77132152230971129"/>
          <c:h val="0.8901373283395754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IC!$C$1:$M$1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xVal>
          <c:yVal>
            <c:numRef>
              <c:f>IC!$C$2:$M$2</c:f>
              <c:numCache>
                <c:formatCode>#,##0.00</c:formatCode>
                <c:ptCount val="11"/>
                <c:pt idx="0">
                  <c:v>27622</c:v>
                </c:pt>
                <c:pt idx="1">
                  <c:v>28196.797999999999</c:v>
                </c:pt>
                <c:pt idx="2">
                  <c:v>12851.136</c:v>
                </c:pt>
                <c:pt idx="3">
                  <c:v>9181.1899999999987</c:v>
                </c:pt>
                <c:pt idx="4">
                  <c:v>344529.55460000003</c:v>
                </c:pt>
                <c:pt idx="5">
                  <c:v>243842.8437</c:v>
                </c:pt>
                <c:pt idx="6">
                  <c:v>195040.93</c:v>
                </c:pt>
                <c:pt idx="7">
                  <c:v>99849.05279999999</c:v>
                </c:pt>
                <c:pt idx="8">
                  <c:v>167071.0362</c:v>
                </c:pt>
                <c:pt idx="9">
                  <c:v>1142266.4143999999</c:v>
                </c:pt>
                <c:pt idx="10">
                  <c:v>222934.75160000002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02-44C1-AE5D-8BF8C54BE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808048"/>
        <c:axId val="2047521472"/>
      </c:scatterChart>
      <c:valAx>
        <c:axId val="13880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47521472"/>
        <c:crosses val="autoZero"/>
        <c:crossBetween val="midCat"/>
      </c:valAx>
      <c:valAx>
        <c:axId val="204752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880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667847769028872"/>
          <c:y val="3.4687591134441531E-2"/>
          <c:w val="0.73798818897637808"/>
          <c:h val="0.83241542723826167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IC!$A$15:$A$26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xVal>
          <c:yVal>
            <c:numRef>
              <c:f>IC!$C$15:$C$26</c:f>
              <c:numCache>
                <c:formatCode>#,##0.00</c:formatCode>
                <c:ptCount val="12"/>
                <c:pt idx="0">
                  <c:v>110934</c:v>
                </c:pt>
                <c:pt idx="1">
                  <c:v>137786</c:v>
                </c:pt>
                <c:pt idx="2">
                  <c:v>156787</c:v>
                </c:pt>
                <c:pt idx="3">
                  <c:v>167826</c:v>
                </c:pt>
                <c:pt idx="4">
                  <c:v>168679</c:v>
                </c:pt>
                <c:pt idx="5">
                  <c:v>513968</c:v>
                </c:pt>
                <c:pt idx="6">
                  <c:v>777077</c:v>
                </c:pt>
                <c:pt idx="7">
                  <c:v>883237</c:v>
                </c:pt>
                <c:pt idx="8">
                  <c:v>1003273</c:v>
                </c:pt>
                <c:pt idx="9">
                  <c:v>1125556</c:v>
                </c:pt>
                <c:pt idx="10">
                  <c:v>2202116</c:v>
                </c:pt>
                <c:pt idx="11">
                  <c:v>1941238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6E-4F1F-B309-09EFE902D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5685568"/>
        <c:axId val="154389920"/>
      </c:scatterChart>
      <c:valAx>
        <c:axId val="199568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4389920"/>
        <c:crosses val="autoZero"/>
        <c:crossBetween val="midCat"/>
      </c:valAx>
      <c:valAx>
        <c:axId val="1543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9568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Arkusz3!$B$55</c:f>
              <c:strCache>
                <c:ptCount val="1"/>
                <c:pt idx="0">
                  <c:v>FCF (wolny przepływ pieniędzy)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Arkusz3!$C$48:$S$48</c:f>
              <c:numCache>
                <c:formatCode>General</c:formatCode>
                <c:ptCount val="1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</c:numCache>
            </c:numRef>
          </c:cat>
          <c:val>
            <c:numRef>
              <c:f>Arkusz3!$C$55:$S$55</c:f>
              <c:numCache>
                <c:formatCode>General</c:formatCode>
                <c:ptCount val="17"/>
                <c:pt idx="1">
                  <c:v>25556</c:v>
                </c:pt>
                <c:pt idx="2">
                  <c:v>5096.7979999999998</c:v>
                </c:pt>
                <c:pt idx="3">
                  <c:v>-21622.864000000001</c:v>
                </c:pt>
                <c:pt idx="4">
                  <c:v>5548.19</c:v>
                </c:pt>
                <c:pt idx="5">
                  <c:v>109564.5546</c:v>
                </c:pt>
                <c:pt idx="6">
                  <c:v>786406.84369999997</c:v>
                </c:pt>
                <c:pt idx="7">
                  <c:v>-1167114.07</c:v>
                </c:pt>
                <c:pt idx="8">
                  <c:v>-1144665.9472000001</c:v>
                </c:pt>
                <c:pt idx="9">
                  <c:v>-1032609.9638</c:v>
                </c:pt>
                <c:pt idx="10">
                  <c:v>1363513.4143999999</c:v>
                </c:pt>
                <c:pt idx="11">
                  <c:v>-1194940.2483999999</c:v>
                </c:pt>
                <c:pt idx="12">
                  <c:v>-602963.37068907917</c:v>
                </c:pt>
                <c:pt idx="13">
                  <c:v>-669135.03409636021</c:v>
                </c:pt>
                <c:pt idx="14">
                  <c:v>-735306.69750362635</c:v>
                </c:pt>
                <c:pt idx="15">
                  <c:v>-801478.36091090739</c:v>
                </c:pt>
                <c:pt idx="16">
                  <c:v>-867650.02431817353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BB-4202-B02E-F799BFC77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4160944"/>
        <c:axId val="724155904"/>
      </c:lineChart>
      <c:catAx>
        <c:axId val="72416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4155904"/>
        <c:crosses val="autoZero"/>
        <c:auto val="1"/>
        <c:lblAlgn val="ctr"/>
        <c:lblOffset val="100"/>
        <c:noMultiLvlLbl val="0"/>
      </c:catAx>
      <c:valAx>
        <c:axId val="72415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416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1171575</xdr:colOff>
      <xdr:row>37</xdr:row>
      <xdr:rowOff>9525</xdr:rowOff>
    </xdr:from>
    <xdr:to>
      <xdr:col>10</xdr:col>
      <xdr:colOff>686724</xdr:colOff>
      <xdr:row>73</xdr:row>
      <xdr:rowOff>76994</xdr:rowOff>
    </xdr:to>
    <xdr:pic>
      <xdr:nvPicPr>
        <xdr:cNvPr id="21" name="Obraz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8950" y="9534525"/>
          <a:ext cx="6620799" cy="568721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86</xdr:row>
      <xdr:rowOff>0</xdr:rowOff>
    </xdr:from>
    <xdr:to>
      <xdr:col>19</xdr:col>
      <xdr:colOff>808199</xdr:colOff>
      <xdr:row>93</xdr:row>
      <xdr:rowOff>28765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1B653948-3731-47F2-84F5-4BC747445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12353" y="20204206"/>
          <a:ext cx="5839640" cy="13622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209550</xdr:colOff>
      <xdr:row>8</xdr:row>
      <xdr:rowOff>71437</xdr:rowOff>
    </xdr:from>
    <xdr:to>
      <xdr:col>21</xdr:col>
      <xdr:colOff>514350</xdr:colOff>
      <xdr:row>21</xdr:row>
      <xdr:rowOff>128587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BACB0FCF-1A07-4FA6-8826-0CD38B192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8</xdr:row>
      <xdr:rowOff>23812</xdr:rowOff>
    </xdr:from>
    <xdr:to>
      <xdr:col>13</xdr:col>
      <xdr:colOff>600075</xdr:colOff>
      <xdr:row>22</xdr:row>
      <xdr:rowOff>80962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BECEC4DB-4311-4C91-8D74-64082B38E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58</xdr:row>
      <xdr:rowOff>80962</xdr:rowOff>
    </xdr:from>
    <xdr:to>
      <xdr:col>5</xdr:col>
      <xdr:colOff>466725</xdr:colOff>
      <xdr:row>72</xdr:row>
      <xdr:rowOff>157162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6C07BDD6-67B2-35FA-9FB5-FF93DBC4A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4"/>
  <sheetViews>
    <sheetView tabSelected="1" zoomScaleNormal="100" workbookViewId="0">
      <selection activeCell="F10" sqref="F10"/>
    </sheetView>
  </sheetViews>
  <sheetFormatPr defaultRowHeight="15" x14ac:dyDescent="0.25"/>
  <sheetData>
    <row r="1" spans="1:14" x14ac:dyDescent="0.25">
      <c r="A1">
        <v>2021</v>
      </c>
      <c r="B1" t="s">
        <v>91</v>
      </c>
      <c r="E1" t="s">
        <v>96</v>
      </c>
    </row>
    <row r="2" spans="1:14" x14ac:dyDescent="0.25">
      <c r="B2" t="s">
        <v>92</v>
      </c>
      <c r="C2">
        <v>2</v>
      </c>
      <c r="E2">
        <v>1.75</v>
      </c>
      <c r="I2" t="s">
        <v>106</v>
      </c>
    </row>
    <row r="3" spans="1:14" x14ac:dyDescent="0.25">
      <c r="B3" t="s">
        <v>93</v>
      </c>
      <c r="C3">
        <v>2.39</v>
      </c>
      <c r="E3">
        <v>2</v>
      </c>
      <c r="I3" t="s">
        <v>105</v>
      </c>
    </row>
    <row r="4" spans="1:14" x14ac:dyDescent="0.25">
      <c r="B4" t="s">
        <v>94</v>
      </c>
      <c r="C4">
        <v>2.4500000000000002</v>
      </c>
      <c r="E4">
        <v>1.92</v>
      </c>
      <c r="I4" t="s">
        <v>104</v>
      </c>
    </row>
    <row r="5" spans="1:14" x14ac:dyDescent="0.25">
      <c r="B5" t="s">
        <v>95</v>
      </c>
      <c r="C5">
        <v>2.2000000000000002</v>
      </c>
      <c r="E5">
        <v>1.75</v>
      </c>
    </row>
    <row r="6" spans="1:14" x14ac:dyDescent="0.25">
      <c r="A6" s="56" t="s">
        <v>97</v>
      </c>
      <c r="B6" s="56"/>
      <c r="C6" s="57">
        <f>AVERAGE(C2:C5)</f>
        <v>2.2600000000000002</v>
      </c>
      <c r="D6" s="56"/>
      <c r="E6" s="57">
        <f>AVERAGE(E2:E5)</f>
        <v>1.855</v>
      </c>
    </row>
    <row r="7" spans="1:14" x14ac:dyDescent="0.25">
      <c r="A7">
        <v>2020</v>
      </c>
      <c r="I7" t="s">
        <v>106</v>
      </c>
      <c r="K7">
        <v>2018</v>
      </c>
      <c r="L7">
        <v>2019</v>
      </c>
      <c r="M7">
        <v>2020</v>
      </c>
      <c r="N7">
        <v>2021</v>
      </c>
    </row>
    <row r="8" spans="1:14" x14ac:dyDescent="0.25">
      <c r="B8" t="s">
        <v>92</v>
      </c>
      <c r="C8">
        <v>1.7</v>
      </c>
      <c r="E8">
        <v>1.56</v>
      </c>
      <c r="J8" t="s">
        <v>92</v>
      </c>
      <c r="K8">
        <v>0.8</v>
      </c>
      <c r="L8">
        <v>0.96</v>
      </c>
      <c r="M8">
        <v>0.8</v>
      </c>
      <c r="N8">
        <v>0.79</v>
      </c>
    </row>
    <row r="9" spans="1:14" x14ac:dyDescent="0.25">
      <c r="B9" t="s">
        <v>93</v>
      </c>
      <c r="C9">
        <v>1.84</v>
      </c>
      <c r="E9">
        <v>1.84</v>
      </c>
      <c r="J9" t="s">
        <v>93</v>
      </c>
      <c r="K9">
        <v>0.74</v>
      </c>
      <c r="L9">
        <v>0.78</v>
      </c>
      <c r="M9">
        <v>0.77</v>
      </c>
      <c r="N9">
        <v>0.83</v>
      </c>
    </row>
    <row r="10" spans="1:14" x14ac:dyDescent="0.25">
      <c r="B10" t="s">
        <v>94</v>
      </c>
      <c r="C10">
        <v>0.185</v>
      </c>
      <c r="E10">
        <v>1.85</v>
      </c>
      <c r="J10" t="s">
        <v>94</v>
      </c>
      <c r="K10">
        <v>0.8</v>
      </c>
      <c r="L10">
        <v>0.78</v>
      </c>
      <c r="M10">
        <v>0.77</v>
      </c>
      <c r="N10">
        <v>0.86</v>
      </c>
    </row>
    <row r="11" spans="1:14" x14ac:dyDescent="0.25">
      <c r="B11" t="s">
        <v>95</v>
      </c>
      <c r="C11">
        <v>1.77</v>
      </c>
      <c r="E11">
        <v>1.77</v>
      </c>
      <c r="J11" t="s">
        <v>95</v>
      </c>
      <c r="K11">
        <v>0.82</v>
      </c>
      <c r="L11">
        <v>0.77</v>
      </c>
      <c r="M11">
        <v>0.82</v>
      </c>
      <c r="N11">
        <v>0.79</v>
      </c>
    </row>
    <row r="12" spans="1:14" x14ac:dyDescent="0.25">
      <c r="A12" s="56" t="s">
        <v>97</v>
      </c>
      <c r="B12" s="56"/>
      <c r="C12" s="58">
        <f>AVERAGE(C8:C11)</f>
        <v>1.37375</v>
      </c>
      <c r="D12" s="56"/>
      <c r="E12" s="57">
        <f>AVERAGE(E8:E11)</f>
        <v>1.7549999999999999</v>
      </c>
      <c r="J12" s="56" t="s">
        <v>108</v>
      </c>
      <c r="K12" s="17">
        <f>AVERAGE(K8:K11)</f>
        <v>0.78999999999999992</v>
      </c>
      <c r="L12" s="17">
        <f t="shared" ref="L12:N12" si="0">AVERAGE(L8:L11)</f>
        <v>0.82250000000000001</v>
      </c>
      <c r="M12" s="17">
        <f t="shared" si="0"/>
        <v>0.78999999999999992</v>
      </c>
      <c r="N12" s="17">
        <f t="shared" si="0"/>
        <v>0.8175</v>
      </c>
    </row>
    <row r="13" spans="1:14" x14ac:dyDescent="0.25">
      <c r="A13">
        <v>2019</v>
      </c>
    </row>
    <row r="14" spans="1:14" x14ac:dyDescent="0.25">
      <c r="B14" t="s">
        <v>92</v>
      </c>
      <c r="C14">
        <v>1.81</v>
      </c>
      <c r="E14">
        <v>1.57</v>
      </c>
      <c r="G14">
        <f>1.63*4</f>
        <v>6.52</v>
      </c>
    </row>
    <row r="15" spans="1:14" x14ac:dyDescent="0.25">
      <c r="B15" t="s">
        <v>93</v>
      </c>
      <c r="C15">
        <v>1.52</v>
      </c>
      <c r="E15">
        <v>1.42</v>
      </c>
      <c r="G15">
        <f>1.76*2</f>
        <v>3.52</v>
      </c>
      <c r="I15" t="s">
        <v>105</v>
      </c>
      <c r="K15">
        <v>2018</v>
      </c>
      <c r="L15">
        <v>2019</v>
      </c>
      <c r="M15">
        <v>2020</v>
      </c>
      <c r="N15">
        <v>2021</v>
      </c>
    </row>
    <row r="16" spans="1:14" x14ac:dyDescent="0.25">
      <c r="B16" t="s">
        <v>94</v>
      </c>
      <c r="C16">
        <v>1.6</v>
      </c>
      <c r="E16">
        <v>1.45</v>
      </c>
      <c r="J16" t="s">
        <v>92</v>
      </c>
      <c r="K16">
        <v>5.31</v>
      </c>
      <c r="L16">
        <v>4.8899999999999997</v>
      </c>
      <c r="M16">
        <v>5.0199999999999996</v>
      </c>
      <c r="N16">
        <v>4.63</v>
      </c>
    </row>
    <row r="17" spans="1:14" x14ac:dyDescent="0.25">
      <c r="B17" t="s">
        <v>95</v>
      </c>
      <c r="C17">
        <v>1.73</v>
      </c>
      <c r="E17">
        <v>1.54</v>
      </c>
      <c r="G17">
        <f>6.23/1.88</f>
        <v>3.313829787234043</v>
      </c>
      <c r="J17" t="s">
        <v>93</v>
      </c>
      <c r="K17">
        <v>5.19</v>
      </c>
      <c r="L17">
        <v>4.9400000000000004</v>
      </c>
      <c r="M17">
        <v>4.92</v>
      </c>
      <c r="N17">
        <v>4.9400000000000004</v>
      </c>
    </row>
    <row r="18" spans="1:14" x14ac:dyDescent="0.25">
      <c r="A18" s="56" t="s">
        <v>97</v>
      </c>
      <c r="B18" s="56"/>
      <c r="C18" s="57">
        <f>AVERAGE(C14:C17)</f>
        <v>1.665</v>
      </c>
      <c r="D18" s="56"/>
      <c r="E18" s="57">
        <f>AVERAGE(E14:E17)</f>
        <v>1.4950000000000001</v>
      </c>
      <c r="G18">
        <f>2.65/1.67</f>
        <v>1.5868263473053892</v>
      </c>
      <c r="J18" t="s">
        <v>94</v>
      </c>
      <c r="K18">
        <v>4.87</v>
      </c>
      <c r="L18">
        <v>5.0199999999999996</v>
      </c>
      <c r="M18">
        <v>4.8499999999999996</v>
      </c>
      <c r="N18">
        <v>5.38</v>
      </c>
    </row>
    <row r="19" spans="1:14" x14ac:dyDescent="0.25">
      <c r="A19">
        <v>2018</v>
      </c>
      <c r="G19">
        <f>3.94/1.37</f>
        <v>2.8759124087591239</v>
      </c>
      <c r="J19" t="s">
        <v>95</v>
      </c>
      <c r="K19">
        <v>4.9400000000000004</v>
      </c>
      <c r="L19">
        <v>5.05</v>
      </c>
      <c r="M19">
        <v>4.8899999999999997</v>
      </c>
      <c r="N19">
        <v>5.27</v>
      </c>
    </row>
    <row r="20" spans="1:14" x14ac:dyDescent="0.25">
      <c r="B20" t="s">
        <v>92</v>
      </c>
      <c r="C20">
        <v>2.09</v>
      </c>
      <c r="E20">
        <v>1.75</v>
      </c>
      <c r="G20">
        <f>5.49/2.26</f>
        <v>2.4292035398230092</v>
      </c>
      <c r="J20" s="56" t="s">
        <v>108</v>
      </c>
      <c r="K20" s="17">
        <f>AVERAGE(K16:K19)</f>
        <v>5.0775000000000006</v>
      </c>
      <c r="L20" s="17">
        <f t="shared" ref="L20" si="1">AVERAGE(L16:L19)</f>
        <v>4.9749999999999996</v>
      </c>
      <c r="M20" s="17">
        <f t="shared" ref="M20" si="2">AVERAGE(M16:M19)</f>
        <v>4.92</v>
      </c>
      <c r="N20" s="17">
        <f t="shared" ref="N20" si="3">AVERAGE(N16:N19)</f>
        <v>5.0549999999999997</v>
      </c>
    </row>
    <row r="21" spans="1:14" x14ac:dyDescent="0.25">
      <c r="B21" t="s">
        <v>93</v>
      </c>
      <c r="C21">
        <v>1.75</v>
      </c>
      <c r="E21">
        <v>1.51</v>
      </c>
    </row>
    <row r="22" spans="1:14" x14ac:dyDescent="0.25">
      <c r="B22" t="s">
        <v>94</v>
      </c>
      <c r="C22">
        <v>1.71</v>
      </c>
      <c r="E22">
        <v>1.54</v>
      </c>
      <c r="I22" t="s">
        <v>110</v>
      </c>
    </row>
    <row r="23" spans="1:14" x14ac:dyDescent="0.25">
      <c r="B23" t="s">
        <v>95</v>
      </c>
      <c r="C23">
        <v>1.96</v>
      </c>
      <c r="E23">
        <v>1.73</v>
      </c>
      <c r="J23" t="s">
        <v>92</v>
      </c>
      <c r="K23">
        <v>82</v>
      </c>
      <c r="L23">
        <v>86</v>
      </c>
      <c r="M23">
        <v>82</v>
      </c>
      <c r="N23">
        <v>76</v>
      </c>
    </row>
    <row r="24" spans="1:14" x14ac:dyDescent="0.25">
      <c r="A24" s="56" t="s">
        <v>97</v>
      </c>
      <c r="B24" s="56"/>
      <c r="C24" s="57">
        <f>AVERAGE(C20:C23)</f>
        <v>1.8774999999999999</v>
      </c>
      <c r="D24" s="56"/>
      <c r="E24" s="57">
        <f>AVERAGE(E20:E23)</f>
        <v>1.6324999999999998</v>
      </c>
      <c r="J24" t="s">
        <v>93</v>
      </c>
      <c r="K24">
        <v>83</v>
      </c>
      <c r="L24">
        <v>81</v>
      </c>
      <c r="M24">
        <v>86</v>
      </c>
      <c r="N24">
        <v>72</v>
      </c>
    </row>
    <row r="25" spans="1:14" x14ac:dyDescent="0.25">
      <c r="J25" t="s">
        <v>94</v>
      </c>
      <c r="K25">
        <v>79</v>
      </c>
      <c r="L25">
        <v>80</v>
      </c>
      <c r="M25">
        <v>91</v>
      </c>
      <c r="N25">
        <v>76</v>
      </c>
    </row>
    <row r="26" spans="1:14" x14ac:dyDescent="0.25">
      <c r="J26" t="s">
        <v>95</v>
      </c>
      <c r="K26">
        <v>76</v>
      </c>
      <c r="L26">
        <v>86</v>
      </c>
      <c r="M26">
        <v>79</v>
      </c>
      <c r="N26">
        <v>77</v>
      </c>
    </row>
    <row r="27" spans="1:14" x14ac:dyDescent="0.25">
      <c r="B27">
        <v>2018</v>
      </c>
      <c r="C27">
        <v>2019</v>
      </c>
      <c r="D27">
        <v>2020</v>
      </c>
      <c r="E27">
        <v>2021</v>
      </c>
      <c r="J27" s="56" t="s">
        <v>108</v>
      </c>
      <c r="K27" s="8">
        <f>AVERAGE(K23:K26)</f>
        <v>80</v>
      </c>
      <c r="L27" s="8">
        <f t="shared" ref="L27:N27" si="4">AVERAGE(L23:L26)</f>
        <v>83.25</v>
      </c>
      <c r="M27" s="8">
        <f t="shared" si="4"/>
        <v>84.5</v>
      </c>
      <c r="N27" s="8">
        <f t="shared" si="4"/>
        <v>75.25</v>
      </c>
    </row>
    <row r="28" spans="1:14" ht="15.75" thickBot="1" x14ac:dyDescent="0.3">
      <c r="A28" t="s">
        <v>92</v>
      </c>
      <c r="B28">
        <v>0.51</v>
      </c>
      <c r="C28">
        <v>0.38</v>
      </c>
      <c r="D28">
        <v>0.87</v>
      </c>
      <c r="E28">
        <v>0.89</v>
      </c>
    </row>
    <row r="29" spans="1:14" ht="16.5" thickBot="1" x14ac:dyDescent="0.3">
      <c r="A29" t="s">
        <v>93</v>
      </c>
      <c r="B29">
        <v>0.37</v>
      </c>
      <c r="C29">
        <v>0.36</v>
      </c>
      <c r="D29">
        <v>0.62</v>
      </c>
      <c r="E29">
        <v>0.86</v>
      </c>
      <c r="I29" t="s">
        <v>111</v>
      </c>
      <c r="J29" s="59"/>
      <c r="K29">
        <v>2019</v>
      </c>
      <c r="L29" s="46">
        <v>7.1124999999999994E-2</v>
      </c>
    </row>
    <row r="30" spans="1:14" ht="16.5" thickBot="1" x14ac:dyDescent="0.3">
      <c r="A30" t="s">
        <v>94</v>
      </c>
      <c r="B30">
        <v>0.5</v>
      </c>
      <c r="C30">
        <v>0.28999999999999998</v>
      </c>
      <c r="D30">
        <v>0.64</v>
      </c>
      <c r="E30">
        <v>0.79</v>
      </c>
      <c r="J30" s="60"/>
      <c r="K30">
        <v>2020</v>
      </c>
      <c r="L30" s="46">
        <v>0.11304999999999998</v>
      </c>
    </row>
    <row r="31" spans="1:14" ht="16.5" thickBot="1" x14ac:dyDescent="0.3">
      <c r="A31" t="s">
        <v>95</v>
      </c>
      <c r="B31">
        <v>0.56000000000000005</v>
      </c>
      <c r="C31">
        <v>0.54</v>
      </c>
      <c r="D31">
        <v>0.48</v>
      </c>
      <c r="E31">
        <v>0.88</v>
      </c>
      <c r="J31" s="60"/>
      <c r="K31">
        <v>2021</v>
      </c>
      <c r="L31" s="46">
        <v>0.11435000000000001</v>
      </c>
    </row>
    <row r="32" spans="1:14" ht="16.5" thickBot="1" x14ac:dyDescent="0.3">
      <c r="B32" s="57">
        <f>AVERAGE(B28:B31)</f>
        <v>0.48499999999999999</v>
      </c>
      <c r="C32" s="57">
        <f t="shared" ref="C32:E32" si="5">AVERAGE(C28:C31)</f>
        <v>0.39250000000000002</v>
      </c>
      <c r="D32" s="57">
        <f t="shared" si="5"/>
        <v>0.65249999999999997</v>
      </c>
      <c r="E32" s="57">
        <f t="shared" si="5"/>
        <v>0.85499999999999998</v>
      </c>
      <c r="I32" t="s">
        <v>113</v>
      </c>
      <c r="J32" s="60"/>
      <c r="K32" t="s">
        <v>111</v>
      </c>
    </row>
    <row r="33" spans="1:14" ht="16.5" thickBot="1" x14ac:dyDescent="0.3">
      <c r="A33" t="s">
        <v>98</v>
      </c>
      <c r="I33" t="s">
        <v>92</v>
      </c>
      <c r="J33" s="60">
        <v>7.6300000000000007E-2</v>
      </c>
      <c r="K33">
        <v>2018</v>
      </c>
      <c r="L33">
        <v>2019</v>
      </c>
      <c r="M33">
        <v>2020</v>
      </c>
      <c r="N33">
        <v>2021</v>
      </c>
    </row>
    <row r="34" spans="1:14" ht="16.5" thickBot="1" x14ac:dyDescent="0.3">
      <c r="A34" t="s">
        <v>103</v>
      </c>
      <c r="I34" t="s">
        <v>93</v>
      </c>
      <c r="J34" s="60">
        <v>8.4099999999999994E-2</v>
      </c>
      <c r="K34" s="2">
        <f>AVERAGE(J33:J36)</f>
        <v>8.3949999999999997E-2</v>
      </c>
      <c r="L34" s="2">
        <v>7.1124999999999994E-2</v>
      </c>
      <c r="M34" s="2">
        <v>0.11304999999999998</v>
      </c>
      <c r="N34" s="2">
        <v>0.11435000000000001</v>
      </c>
    </row>
    <row r="35" spans="1:14" ht="16.5" thickBot="1" x14ac:dyDescent="0.3">
      <c r="A35" t="s">
        <v>92</v>
      </c>
      <c r="B35">
        <v>0.35</v>
      </c>
      <c r="C35">
        <v>0.41</v>
      </c>
      <c r="D35">
        <v>0.36</v>
      </c>
      <c r="E35">
        <v>0.42</v>
      </c>
      <c r="I35" t="s">
        <v>94</v>
      </c>
      <c r="J35" s="61">
        <v>8.5900000000000004E-2</v>
      </c>
    </row>
    <row r="36" spans="1:14" ht="16.5" thickBot="1" x14ac:dyDescent="0.3">
      <c r="A36" t="s">
        <v>93</v>
      </c>
      <c r="B36">
        <v>0.36</v>
      </c>
      <c r="C36">
        <v>0.36</v>
      </c>
      <c r="D36">
        <v>0.43</v>
      </c>
      <c r="E36">
        <v>0.37</v>
      </c>
      <c r="I36" t="s">
        <v>95</v>
      </c>
      <c r="J36" s="60">
        <v>8.9499999999999996E-2</v>
      </c>
      <c r="K36" t="s">
        <v>112</v>
      </c>
    </row>
    <row r="37" spans="1:14" ht="16.5" thickBot="1" x14ac:dyDescent="0.3">
      <c r="A37" t="s">
        <v>94</v>
      </c>
      <c r="B37">
        <v>0.35</v>
      </c>
      <c r="C37">
        <v>0.41</v>
      </c>
      <c r="D37">
        <v>0.38</v>
      </c>
      <c r="E37">
        <v>0.4</v>
      </c>
      <c r="J37" s="60"/>
      <c r="K37" s="2">
        <v>4.19E-2</v>
      </c>
      <c r="L37" s="2">
        <v>2.93E-2</v>
      </c>
      <c r="M37" s="2">
        <v>3.9300000000000002E-2</v>
      </c>
      <c r="N37" s="2">
        <v>6.8699999999999997E-2</v>
      </c>
    </row>
    <row r="38" spans="1:14" ht="16.5" thickBot="1" x14ac:dyDescent="0.3">
      <c r="A38" t="s">
        <v>95</v>
      </c>
      <c r="B38">
        <v>0.31</v>
      </c>
      <c r="C38">
        <v>0.4</v>
      </c>
      <c r="D38">
        <v>0.39</v>
      </c>
      <c r="E38">
        <v>0.42</v>
      </c>
      <c r="J38" s="60"/>
      <c r="K38" s="2">
        <v>3.78E-2</v>
      </c>
      <c r="L38" s="2">
        <v>2.7900000000000001E-2</v>
      </c>
      <c r="M38" s="2">
        <v>3.2599999999999997E-2</v>
      </c>
      <c r="N38" s="2">
        <v>7.5800000000000006E-2</v>
      </c>
    </row>
    <row r="39" spans="1:14" ht="16.5" thickBot="1" x14ac:dyDescent="0.3">
      <c r="B39" s="58">
        <f>AVERAGE(B35:B38)</f>
        <v>0.34250000000000003</v>
      </c>
      <c r="C39" s="58">
        <f t="shared" ref="C39" si="6">AVERAGE(C35:C38)</f>
        <v>0.39500000000000002</v>
      </c>
      <c r="D39" s="58">
        <f t="shared" ref="D39" si="7">AVERAGE(D35:D38)</f>
        <v>0.39</v>
      </c>
      <c r="E39" s="58">
        <f t="shared" ref="E39" si="8">AVERAGE(E35:E38)</f>
        <v>0.40249999999999997</v>
      </c>
      <c r="J39" s="60"/>
      <c r="K39" s="2">
        <v>3.9300000000000002E-2</v>
      </c>
      <c r="L39" s="2">
        <v>3.5000000000000003E-2</v>
      </c>
      <c r="M39" s="2">
        <v>4.3499999999999997E-2</v>
      </c>
      <c r="N39" s="2">
        <v>8.9800000000000005E-2</v>
      </c>
    </row>
    <row r="40" spans="1:14" ht="16.5" thickBot="1" x14ac:dyDescent="0.3">
      <c r="A40" t="s">
        <v>71</v>
      </c>
      <c r="J40" s="60"/>
      <c r="K40" s="2">
        <v>4.4400000000000002E-2</v>
      </c>
      <c r="L40" s="2">
        <v>0.04</v>
      </c>
      <c r="M40" s="2">
        <v>6.4600000000000005E-2</v>
      </c>
      <c r="N40" s="2">
        <v>4.6399999999999997E-2</v>
      </c>
    </row>
    <row r="41" spans="1:14" x14ac:dyDescent="0.25">
      <c r="A41" t="s">
        <v>92</v>
      </c>
      <c r="K41" s="2">
        <f>AVERAGE(K37:K40)</f>
        <v>4.0849999999999997E-2</v>
      </c>
      <c r="L41" s="2">
        <f t="shared" ref="L41:N41" si="9">AVERAGE(L37:L40)</f>
        <v>3.3050000000000003E-2</v>
      </c>
      <c r="M41" s="2">
        <f t="shared" si="9"/>
        <v>4.4999999999999998E-2</v>
      </c>
      <c r="N41" s="2">
        <f t="shared" si="9"/>
        <v>7.0175000000000001E-2</v>
      </c>
    </row>
    <row r="42" spans="1:14" x14ac:dyDescent="0.25">
      <c r="A42" t="s">
        <v>93</v>
      </c>
      <c r="I42" t="s">
        <v>126</v>
      </c>
    </row>
    <row r="43" spans="1:14" x14ac:dyDescent="0.25">
      <c r="A43" t="s">
        <v>94</v>
      </c>
      <c r="K43" s="24">
        <v>5.3800000000000001E-2</v>
      </c>
      <c r="L43" s="2">
        <v>3.1200000000000002E-2</v>
      </c>
      <c r="M43" s="2">
        <v>8.929999999999999E-2</v>
      </c>
      <c r="N43" s="2">
        <v>4.3799999999999999E-2</v>
      </c>
    </row>
    <row r="44" spans="1:14" x14ac:dyDescent="0.25">
      <c r="A44" t="s">
        <v>95</v>
      </c>
      <c r="G44">
        <f>1.24/1.12</f>
        <v>1.107142857142857</v>
      </c>
      <c r="K44" s="24">
        <v>4.5700000000000005E-2</v>
      </c>
      <c r="L44" s="2">
        <v>3.2400000000000005E-2</v>
      </c>
      <c r="M44" s="2">
        <v>3.61E-2</v>
      </c>
      <c r="N44" s="2">
        <v>8.6400000000000005E-2</v>
      </c>
    </row>
    <row r="45" spans="1:14" x14ac:dyDescent="0.25">
      <c r="K45" s="24">
        <v>4.8899999999999999E-2</v>
      </c>
      <c r="L45" s="2">
        <v>2.75E-2</v>
      </c>
      <c r="M45" s="2">
        <v>2.9700000000000001E-2</v>
      </c>
      <c r="N45" s="2">
        <v>6.9099999999999995E-2</v>
      </c>
    </row>
    <row r="46" spans="1:14" x14ac:dyDescent="0.25">
      <c r="K46" s="24">
        <v>4.53E-2</v>
      </c>
      <c r="L46" s="2">
        <v>3.8300000000000001E-2</v>
      </c>
      <c r="M46" s="2">
        <v>3.6900000000000002E-2</v>
      </c>
      <c r="N46" s="2">
        <v>0.1018</v>
      </c>
    </row>
    <row r="47" spans="1:14" x14ac:dyDescent="0.25">
      <c r="K47" s="46">
        <f>AVERAGE(K43:K46)</f>
        <v>4.8425000000000003E-2</v>
      </c>
      <c r="L47" s="46">
        <f t="shared" ref="L47:N47" si="10">AVERAGE(L43:L46)</f>
        <v>3.2350000000000004E-2</v>
      </c>
      <c r="M47" s="46">
        <f t="shared" si="10"/>
        <v>4.8000000000000001E-2</v>
      </c>
      <c r="N47" s="46">
        <f t="shared" si="10"/>
        <v>7.5275000000000009E-2</v>
      </c>
    </row>
    <row r="49" spans="9:14" x14ac:dyDescent="0.25">
      <c r="I49" t="s">
        <v>126</v>
      </c>
      <c r="K49">
        <v>2018</v>
      </c>
      <c r="L49">
        <v>2019</v>
      </c>
      <c r="M49">
        <v>2020</v>
      </c>
      <c r="N49">
        <v>2021</v>
      </c>
    </row>
    <row r="50" spans="9:14" x14ac:dyDescent="0.25">
      <c r="J50" t="s">
        <v>92</v>
      </c>
      <c r="K50" s="46">
        <v>5.3800000000000001E-2</v>
      </c>
      <c r="L50" s="46">
        <v>3.1200000000000002E-2</v>
      </c>
      <c r="M50" s="46">
        <v>8.929999999999999E-2</v>
      </c>
      <c r="N50" s="46">
        <v>4.3799999999999999E-2</v>
      </c>
    </row>
    <row r="51" spans="9:14" x14ac:dyDescent="0.25">
      <c r="J51" t="s">
        <v>93</v>
      </c>
      <c r="K51" s="46">
        <v>4.5700000000000005E-2</v>
      </c>
      <c r="L51" s="46">
        <v>3.2400000000000005E-2</v>
      </c>
      <c r="M51" s="46">
        <v>3.61E-2</v>
      </c>
      <c r="N51" s="46">
        <v>8.6400000000000005E-2</v>
      </c>
    </row>
    <row r="52" spans="9:14" x14ac:dyDescent="0.25">
      <c r="J52" t="s">
        <v>94</v>
      </c>
      <c r="K52" s="46">
        <v>4.8899999999999999E-2</v>
      </c>
      <c r="L52" s="46">
        <v>2.75E-2</v>
      </c>
      <c r="M52" s="46">
        <v>2.9700000000000001E-2</v>
      </c>
      <c r="N52" s="46">
        <v>6.9099999999999995E-2</v>
      </c>
    </row>
    <row r="53" spans="9:14" x14ac:dyDescent="0.25">
      <c r="J53" t="s">
        <v>95</v>
      </c>
      <c r="K53" s="46">
        <v>4.53E-2</v>
      </c>
      <c r="L53" s="46">
        <v>3.8300000000000001E-2</v>
      </c>
      <c r="M53" s="46">
        <v>3.6900000000000002E-2</v>
      </c>
      <c r="N53" s="46">
        <v>0.1018</v>
      </c>
    </row>
    <row r="54" spans="9:14" x14ac:dyDescent="0.25">
      <c r="J54" t="s">
        <v>127</v>
      </c>
      <c r="K54" s="15">
        <f>AVERAGE(K50:K53)</f>
        <v>4.8425000000000003E-2</v>
      </c>
      <c r="L54" s="15">
        <f t="shared" ref="L54:N54" si="11">AVERAGE(L50:L53)</f>
        <v>3.2350000000000004E-2</v>
      </c>
      <c r="M54" s="15">
        <f t="shared" si="11"/>
        <v>4.8000000000000001E-2</v>
      </c>
      <c r="N54" s="15">
        <f t="shared" si="11"/>
        <v>7.5275000000000009E-2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6"/>
  <sheetViews>
    <sheetView topLeftCell="V30" zoomScaleNormal="100" workbookViewId="0">
      <selection activeCell="AE24" sqref="AE24"/>
    </sheetView>
  </sheetViews>
  <sheetFormatPr defaultRowHeight="15" x14ac:dyDescent="0.25"/>
  <cols>
    <col min="1" max="1" width="39.28515625" customWidth="1"/>
    <col min="2" max="6" width="9.140625" customWidth="1"/>
    <col min="7" max="7" width="25.42578125" customWidth="1"/>
    <col min="8" max="8" width="27.140625" customWidth="1"/>
    <col min="9" max="10" width="27" customWidth="1"/>
    <col min="11" max="11" width="17.7109375" customWidth="1"/>
    <col min="12" max="12" width="29.5703125" customWidth="1"/>
    <col min="13" max="16" width="10.7109375" bestFit="1" customWidth="1"/>
    <col min="18" max="18" width="10.28515625" bestFit="1" customWidth="1"/>
    <col min="19" max="19" width="13.140625" customWidth="1"/>
    <col min="20" max="20" width="12.85546875" customWidth="1"/>
    <col min="21" max="21" width="11.7109375" bestFit="1" customWidth="1"/>
    <col min="22" max="22" width="14.28515625" customWidth="1"/>
    <col min="23" max="23" width="47.5703125" customWidth="1"/>
    <col min="24" max="27" width="9.140625" hidden="1" customWidth="1"/>
    <col min="28" max="28" width="9.140625" customWidth="1"/>
    <col min="29" max="29" width="17.7109375" customWidth="1"/>
    <col min="33" max="33" width="12" customWidth="1"/>
    <col min="34" max="34" width="22" customWidth="1"/>
    <col min="35" max="35" width="13.7109375" customWidth="1"/>
    <col min="36" max="36" width="13" customWidth="1"/>
    <col min="37" max="37" width="12.5703125" customWidth="1"/>
    <col min="38" max="42" width="12.5703125" bestFit="1" customWidth="1"/>
  </cols>
  <sheetData>
    <row r="1" spans="1:11" hidden="1" x14ac:dyDescent="0.25">
      <c r="A1" t="s">
        <v>9</v>
      </c>
    </row>
    <row r="2" spans="1:11" hidden="1" x14ac:dyDescent="0.25">
      <c r="A2" t="s">
        <v>0</v>
      </c>
    </row>
    <row r="3" spans="1:11" hidden="1" x14ac:dyDescent="0.25">
      <c r="G3" t="s">
        <v>5</v>
      </c>
      <c r="H3" t="s">
        <v>6</v>
      </c>
      <c r="I3" t="s">
        <v>7</v>
      </c>
      <c r="J3" t="s">
        <v>23</v>
      </c>
      <c r="K3" t="s">
        <v>8</v>
      </c>
    </row>
    <row r="4" spans="1:11" hidden="1" x14ac:dyDescent="0.25">
      <c r="B4">
        <v>2018</v>
      </c>
      <c r="C4">
        <v>2019</v>
      </c>
      <c r="D4">
        <v>2020</v>
      </c>
      <c r="E4">
        <v>2021</v>
      </c>
    </row>
    <row r="5" spans="1:11" hidden="1" x14ac:dyDescent="0.25">
      <c r="A5" t="s">
        <v>0</v>
      </c>
      <c r="B5" s="1">
        <v>396431</v>
      </c>
      <c r="C5" s="1">
        <v>679097</v>
      </c>
      <c r="D5" s="1">
        <v>759999</v>
      </c>
      <c r="E5" s="1">
        <v>905846</v>
      </c>
      <c r="G5" s="3">
        <f>C5/B5</f>
        <v>1.7130269832581206</v>
      </c>
      <c r="H5" s="3">
        <f>D5/C5</f>
        <v>1.1191317293405803</v>
      </c>
      <c r="I5" s="3">
        <f>E5/D5</f>
        <v>1.1919041998739472</v>
      </c>
      <c r="J5" s="3">
        <f>E5/C5</f>
        <v>1.3338978084132311</v>
      </c>
      <c r="K5" s="3">
        <f>E5/B5</f>
        <v>2.2850029387207358</v>
      </c>
    </row>
    <row r="6" spans="1:11" hidden="1" x14ac:dyDescent="0.25">
      <c r="A6" t="s">
        <v>1</v>
      </c>
      <c r="B6" s="1">
        <v>19241</v>
      </c>
      <c r="C6" s="1">
        <v>105267</v>
      </c>
      <c r="D6" s="1">
        <v>105349</v>
      </c>
      <c r="E6" s="1">
        <v>115234</v>
      </c>
      <c r="G6" s="3">
        <f t="shared" ref="G6:G8" si="0">C6/B6</f>
        <v>5.4709734421287877</v>
      </c>
      <c r="H6" s="3">
        <f t="shared" ref="H6:H8" si="1">D6/C6</f>
        <v>1.0007789715675377</v>
      </c>
      <c r="I6" s="3">
        <f t="shared" ref="I6:I8" si="2">E6/D6</f>
        <v>1.093830980835129</v>
      </c>
      <c r="J6" s="3">
        <f t="shared" ref="J6:J20" si="3">E6/C6</f>
        <v>1.0946830440688915</v>
      </c>
      <c r="K6" s="3">
        <f t="shared" ref="K6:K8" si="4">E6/B6</f>
        <v>5.9889818616496022</v>
      </c>
    </row>
    <row r="7" spans="1:11" hidden="1" x14ac:dyDescent="0.25">
      <c r="A7" t="s">
        <v>2</v>
      </c>
      <c r="B7" s="1">
        <v>50210</v>
      </c>
      <c r="C7" s="1">
        <v>59763</v>
      </c>
      <c r="D7" s="1">
        <v>59790</v>
      </c>
      <c r="E7" s="1">
        <v>58393</v>
      </c>
      <c r="G7" s="3">
        <f t="shared" si="0"/>
        <v>1.1902609042023502</v>
      </c>
      <c r="H7" s="3">
        <f t="shared" si="1"/>
        <v>1.0004517845489684</v>
      </c>
      <c r="I7" s="3">
        <f t="shared" si="2"/>
        <v>0.97663488877738758</v>
      </c>
      <c r="J7" s="3">
        <f t="shared" si="3"/>
        <v>0.97707611733012067</v>
      </c>
      <c r="K7" s="3">
        <f t="shared" si="4"/>
        <v>1.162975502887871</v>
      </c>
    </row>
    <row r="8" spans="1:11" hidden="1" x14ac:dyDescent="0.25">
      <c r="A8" t="s">
        <v>3</v>
      </c>
      <c r="B8" s="1">
        <v>242816</v>
      </c>
      <c r="C8" s="1">
        <v>385848</v>
      </c>
      <c r="D8" s="1">
        <v>406798</v>
      </c>
      <c r="E8" s="1">
        <v>350195</v>
      </c>
      <c r="G8" s="3">
        <f t="shared" si="0"/>
        <v>1.5890550869794413</v>
      </c>
      <c r="H8" s="3">
        <f t="shared" si="1"/>
        <v>1.0542959922041841</v>
      </c>
      <c r="I8" s="3">
        <f t="shared" si="2"/>
        <v>0.86085723135315317</v>
      </c>
      <c r="J8" s="3">
        <f t="shared" si="3"/>
        <v>0.90759832887561942</v>
      </c>
      <c r="K8" s="3">
        <f t="shared" si="4"/>
        <v>1.442223741433843</v>
      </c>
    </row>
    <row r="9" spans="1:11" hidden="1" x14ac:dyDescent="0.25">
      <c r="A9" t="s">
        <v>19</v>
      </c>
      <c r="J9" s="3" t="e">
        <f t="shared" si="3"/>
        <v>#DIV/0!</v>
      </c>
    </row>
    <row r="10" spans="1:11" hidden="1" x14ac:dyDescent="0.25">
      <c r="A10" t="s">
        <v>44</v>
      </c>
      <c r="J10" s="3" t="e">
        <f t="shared" si="3"/>
        <v>#DIV/0!</v>
      </c>
    </row>
    <row r="11" spans="1:11" hidden="1" x14ac:dyDescent="0.25">
      <c r="A11" t="s">
        <v>20</v>
      </c>
      <c r="J11" s="3"/>
    </row>
    <row r="12" spans="1:11" hidden="1" x14ac:dyDescent="0.25">
      <c r="A12" t="s">
        <v>45</v>
      </c>
      <c r="J12" s="3"/>
    </row>
    <row r="13" spans="1:11" hidden="1" x14ac:dyDescent="0.25">
      <c r="A13" t="s">
        <v>21</v>
      </c>
      <c r="J13" s="3"/>
    </row>
    <row r="14" spans="1:11" hidden="1" x14ac:dyDescent="0.25">
      <c r="A14" t="s">
        <v>46</v>
      </c>
      <c r="J14" s="3"/>
    </row>
    <row r="15" spans="1:11" hidden="1" x14ac:dyDescent="0.25">
      <c r="A15" t="s">
        <v>4</v>
      </c>
      <c r="B15" s="1">
        <v>730407</v>
      </c>
      <c r="C15" s="1">
        <v>725011</v>
      </c>
      <c r="D15" s="1">
        <v>2130300</v>
      </c>
      <c r="E15" s="1">
        <v>1252889</v>
      </c>
      <c r="G15" s="3">
        <f t="shared" ref="G15:I16" si="5">C15/B15</f>
        <v>0.99261233805261995</v>
      </c>
      <c r="H15" s="3">
        <f t="shared" si="5"/>
        <v>2.9383002464790189</v>
      </c>
      <c r="I15" s="3">
        <f t="shared" si="5"/>
        <v>0.58812796319767169</v>
      </c>
      <c r="J15" s="3">
        <f t="shared" si="3"/>
        <v>1.7280965392249221</v>
      </c>
      <c r="K15" s="3">
        <f>E15/B15</f>
        <v>1.715329946180691</v>
      </c>
    </row>
    <row r="16" spans="1:11" hidden="1" x14ac:dyDescent="0.25">
      <c r="A16" s="4" t="s">
        <v>13</v>
      </c>
      <c r="B16" s="5">
        <f>B5+B15</f>
        <v>1126838</v>
      </c>
      <c r="C16" s="5">
        <f t="shared" ref="C16:E16" si="6">C5+C15</f>
        <v>1404108</v>
      </c>
      <c r="D16" s="5">
        <f t="shared" si="6"/>
        <v>2890299</v>
      </c>
      <c r="E16" s="5">
        <f t="shared" si="6"/>
        <v>2158735</v>
      </c>
      <c r="F16" s="4"/>
      <c r="G16" s="6">
        <f t="shared" si="5"/>
        <v>1.2460602145117576</v>
      </c>
      <c r="H16" s="6">
        <f t="shared" si="5"/>
        <v>2.058459178353802</v>
      </c>
      <c r="I16" s="6">
        <f t="shared" si="5"/>
        <v>0.74688985464825608</v>
      </c>
      <c r="J16" s="3">
        <f t="shared" si="3"/>
        <v>1.5374422765200397</v>
      </c>
      <c r="K16" s="6">
        <f>E16/B16</f>
        <v>1.9157456528800059</v>
      </c>
    </row>
    <row r="17" spans="1:43" hidden="1" x14ac:dyDescent="0.25">
      <c r="A17" t="s">
        <v>15</v>
      </c>
      <c r="B17" s="1">
        <v>1002864</v>
      </c>
      <c r="C17" s="1">
        <v>1105651</v>
      </c>
      <c r="D17" s="1">
        <v>2183177</v>
      </c>
      <c r="E17" s="1">
        <v>1894356</v>
      </c>
      <c r="G17" s="2">
        <f t="shared" ref="G17:G20" si="7">C17/B17</f>
        <v>1.1024934587341852</v>
      </c>
      <c r="H17" s="2">
        <f t="shared" ref="H17:H20" si="8">D17/C17</f>
        <v>1.9745624975693052</v>
      </c>
      <c r="I17" s="2">
        <f t="shared" ref="I17:I20" si="9">E17/D17</f>
        <v>0.86770609987188396</v>
      </c>
      <c r="J17" s="3">
        <f t="shared" si="3"/>
        <v>1.7133399237191482</v>
      </c>
      <c r="K17" s="2">
        <f t="shared" ref="K17:K19" si="10">E17/B17</f>
        <v>1.888946058488489</v>
      </c>
    </row>
    <row r="18" spans="1:43" hidden="1" x14ac:dyDescent="0.25">
      <c r="A18" t="s">
        <v>16</v>
      </c>
      <c r="B18" s="1">
        <v>6691</v>
      </c>
      <c r="C18" s="1">
        <v>25158</v>
      </c>
      <c r="D18" s="1">
        <v>166153</v>
      </c>
      <c r="E18" s="1">
        <v>36112</v>
      </c>
      <c r="G18" s="2">
        <f t="shared" si="7"/>
        <v>3.759976087281423</v>
      </c>
      <c r="H18" s="2">
        <f t="shared" si="8"/>
        <v>6.6043803164003494</v>
      </c>
      <c r="I18" s="2">
        <f t="shared" si="9"/>
        <v>0.21734184757422376</v>
      </c>
      <c r="J18" s="3">
        <f t="shared" si="3"/>
        <v>1.4354082200492886</v>
      </c>
      <c r="K18" s="2">
        <f t="shared" si="10"/>
        <v>5.3971005828725156</v>
      </c>
    </row>
    <row r="19" spans="1:43" hidden="1" x14ac:dyDescent="0.25">
      <c r="A19" t="s">
        <v>17</v>
      </c>
      <c r="B19" s="1">
        <v>117283</v>
      </c>
      <c r="C19" s="1">
        <v>273299</v>
      </c>
      <c r="D19" s="1">
        <v>540969</v>
      </c>
      <c r="E19" s="1">
        <v>228267</v>
      </c>
      <c r="G19" s="2">
        <f t="shared" si="7"/>
        <v>2.3302524662568316</v>
      </c>
      <c r="H19" s="2">
        <f t="shared" si="8"/>
        <v>1.9794035104409455</v>
      </c>
      <c r="I19" s="2">
        <f t="shared" si="9"/>
        <v>0.42195948381515391</v>
      </c>
      <c r="J19" s="3">
        <f t="shared" si="3"/>
        <v>0.83522808352756506</v>
      </c>
      <c r="K19" s="2">
        <f t="shared" si="10"/>
        <v>1.9462923015270754</v>
      </c>
    </row>
    <row r="20" spans="1:43" hidden="1" x14ac:dyDescent="0.25">
      <c r="A20" t="s">
        <v>18</v>
      </c>
      <c r="B20" s="1">
        <f>SUM(B17:B19)</f>
        <v>1126838</v>
      </c>
      <c r="C20" s="1">
        <f>SUM(C17:C19)</f>
        <v>1404108</v>
      </c>
      <c r="D20" s="1">
        <f>SUM(D17:D19)</f>
        <v>2890299</v>
      </c>
      <c r="E20" s="1">
        <f>SUM(E17:E19)</f>
        <v>2158735</v>
      </c>
      <c r="G20" s="2">
        <f t="shared" si="7"/>
        <v>1.2460602145117576</v>
      </c>
      <c r="H20" s="2">
        <f t="shared" si="8"/>
        <v>2.058459178353802</v>
      </c>
      <c r="I20" s="2">
        <f t="shared" si="9"/>
        <v>0.74688985464825608</v>
      </c>
      <c r="J20" s="3">
        <f t="shared" si="3"/>
        <v>1.5374422765200397</v>
      </c>
      <c r="K20" s="2">
        <f>E20/B20</f>
        <v>1.9157456528800059</v>
      </c>
    </row>
    <row r="21" spans="1:43" ht="15.75" thickBot="1" x14ac:dyDescent="0.3">
      <c r="A21" s="8"/>
      <c r="B21" s="7"/>
      <c r="C21" s="7"/>
      <c r="D21" s="7"/>
      <c r="E21" s="7"/>
      <c r="G21" s="3"/>
      <c r="H21" s="3"/>
      <c r="I21" s="3"/>
      <c r="J21" s="3"/>
      <c r="K21" s="3"/>
      <c r="AM21" s="43" t="s">
        <v>82</v>
      </c>
      <c r="AN21" s="48">
        <v>2018</v>
      </c>
      <c r="AO21" s="48">
        <v>2019</v>
      </c>
      <c r="AP21" s="48">
        <v>2020</v>
      </c>
      <c r="AQ21" s="48">
        <v>2021</v>
      </c>
    </row>
    <row r="22" spans="1:43" ht="30.75" thickBot="1" x14ac:dyDescent="0.3">
      <c r="A22" s="8"/>
      <c r="B22" s="7"/>
      <c r="C22" s="7"/>
      <c r="D22" s="7"/>
      <c r="E22" s="7"/>
      <c r="G22" s="3"/>
      <c r="H22" s="3"/>
      <c r="I22" s="3"/>
      <c r="J22" s="3"/>
      <c r="K22" s="3"/>
      <c r="AM22" s="49" t="s">
        <v>34</v>
      </c>
      <c r="AN22" s="47">
        <f>AC71/AC$70</f>
        <v>9.5845498492318007E-2</v>
      </c>
      <c r="AO22" s="47">
        <f t="shared" ref="AO22:AQ22" si="11">AD71/AD$70</f>
        <v>8.6935208307142131E-2</v>
      </c>
      <c r="AP22" s="47">
        <f t="shared" si="11"/>
        <v>4.6104827964017575E-2</v>
      </c>
      <c r="AQ22" s="47">
        <f t="shared" si="11"/>
        <v>5.3178494432936575E-2</v>
      </c>
    </row>
    <row r="23" spans="1:43" ht="30.75" thickBot="1" x14ac:dyDescent="0.3">
      <c r="A23" s="8"/>
      <c r="B23" s="7"/>
      <c r="C23" s="7"/>
      <c r="D23" s="7"/>
      <c r="E23" s="7"/>
      <c r="G23" s="3"/>
      <c r="H23" s="3"/>
      <c r="I23" s="3"/>
      <c r="J23" s="3"/>
      <c r="K23" s="3"/>
      <c r="AM23" s="49" t="s">
        <v>35</v>
      </c>
      <c r="AN23" s="47">
        <f>AC72/AC$70</f>
        <v>0.73761148071922011</v>
      </c>
      <c r="AO23" s="47">
        <f t="shared" ref="AO23:AQ23" si="12">AD72/AD$70</f>
        <v>0.70632686082678897</v>
      </c>
      <c r="AP23" s="47">
        <f t="shared" si="12"/>
        <v>0.35491900107045832</v>
      </c>
      <c r="AQ23" s="47">
        <f t="shared" si="12"/>
        <v>0.75257607334629817</v>
      </c>
    </row>
    <row r="24" spans="1:43" ht="105.75" thickBot="1" x14ac:dyDescent="0.3">
      <c r="A24" s="8"/>
      <c r="B24" s="7"/>
      <c r="C24" s="7"/>
      <c r="D24" s="7"/>
      <c r="E24" s="7"/>
      <c r="G24" s="13"/>
      <c r="H24" s="3"/>
      <c r="I24" s="3"/>
      <c r="J24" s="3"/>
      <c r="K24" s="3"/>
      <c r="AM24" s="49" t="s">
        <v>36</v>
      </c>
      <c r="AN24" s="47">
        <f>AC73/AC$70</f>
        <v>0</v>
      </c>
      <c r="AO24" s="47">
        <f t="shared" ref="AO24:AQ24" si="13">AD73/AD$70</f>
        <v>0</v>
      </c>
      <c r="AP24" s="47">
        <f t="shared" si="13"/>
        <v>5.2146023890870967E-2</v>
      </c>
      <c r="AQ24" s="47">
        <f t="shared" si="13"/>
        <v>6.118649292952328E-2</v>
      </c>
    </row>
    <row r="25" spans="1:43" ht="30.75" thickBot="1" x14ac:dyDescent="0.3">
      <c r="A25" s="8"/>
      <c r="B25" s="7"/>
      <c r="C25" s="7"/>
      <c r="D25" s="7"/>
      <c r="E25" s="7"/>
      <c r="G25" s="14"/>
      <c r="H25" s="3"/>
      <c r="I25" s="3"/>
      <c r="J25" s="3"/>
      <c r="K25" s="3"/>
      <c r="AM25" s="49" t="s">
        <v>37</v>
      </c>
      <c r="AN25" s="47">
        <f>AC74/AC$70</f>
        <v>2.6070334561814963E-2</v>
      </c>
      <c r="AO25" s="47">
        <f t="shared" ref="AO25:AQ25" si="14">AD74/AD$70</f>
        <v>4.9434224723714809E-2</v>
      </c>
      <c r="AP25" s="47">
        <f t="shared" si="14"/>
        <v>2.0862715208157651E-2</v>
      </c>
      <c r="AQ25" s="47">
        <f t="shared" si="14"/>
        <v>2.5335259053736469E-2</v>
      </c>
    </row>
    <row r="26" spans="1:43" ht="15.75" thickBot="1" x14ac:dyDescent="0.3">
      <c r="A26" s="8"/>
      <c r="B26" s="7"/>
      <c r="C26" s="7"/>
      <c r="D26" s="7"/>
      <c r="E26" s="7"/>
      <c r="G26" s="14"/>
      <c r="H26" s="3"/>
      <c r="I26" s="3"/>
      <c r="J26" s="3"/>
      <c r="K26" s="3"/>
      <c r="AM26" s="49"/>
      <c r="AN26" s="47">
        <f>AC75/AC$70</f>
        <v>3.044181464286284E-2</v>
      </c>
      <c r="AO26" s="47"/>
      <c r="AP26" s="47"/>
      <c r="AQ26" s="47"/>
    </row>
    <row r="27" spans="1:43" ht="60.75" thickBot="1" x14ac:dyDescent="0.3">
      <c r="A27" s="8"/>
      <c r="B27" s="7"/>
      <c r="C27" s="7"/>
      <c r="D27" s="7"/>
      <c r="E27" s="7"/>
      <c r="G27" s="3"/>
      <c r="H27" s="3"/>
      <c r="I27" s="3"/>
      <c r="J27" s="3"/>
      <c r="K27" s="3"/>
      <c r="AM27" s="49" t="s">
        <v>39</v>
      </c>
      <c r="AN27" s="47">
        <f>AC76/AC70</f>
        <v>0.10902176167456405</v>
      </c>
      <c r="AO27" s="47">
        <f>AD76/AD70</f>
        <v>0.15856269292932398</v>
      </c>
      <c r="AP27" s="47">
        <f>AE76/AE70</f>
        <v>0.52682306565157111</v>
      </c>
      <c r="AQ27" s="47">
        <f t="shared" ref="AQ27" si="15">AF76/AF70</f>
        <v>0.1102791661123886</v>
      </c>
    </row>
    <row r="28" spans="1:43" x14ac:dyDescent="0.25">
      <c r="A28" t="s">
        <v>29</v>
      </c>
      <c r="B28">
        <v>2018</v>
      </c>
      <c r="C28">
        <v>2019</v>
      </c>
      <c r="D28">
        <v>2020</v>
      </c>
      <c r="E28">
        <v>2021</v>
      </c>
      <c r="G28" s="3"/>
      <c r="H28" s="3"/>
      <c r="I28" s="3"/>
      <c r="J28" s="3"/>
      <c r="K28" s="3"/>
    </row>
    <row r="29" spans="1:43" x14ac:dyDescent="0.25">
      <c r="B29" s="7"/>
      <c r="C29" s="7"/>
      <c r="D29" s="7"/>
      <c r="E29" s="7"/>
      <c r="G29" s="3"/>
      <c r="H29" s="3"/>
      <c r="I29" s="3"/>
      <c r="J29" s="3"/>
      <c r="K29" s="3"/>
    </row>
    <row r="30" spans="1:43" x14ac:dyDescent="0.25">
      <c r="A30" s="25" t="s">
        <v>15</v>
      </c>
      <c r="B30" s="26">
        <v>971515</v>
      </c>
      <c r="C30" s="26">
        <v>1071925</v>
      </c>
      <c r="D30" s="26">
        <v>2127165</v>
      </c>
      <c r="E30" s="26">
        <v>1869049</v>
      </c>
      <c r="G30" s="12">
        <f>C30/B30</f>
        <v>1.1033540398243979</v>
      </c>
      <c r="H30" s="12">
        <f>D30/C30</f>
        <v>1.9844345453273318</v>
      </c>
      <c r="I30" s="12">
        <f>E30/D30</f>
        <v>0.87865727388331416</v>
      </c>
      <c r="J30" s="12">
        <f>E30/C30</f>
        <v>1.7436378477971872</v>
      </c>
      <c r="K30" s="12">
        <f>E30/B30</f>
        <v>1.9238498633577454</v>
      </c>
    </row>
    <row r="31" spans="1:43" x14ac:dyDescent="0.25">
      <c r="A31" s="9" t="s">
        <v>16</v>
      </c>
      <c r="B31" s="11">
        <v>6853</v>
      </c>
      <c r="C31" s="11">
        <v>24378</v>
      </c>
      <c r="D31" s="11">
        <v>164990</v>
      </c>
      <c r="E31" s="11">
        <v>29756</v>
      </c>
      <c r="G31" s="12">
        <f t="shared" ref="G31" si="16">C31/B31</f>
        <v>3.5572741864876698</v>
      </c>
      <c r="H31" s="12">
        <f t="shared" ref="H31" si="17">D31/C31</f>
        <v>6.767987529739929</v>
      </c>
      <c r="I31" s="12">
        <f t="shared" ref="I31" si="18">E31/D31</f>
        <v>0.18035032426207648</v>
      </c>
      <c r="J31" s="12">
        <f t="shared" ref="J31:J35" si="19">E31/C31</f>
        <v>1.2206087455902863</v>
      </c>
      <c r="K31" s="12">
        <f t="shared" ref="K31:K35" si="20">E31/B31</f>
        <v>4.3420399824894211</v>
      </c>
    </row>
    <row r="32" spans="1:43" x14ac:dyDescent="0.25">
      <c r="A32" s="10" t="s">
        <v>17</v>
      </c>
      <c r="B32" s="11">
        <v>67358</v>
      </c>
      <c r="C32" s="11">
        <v>219065</v>
      </c>
      <c r="D32" s="11">
        <v>452928</v>
      </c>
      <c r="E32" s="11">
        <v>162359</v>
      </c>
      <c r="G32" s="12">
        <f t="shared" ref="G32:I33" si="21">C32/B32</f>
        <v>3.2522491760444194</v>
      </c>
      <c r="H32" s="12">
        <f t="shared" si="21"/>
        <v>2.0675507269531872</v>
      </c>
      <c r="I32" s="12">
        <f t="shared" si="21"/>
        <v>0.35846536314822663</v>
      </c>
      <c r="J32" s="12">
        <f t="shared" si="19"/>
        <v>0.74114532216465434</v>
      </c>
      <c r="K32" s="12">
        <f t="shared" si="20"/>
        <v>2.4103892633391726</v>
      </c>
    </row>
    <row r="33" spans="1:43" x14ac:dyDescent="0.25">
      <c r="A33" s="10" t="s">
        <v>32</v>
      </c>
      <c r="B33" s="11">
        <v>10429</v>
      </c>
      <c r="C33" s="11">
        <v>25067</v>
      </c>
      <c r="D33" s="11">
        <v>73024</v>
      </c>
      <c r="E33" s="11">
        <v>16028</v>
      </c>
      <c r="G33" s="12">
        <f t="shared" si="21"/>
        <v>2.4035861539936714</v>
      </c>
      <c r="H33" s="12">
        <f t="shared" si="21"/>
        <v>2.9131527506283161</v>
      </c>
      <c r="I33" s="12">
        <f t="shared" si="21"/>
        <v>0.21948948290972831</v>
      </c>
      <c r="J33" s="12">
        <f>E33/C33</f>
        <v>0.63940639087246176</v>
      </c>
      <c r="K33" s="12">
        <f>E33/B33</f>
        <v>1.5368683478761147</v>
      </c>
    </row>
    <row r="34" spans="1:43" x14ac:dyDescent="0.25">
      <c r="A34" s="10" t="s">
        <v>30</v>
      </c>
      <c r="B34" s="11">
        <v>21534</v>
      </c>
      <c r="C34" s="11">
        <v>35837</v>
      </c>
      <c r="D34" s="11">
        <v>329333</v>
      </c>
      <c r="E34" s="11">
        <v>76160</v>
      </c>
      <c r="G34" s="12">
        <f t="shared" ref="G34:G35" si="22">C34/B34</f>
        <v>1.664205442555958</v>
      </c>
      <c r="H34" s="12">
        <f t="shared" ref="H34:H35" si="23">D34/C34</f>
        <v>9.189748025783409</v>
      </c>
      <c r="I34" s="12">
        <f t="shared" ref="I34:I35" si="24">E34/D34</f>
        <v>0.23125529479280849</v>
      </c>
      <c r="J34" s="12">
        <f>E34/C34</f>
        <v>2.1251778887741719</v>
      </c>
      <c r="K34" s="12">
        <f t="shared" si="20"/>
        <v>3.5367326088975575</v>
      </c>
    </row>
    <row r="35" spans="1:43" x14ac:dyDescent="0.25">
      <c r="A35" s="10" t="s">
        <v>31</v>
      </c>
      <c r="B35" s="11">
        <v>22790</v>
      </c>
      <c r="C35" s="11">
        <v>151595</v>
      </c>
      <c r="D35" s="11">
        <v>42286</v>
      </c>
      <c r="E35" s="11">
        <v>23042</v>
      </c>
      <c r="G35" s="12">
        <f t="shared" si="22"/>
        <v>6.6518209741114527</v>
      </c>
      <c r="H35" s="12">
        <f t="shared" si="23"/>
        <v>0.27894059830469342</v>
      </c>
      <c r="I35" s="12">
        <f t="shared" si="24"/>
        <v>0.54490848034810579</v>
      </c>
      <c r="J35" s="12">
        <f t="shared" si="19"/>
        <v>0.15199709752960189</v>
      </c>
      <c r="K35" s="12">
        <f t="shared" si="20"/>
        <v>1.0110574813514699</v>
      </c>
    </row>
    <row r="36" spans="1:43" x14ac:dyDescent="0.25">
      <c r="A36" s="9" t="s">
        <v>18</v>
      </c>
      <c r="B36" s="11">
        <f>SUM(B30:B32)</f>
        <v>1045726</v>
      </c>
      <c r="C36" s="11">
        <f>SUM(C30:C32)</f>
        <v>1315368</v>
      </c>
      <c r="D36" s="11">
        <f>SUM(D30:D32)</f>
        <v>2745083</v>
      </c>
      <c r="E36" s="11">
        <f>SUM(E30:E32)</f>
        <v>2061164</v>
      </c>
      <c r="G36" s="12">
        <f t="shared" ref="G36" si="25">C36/B36</f>
        <v>1.2578514830844791</v>
      </c>
      <c r="H36" s="12">
        <f t="shared" ref="H36" si="26">D36/C36</f>
        <v>2.0869315659191954</v>
      </c>
      <c r="I36" s="12">
        <f t="shared" ref="I36" si="27">E36/D36</f>
        <v>0.75085671362213824</v>
      </c>
      <c r="J36" s="12">
        <f>E36/C36</f>
        <v>1.5669865771403897</v>
      </c>
      <c r="K36" s="12">
        <f>E36/B36</f>
        <v>1.9710363900295107</v>
      </c>
    </row>
    <row r="37" spans="1:43" x14ac:dyDescent="0.25">
      <c r="B37" s="8"/>
      <c r="C37" s="8"/>
      <c r="D37" s="8"/>
      <c r="E37" s="8"/>
      <c r="W37" s="18"/>
    </row>
    <row r="38" spans="1:43" ht="15.75" thickBot="1" x14ac:dyDescent="0.3">
      <c r="A38" s="9"/>
      <c r="W38" s="19"/>
      <c r="X38" s="20"/>
      <c r="Y38" s="20"/>
      <c r="Z38" s="20"/>
      <c r="AA38" s="20"/>
      <c r="AB38" s="20"/>
    </row>
    <row r="39" spans="1:43" hidden="1" x14ac:dyDescent="0.25">
      <c r="B39">
        <f>B36/B20</f>
        <v>0.92801804695972268</v>
      </c>
      <c r="C39">
        <f>C36/C20</f>
        <v>0.93679973335384459</v>
      </c>
      <c r="D39">
        <f>D36/D20</f>
        <v>0.94975744723988764</v>
      </c>
      <c r="E39">
        <f>E36/E20</f>
        <v>0.95480177048132353</v>
      </c>
      <c r="X39" s="7"/>
      <c r="Y39" s="7"/>
      <c r="Z39" s="7"/>
      <c r="AA39" s="7"/>
      <c r="AB39" s="7"/>
    </row>
    <row r="40" spans="1:43" hidden="1" x14ac:dyDescent="0.25">
      <c r="X40" s="7"/>
      <c r="Y40" s="7"/>
      <c r="Z40" s="7"/>
      <c r="AA40" s="7"/>
      <c r="AB40" s="7"/>
    </row>
    <row r="41" spans="1:43" hidden="1" x14ac:dyDescent="0.25">
      <c r="A41" t="s">
        <v>24</v>
      </c>
      <c r="B41" s="1" t="e">
        <f>#REF!</f>
        <v>#REF!</v>
      </c>
      <c r="C41" s="1" t="e">
        <f>#REF!</f>
        <v>#REF!</v>
      </c>
      <c r="D41" s="1" t="e">
        <f>#REF!</f>
        <v>#REF!</v>
      </c>
      <c r="E41" s="1" t="e">
        <f>#REF!</f>
        <v>#REF!</v>
      </c>
      <c r="X41" s="7"/>
      <c r="Y41" s="7"/>
      <c r="Z41" s="7"/>
      <c r="AA41" s="7"/>
      <c r="AB41" s="7"/>
    </row>
    <row r="42" spans="1:43" hidden="1" x14ac:dyDescent="0.25">
      <c r="A42" t="s">
        <v>25</v>
      </c>
      <c r="B42" s="1" t="e">
        <f>#REF!</f>
        <v>#REF!</v>
      </c>
      <c r="C42" s="1" t="e">
        <f>#REF!</f>
        <v>#REF!</v>
      </c>
      <c r="D42" s="1" t="e">
        <f>#REF!</f>
        <v>#REF!</v>
      </c>
      <c r="E42" s="1" t="e">
        <f>#REF!</f>
        <v>#REF!</v>
      </c>
      <c r="X42" s="7"/>
      <c r="Y42" s="7"/>
      <c r="Z42" s="7"/>
      <c r="AA42" s="7"/>
      <c r="AB42" s="7"/>
    </row>
    <row r="43" spans="1:43" hidden="1" x14ac:dyDescent="0.25">
      <c r="A43" t="s">
        <v>26</v>
      </c>
      <c r="B43" s="1" t="e">
        <f>#REF!</f>
        <v>#REF!</v>
      </c>
      <c r="C43" s="1" t="e">
        <f>#REF!</f>
        <v>#REF!</v>
      </c>
      <c r="D43" s="1" t="e">
        <f>#REF!</f>
        <v>#REF!</v>
      </c>
      <c r="E43" s="1" t="e">
        <f>#REF!</f>
        <v>#REF!</v>
      </c>
      <c r="X43" s="7"/>
      <c r="Y43" s="7"/>
      <c r="Z43" s="1"/>
      <c r="AA43" s="1"/>
      <c r="AB43" s="1"/>
    </row>
    <row r="44" spans="1:43" hidden="1" x14ac:dyDescent="0.25">
      <c r="A44" t="s">
        <v>27</v>
      </c>
      <c r="B44" s="2" t="e">
        <f>B42/B41</f>
        <v>#REF!</v>
      </c>
      <c r="C44" s="2" t="e">
        <f t="shared" ref="C44:E44" si="28">C42/C41</f>
        <v>#REF!</v>
      </c>
      <c r="D44" s="2" t="e">
        <f t="shared" si="28"/>
        <v>#REF!</v>
      </c>
      <c r="E44" s="2" t="e">
        <f t="shared" si="28"/>
        <v>#REF!</v>
      </c>
      <c r="X44" s="7"/>
      <c r="Y44" s="7"/>
      <c r="Z44" s="7"/>
      <c r="AA44" s="7"/>
      <c r="AB44" s="7"/>
    </row>
    <row r="45" spans="1:43" hidden="1" x14ac:dyDescent="0.25">
      <c r="A45" t="s">
        <v>28</v>
      </c>
      <c r="B45" s="2" t="e">
        <f>B43/B41</f>
        <v>#REF!</v>
      </c>
      <c r="C45" s="2" t="e">
        <f t="shared" ref="C45:E45" si="29">C43/C41</f>
        <v>#REF!</v>
      </c>
      <c r="D45" s="2" t="e">
        <f t="shared" si="29"/>
        <v>#REF!</v>
      </c>
      <c r="E45" s="2" t="e">
        <f t="shared" si="29"/>
        <v>#REF!</v>
      </c>
      <c r="X45" s="7"/>
      <c r="Y45" s="1"/>
      <c r="Z45" s="1"/>
      <c r="AA45" s="1"/>
      <c r="AB45" s="1"/>
    </row>
    <row r="46" spans="1:43" ht="15" customHeight="1" x14ac:dyDescent="0.25">
      <c r="A46" s="9" t="s">
        <v>15</v>
      </c>
      <c r="B46" s="12">
        <f>B30/$B$36</f>
        <v>0.92903399169572143</v>
      </c>
      <c r="C46" s="12">
        <f>C30/$C$36</f>
        <v>0.81492403646736122</v>
      </c>
      <c r="D46" s="12">
        <f>D30/$D$36</f>
        <v>0.7749000667739373</v>
      </c>
      <c r="E46" s="12">
        <f>E30/$E$36</f>
        <v>0.90679295776561208</v>
      </c>
      <c r="M46">
        <v>2018</v>
      </c>
      <c r="N46">
        <v>2019</v>
      </c>
      <c r="O46">
        <v>2020</v>
      </c>
      <c r="P46">
        <v>2021</v>
      </c>
      <c r="X46" s="8"/>
      <c r="Y46" s="7"/>
      <c r="Z46" s="7"/>
      <c r="AA46" s="29"/>
      <c r="AB46" s="7"/>
      <c r="AC46" s="18" t="s">
        <v>74</v>
      </c>
      <c r="AG46" s="39">
        <v>2019</v>
      </c>
      <c r="AH46" s="91" t="s">
        <v>78</v>
      </c>
      <c r="AI46" s="91" t="s">
        <v>79</v>
      </c>
      <c r="AJ46" s="91" t="s">
        <v>80</v>
      </c>
      <c r="AK46" s="91" t="s">
        <v>81</v>
      </c>
    </row>
    <row r="47" spans="1:43" ht="15.75" thickBot="1" x14ac:dyDescent="0.3">
      <c r="A47" s="9" t="s">
        <v>16</v>
      </c>
      <c r="B47" s="12">
        <f>B31/$B$36</f>
        <v>6.5533418887930494E-3</v>
      </c>
      <c r="C47" s="12">
        <f t="shared" ref="C47:C48" si="30">C31/$C$36</f>
        <v>1.8533216559928477E-2</v>
      </c>
      <c r="D47" s="12">
        <f t="shared" ref="D47:D48" si="31">D31/$D$36</f>
        <v>6.0103829283121857E-2</v>
      </c>
      <c r="E47" s="12">
        <f t="shared" ref="E47:E48" si="32">E31/$E$36</f>
        <v>1.4436502869252519E-2</v>
      </c>
      <c r="W47" s="18" t="s">
        <v>10</v>
      </c>
      <c r="X47">
        <v>2018</v>
      </c>
      <c r="Y47">
        <v>2019</v>
      </c>
      <c r="Z47">
        <v>2020</v>
      </c>
      <c r="AA47" s="30">
        <v>2021</v>
      </c>
      <c r="AB47">
        <v>2017</v>
      </c>
      <c r="AC47" s="8">
        <v>2018</v>
      </c>
      <c r="AD47" s="8">
        <v>2019</v>
      </c>
      <c r="AE47" s="8">
        <v>2020</v>
      </c>
      <c r="AF47" s="8">
        <v>2021</v>
      </c>
      <c r="AG47" s="40" t="s">
        <v>77</v>
      </c>
      <c r="AH47" s="92"/>
      <c r="AI47" s="92"/>
      <c r="AJ47" s="92"/>
      <c r="AK47" s="92"/>
    </row>
    <row r="48" spans="1:43" ht="15.75" thickBot="1" x14ac:dyDescent="0.3">
      <c r="A48" s="10" t="s">
        <v>17</v>
      </c>
      <c r="B48" s="12">
        <f>B32/$B$36</f>
        <v>6.4412666415485514E-2</v>
      </c>
      <c r="C48" s="12">
        <f t="shared" si="30"/>
        <v>0.16654274697271029</v>
      </c>
      <c r="D48" s="12">
        <f t="shared" si="31"/>
        <v>0.1649961039429409</v>
      </c>
      <c r="E48" s="12">
        <f t="shared" si="32"/>
        <v>7.8770539365135422E-2</v>
      </c>
      <c r="W48" s="19" t="s">
        <v>0</v>
      </c>
      <c r="X48" s="20">
        <v>369328</v>
      </c>
      <c r="Y48" s="20">
        <v>645312</v>
      </c>
      <c r="Z48" s="20">
        <v>738694</v>
      </c>
      <c r="AA48" s="31">
        <v>887663</v>
      </c>
      <c r="AB48" s="20">
        <v>388309</v>
      </c>
      <c r="AC48" s="20">
        <v>396431</v>
      </c>
      <c r="AD48" s="20">
        <v>679097</v>
      </c>
      <c r="AE48" s="20">
        <v>759999</v>
      </c>
      <c r="AF48" s="20">
        <v>905846</v>
      </c>
      <c r="AG48" s="42">
        <f>AD48/AC48</f>
        <v>1.7130269832581206</v>
      </c>
      <c r="AH48" s="42">
        <f>AE48/AD48</f>
        <v>1.1191317293405803</v>
      </c>
      <c r="AI48" s="42">
        <f>AF48/AE48</f>
        <v>1.1919041998739472</v>
      </c>
      <c r="AJ48" s="42">
        <f>AF48/AD48</f>
        <v>1.3338978084132311</v>
      </c>
      <c r="AK48" s="42">
        <f>AF48/AC48</f>
        <v>2.2850029387207358</v>
      </c>
      <c r="AM48" s="50">
        <f>AC69/AC48</f>
        <v>2.842456820985241</v>
      </c>
      <c r="AN48" s="50">
        <f t="shared" ref="AN48:AO48" si="33">AD69/AD48</f>
        <v>2.0676103708306766</v>
      </c>
      <c r="AO48" s="50">
        <f t="shared" si="33"/>
        <v>3.8030300039868474</v>
      </c>
      <c r="AP48" s="50">
        <f>AF69/AF48</f>
        <v>2.3831147899311804</v>
      </c>
      <c r="AQ48" s="44"/>
    </row>
    <row r="49" spans="1:43" ht="15.75" thickBot="1" x14ac:dyDescent="0.3">
      <c r="B49" s="15">
        <f>SUM(B46:B48)</f>
        <v>1</v>
      </c>
      <c r="C49" s="15">
        <f t="shared" ref="C49:E49" si="34">SUM(C46:C48)</f>
        <v>1</v>
      </c>
      <c r="D49" s="15">
        <f t="shared" si="34"/>
        <v>1</v>
      </c>
      <c r="E49" s="15">
        <f t="shared" si="34"/>
        <v>1</v>
      </c>
      <c r="M49">
        <f>X68/(X85+X86+X88)</f>
        <v>1.7866012504341786</v>
      </c>
      <c r="N49">
        <f>Y68/(Y85+Y86+Y88)</f>
        <v>0.44848408207138568</v>
      </c>
      <c r="O49">
        <f t="shared" ref="O49:P49" si="35">Z68/(Z85+Z86+Z88)</f>
        <v>5.2857642794650666</v>
      </c>
      <c r="P49">
        <f t="shared" si="35"/>
        <v>8.9336554111659385</v>
      </c>
      <c r="W49" t="s">
        <v>1</v>
      </c>
      <c r="X49" s="7">
        <v>16507</v>
      </c>
      <c r="Y49" s="7">
        <v>100684</v>
      </c>
      <c r="Z49" s="7">
        <v>101050</v>
      </c>
      <c r="AA49" s="29">
        <v>99632</v>
      </c>
      <c r="AB49" s="7"/>
      <c r="AC49" s="7">
        <v>19241</v>
      </c>
      <c r="AD49" s="7">
        <v>105267</v>
      </c>
      <c r="AE49" s="7">
        <v>105349</v>
      </c>
      <c r="AF49" s="7">
        <v>115234</v>
      </c>
      <c r="AG49" s="27">
        <f t="shared" ref="AG49:AG92" si="36">AD49/AC49</f>
        <v>5.4709734421287877</v>
      </c>
      <c r="AH49" s="27">
        <f t="shared" ref="AH49:AH92" si="37">AE49/AD49</f>
        <v>1.0007789715675377</v>
      </c>
      <c r="AI49" s="27">
        <f t="shared" ref="AI49:AI92" si="38">AF49/AE49</f>
        <v>1.093830980835129</v>
      </c>
      <c r="AJ49" s="27">
        <f t="shared" ref="AJ49:AJ92" si="39">AF49/AD49</f>
        <v>1.0946830440688915</v>
      </c>
      <c r="AK49" s="27">
        <f t="shared" ref="AK49:AK92" si="40">AF49/AC49</f>
        <v>5.9889818616496022</v>
      </c>
      <c r="AM49" s="45"/>
      <c r="AN49" s="47"/>
      <c r="AO49" s="47"/>
      <c r="AP49" s="47"/>
      <c r="AQ49" s="47"/>
    </row>
    <row r="50" spans="1:43" ht="15.75" thickBot="1" x14ac:dyDescent="0.3">
      <c r="W50" t="s">
        <v>2</v>
      </c>
      <c r="X50" s="7">
        <v>99848</v>
      </c>
      <c r="Y50" s="7">
        <v>109573</v>
      </c>
      <c r="Z50" s="7">
        <v>60125</v>
      </c>
      <c r="AA50" s="29">
        <v>59086</v>
      </c>
      <c r="AB50" s="7"/>
      <c r="AC50" s="7">
        <v>50210</v>
      </c>
      <c r="AD50" s="7">
        <v>59763</v>
      </c>
      <c r="AE50" s="7">
        <v>59790</v>
      </c>
      <c r="AF50" s="7">
        <v>58393</v>
      </c>
      <c r="AG50" s="27">
        <f t="shared" si="36"/>
        <v>1.1902609042023502</v>
      </c>
      <c r="AH50" s="27">
        <f t="shared" si="37"/>
        <v>1.0004517845489684</v>
      </c>
      <c r="AI50" s="27">
        <f t="shared" si="38"/>
        <v>0.97663488877738758</v>
      </c>
      <c r="AJ50" s="27">
        <f t="shared" si="39"/>
        <v>0.97707611733012067</v>
      </c>
      <c r="AK50" s="27">
        <f t="shared" si="40"/>
        <v>1.162975502887871</v>
      </c>
      <c r="AM50" s="45"/>
      <c r="AN50" s="47"/>
      <c r="AO50" s="47"/>
      <c r="AP50" s="47"/>
      <c r="AQ50" s="47"/>
    </row>
    <row r="51" spans="1:43" x14ac:dyDescent="0.25">
      <c r="W51" t="s">
        <v>3</v>
      </c>
      <c r="X51" s="7">
        <v>218795</v>
      </c>
      <c r="Y51" s="7">
        <v>360030</v>
      </c>
      <c r="Z51" s="7">
        <v>384625</v>
      </c>
      <c r="AA51" s="29">
        <v>347822</v>
      </c>
      <c r="AB51" s="7"/>
      <c r="AC51" s="7">
        <v>242816</v>
      </c>
      <c r="AD51" s="7">
        <v>385848</v>
      </c>
      <c r="AE51" s="7">
        <v>406798</v>
      </c>
      <c r="AF51" s="7">
        <v>350195</v>
      </c>
      <c r="AG51" s="27">
        <f t="shared" si="36"/>
        <v>1.5890550869794413</v>
      </c>
      <c r="AH51" s="27">
        <f t="shared" si="37"/>
        <v>1.0542959922041841</v>
      </c>
      <c r="AI51" s="27">
        <f t="shared" si="38"/>
        <v>0.86085723135315317</v>
      </c>
      <c r="AJ51" s="27">
        <f t="shared" si="39"/>
        <v>0.90759832887561942</v>
      </c>
      <c r="AK51" s="27">
        <f t="shared" si="40"/>
        <v>1.442223741433843</v>
      </c>
    </row>
    <row r="52" spans="1:43" ht="15.75" thickBot="1" x14ac:dyDescent="0.3">
      <c r="A52" t="s">
        <v>33</v>
      </c>
      <c r="B52" s="1">
        <v>971515</v>
      </c>
      <c r="C52" s="1">
        <v>1071925</v>
      </c>
      <c r="D52" s="1">
        <v>2127165</v>
      </c>
      <c r="E52" s="1">
        <v>1869049</v>
      </c>
      <c r="W52" t="s">
        <v>19</v>
      </c>
      <c r="X52" s="7">
        <v>9553</v>
      </c>
      <c r="Y52" s="7">
        <v>44960</v>
      </c>
      <c r="Z52" s="7">
        <v>48841</v>
      </c>
      <c r="AA52" s="29">
        <v>61436</v>
      </c>
      <c r="AB52" s="7"/>
      <c r="AC52" s="7">
        <v>9553</v>
      </c>
      <c r="AD52" s="7">
        <v>44960</v>
      </c>
      <c r="AE52" s="7">
        <v>48841</v>
      </c>
      <c r="AF52" s="7">
        <v>48988</v>
      </c>
      <c r="AG52" s="27">
        <f t="shared" si="36"/>
        <v>4.7063749607453156</v>
      </c>
      <c r="AH52" s="27">
        <f t="shared" si="37"/>
        <v>1.0863211743772243</v>
      </c>
      <c r="AI52" s="27">
        <f t="shared" si="38"/>
        <v>1.0030097663847997</v>
      </c>
      <c r="AJ52" s="27">
        <f t="shared" si="39"/>
        <v>1.089590747330961</v>
      </c>
      <c r="AK52" s="27">
        <f t="shared" si="40"/>
        <v>5.1280226106982099</v>
      </c>
    </row>
    <row r="53" spans="1:43" ht="15.75" thickBot="1" x14ac:dyDescent="0.3">
      <c r="A53" s="8" t="s">
        <v>34</v>
      </c>
      <c r="B53" s="7">
        <v>96120</v>
      </c>
      <c r="C53" s="7">
        <v>96120</v>
      </c>
      <c r="D53" s="7">
        <v>100655</v>
      </c>
      <c r="E53" s="7">
        <v>100739</v>
      </c>
      <c r="W53" t="s">
        <v>44</v>
      </c>
      <c r="X53" s="7"/>
      <c r="Y53" s="7"/>
      <c r="Z53" s="1">
        <v>49168</v>
      </c>
      <c r="AA53" s="32">
        <v>49168</v>
      </c>
      <c r="AB53" s="1"/>
      <c r="AC53" s="7">
        <v>56438</v>
      </c>
      <c r="AD53" s="7">
        <v>56438</v>
      </c>
      <c r="AE53" s="7">
        <v>56438</v>
      </c>
      <c r="AF53" s="7">
        <v>56438</v>
      </c>
      <c r="AG53" s="27">
        <f t="shared" si="36"/>
        <v>1</v>
      </c>
      <c r="AH53" s="27">
        <f t="shared" si="37"/>
        <v>1</v>
      </c>
      <c r="AI53" s="27">
        <f t="shared" si="38"/>
        <v>1</v>
      </c>
      <c r="AJ53" s="27">
        <f t="shared" si="39"/>
        <v>1</v>
      </c>
      <c r="AK53" s="27">
        <f t="shared" si="40"/>
        <v>1</v>
      </c>
      <c r="AM53" s="43"/>
      <c r="AN53" s="44"/>
      <c r="AO53" s="44"/>
      <c r="AP53" s="44"/>
      <c r="AQ53" s="44"/>
    </row>
    <row r="54" spans="1:43" ht="15.75" thickBot="1" x14ac:dyDescent="0.3">
      <c r="A54" s="8"/>
      <c r="B54" s="7"/>
      <c r="C54" s="7"/>
      <c r="D54" s="7"/>
      <c r="E54" s="7"/>
      <c r="W54" t="s">
        <v>75</v>
      </c>
      <c r="X54" s="7"/>
      <c r="Y54" s="7"/>
      <c r="Z54" s="1"/>
      <c r="AA54" s="32"/>
      <c r="AB54" s="1"/>
      <c r="AC54" s="7">
        <v>3183</v>
      </c>
      <c r="AD54" s="7">
        <v>8025</v>
      </c>
      <c r="AE54" s="7">
        <v>8195</v>
      </c>
      <c r="AF54" s="7">
        <v>38520</v>
      </c>
      <c r="AG54" s="27">
        <f t="shared" si="36"/>
        <v>2.5212064090480677</v>
      </c>
      <c r="AH54" s="27">
        <f t="shared" si="37"/>
        <v>1.0211838006230529</v>
      </c>
      <c r="AI54" s="27">
        <f t="shared" si="38"/>
        <v>4.7004270896888345</v>
      </c>
      <c r="AJ54" s="27">
        <f t="shared" si="39"/>
        <v>4.8</v>
      </c>
      <c r="AK54" s="27">
        <f t="shared" si="40"/>
        <v>12.101790763430726</v>
      </c>
      <c r="AM54" s="45"/>
      <c r="AN54" s="47"/>
      <c r="AO54" s="47"/>
      <c r="AP54" s="47"/>
      <c r="AQ54" s="47"/>
    </row>
    <row r="55" spans="1:43" ht="15.75" thickBot="1" x14ac:dyDescent="0.3">
      <c r="A55" s="8" t="s">
        <v>35</v>
      </c>
      <c r="B55" s="7">
        <v>739799</v>
      </c>
      <c r="C55" s="7">
        <v>748324</v>
      </c>
      <c r="D55" s="7">
        <v>737542</v>
      </c>
      <c r="E55" s="7">
        <v>1366952</v>
      </c>
      <c r="L55" t="s">
        <v>10</v>
      </c>
      <c r="M55" s="28">
        <f>(X78+X79)/(X70+X80+X82+X81+X83)</f>
        <v>1.6663173874596838E-4</v>
      </c>
      <c r="N55" s="28">
        <f>(Y78+Y79)/(Y70+Y80+Y82+Y81+Y83)</f>
        <v>1.7877569059131997E-2</v>
      </c>
      <c r="O55" s="28">
        <f t="shared" ref="O55:P55" si="41">(Z78+Z79)/(Z70+Z80+Z82+Z81+Z83)</f>
        <v>7.9549177354209313E-3</v>
      </c>
      <c r="P55" s="28">
        <f t="shared" si="41"/>
        <v>9.3648269072522262E-3</v>
      </c>
      <c r="Q55" s="28"/>
      <c r="R55" s="28"/>
      <c r="S55" s="28"/>
      <c r="T55" s="28"/>
      <c r="W55" t="s">
        <v>20</v>
      </c>
      <c r="X55" s="7">
        <v>20279</v>
      </c>
      <c r="Y55" s="7">
        <v>23830</v>
      </c>
      <c r="Z55" s="7">
        <v>24567</v>
      </c>
      <c r="AA55" s="29">
        <v>43447</v>
      </c>
      <c r="AB55" s="7"/>
      <c r="AC55" s="8"/>
      <c r="AD55" s="8"/>
      <c r="AE55" s="7"/>
      <c r="AF55" s="7"/>
      <c r="AG55" s="41" t="s">
        <v>41</v>
      </c>
      <c r="AH55" s="41" t="s">
        <v>41</v>
      </c>
      <c r="AI55" s="41" t="s">
        <v>41</v>
      </c>
      <c r="AJ55" s="41" t="s">
        <v>41</v>
      </c>
      <c r="AK55" s="41" t="s">
        <v>41</v>
      </c>
      <c r="AM55" s="45"/>
      <c r="AN55" s="47"/>
      <c r="AO55" s="47"/>
      <c r="AP55" s="47"/>
      <c r="AQ55" s="47"/>
    </row>
    <row r="56" spans="1:43" ht="15.75" thickBot="1" x14ac:dyDescent="0.3">
      <c r="A56" s="8" t="s">
        <v>36</v>
      </c>
      <c r="B56" s="7">
        <v>0</v>
      </c>
      <c r="C56" s="7">
        <v>0</v>
      </c>
      <c r="D56" s="7">
        <v>113844</v>
      </c>
      <c r="E56" s="7">
        <v>115909</v>
      </c>
      <c r="W56" t="s">
        <v>45</v>
      </c>
      <c r="X56" s="7">
        <v>0</v>
      </c>
      <c r="Y56" s="1">
        <v>3519</v>
      </c>
      <c r="Z56" s="1">
        <v>5535</v>
      </c>
      <c r="AA56" s="32">
        <v>4741</v>
      </c>
      <c r="AB56" s="1"/>
      <c r="AC56" s="7">
        <v>8622</v>
      </c>
      <c r="AD56" s="7">
        <v>18730</v>
      </c>
      <c r="AE56" s="7">
        <v>11676</v>
      </c>
      <c r="AF56" s="7">
        <v>11434</v>
      </c>
      <c r="AG56" s="27">
        <f t="shared" si="36"/>
        <v>2.1723498028299697</v>
      </c>
      <c r="AH56" s="27">
        <f t="shared" si="37"/>
        <v>0.62338494394020283</v>
      </c>
      <c r="AI56" s="27">
        <f t="shared" si="38"/>
        <v>0.97927372387804046</v>
      </c>
      <c r="AJ56" s="27">
        <f t="shared" si="39"/>
        <v>0.61046449546182591</v>
      </c>
      <c r="AK56" s="27">
        <f t="shared" si="40"/>
        <v>1.3261424263511947</v>
      </c>
      <c r="AM56" s="45"/>
      <c r="AN56" s="47"/>
      <c r="AO56" s="47"/>
      <c r="AP56" s="47"/>
      <c r="AQ56" s="47"/>
    </row>
    <row r="57" spans="1:43" x14ac:dyDescent="0.25">
      <c r="A57" s="8" t="s">
        <v>37</v>
      </c>
      <c r="B57" s="7">
        <v>26145</v>
      </c>
      <c r="C57" s="7">
        <v>54655</v>
      </c>
      <c r="D57" s="7">
        <v>47068</v>
      </c>
      <c r="E57" s="7">
        <v>49515</v>
      </c>
      <c r="L57" t="s">
        <v>59</v>
      </c>
      <c r="M57" s="1">
        <f>X99</f>
        <v>113502</v>
      </c>
      <c r="N57" s="1">
        <f t="shared" ref="N57:P57" si="42">Y99</f>
        <v>176448</v>
      </c>
      <c r="O57" s="1">
        <f t="shared" si="42"/>
        <v>1128943</v>
      </c>
      <c r="P57" s="1">
        <f t="shared" si="42"/>
        <v>265323</v>
      </c>
      <c r="Q57" s="1"/>
      <c r="R57" s="1"/>
      <c r="S57" s="1"/>
      <c r="T57" s="1"/>
      <c r="W57" t="s">
        <v>21</v>
      </c>
      <c r="X57" s="8">
        <v>298</v>
      </c>
      <c r="Y57" s="7">
        <v>2650</v>
      </c>
      <c r="Z57" s="7">
        <v>53465</v>
      </c>
      <c r="AA57" s="29">
        <v>178540</v>
      </c>
      <c r="AB57" s="7"/>
      <c r="AC57" s="7">
        <v>0</v>
      </c>
      <c r="AD57" s="7">
        <v>0</v>
      </c>
      <c r="AE57" s="7">
        <v>51588</v>
      </c>
      <c r="AF57" s="7">
        <v>178540</v>
      </c>
      <c r="AG57" s="41" t="s">
        <v>41</v>
      </c>
      <c r="AH57" s="41" t="s">
        <v>41</v>
      </c>
      <c r="AI57" s="27">
        <f>AF57/AE57</f>
        <v>3.4608823757462974</v>
      </c>
      <c r="AJ57" s="41" t="s">
        <v>41</v>
      </c>
      <c r="AK57" s="41" t="s">
        <v>41</v>
      </c>
      <c r="AN57" s="46"/>
      <c r="AO57" s="46"/>
      <c r="AP57" s="46"/>
      <c r="AQ57" s="46"/>
    </row>
    <row r="58" spans="1:43" x14ac:dyDescent="0.25">
      <c r="A58" s="8" t="s">
        <v>38</v>
      </c>
      <c r="B58" s="7">
        <v>0</v>
      </c>
      <c r="C58" s="7">
        <v>0</v>
      </c>
      <c r="D58" s="7">
        <v>0</v>
      </c>
      <c r="E58" s="7">
        <v>-4179</v>
      </c>
      <c r="L58" t="s">
        <v>60</v>
      </c>
      <c r="M58">
        <f>X100</f>
        <v>104</v>
      </c>
      <c r="N58">
        <f t="shared" ref="N58:P58" si="43">Y100</f>
        <v>407</v>
      </c>
      <c r="O58">
        <f t="shared" si="43"/>
        <v>539</v>
      </c>
      <c r="P58">
        <f t="shared" si="43"/>
        <v>1288</v>
      </c>
      <c r="W58" t="s">
        <v>46</v>
      </c>
      <c r="X58" s="8">
        <v>0</v>
      </c>
      <c r="Y58" s="8">
        <v>0</v>
      </c>
      <c r="Z58" s="1">
        <v>11286</v>
      </c>
      <c r="AA58" s="32">
        <v>43418</v>
      </c>
      <c r="AB58" s="1"/>
      <c r="AC58" s="7">
        <v>2320</v>
      </c>
      <c r="AD58" s="7">
        <v>0</v>
      </c>
      <c r="AE58" s="7">
        <v>11003</v>
      </c>
      <c r="AF58" s="7">
        <v>47418</v>
      </c>
      <c r="AG58" s="27">
        <f t="shared" si="36"/>
        <v>0</v>
      </c>
      <c r="AH58" s="27"/>
      <c r="AI58" s="27">
        <f t="shared" si="38"/>
        <v>4.3095519403798965</v>
      </c>
      <c r="AJ58" s="27"/>
      <c r="AK58" s="27">
        <f t="shared" si="40"/>
        <v>20.438793103448276</v>
      </c>
    </row>
    <row r="59" spans="1:43" x14ac:dyDescent="0.25">
      <c r="A59" s="8" t="s">
        <v>39</v>
      </c>
      <c r="B59" s="7">
        <v>109451</v>
      </c>
      <c r="C59" s="7">
        <v>172826</v>
      </c>
      <c r="D59" s="7">
        <v>1128056</v>
      </c>
      <c r="E59" s="7">
        <v>240113</v>
      </c>
      <c r="L59" t="s">
        <v>71</v>
      </c>
      <c r="M59">
        <f>M57/M58</f>
        <v>1091.3653846153845</v>
      </c>
      <c r="N59">
        <f t="shared" ref="N59:P59" si="44">N57/N58</f>
        <v>433.53316953316954</v>
      </c>
      <c r="O59">
        <f t="shared" si="44"/>
        <v>2094.5139146567717</v>
      </c>
      <c r="P59">
        <f t="shared" si="44"/>
        <v>205.99611801242236</v>
      </c>
      <c r="W59" t="s">
        <v>47</v>
      </c>
      <c r="X59">
        <v>570</v>
      </c>
      <c r="Y59">
        <v>66</v>
      </c>
      <c r="Z59">
        <v>32</v>
      </c>
      <c r="AA59" s="30">
        <v>373</v>
      </c>
      <c r="AC59" s="8">
        <v>570</v>
      </c>
      <c r="AD59" s="8">
        <v>66</v>
      </c>
      <c r="AE59" s="8">
        <v>321</v>
      </c>
      <c r="AF59" s="8">
        <v>686</v>
      </c>
      <c r="AG59" s="27">
        <f t="shared" si="36"/>
        <v>0.11578947368421053</v>
      </c>
      <c r="AH59" s="27">
        <f t="shared" si="37"/>
        <v>4.8636363636363633</v>
      </c>
      <c r="AI59" s="27">
        <f t="shared" si="38"/>
        <v>2.1370716510903427</v>
      </c>
      <c r="AJ59" s="27">
        <f t="shared" si="39"/>
        <v>10.393939393939394</v>
      </c>
      <c r="AK59" s="27">
        <f t="shared" si="40"/>
        <v>1.2035087719298245</v>
      </c>
    </row>
    <row r="60" spans="1:43" x14ac:dyDescent="0.25">
      <c r="A60" s="8" t="s">
        <v>40</v>
      </c>
      <c r="B60" s="7">
        <v>971515</v>
      </c>
      <c r="C60" s="7">
        <v>1071925</v>
      </c>
      <c r="D60" s="7">
        <v>2127165</v>
      </c>
      <c r="E60" s="7">
        <v>1869049</v>
      </c>
      <c r="W60" s="21" t="s">
        <v>4</v>
      </c>
      <c r="X60" s="20">
        <v>676398</v>
      </c>
      <c r="Y60" s="20">
        <v>670056</v>
      </c>
      <c r="Z60" s="20">
        <v>2006389</v>
      </c>
      <c r="AA60" s="31">
        <v>1173501</v>
      </c>
      <c r="AB60" s="20"/>
      <c r="AC60" s="20">
        <v>730407</v>
      </c>
      <c r="AD60" s="20">
        <v>725011</v>
      </c>
      <c r="AE60" s="20">
        <v>2130300</v>
      </c>
      <c r="AF60" s="20">
        <v>1252889</v>
      </c>
      <c r="AG60" s="42">
        <f t="shared" si="36"/>
        <v>0.99261233805261995</v>
      </c>
      <c r="AH60" s="42">
        <f t="shared" si="37"/>
        <v>2.9383002464790189</v>
      </c>
      <c r="AI60" s="42">
        <f t="shared" si="38"/>
        <v>0.58812796319767169</v>
      </c>
      <c r="AJ60" s="42">
        <f t="shared" si="39"/>
        <v>1.7280965392249221</v>
      </c>
      <c r="AK60" s="42">
        <f t="shared" si="40"/>
        <v>1.715329946180691</v>
      </c>
    </row>
    <row r="61" spans="1:43" x14ac:dyDescent="0.25">
      <c r="L61" t="s">
        <v>61</v>
      </c>
      <c r="M61" s="1">
        <f>X60</f>
        <v>676398</v>
      </c>
      <c r="N61" s="1">
        <f t="shared" ref="N61:P61" si="45">Y60</f>
        <v>670056</v>
      </c>
      <c r="O61" s="1">
        <f>Z60</f>
        <v>2006389</v>
      </c>
      <c r="P61" s="1">
        <f t="shared" si="45"/>
        <v>1173501</v>
      </c>
      <c r="Q61" s="1"/>
      <c r="R61" s="1"/>
      <c r="S61" s="1"/>
      <c r="T61" s="1"/>
      <c r="W61" t="s">
        <v>48</v>
      </c>
      <c r="X61">
        <v>258</v>
      </c>
      <c r="Y61" s="1">
        <v>8485</v>
      </c>
      <c r="Z61" s="1">
        <v>3827</v>
      </c>
      <c r="AA61" s="32">
        <v>13539</v>
      </c>
      <c r="AB61" s="1"/>
      <c r="AC61" s="8">
        <v>258</v>
      </c>
      <c r="AD61" s="7">
        <v>12862</v>
      </c>
      <c r="AE61" s="7">
        <v>6957</v>
      </c>
      <c r="AF61" s="7">
        <v>15886</v>
      </c>
      <c r="AG61" s="27">
        <f t="shared" si="36"/>
        <v>49.852713178294572</v>
      </c>
      <c r="AH61" s="27">
        <f t="shared" si="37"/>
        <v>0.54089566163893643</v>
      </c>
      <c r="AI61" s="27">
        <f t="shared" si="38"/>
        <v>2.2834555124335201</v>
      </c>
      <c r="AJ61" s="27">
        <f t="shared" si="39"/>
        <v>1.2351111802208055</v>
      </c>
      <c r="AK61" s="27">
        <f t="shared" si="40"/>
        <v>61.573643410852711</v>
      </c>
    </row>
    <row r="62" spans="1:43" x14ac:dyDescent="0.25">
      <c r="A62" s="8" t="s">
        <v>34</v>
      </c>
      <c r="B62" s="2">
        <f>B53/B$60</f>
        <v>9.8938256228673777E-2</v>
      </c>
      <c r="C62" s="2">
        <f>C53/C$60</f>
        <v>8.9670452690253519E-2</v>
      </c>
      <c r="D62" s="2">
        <f>D53/D$60</f>
        <v>4.7318849266512003E-2</v>
      </c>
      <c r="E62" s="2">
        <f>E53/E$60</f>
        <v>5.3898533425287408E-2</v>
      </c>
      <c r="L62" t="s">
        <v>62</v>
      </c>
      <c r="M62" s="1">
        <f>X90+X91+X86+X85+X89+X88</f>
        <v>67358</v>
      </c>
      <c r="N62" s="1">
        <f t="shared" ref="N62" si="46">Y90+Y91+Y86+Y85+Y89+Y88</f>
        <v>219065</v>
      </c>
      <c r="O62" s="1">
        <f>Z90+Z91+Z86+Z85+Z89+Z88+Z87</f>
        <v>452928</v>
      </c>
      <c r="P62" s="1">
        <f>AA90+AA91+AA86+AA85+AA89+AA88+AA87</f>
        <v>162359</v>
      </c>
      <c r="Q62" s="1"/>
      <c r="R62" s="1"/>
      <c r="S62" s="1"/>
      <c r="T62" s="1"/>
      <c r="W62" s="8" t="s">
        <v>11</v>
      </c>
      <c r="X62" s="7">
        <v>31397</v>
      </c>
      <c r="Y62" s="7">
        <v>124853</v>
      </c>
      <c r="Z62" s="7">
        <v>1255867</v>
      </c>
      <c r="AA62" s="29">
        <v>123821</v>
      </c>
      <c r="AB62" s="62">
        <v>46261</v>
      </c>
      <c r="AC62" s="7">
        <v>37008</v>
      </c>
      <c r="AD62" s="7">
        <v>129573</v>
      </c>
      <c r="AE62" s="7">
        <v>1205603</v>
      </c>
      <c r="AF62" s="7">
        <v>125293</v>
      </c>
      <c r="AG62" s="27">
        <f t="shared" si="36"/>
        <v>3.5012159533073932</v>
      </c>
      <c r="AH62" s="27">
        <f t="shared" si="37"/>
        <v>9.3044307070145784</v>
      </c>
      <c r="AI62" s="27">
        <f t="shared" si="38"/>
        <v>0.10392558744462314</v>
      </c>
      <c r="AJ62" s="27">
        <f t="shared" si="39"/>
        <v>0.96696842706428032</v>
      </c>
      <c r="AK62" s="27">
        <f t="shared" si="40"/>
        <v>3.3855652831820149</v>
      </c>
    </row>
    <row r="63" spans="1:43" x14ac:dyDescent="0.25">
      <c r="A63" s="8"/>
      <c r="B63" s="2"/>
      <c r="C63" s="2"/>
      <c r="D63" s="2"/>
      <c r="E63" s="2"/>
      <c r="M63" s="1"/>
      <c r="N63" s="1"/>
      <c r="O63" s="1"/>
      <c r="P63" s="1"/>
      <c r="Q63" s="1"/>
      <c r="R63" s="1"/>
      <c r="S63" s="1"/>
      <c r="T63" s="1"/>
      <c r="W63" s="8" t="s">
        <v>76</v>
      </c>
      <c r="X63" s="7"/>
      <c r="Y63" s="7"/>
      <c r="Z63" s="7"/>
      <c r="AA63" s="29"/>
      <c r="AB63" s="7"/>
      <c r="AC63" s="7">
        <v>1611</v>
      </c>
      <c r="AD63" s="7">
        <v>20349</v>
      </c>
      <c r="AE63" s="7">
        <v>0</v>
      </c>
      <c r="AF63" s="8">
        <v>98</v>
      </c>
      <c r="AG63" s="27">
        <f t="shared" si="36"/>
        <v>12.631284916201118</v>
      </c>
      <c r="AH63" s="27">
        <f t="shared" si="37"/>
        <v>0</v>
      </c>
      <c r="AI63" s="41" t="s">
        <v>41</v>
      </c>
      <c r="AJ63" s="27">
        <f t="shared" si="39"/>
        <v>4.8159614723082217E-3</v>
      </c>
      <c r="AK63" s="27">
        <f t="shared" si="40"/>
        <v>6.0831781502172562E-2</v>
      </c>
    </row>
    <row r="64" spans="1:43" x14ac:dyDescent="0.25">
      <c r="A64" s="8" t="s">
        <v>35</v>
      </c>
      <c r="B64" s="2">
        <f t="shared" ref="B64:E69" si="47">B55/B$60</f>
        <v>0.7614900439005059</v>
      </c>
      <c r="C64" s="2">
        <f t="shared" si="47"/>
        <v>0.69811227464608061</v>
      </c>
      <c r="D64" s="2">
        <f t="shared" si="47"/>
        <v>0.34672533630442398</v>
      </c>
      <c r="E64" s="2">
        <f t="shared" si="47"/>
        <v>0.73136231313357758</v>
      </c>
      <c r="L64" t="s">
        <v>65</v>
      </c>
      <c r="M64">
        <f>M61/M62</f>
        <v>10.041836159030851</v>
      </c>
      <c r="N64">
        <f t="shared" ref="N64:P64" si="48">N61/N62</f>
        <v>3.0587086024695869</v>
      </c>
      <c r="O64">
        <f t="shared" si="48"/>
        <v>4.4298188674579624</v>
      </c>
      <c r="P64">
        <f t="shared" si="48"/>
        <v>7.227816135847104</v>
      </c>
      <c r="W64" t="s">
        <v>47</v>
      </c>
      <c r="X64" s="1">
        <v>45474</v>
      </c>
      <c r="Y64" s="1">
        <v>67252</v>
      </c>
      <c r="Z64" s="1">
        <v>48922</v>
      </c>
      <c r="AA64" s="32">
        <v>113163</v>
      </c>
      <c r="AB64" s="62">
        <v>17582</v>
      </c>
      <c r="AC64" s="7">
        <v>19231</v>
      </c>
      <c r="AD64" s="7">
        <v>60370</v>
      </c>
      <c r="AE64" s="7">
        <v>70210</v>
      </c>
      <c r="AF64" s="7">
        <v>113498</v>
      </c>
      <c r="AG64" s="27">
        <f t="shared" si="36"/>
        <v>3.1392023295720453</v>
      </c>
      <c r="AH64" s="27">
        <f t="shared" si="37"/>
        <v>1.1629948649991717</v>
      </c>
      <c r="AI64" s="27">
        <f t="shared" si="38"/>
        <v>1.6165503489531405</v>
      </c>
      <c r="AJ64" s="27">
        <f t="shared" si="39"/>
        <v>1.8800397548451218</v>
      </c>
      <c r="AK64" s="27">
        <f t="shared" si="40"/>
        <v>5.9018251780978632</v>
      </c>
    </row>
    <row r="65" spans="1:38" x14ac:dyDescent="0.25">
      <c r="A65" s="8" t="s">
        <v>36</v>
      </c>
      <c r="B65" s="2">
        <f t="shared" si="47"/>
        <v>0</v>
      </c>
      <c r="C65" s="2">
        <f t="shared" si="47"/>
        <v>0</v>
      </c>
      <c r="D65" s="2">
        <f t="shared" si="47"/>
        <v>5.351912051956477E-2</v>
      </c>
      <c r="E65" s="2">
        <f t="shared" si="47"/>
        <v>6.2014960549455898E-2</v>
      </c>
      <c r="W65" t="s">
        <v>45</v>
      </c>
      <c r="X65" s="1">
        <v>1262</v>
      </c>
      <c r="Y65" s="1">
        <v>2112</v>
      </c>
      <c r="Z65" s="1">
        <v>3366</v>
      </c>
      <c r="AA65" s="32">
        <v>4015</v>
      </c>
      <c r="AB65" s="1"/>
      <c r="AC65" s="7">
        <v>12880</v>
      </c>
      <c r="AD65" s="7">
        <v>19556</v>
      </c>
      <c r="AE65" s="7">
        <v>13383</v>
      </c>
      <c r="AF65" s="7">
        <v>13763</v>
      </c>
      <c r="AG65" s="27">
        <f t="shared" si="36"/>
        <v>1.5183229813664596</v>
      </c>
      <c r="AH65" s="27">
        <f t="shared" si="37"/>
        <v>0.68434240130906121</v>
      </c>
      <c r="AI65" s="27">
        <f t="shared" si="38"/>
        <v>1.0283942314877084</v>
      </c>
      <c r="AJ65" s="27">
        <f t="shared" si="39"/>
        <v>0.70377377786868478</v>
      </c>
      <c r="AK65" s="27">
        <f t="shared" si="40"/>
        <v>1.068555900621118</v>
      </c>
    </row>
    <row r="66" spans="1:38" x14ac:dyDescent="0.25">
      <c r="A66" s="8" t="s">
        <v>37</v>
      </c>
      <c r="B66" s="2">
        <f t="shared" si="47"/>
        <v>2.6911576249466041E-2</v>
      </c>
      <c r="C66" s="2">
        <f t="shared" si="47"/>
        <v>5.0987709028150294E-2</v>
      </c>
      <c r="D66" s="2">
        <f t="shared" si="47"/>
        <v>2.2127103445195837E-2</v>
      </c>
      <c r="E66" s="2">
        <f t="shared" si="47"/>
        <v>2.6492082337060185E-2</v>
      </c>
      <c r="L66" t="s">
        <v>63</v>
      </c>
      <c r="M66" s="1">
        <f>X68</f>
        <v>41149</v>
      </c>
      <c r="N66" s="1">
        <f t="shared" ref="N66:P66" si="49">Y68</f>
        <v>14186</v>
      </c>
      <c r="O66" s="1">
        <f t="shared" si="49"/>
        <v>422914</v>
      </c>
      <c r="P66" s="1">
        <f t="shared" si="49"/>
        <v>345795</v>
      </c>
      <c r="Q66" s="1"/>
      <c r="R66" s="1"/>
      <c r="S66" s="1"/>
      <c r="T66" s="1"/>
      <c r="W66" s="8" t="s">
        <v>12</v>
      </c>
      <c r="X66" s="7">
        <v>554992</v>
      </c>
      <c r="Y66" s="7">
        <v>432895</v>
      </c>
      <c r="Z66" s="7">
        <v>164368</v>
      </c>
      <c r="AA66" s="29">
        <v>265000</v>
      </c>
      <c r="AB66" s="7"/>
      <c r="AC66" s="7">
        <v>554992</v>
      </c>
      <c r="AD66" s="7">
        <v>432895</v>
      </c>
      <c r="AE66" s="7">
        <v>164368</v>
      </c>
      <c r="AF66" s="7">
        <v>265000</v>
      </c>
      <c r="AG66" s="27">
        <f t="shared" si="36"/>
        <v>0.78000223426643989</v>
      </c>
      <c r="AH66" s="27">
        <f t="shared" si="37"/>
        <v>0.37969484517030688</v>
      </c>
      <c r="AI66" s="27">
        <f t="shared" si="38"/>
        <v>1.6122359583373893</v>
      </c>
      <c r="AJ66" s="27">
        <f t="shared" si="39"/>
        <v>0.61215768257891634</v>
      </c>
      <c r="AK66" s="27">
        <f t="shared" si="40"/>
        <v>0.47748436013492085</v>
      </c>
      <c r="AL66" s="1"/>
    </row>
    <row r="67" spans="1:38" x14ac:dyDescent="0.25">
      <c r="A67" s="8" t="s">
        <v>38</v>
      </c>
      <c r="B67" s="2">
        <f t="shared" si="47"/>
        <v>0</v>
      </c>
      <c r="C67" s="2">
        <f t="shared" si="47"/>
        <v>0</v>
      </c>
      <c r="D67" s="2">
        <f t="shared" si="47"/>
        <v>0</v>
      </c>
      <c r="E67" s="2">
        <f t="shared" si="47"/>
        <v>-2.2358964371720592E-3</v>
      </c>
      <c r="L67" t="s">
        <v>64</v>
      </c>
      <c r="M67">
        <f>M66/M62</f>
        <v>0.61089996733869767</v>
      </c>
      <c r="N67">
        <f t="shared" ref="N67:P67" si="50">N66/N62</f>
        <v>6.475703558304613E-2</v>
      </c>
      <c r="O67">
        <f t="shared" si="50"/>
        <v>0.93373339691959867</v>
      </c>
      <c r="P67">
        <f t="shared" si="50"/>
        <v>2.1298172568197637</v>
      </c>
      <c r="W67" s="8" t="s">
        <v>21</v>
      </c>
      <c r="X67" s="8">
        <v>421</v>
      </c>
      <c r="Y67" s="7">
        <v>1037</v>
      </c>
      <c r="Z67" s="7">
        <v>107125</v>
      </c>
      <c r="AA67" s="29">
        <v>308168</v>
      </c>
      <c r="AB67" s="7"/>
      <c r="AC67" s="7">
        <v>0</v>
      </c>
      <c r="AD67" s="7">
        <v>0</v>
      </c>
      <c r="AE67" s="7">
        <v>106444</v>
      </c>
      <c r="AF67" s="7">
        <v>307765</v>
      </c>
      <c r="AG67" s="41" t="s">
        <v>41</v>
      </c>
      <c r="AH67" s="41" t="s">
        <v>41</v>
      </c>
      <c r="AI67" s="27">
        <f t="shared" si="38"/>
        <v>2.8913325316598399</v>
      </c>
      <c r="AJ67" s="41" t="s">
        <v>41</v>
      </c>
      <c r="AK67" s="41" t="s">
        <v>41</v>
      </c>
    </row>
    <row r="68" spans="1:38" x14ac:dyDescent="0.25">
      <c r="A68" s="8" t="s">
        <v>39</v>
      </c>
      <c r="B68" s="2">
        <f t="shared" si="47"/>
        <v>0.11266012362135427</v>
      </c>
      <c r="C68" s="2">
        <f t="shared" si="47"/>
        <v>0.16122956363551555</v>
      </c>
      <c r="D68" s="2">
        <f t="shared" si="47"/>
        <v>0.53030959046430348</v>
      </c>
      <c r="E68" s="2">
        <f t="shared" si="47"/>
        <v>0.12846800699179101</v>
      </c>
      <c r="W68" s="8" t="s">
        <v>22</v>
      </c>
      <c r="X68" s="7">
        <v>41149</v>
      </c>
      <c r="Y68" s="7">
        <v>14186</v>
      </c>
      <c r="Z68" s="7">
        <v>422914</v>
      </c>
      <c r="AA68" s="29">
        <v>345795</v>
      </c>
      <c r="AB68" s="7"/>
      <c r="AC68" s="7">
        <v>104378</v>
      </c>
      <c r="AD68" s="7">
        <v>49406</v>
      </c>
      <c r="AE68" s="7">
        <v>563335</v>
      </c>
      <c r="AF68" s="7">
        <v>411586</v>
      </c>
      <c r="AG68" s="27">
        <f t="shared" si="36"/>
        <v>0.47333729329935426</v>
      </c>
      <c r="AH68" s="27">
        <f t="shared" si="37"/>
        <v>11.402157632676193</v>
      </c>
      <c r="AI68" s="27">
        <f t="shared" si="38"/>
        <v>0.73062387389386418</v>
      </c>
      <c r="AJ68" s="27">
        <f t="shared" si="39"/>
        <v>8.3306885803343729</v>
      </c>
      <c r="AK68" s="27">
        <f t="shared" si="40"/>
        <v>3.9432255839353121</v>
      </c>
    </row>
    <row r="69" spans="1:38" x14ac:dyDescent="0.25">
      <c r="A69" s="8" t="s">
        <v>40</v>
      </c>
      <c r="B69" s="2">
        <f t="shared" si="47"/>
        <v>1</v>
      </c>
      <c r="C69" s="2">
        <f t="shared" si="47"/>
        <v>1</v>
      </c>
      <c r="D69" s="2">
        <f t="shared" si="47"/>
        <v>1</v>
      </c>
      <c r="E69" s="2">
        <f t="shared" si="47"/>
        <v>1</v>
      </c>
      <c r="L69" t="s">
        <v>67</v>
      </c>
      <c r="M69" s="1">
        <f>X78+X79+X80+X81+X82+X83</f>
        <v>6853</v>
      </c>
      <c r="N69" s="1">
        <f t="shared" ref="N69:P69" si="51">Y78+Y79+Y80+Y81+Y82+Y83</f>
        <v>24378</v>
      </c>
      <c r="O69" s="1">
        <f>Z78+Z79+Z80+Z81+Z82+Z83</f>
        <v>164990</v>
      </c>
      <c r="P69" s="1">
        <f t="shared" si="51"/>
        <v>29756</v>
      </c>
      <c r="Q69" s="1"/>
      <c r="R69" s="1"/>
      <c r="S69" s="1"/>
      <c r="T69" s="1"/>
      <c r="W69" s="22" t="s">
        <v>14</v>
      </c>
      <c r="X69" s="23">
        <v>1045726</v>
      </c>
      <c r="Y69" s="23">
        <v>1315368</v>
      </c>
      <c r="Z69" s="23">
        <v>2745083</v>
      </c>
      <c r="AA69" s="33">
        <v>2061164</v>
      </c>
      <c r="AB69" s="62">
        <v>981513</v>
      </c>
      <c r="AC69" s="20">
        <v>1126838</v>
      </c>
      <c r="AD69" s="20">
        <v>1404108</v>
      </c>
      <c r="AE69" s="20">
        <v>2890299</v>
      </c>
      <c r="AF69" s="20">
        <v>2158735</v>
      </c>
      <c r="AG69" s="42">
        <f t="shared" si="36"/>
        <v>1.2460602145117576</v>
      </c>
      <c r="AH69" s="42">
        <f t="shared" si="37"/>
        <v>2.058459178353802</v>
      </c>
      <c r="AI69" s="42">
        <f t="shared" si="38"/>
        <v>0.74688985464825608</v>
      </c>
      <c r="AJ69" s="42">
        <f t="shared" si="39"/>
        <v>1.5374422765200397</v>
      </c>
      <c r="AK69" s="42">
        <f t="shared" si="40"/>
        <v>1.9157456528800059</v>
      </c>
    </row>
    <row r="70" spans="1:38" x14ac:dyDescent="0.25">
      <c r="B70">
        <v>2019</v>
      </c>
      <c r="C70">
        <v>2020</v>
      </c>
      <c r="D70">
        <v>2021.202</v>
      </c>
      <c r="E70">
        <v>2021.2019</v>
      </c>
      <c r="F70" t="s">
        <v>42</v>
      </c>
      <c r="L70" t="s">
        <v>68</v>
      </c>
      <c r="M70" s="1">
        <f>M69+X70</f>
        <v>978368</v>
      </c>
      <c r="N70" s="1">
        <f>N69+Y70</f>
        <v>1096303</v>
      </c>
      <c r="O70" s="1">
        <f>O69+Z70</f>
        <v>2292155</v>
      </c>
      <c r="P70" s="1">
        <f>P69+AA70</f>
        <v>1898805</v>
      </c>
      <c r="Q70" s="1"/>
      <c r="R70" s="1"/>
      <c r="S70" s="1"/>
      <c r="T70" s="1"/>
      <c r="U70">
        <f>AF76/AF70</f>
        <v>0.1102791661123886</v>
      </c>
      <c r="W70" s="19" t="s">
        <v>33</v>
      </c>
      <c r="X70" s="34">
        <v>971515</v>
      </c>
      <c r="Y70" s="34">
        <v>1071925</v>
      </c>
      <c r="Z70" s="34">
        <v>2127165</v>
      </c>
      <c r="AA70" s="35">
        <v>1869049</v>
      </c>
      <c r="AB70" s="62">
        <v>882899</v>
      </c>
      <c r="AC70" s="37">
        <v>1002864</v>
      </c>
      <c r="AD70" s="38">
        <v>1105651</v>
      </c>
      <c r="AE70" s="38">
        <v>2183177</v>
      </c>
      <c r="AF70" s="38">
        <v>1894356</v>
      </c>
      <c r="AG70" s="42">
        <f t="shared" si="36"/>
        <v>1.1024934587341852</v>
      </c>
      <c r="AH70" s="42">
        <f t="shared" si="37"/>
        <v>1.9745624975693052</v>
      </c>
      <c r="AI70" s="42">
        <f t="shared" si="38"/>
        <v>0.86770609987188396</v>
      </c>
      <c r="AJ70" s="42">
        <f t="shared" si="39"/>
        <v>1.7133399237191482</v>
      </c>
      <c r="AK70" s="42">
        <f t="shared" si="40"/>
        <v>1.888946058488489</v>
      </c>
      <c r="AL70" s="27">
        <f>(AF70-AC70)/(AF92-AC92)</f>
        <v>0.86393506328635516</v>
      </c>
    </row>
    <row r="71" spans="1:38" x14ac:dyDescent="0.25">
      <c r="A71" s="8" t="s">
        <v>34</v>
      </c>
      <c r="B71" s="2">
        <f>C53/B53</f>
        <v>1</v>
      </c>
      <c r="C71" s="12">
        <f>D53/C53</f>
        <v>1.0471806075738661</v>
      </c>
      <c r="D71" s="12">
        <f>E53/D53</f>
        <v>1.0008345338035864</v>
      </c>
      <c r="E71" s="12">
        <f>E53/C53</f>
        <v>1.0480545151893466</v>
      </c>
      <c r="F71" s="16">
        <f>E53/B53</f>
        <v>1.0480545151893466</v>
      </c>
      <c r="L71" t="s">
        <v>66</v>
      </c>
      <c r="M71">
        <f>M69/M70</f>
        <v>7.0045218159220249E-3</v>
      </c>
      <c r="N71">
        <f t="shared" ref="N71:P71" si="52">N69/N70</f>
        <v>2.2236553215671216E-2</v>
      </c>
      <c r="O71">
        <f t="shared" si="52"/>
        <v>7.19802980164954E-2</v>
      </c>
      <c r="P71">
        <f t="shared" si="52"/>
        <v>1.5670908808434778E-2</v>
      </c>
      <c r="W71" s="8" t="s">
        <v>34</v>
      </c>
      <c r="X71" s="7">
        <v>96120</v>
      </c>
      <c r="Y71" s="7">
        <v>96120</v>
      </c>
      <c r="Z71" s="7">
        <v>100655</v>
      </c>
      <c r="AA71" s="29">
        <v>100739</v>
      </c>
      <c r="AB71" s="7"/>
      <c r="AC71" s="7">
        <v>96120</v>
      </c>
      <c r="AD71" s="7">
        <v>96120</v>
      </c>
      <c r="AE71" s="7">
        <v>100655</v>
      </c>
      <c r="AF71" s="7">
        <v>100739</v>
      </c>
      <c r="AG71" s="27">
        <f t="shared" si="36"/>
        <v>1</v>
      </c>
      <c r="AH71" s="27">
        <f t="shared" si="37"/>
        <v>1.0471806075738661</v>
      </c>
      <c r="AI71" s="27">
        <f t="shared" si="38"/>
        <v>1.0008345338035864</v>
      </c>
      <c r="AJ71" s="27">
        <f t="shared" si="39"/>
        <v>1.0480545151893466</v>
      </c>
      <c r="AK71" s="27">
        <f t="shared" si="40"/>
        <v>1.0480545151893466</v>
      </c>
    </row>
    <row r="72" spans="1:38" x14ac:dyDescent="0.25">
      <c r="A72" s="8" t="s">
        <v>35</v>
      </c>
      <c r="B72" s="2">
        <f>C55/B55</f>
        <v>1.0115234002749396</v>
      </c>
      <c r="C72" s="12">
        <f>D55/C55</f>
        <v>0.9855918024812782</v>
      </c>
      <c r="D72" s="12">
        <f>E55/D55</f>
        <v>1.8533886883730011</v>
      </c>
      <c r="E72" s="12">
        <f t="shared" ref="E72:E77" si="53">E55/C55</f>
        <v>1.8266846980719582</v>
      </c>
      <c r="F72" s="16">
        <f t="shared" ref="F72:F77" si="54">E55/B55</f>
        <v>1.8477343170239484</v>
      </c>
      <c r="W72" s="8" t="s">
        <v>35</v>
      </c>
      <c r="X72" s="7">
        <v>739799</v>
      </c>
      <c r="Y72" s="7">
        <v>748324</v>
      </c>
      <c r="Z72" s="7">
        <v>737542</v>
      </c>
      <c r="AA72" s="29">
        <v>1366952</v>
      </c>
      <c r="AB72" s="7"/>
      <c r="AC72" s="7">
        <v>739724</v>
      </c>
      <c r="AD72" s="7">
        <v>780951</v>
      </c>
      <c r="AE72" s="7">
        <v>774851</v>
      </c>
      <c r="AF72" s="7">
        <v>1425647</v>
      </c>
      <c r="AG72" s="27">
        <f t="shared" si="36"/>
        <v>1.0557329490458605</v>
      </c>
      <c r="AH72" s="27">
        <f t="shared" si="37"/>
        <v>0.99218901057812847</v>
      </c>
      <c r="AI72" s="27">
        <f t="shared" si="38"/>
        <v>1.8398982514057542</v>
      </c>
      <c r="AJ72" s="27">
        <f t="shared" si="39"/>
        <v>1.8255268256267039</v>
      </c>
      <c r="AK72" s="27">
        <f t="shared" si="40"/>
        <v>1.9272688191812082</v>
      </c>
    </row>
    <row r="73" spans="1:38" x14ac:dyDescent="0.25">
      <c r="A73" s="8" t="s">
        <v>36</v>
      </c>
      <c r="B73" s="2" t="s">
        <v>41</v>
      </c>
      <c r="C73" s="12" t="s">
        <v>41</v>
      </c>
      <c r="D73" s="12">
        <f>E56/D56</f>
        <v>1.0181388566810723</v>
      </c>
      <c r="E73" s="12" t="e">
        <f t="shared" si="53"/>
        <v>#DIV/0!</v>
      </c>
      <c r="F73" s="16" t="e">
        <f t="shared" si="54"/>
        <v>#DIV/0!</v>
      </c>
      <c r="L73" t="s">
        <v>69</v>
      </c>
      <c r="M73" s="1">
        <f>M61-M62</f>
        <v>609040</v>
      </c>
      <c r="N73" s="1">
        <f t="shared" ref="N73:O73" si="55">N61-N62</f>
        <v>450991</v>
      </c>
      <c r="O73" s="1">
        <f t="shared" si="55"/>
        <v>1553461</v>
      </c>
      <c r="P73" s="1">
        <f>P61-P62</f>
        <v>1011142</v>
      </c>
      <c r="Q73" s="1"/>
      <c r="R73" s="1"/>
      <c r="S73" s="1"/>
      <c r="T73" s="1"/>
      <c r="W73" s="8" t="s">
        <v>36</v>
      </c>
      <c r="X73" s="7">
        <v>0</v>
      </c>
      <c r="Y73" s="7">
        <v>0</v>
      </c>
      <c r="Z73" s="7">
        <v>113844</v>
      </c>
      <c r="AA73" s="29">
        <v>115909</v>
      </c>
      <c r="AB73" s="7"/>
      <c r="AC73" s="7">
        <v>0</v>
      </c>
      <c r="AD73" s="7">
        <v>0</v>
      </c>
      <c r="AE73" s="7">
        <v>113844</v>
      </c>
      <c r="AF73" s="7">
        <v>115909</v>
      </c>
      <c r="AG73" s="41" t="s">
        <v>41</v>
      </c>
      <c r="AH73" s="41" t="s">
        <v>41</v>
      </c>
      <c r="AI73" s="27">
        <f t="shared" si="38"/>
        <v>1.0181388566810723</v>
      </c>
      <c r="AJ73" s="41" t="s">
        <v>41</v>
      </c>
      <c r="AK73" s="41" t="s">
        <v>41</v>
      </c>
    </row>
    <row r="74" spans="1:38" x14ac:dyDescent="0.25">
      <c r="A74" s="8" t="s">
        <v>37</v>
      </c>
      <c r="B74" s="2">
        <f>C57/B57</f>
        <v>2.0904570663606807</v>
      </c>
      <c r="C74" s="12">
        <f>D57/C57</f>
        <v>0.86118378922330985</v>
      </c>
      <c r="D74" s="12">
        <f>E57/D57</f>
        <v>1.051988612220617</v>
      </c>
      <c r="E74" s="12">
        <f t="shared" si="53"/>
        <v>0.90595553929192207</v>
      </c>
      <c r="F74" s="16">
        <f t="shared" si="54"/>
        <v>1.8938611589213998</v>
      </c>
      <c r="L74" t="s">
        <v>24</v>
      </c>
      <c r="M74" s="1">
        <f>X69</f>
        <v>1045726</v>
      </c>
      <c r="N74" s="1">
        <f t="shared" ref="N74:P74" si="56">Y69</f>
        <v>1315368</v>
      </c>
      <c r="O74" s="1">
        <f t="shared" si="56"/>
        <v>2745083</v>
      </c>
      <c r="P74" s="1">
        <f t="shared" si="56"/>
        <v>2061164</v>
      </c>
      <c r="Q74" s="1"/>
      <c r="R74" s="1"/>
      <c r="S74" s="1"/>
      <c r="T74" s="1"/>
      <c r="W74" s="8" t="s">
        <v>37</v>
      </c>
      <c r="X74" s="7">
        <v>26145</v>
      </c>
      <c r="Y74" s="7">
        <v>54655</v>
      </c>
      <c r="Z74" s="7">
        <v>47068</v>
      </c>
      <c r="AA74" s="29">
        <v>49515</v>
      </c>
      <c r="AB74" s="7"/>
      <c r="AC74" s="7">
        <v>26145</v>
      </c>
      <c r="AD74" s="7">
        <v>54657</v>
      </c>
      <c r="AE74" s="7">
        <v>45547</v>
      </c>
      <c r="AF74" s="7">
        <v>47994</v>
      </c>
      <c r="AG74" s="27">
        <f t="shared" si="36"/>
        <v>2.0905335628227193</v>
      </c>
      <c r="AH74" s="27">
        <f t="shared" si="37"/>
        <v>0.83332418537424302</v>
      </c>
      <c r="AI74" s="27">
        <f t="shared" si="38"/>
        <v>1.0537247239115639</v>
      </c>
      <c r="AJ74" s="27">
        <f t="shared" si="39"/>
        <v>0.87809429716230314</v>
      </c>
      <c r="AK74" s="27">
        <f t="shared" si="40"/>
        <v>1.8356855995410213</v>
      </c>
    </row>
    <row r="75" spans="1:38" x14ac:dyDescent="0.25">
      <c r="A75" s="8" t="s">
        <v>38</v>
      </c>
      <c r="B75" s="2" t="s">
        <v>41</v>
      </c>
      <c r="C75" s="12" t="s">
        <v>41</v>
      </c>
      <c r="D75" s="12" t="e">
        <f>E58/D58</f>
        <v>#DIV/0!</v>
      </c>
      <c r="E75" s="12" t="e">
        <f t="shared" si="53"/>
        <v>#DIV/0!</v>
      </c>
      <c r="F75" s="16" t="e">
        <f t="shared" si="54"/>
        <v>#DIV/0!</v>
      </c>
      <c r="L75" t="s">
        <v>70</v>
      </c>
      <c r="M75">
        <f>M73/M74</f>
        <v>0.58240877629512888</v>
      </c>
      <c r="N75">
        <f t="shared" ref="N75:P75" si="57">N73/N74</f>
        <v>0.34286298587163438</v>
      </c>
      <c r="O75">
        <f t="shared" si="57"/>
        <v>0.56590675036055371</v>
      </c>
      <c r="P75">
        <f t="shared" si="57"/>
        <v>0.49056843608756995</v>
      </c>
      <c r="W75" s="8" t="s">
        <v>38</v>
      </c>
      <c r="X75" s="7">
        <v>0</v>
      </c>
      <c r="Y75" s="7">
        <v>0</v>
      </c>
      <c r="Z75" s="7">
        <v>0</v>
      </c>
      <c r="AA75" s="29">
        <v>-4179</v>
      </c>
      <c r="AB75" s="7"/>
      <c r="AC75" s="7">
        <v>30529</v>
      </c>
      <c r="AD75" s="7">
        <v>-2290</v>
      </c>
      <c r="AE75" s="7">
        <v>-2959</v>
      </c>
      <c r="AF75" s="7">
        <v>-6432</v>
      </c>
      <c r="AG75" s="27">
        <f t="shared" si="36"/>
        <v>-7.5010645615644148E-2</v>
      </c>
      <c r="AH75" s="27">
        <f t="shared" si="37"/>
        <v>1.2921397379912665</v>
      </c>
      <c r="AI75" s="27">
        <f t="shared" si="38"/>
        <v>2.1737073335586348</v>
      </c>
      <c r="AJ75" s="27">
        <f t="shared" si="39"/>
        <v>2.8087336244541485</v>
      </c>
      <c r="AK75" s="27">
        <f t="shared" si="40"/>
        <v>-0.21068492253267385</v>
      </c>
    </row>
    <row r="76" spans="1:38" x14ac:dyDescent="0.25">
      <c r="A76" s="8" t="s">
        <v>39</v>
      </c>
      <c r="B76" s="12">
        <f>C59/B59</f>
        <v>1.5790262309161178</v>
      </c>
      <c r="C76" s="12">
        <f>D59/C59</f>
        <v>6.5271197620728358</v>
      </c>
      <c r="D76" s="12">
        <f>E59/D59</f>
        <v>0.21285556745409803</v>
      </c>
      <c r="E76" s="12">
        <f t="shared" si="53"/>
        <v>1.3893337807968709</v>
      </c>
      <c r="F76" s="16">
        <f t="shared" si="54"/>
        <v>2.1937944833761227</v>
      </c>
      <c r="W76" s="8" t="s">
        <v>39</v>
      </c>
      <c r="X76" s="7">
        <v>109451</v>
      </c>
      <c r="Y76" s="7">
        <v>172826</v>
      </c>
      <c r="Z76" s="7">
        <v>1128056</v>
      </c>
      <c r="AA76" s="29">
        <v>240113</v>
      </c>
      <c r="AB76" s="7"/>
      <c r="AC76" s="7">
        <v>109334</v>
      </c>
      <c r="AD76" s="7">
        <v>175315</v>
      </c>
      <c r="AE76" s="7">
        <v>1150148</v>
      </c>
      <c r="AF76" s="7">
        <v>208908</v>
      </c>
      <c r="AG76" s="27">
        <f t="shared" si="36"/>
        <v>1.6034810763349003</v>
      </c>
      <c r="AH76" s="27">
        <f t="shared" si="37"/>
        <v>6.5604654479080509</v>
      </c>
      <c r="AI76" s="27">
        <f t="shared" si="38"/>
        <v>0.18163575470287302</v>
      </c>
      <c r="AJ76" s="27">
        <f t="shared" si="39"/>
        <v>1.1916150928329008</v>
      </c>
      <c r="AK76" s="27">
        <f t="shared" si="40"/>
        <v>1.910732251632612</v>
      </c>
    </row>
    <row r="77" spans="1:38" x14ac:dyDescent="0.25">
      <c r="A77" s="8" t="s">
        <v>40</v>
      </c>
      <c r="B77" s="2">
        <f>C60/B60</f>
        <v>1.1033540398243979</v>
      </c>
      <c r="C77" s="12">
        <f>D60/C60</f>
        <v>1.9844345453273318</v>
      </c>
      <c r="D77" s="12">
        <f>E60/D60</f>
        <v>0.87865727388331416</v>
      </c>
      <c r="E77" s="12">
        <f t="shared" si="53"/>
        <v>1.7436378477971872</v>
      </c>
      <c r="F77" s="16">
        <f t="shared" si="54"/>
        <v>1.9238498633577454</v>
      </c>
      <c r="L77" t="s">
        <v>72</v>
      </c>
      <c r="M77">
        <f>X61</f>
        <v>258</v>
      </c>
      <c r="W77" s="25" t="s">
        <v>16</v>
      </c>
      <c r="X77" s="26">
        <v>6853</v>
      </c>
      <c r="Y77" s="26">
        <v>24378</v>
      </c>
      <c r="Z77" s="26">
        <v>164990</v>
      </c>
      <c r="AA77" s="36">
        <v>29756</v>
      </c>
      <c r="AB77" s="1"/>
      <c r="AC77" s="20">
        <v>6691</v>
      </c>
      <c r="AD77" s="20">
        <v>25158</v>
      </c>
      <c r="AE77" s="20">
        <v>166153</v>
      </c>
      <c r="AF77" s="20">
        <v>36112</v>
      </c>
      <c r="AG77" s="42">
        <f t="shared" si="36"/>
        <v>3.759976087281423</v>
      </c>
      <c r="AH77" s="42">
        <f t="shared" si="37"/>
        <v>6.6043803164003494</v>
      </c>
      <c r="AI77" s="42">
        <f t="shared" si="38"/>
        <v>0.21734184757422376</v>
      </c>
      <c r="AJ77" s="42">
        <f t="shared" si="39"/>
        <v>1.4354082200492886</v>
      </c>
      <c r="AK77" s="42">
        <f t="shared" si="40"/>
        <v>5.3971005828725156</v>
      </c>
    </row>
    <row r="78" spans="1:38" x14ac:dyDescent="0.25">
      <c r="A78" s="8"/>
      <c r="B78" s="2"/>
      <c r="C78" s="12"/>
      <c r="D78" s="12"/>
      <c r="E78" s="12"/>
      <c r="F78" s="16"/>
      <c r="L78" t="s">
        <v>73</v>
      </c>
      <c r="M78" s="1">
        <f>X62+X64</f>
        <v>76871</v>
      </c>
      <c r="W78" t="s">
        <v>49</v>
      </c>
      <c r="X78">
        <v>163</v>
      </c>
      <c r="Y78" s="1">
        <v>15915</v>
      </c>
      <c r="Z78" s="1">
        <v>14917</v>
      </c>
      <c r="AA78" s="32">
        <v>14757</v>
      </c>
      <c r="AB78" s="62">
        <v>148</v>
      </c>
      <c r="AC78" s="8">
        <v>163</v>
      </c>
      <c r="AD78" s="7">
        <v>17751</v>
      </c>
      <c r="AE78" s="7">
        <v>16006</v>
      </c>
      <c r="AF78" s="7">
        <v>21080</v>
      </c>
      <c r="AG78" s="27">
        <f t="shared" si="36"/>
        <v>108.90184049079754</v>
      </c>
      <c r="AH78" s="27">
        <f t="shared" si="37"/>
        <v>0.90169567911666948</v>
      </c>
      <c r="AI78" s="27">
        <f t="shared" si="38"/>
        <v>1.317006122703986</v>
      </c>
      <c r="AJ78" s="27">
        <f t="shared" si="39"/>
        <v>1.1875387302123823</v>
      </c>
      <c r="AK78" s="27">
        <f t="shared" si="40"/>
        <v>129.32515337423314</v>
      </c>
    </row>
    <row r="79" spans="1:38" x14ac:dyDescent="0.25">
      <c r="A79" s="8"/>
      <c r="B79" s="8">
        <v>2018</v>
      </c>
      <c r="C79" s="8">
        <v>2019</v>
      </c>
      <c r="D79" s="8">
        <v>2020</v>
      </c>
      <c r="E79" s="8">
        <v>2021</v>
      </c>
      <c r="W79" t="s">
        <v>55</v>
      </c>
      <c r="X79" s="7">
        <v>0</v>
      </c>
      <c r="Y79" s="1">
        <v>3340</v>
      </c>
      <c r="Z79" s="1">
        <v>3173</v>
      </c>
      <c r="AA79" s="32">
        <v>2860</v>
      </c>
      <c r="AB79" s="1"/>
      <c r="AC79" s="7">
        <v>0</v>
      </c>
      <c r="AD79" s="7">
        <v>3340</v>
      </c>
      <c r="AE79" s="7">
        <v>3173</v>
      </c>
      <c r="AF79" s="7">
        <v>2860</v>
      </c>
      <c r="AG79" s="41" t="s">
        <v>41</v>
      </c>
      <c r="AH79" s="27">
        <f t="shared" si="37"/>
        <v>0.95</v>
      </c>
      <c r="AI79" s="27">
        <f t="shared" si="38"/>
        <v>0.90135518436810591</v>
      </c>
      <c r="AJ79" s="27">
        <f t="shared" si="39"/>
        <v>0.85628742514970058</v>
      </c>
      <c r="AK79" s="41" t="s">
        <v>41</v>
      </c>
    </row>
    <row r="80" spans="1:38" x14ac:dyDescent="0.25">
      <c r="A80" s="8" t="s">
        <v>43</v>
      </c>
      <c r="B80" s="17" t="e">
        <f>B52/#REF!</f>
        <v>#REF!</v>
      </c>
      <c r="C80" s="17" t="e">
        <f>C52/#REF!</f>
        <v>#REF!</v>
      </c>
      <c r="D80" s="17" t="e">
        <f>D52/#REF!</f>
        <v>#REF!</v>
      </c>
      <c r="E80" s="17" t="e">
        <f>E52/#REF!</f>
        <v>#REF!</v>
      </c>
      <c r="M80" t="s">
        <v>115</v>
      </c>
      <c r="R80">
        <v>2017</v>
      </c>
      <c r="S80">
        <v>2018</v>
      </c>
      <c r="T80">
        <v>2019</v>
      </c>
      <c r="U80">
        <v>2020</v>
      </c>
      <c r="V80">
        <v>2021</v>
      </c>
      <c r="W80" t="s">
        <v>50</v>
      </c>
      <c r="X80">
        <v>204</v>
      </c>
      <c r="Y80" s="1">
        <v>4870</v>
      </c>
      <c r="Z80">
        <v>0</v>
      </c>
      <c r="AA80" s="30">
        <v>0</v>
      </c>
      <c r="AC80" s="7">
        <v>0</v>
      </c>
      <c r="AD80" s="7">
        <v>2935</v>
      </c>
      <c r="AE80" s="8"/>
      <c r="AF80" s="8"/>
      <c r="AG80" s="41" t="s">
        <v>41</v>
      </c>
      <c r="AH80" s="27">
        <f t="shared" si="37"/>
        <v>0</v>
      </c>
      <c r="AI80" s="41" t="s">
        <v>41</v>
      </c>
      <c r="AJ80" s="27">
        <f t="shared" si="39"/>
        <v>0</v>
      </c>
      <c r="AK80" s="41" t="s">
        <v>41</v>
      </c>
    </row>
    <row r="81" spans="13:39" x14ac:dyDescent="0.25">
      <c r="W81" t="s">
        <v>51</v>
      </c>
      <c r="X81" s="1">
        <v>6302</v>
      </c>
      <c r="Y81" s="1">
        <v>7</v>
      </c>
      <c r="Z81">
        <v>910</v>
      </c>
      <c r="AA81" s="32">
        <v>6403</v>
      </c>
      <c r="AB81" s="1"/>
      <c r="AC81" s="7">
        <v>6338</v>
      </c>
      <c r="AD81" s="8">
        <v>364</v>
      </c>
      <c r="AE81" s="8">
        <v>963</v>
      </c>
      <c r="AF81" s="7">
        <v>6424</v>
      </c>
      <c r="AG81" s="27">
        <f t="shared" si="36"/>
        <v>5.7431366361628274E-2</v>
      </c>
      <c r="AH81" s="27">
        <f t="shared" si="37"/>
        <v>2.6456043956043955</v>
      </c>
      <c r="AI81" s="27">
        <f t="shared" si="38"/>
        <v>6.6708203530633439</v>
      </c>
      <c r="AJ81" s="27">
        <f t="shared" si="39"/>
        <v>17.64835164835165</v>
      </c>
      <c r="AK81" s="27">
        <f t="shared" si="40"/>
        <v>1.0135689491953297</v>
      </c>
    </row>
    <row r="82" spans="13:39" x14ac:dyDescent="0.25">
      <c r="M82" t="s">
        <v>85</v>
      </c>
      <c r="R82" s="63"/>
      <c r="S82" s="63">
        <f>AC76</f>
        <v>109334</v>
      </c>
      <c r="T82" s="63">
        <f t="shared" ref="T82:V82" si="58">AD76</f>
        <v>175315</v>
      </c>
      <c r="U82" s="63">
        <f t="shared" si="58"/>
        <v>1150148</v>
      </c>
      <c r="V82" s="63">
        <f t="shared" si="58"/>
        <v>208908</v>
      </c>
      <c r="W82" t="s">
        <v>52</v>
      </c>
      <c r="X82">
        <v>184</v>
      </c>
      <c r="Y82">
        <v>246</v>
      </c>
      <c r="Z82">
        <v>377</v>
      </c>
      <c r="AA82" s="30">
        <v>368</v>
      </c>
      <c r="AC82" s="7">
        <v>190</v>
      </c>
      <c r="AD82" s="8">
        <v>255</v>
      </c>
      <c r="AE82" s="8">
        <v>398</v>
      </c>
      <c r="AF82" s="8">
        <v>380</v>
      </c>
      <c r="AG82" s="27">
        <f t="shared" si="36"/>
        <v>1.3421052631578947</v>
      </c>
      <c r="AH82" s="27">
        <f t="shared" si="37"/>
        <v>1.5607843137254902</v>
      </c>
      <c r="AI82" s="27">
        <f t="shared" si="38"/>
        <v>0.95477386934673369</v>
      </c>
      <c r="AJ82" s="27">
        <f t="shared" si="39"/>
        <v>1.4901960784313726</v>
      </c>
      <c r="AK82" s="27">
        <f t="shared" si="40"/>
        <v>2</v>
      </c>
    </row>
    <row r="83" spans="13:39" x14ac:dyDescent="0.25">
      <c r="M83" t="s">
        <v>116</v>
      </c>
      <c r="R83" s="63"/>
      <c r="S83" s="63">
        <f>(AC70+AB70)/2</f>
        <v>942881.5</v>
      </c>
      <c r="T83" s="63">
        <f t="shared" ref="T83:U83" si="59">(AD70+AC70)/2</f>
        <v>1054257.5</v>
      </c>
      <c r="U83" s="63">
        <f t="shared" si="59"/>
        <v>1644414</v>
      </c>
      <c r="V83" s="63">
        <f>(AF70+AE70)/2</f>
        <v>2038766.5</v>
      </c>
      <c r="W83" t="s">
        <v>56</v>
      </c>
      <c r="X83">
        <v>0</v>
      </c>
      <c r="Y83" s="1">
        <v>0</v>
      </c>
      <c r="Z83" s="1">
        <v>145613</v>
      </c>
      <c r="AA83" s="32">
        <v>5368</v>
      </c>
      <c r="AB83" s="1"/>
      <c r="AC83" s="7">
        <v>0</v>
      </c>
      <c r="AD83" s="7">
        <v>513</v>
      </c>
      <c r="AE83" s="7">
        <v>145613</v>
      </c>
      <c r="AF83" s="7">
        <v>5368</v>
      </c>
      <c r="AG83" s="41" t="s">
        <v>41</v>
      </c>
      <c r="AH83" s="27">
        <f t="shared" si="37"/>
        <v>283.8460038986355</v>
      </c>
      <c r="AI83" s="27">
        <f t="shared" si="38"/>
        <v>3.686484036452789E-2</v>
      </c>
      <c r="AJ83" s="27">
        <f t="shared" si="39"/>
        <v>10.463937621832359</v>
      </c>
      <c r="AK83" s="41" t="s">
        <v>41</v>
      </c>
    </row>
    <row r="84" spans="13:39" x14ac:dyDescent="0.25">
      <c r="M84" t="s">
        <v>117</v>
      </c>
      <c r="R84" s="63"/>
      <c r="S84" s="1">
        <f>AC112</f>
        <v>376152</v>
      </c>
      <c r="T84" s="1">
        <f t="shared" ref="T84:V84" si="60">AD112</f>
        <v>539009</v>
      </c>
      <c r="U84" s="1">
        <f t="shared" si="60"/>
        <v>2164491</v>
      </c>
      <c r="V84" s="1">
        <f t="shared" si="60"/>
        <v>915071</v>
      </c>
      <c r="W84" s="19" t="s">
        <v>53</v>
      </c>
      <c r="X84" s="34">
        <v>67358</v>
      </c>
      <c r="Y84" s="34">
        <v>219065</v>
      </c>
      <c r="Z84" s="34">
        <v>452928</v>
      </c>
      <c r="AA84" s="35">
        <v>162359</v>
      </c>
      <c r="AB84" s="1">
        <v>94484</v>
      </c>
      <c r="AC84" s="20">
        <v>117283</v>
      </c>
      <c r="AD84" s="20">
        <v>273299</v>
      </c>
      <c r="AE84" s="20">
        <v>540969</v>
      </c>
      <c r="AF84" s="20">
        <v>228267</v>
      </c>
      <c r="AG84" s="42">
        <f t="shared" si="36"/>
        <v>2.3302524662568316</v>
      </c>
      <c r="AH84" s="42">
        <f t="shared" si="37"/>
        <v>1.9794035104409455</v>
      </c>
      <c r="AI84" s="42">
        <f t="shared" si="38"/>
        <v>0.42195948381515391</v>
      </c>
      <c r="AJ84" s="42">
        <f t="shared" si="39"/>
        <v>0.83522808352756506</v>
      </c>
      <c r="AK84" s="42">
        <f t="shared" si="40"/>
        <v>1.9462923015270754</v>
      </c>
    </row>
    <row r="85" spans="13:39" x14ac:dyDescent="0.25">
      <c r="M85" t="s">
        <v>86</v>
      </c>
      <c r="R85" s="63"/>
      <c r="S85" s="63">
        <f>(AB69+AC69)/2</f>
        <v>1054175.5</v>
      </c>
      <c r="T85" s="63">
        <f t="shared" ref="T85" si="61">(AC69+AD69)/2</f>
        <v>1265473</v>
      </c>
      <c r="U85" s="63">
        <f>(AD69+AE69)/2</f>
        <v>2147203.5</v>
      </c>
      <c r="V85" s="63">
        <f>(AE69+AF69)/2</f>
        <v>2524517</v>
      </c>
      <c r="W85" t="s">
        <v>49</v>
      </c>
      <c r="X85">
        <v>246</v>
      </c>
      <c r="Y85" s="1">
        <v>1432</v>
      </c>
      <c r="Z85" s="1">
        <v>2053</v>
      </c>
      <c r="AA85" s="32">
        <v>18620</v>
      </c>
      <c r="AB85" s="62">
        <v>163</v>
      </c>
      <c r="AC85" s="8">
        <v>246</v>
      </c>
      <c r="AD85" s="7">
        <v>2154</v>
      </c>
      <c r="AE85" s="7">
        <v>2933</v>
      </c>
      <c r="AF85" s="7">
        <v>25802</v>
      </c>
      <c r="AG85" s="27">
        <f t="shared" si="36"/>
        <v>8.7560975609756095</v>
      </c>
      <c r="AH85" s="27">
        <f t="shared" si="37"/>
        <v>1.361652739090065</v>
      </c>
      <c r="AI85" s="27">
        <f t="shared" si="38"/>
        <v>8.7971360381861583</v>
      </c>
      <c r="AJ85" s="27">
        <f t="shared" si="39"/>
        <v>11.978644382544104</v>
      </c>
      <c r="AK85" s="27">
        <f t="shared" si="40"/>
        <v>104.88617886178862</v>
      </c>
    </row>
    <row r="86" spans="13:39" x14ac:dyDescent="0.25">
      <c r="R86" s="63"/>
      <c r="S86" s="63"/>
      <c r="T86" s="63"/>
      <c r="U86" s="63"/>
      <c r="V86" s="63"/>
      <c r="W86" t="s">
        <v>54</v>
      </c>
      <c r="X86" s="1">
        <v>10429</v>
      </c>
      <c r="Y86" s="1">
        <v>25067</v>
      </c>
      <c r="Z86" s="1">
        <v>73024</v>
      </c>
      <c r="AA86" s="32">
        <v>16028</v>
      </c>
      <c r="AB86" s="1"/>
      <c r="AC86" s="7">
        <v>49914</v>
      </c>
      <c r="AD86" s="7">
        <v>59866</v>
      </c>
      <c r="AE86" s="7">
        <v>115444</v>
      </c>
      <c r="AF86" s="7">
        <v>53380</v>
      </c>
      <c r="AG86" s="27">
        <f t="shared" si="36"/>
        <v>1.1993829386544856</v>
      </c>
      <c r="AH86" s="27">
        <f t="shared" si="37"/>
        <v>1.9283733671867169</v>
      </c>
      <c r="AI86" s="27">
        <f t="shared" si="38"/>
        <v>0.46238869062056059</v>
      </c>
      <c r="AJ86" s="27">
        <f t="shared" si="39"/>
        <v>0.89165803628102758</v>
      </c>
      <c r="AK86" s="27">
        <f t="shared" si="40"/>
        <v>1.0694394358296269</v>
      </c>
    </row>
    <row r="87" spans="13:39" x14ac:dyDescent="0.25">
      <c r="R87" s="63"/>
      <c r="S87" s="63"/>
      <c r="T87" s="63"/>
      <c r="U87" s="63"/>
      <c r="V87" s="63"/>
      <c r="W87" t="s">
        <v>57</v>
      </c>
      <c r="X87" s="1"/>
      <c r="Y87" s="1"/>
      <c r="Z87" s="1">
        <v>1296</v>
      </c>
      <c r="AA87" s="32">
        <v>24445</v>
      </c>
      <c r="AB87" s="1"/>
      <c r="AC87" s="7">
        <v>0</v>
      </c>
      <c r="AD87" s="7">
        <v>118</v>
      </c>
      <c r="AE87" s="7">
        <v>1742</v>
      </c>
      <c r="AF87" s="7">
        <v>24446</v>
      </c>
      <c r="AG87" s="41" t="s">
        <v>41</v>
      </c>
      <c r="AH87" s="27">
        <f t="shared" si="37"/>
        <v>14.76271186440678</v>
      </c>
      <c r="AI87" s="27">
        <f t="shared" si="38"/>
        <v>14.033295063145809</v>
      </c>
      <c r="AJ87" s="27">
        <f t="shared" si="39"/>
        <v>207.16949152542372</v>
      </c>
      <c r="AK87" s="41" t="s">
        <v>41</v>
      </c>
    </row>
    <row r="88" spans="13:39" x14ac:dyDescent="0.25">
      <c r="R88" s="63"/>
      <c r="S88" s="63"/>
      <c r="T88" s="63"/>
      <c r="U88" s="63"/>
      <c r="V88" s="63"/>
      <c r="W88" t="s">
        <v>55</v>
      </c>
      <c r="X88" s="1">
        <v>12357</v>
      </c>
      <c r="Y88" s="1">
        <v>5132</v>
      </c>
      <c r="Z88" s="1">
        <v>4933</v>
      </c>
      <c r="AA88" s="32">
        <v>4059</v>
      </c>
      <c r="AB88" s="1"/>
      <c r="AC88" s="7">
        <v>17785</v>
      </c>
      <c r="AD88" s="7">
        <v>11122</v>
      </c>
      <c r="AE88" s="7">
        <v>33134</v>
      </c>
      <c r="AF88" s="7">
        <v>10042</v>
      </c>
      <c r="AG88" s="27">
        <f t="shared" si="36"/>
        <v>0.62535844813044705</v>
      </c>
      <c r="AH88" s="27">
        <f t="shared" si="37"/>
        <v>2.9791404423664809</v>
      </c>
      <c r="AI88" s="27">
        <f t="shared" si="38"/>
        <v>0.3030723727892799</v>
      </c>
      <c r="AJ88" s="27">
        <f t="shared" si="39"/>
        <v>0.90289516274051429</v>
      </c>
      <c r="AK88" s="27">
        <f t="shared" si="40"/>
        <v>0.56463311779589542</v>
      </c>
    </row>
    <row r="89" spans="13:39" x14ac:dyDescent="0.25">
      <c r="W89" t="s">
        <v>51</v>
      </c>
      <c r="X89" s="1">
        <v>22790</v>
      </c>
      <c r="Y89" s="1">
        <v>151595</v>
      </c>
      <c r="Z89" s="1">
        <v>42286</v>
      </c>
      <c r="AA89" s="32">
        <v>23042</v>
      </c>
      <c r="AB89" s="1"/>
      <c r="AC89" s="7">
        <v>26172</v>
      </c>
      <c r="AD89" s="7">
        <v>161364</v>
      </c>
      <c r="AE89" s="7">
        <v>47758</v>
      </c>
      <c r="AF89" s="7">
        <v>31548</v>
      </c>
      <c r="AG89" s="27">
        <f t="shared" si="36"/>
        <v>6.1655204034846403</v>
      </c>
      <c r="AH89" s="27">
        <f t="shared" si="37"/>
        <v>0.29596440346049924</v>
      </c>
      <c r="AI89" s="27">
        <f t="shared" si="38"/>
        <v>0.66058042631600988</v>
      </c>
      <c r="AJ89" s="27">
        <f t="shared" si="39"/>
        <v>0.19550829181230014</v>
      </c>
      <c r="AK89" s="27">
        <f t="shared" si="40"/>
        <v>1.2054103622191654</v>
      </c>
    </row>
    <row r="90" spans="13:39" x14ac:dyDescent="0.25">
      <c r="W90" t="s">
        <v>52</v>
      </c>
      <c r="X90">
        <v>2</v>
      </c>
      <c r="Y90">
        <v>2</v>
      </c>
      <c r="Z90">
        <v>3</v>
      </c>
      <c r="AA90" s="32">
        <v>5</v>
      </c>
      <c r="AB90" s="1"/>
      <c r="AC90" s="8">
        <v>2</v>
      </c>
      <c r="AD90" s="7">
        <v>2</v>
      </c>
      <c r="AE90" s="8">
        <v>4</v>
      </c>
      <c r="AF90" s="7">
        <v>7</v>
      </c>
      <c r="AG90" s="27">
        <f t="shared" si="36"/>
        <v>1</v>
      </c>
      <c r="AH90" s="27">
        <f t="shared" si="37"/>
        <v>2</v>
      </c>
      <c r="AI90" s="27">
        <f t="shared" si="38"/>
        <v>1.75</v>
      </c>
      <c r="AJ90" s="27">
        <f t="shared" si="39"/>
        <v>3.5</v>
      </c>
      <c r="AK90" s="27">
        <f t="shared" si="40"/>
        <v>3.5</v>
      </c>
      <c r="AM90">
        <f>148+190</f>
        <v>338</v>
      </c>
    </row>
    <row r="91" spans="13:39" x14ac:dyDescent="0.25">
      <c r="W91" t="s">
        <v>56</v>
      </c>
      <c r="X91" s="1">
        <v>21534</v>
      </c>
      <c r="Y91" s="1">
        <v>35837</v>
      </c>
      <c r="Z91" s="1">
        <v>329333</v>
      </c>
      <c r="AA91" s="32">
        <v>76160</v>
      </c>
      <c r="AB91" s="1"/>
      <c r="AC91" s="7">
        <v>23164</v>
      </c>
      <c r="AD91" s="7">
        <v>38673</v>
      </c>
      <c r="AE91" s="7">
        <v>339954</v>
      </c>
      <c r="AF91" s="7">
        <v>83042</v>
      </c>
      <c r="AG91" s="27">
        <f t="shared" si="36"/>
        <v>1.6695303056466932</v>
      </c>
      <c r="AH91" s="27">
        <f t="shared" si="37"/>
        <v>8.7904739740904514</v>
      </c>
      <c r="AI91" s="27">
        <f t="shared" si="38"/>
        <v>0.24427422533636903</v>
      </c>
      <c r="AJ91" s="27">
        <f t="shared" si="39"/>
        <v>2.1472862203604581</v>
      </c>
      <c r="AK91" s="27">
        <f t="shared" si="40"/>
        <v>3.5849594197893282</v>
      </c>
    </row>
    <row r="92" spans="13:39" x14ac:dyDescent="0.25">
      <c r="W92" s="19" t="s">
        <v>18</v>
      </c>
      <c r="X92" s="34">
        <v>1045726</v>
      </c>
      <c r="Y92" s="34">
        <v>1315368</v>
      </c>
      <c r="Z92" s="34">
        <v>2745083</v>
      </c>
      <c r="AA92" s="35">
        <v>2061164</v>
      </c>
      <c r="AB92" s="34"/>
      <c r="AC92" s="20">
        <v>1126838</v>
      </c>
      <c r="AD92" s="20">
        <v>1404108</v>
      </c>
      <c r="AE92" s="20">
        <v>2890299</v>
      </c>
      <c r="AF92" s="20">
        <v>2158735</v>
      </c>
      <c r="AG92" s="42">
        <f t="shared" si="36"/>
        <v>1.2460602145117576</v>
      </c>
      <c r="AH92" s="42">
        <f t="shared" si="37"/>
        <v>2.058459178353802</v>
      </c>
      <c r="AI92" s="42">
        <f t="shared" si="38"/>
        <v>0.74688985464825608</v>
      </c>
      <c r="AJ92" s="42">
        <f t="shared" si="39"/>
        <v>1.5374422765200397</v>
      </c>
      <c r="AK92" s="42">
        <f t="shared" si="40"/>
        <v>1.9157456528800059</v>
      </c>
    </row>
    <row r="93" spans="13:39" x14ac:dyDescent="0.25">
      <c r="AA93" s="30"/>
      <c r="AC93" s="8">
        <v>2018</v>
      </c>
      <c r="AD93" s="8">
        <v>2019</v>
      </c>
      <c r="AE93" s="8">
        <v>2020</v>
      </c>
      <c r="AF93" s="8">
        <v>2021</v>
      </c>
      <c r="AG93" s="27"/>
      <c r="AH93" s="27"/>
      <c r="AI93" s="8">
        <v>2018</v>
      </c>
      <c r="AJ93" s="8">
        <v>2019</v>
      </c>
      <c r="AK93" s="8">
        <v>2020</v>
      </c>
      <c r="AL93" s="8">
        <v>2021</v>
      </c>
    </row>
    <row r="94" spans="13:39" x14ac:dyDescent="0.25">
      <c r="U94" s="8"/>
      <c r="W94" s="51" t="s">
        <v>84</v>
      </c>
      <c r="X94" s="51"/>
      <c r="Y94" s="51"/>
      <c r="Z94" s="51"/>
      <c r="AA94" s="52"/>
      <c r="AB94" s="51"/>
      <c r="AC94" s="53">
        <f>AC60</f>
        <v>730407</v>
      </c>
      <c r="AD94" s="53">
        <f t="shared" ref="AD94:AF94" si="62">AD60</f>
        <v>725011</v>
      </c>
      <c r="AE94" s="53">
        <f t="shared" si="62"/>
        <v>2130300</v>
      </c>
      <c r="AF94" s="53">
        <f t="shared" si="62"/>
        <v>1252889</v>
      </c>
      <c r="AH94" t="s">
        <v>65</v>
      </c>
      <c r="AI94" s="55">
        <f>AC94/AC95</f>
        <v>6.227731214242473</v>
      </c>
      <c r="AJ94" s="55">
        <f t="shared" ref="AJ94:AL94" si="63">AD94/AD95</f>
        <v>2.6528124874222008</v>
      </c>
      <c r="AK94" s="55">
        <f t="shared" si="63"/>
        <v>3.93793359693439</v>
      </c>
      <c r="AL94" s="55">
        <f t="shared" si="63"/>
        <v>5.4886996368288017</v>
      </c>
      <c r="AM94" s="8"/>
    </row>
    <row r="95" spans="13:39" ht="15.75" x14ac:dyDescent="0.25">
      <c r="M95" s="12">
        <f>S82/S84</f>
        <v>0.29066441225887407</v>
      </c>
      <c r="N95" s="12">
        <f t="shared" ref="N95:O95" si="64">T82/T84</f>
        <v>0.32525430929724736</v>
      </c>
      <c r="O95" s="12">
        <f t="shared" si="64"/>
        <v>0.53137111681222049</v>
      </c>
      <c r="P95" s="12">
        <f>V82/V84</f>
        <v>0.22829703924613501</v>
      </c>
      <c r="W95" s="51" t="s">
        <v>83</v>
      </c>
      <c r="X95" s="51"/>
      <c r="Y95" s="51"/>
      <c r="Z95" s="51"/>
      <c r="AA95" s="52"/>
      <c r="AB95" s="51"/>
      <c r="AC95" s="53">
        <f>AC84</f>
        <v>117283</v>
      </c>
      <c r="AD95" s="53">
        <f t="shared" ref="AD95:AF95" si="65">AD84</f>
        <v>273299</v>
      </c>
      <c r="AE95" s="53">
        <f t="shared" si="65"/>
        <v>540969</v>
      </c>
      <c r="AF95" s="53">
        <f t="shared" si="65"/>
        <v>228267</v>
      </c>
      <c r="AH95" s="54" t="s">
        <v>89</v>
      </c>
      <c r="AI95" s="17">
        <f>(AC60-AC61-AC65)/AC84</f>
        <v>6.1157115694516682</v>
      </c>
      <c r="AJ95" s="17">
        <f t="shared" ref="AJ95:AL95" si="66">(AD60-AD61-AD65)/AD84</f>
        <v>2.53419514890285</v>
      </c>
      <c r="AK95" s="17">
        <f t="shared" si="66"/>
        <v>3.9003343999378894</v>
      </c>
      <c r="AL95" s="17">
        <f t="shared" si="66"/>
        <v>5.3588122680895616</v>
      </c>
      <c r="AM95" s="8"/>
    </row>
    <row r="96" spans="13:39" ht="15.75" x14ac:dyDescent="0.25">
      <c r="M96" s="12">
        <f>S84/S85</f>
        <v>0.35682104165767464</v>
      </c>
      <c r="N96" s="12">
        <f t="shared" ref="N96:P96" si="67">T84/T85</f>
        <v>0.42593480856565097</v>
      </c>
      <c r="O96" s="12">
        <f t="shared" si="67"/>
        <v>1.0080511698122698</v>
      </c>
      <c r="P96" s="12">
        <f t="shared" si="67"/>
        <v>0.36247369298760912</v>
      </c>
      <c r="W96" s="51" t="s">
        <v>63</v>
      </c>
      <c r="X96" s="51"/>
      <c r="Y96" s="51"/>
      <c r="Z96" s="51"/>
      <c r="AA96" s="52"/>
      <c r="AB96" s="51"/>
      <c r="AC96" s="53">
        <f>AC68</f>
        <v>104378</v>
      </c>
      <c r="AD96" s="53">
        <f t="shared" ref="AD96:AF96" si="68">AD68</f>
        <v>49406</v>
      </c>
      <c r="AE96" s="53">
        <f t="shared" si="68"/>
        <v>563335</v>
      </c>
      <c r="AF96" s="53">
        <f t="shared" si="68"/>
        <v>411586</v>
      </c>
      <c r="AH96" s="54" t="s">
        <v>90</v>
      </c>
      <c r="AI96" s="17">
        <f>(AC66+AC67+AC68)/AC84</f>
        <v>5.6220424102384827</v>
      </c>
      <c r="AJ96" s="17">
        <f t="shared" ref="AJ96:AL96" si="69">(AD66+AD67+AD68)/AD84</f>
        <v>1.7647375219082397</v>
      </c>
      <c r="AK96" s="17">
        <f t="shared" si="69"/>
        <v>1.5419497235516268</v>
      </c>
      <c r="AL96" s="17">
        <f t="shared" si="69"/>
        <v>4.3122790416485959</v>
      </c>
      <c r="AM96" s="8"/>
    </row>
    <row r="97" spans="13:39" x14ac:dyDescent="0.25">
      <c r="M97" s="55">
        <f>S85/S83</f>
        <v>1.1180360416446817</v>
      </c>
      <c r="N97" s="55">
        <f t="shared" ref="N97" si="70">T85/T83</f>
        <v>1.2003452666924352</v>
      </c>
      <c r="O97" s="55">
        <f>U85/U83</f>
        <v>1.3057560322400563</v>
      </c>
      <c r="P97" s="55">
        <f>V85/V83</f>
        <v>1.238257053958852</v>
      </c>
      <c r="W97" t="s">
        <v>67</v>
      </c>
      <c r="AA97" s="30"/>
      <c r="AC97" s="7">
        <f>AC77</f>
        <v>6691</v>
      </c>
      <c r="AD97" s="7">
        <f t="shared" ref="AD97:AF97" si="71">AD77</f>
        <v>25158</v>
      </c>
      <c r="AE97" s="7">
        <f t="shared" si="71"/>
        <v>166153</v>
      </c>
      <c r="AF97" s="7">
        <f t="shared" si="71"/>
        <v>36112</v>
      </c>
      <c r="AH97" t="s">
        <v>64</v>
      </c>
      <c r="AI97" s="17">
        <f>AC68/AC84</f>
        <v>0.8899670028904445</v>
      </c>
      <c r="AJ97" s="17">
        <f t="shared" ref="AJ97" si="72">AD68/AD84</f>
        <v>0.1807763658118032</v>
      </c>
      <c r="AK97" s="17">
        <f>AE68/AE84</f>
        <v>1.0413443284180794</v>
      </c>
      <c r="AL97" s="17">
        <f>AF68/AF84</f>
        <v>1.8030902408144849</v>
      </c>
      <c r="AM97" s="8"/>
    </row>
    <row r="98" spans="13:39" x14ac:dyDescent="0.25">
      <c r="M98" s="12">
        <f>M95*M96*M97</f>
        <v>0.11595730746652681</v>
      </c>
      <c r="N98" s="12">
        <f t="shared" ref="N98:P98" si="73">N95*N96*N97</f>
        <v>0.16629239061614454</v>
      </c>
      <c r="O98" s="12">
        <f t="shared" si="73"/>
        <v>0.69942727318059805</v>
      </c>
      <c r="P98" s="12">
        <f t="shared" si="73"/>
        <v>0.1024678402357504</v>
      </c>
      <c r="W98" t="s">
        <v>68</v>
      </c>
      <c r="AA98" s="30"/>
      <c r="AC98" s="7">
        <f>AC70+AC77</f>
        <v>1009555</v>
      </c>
      <c r="AD98" s="7">
        <f t="shared" ref="AD98:AF98" si="74">AD70+AD77</f>
        <v>1130809</v>
      </c>
      <c r="AE98" s="7">
        <f t="shared" si="74"/>
        <v>2349330</v>
      </c>
      <c r="AF98" s="7">
        <f t="shared" si="74"/>
        <v>1930468</v>
      </c>
      <c r="AI98" s="8"/>
      <c r="AJ98" s="8"/>
      <c r="AK98" s="8"/>
      <c r="AL98" s="8"/>
      <c r="AM98" s="8"/>
    </row>
    <row r="99" spans="13:39" x14ac:dyDescent="0.25">
      <c r="W99" t="s">
        <v>59</v>
      </c>
      <c r="X99" s="1">
        <v>113502</v>
      </c>
      <c r="Y99" s="1">
        <v>176448</v>
      </c>
      <c r="Z99" s="1">
        <v>1128943</v>
      </c>
      <c r="AA99" s="32">
        <v>265323</v>
      </c>
      <c r="AB99" s="1"/>
      <c r="AC99" s="7">
        <v>112392</v>
      </c>
      <c r="AD99" s="7">
        <v>180286</v>
      </c>
      <c r="AE99" s="7">
        <v>1157077</v>
      </c>
      <c r="AF99" s="7">
        <v>232903</v>
      </c>
      <c r="AH99" t="s">
        <v>98</v>
      </c>
      <c r="AI99" s="55">
        <f>(AC84+AC77)/AC70</f>
        <v>0.12361995245616554</v>
      </c>
      <c r="AJ99" s="55">
        <f t="shared" ref="AJ99:AL99" si="75">(AD84+AD77)/AD70</f>
        <v>0.26993780134961215</v>
      </c>
      <c r="AK99" s="55">
        <f t="shared" si="75"/>
        <v>0.32389586368856027</v>
      </c>
      <c r="AL99" s="55">
        <f t="shared" si="75"/>
        <v>0.13956141295511509</v>
      </c>
      <c r="AM99" s="8"/>
    </row>
    <row r="100" spans="13:39" x14ac:dyDescent="0.25">
      <c r="W100" t="s">
        <v>58</v>
      </c>
      <c r="X100">
        <v>104</v>
      </c>
      <c r="Y100">
        <v>407</v>
      </c>
      <c r="Z100">
        <v>539</v>
      </c>
      <c r="AA100" s="32">
        <v>1288</v>
      </c>
      <c r="AB100" s="1">
        <v>88</v>
      </c>
      <c r="AC100" s="8">
        <v>130</v>
      </c>
      <c r="AD100" s="8">
        <v>587</v>
      </c>
      <c r="AE100" s="8">
        <v>659</v>
      </c>
      <c r="AF100" s="7">
        <v>2797</v>
      </c>
      <c r="AH100" t="s">
        <v>71</v>
      </c>
      <c r="AI100" s="55">
        <f>AC99/((AC100+AB100)/2)</f>
        <v>1031.119266055046</v>
      </c>
      <c r="AJ100" s="55">
        <f t="shared" ref="AJ100:AL100" si="76">AD99/((AD100+AC100)/2)</f>
        <v>502.88981868898185</v>
      </c>
      <c r="AK100" s="55">
        <f t="shared" si="76"/>
        <v>1857.266452648475</v>
      </c>
      <c r="AL100" s="55">
        <f t="shared" si="76"/>
        <v>134.7818287037037</v>
      </c>
      <c r="AM100" s="8"/>
    </row>
    <row r="101" spans="13:39" x14ac:dyDescent="0.25">
      <c r="W101" t="s">
        <v>69</v>
      </c>
      <c r="AC101" s="7">
        <f>AC94-AC95</f>
        <v>613124</v>
      </c>
      <c r="AD101" s="7">
        <f t="shared" ref="AD101:AF101" si="77">AD94-AD95</f>
        <v>451712</v>
      </c>
      <c r="AE101" s="7">
        <f t="shared" si="77"/>
        <v>1589331</v>
      </c>
      <c r="AF101" s="7">
        <f t="shared" si="77"/>
        <v>1024622</v>
      </c>
      <c r="AH101" t="s">
        <v>99</v>
      </c>
      <c r="AI101" s="17">
        <f>(AI102+AC76)/AJ105</f>
        <v>305.49397590361446</v>
      </c>
      <c r="AJ101" s="17">
        <f t="shared" ref="AJ101" si="78">(AJ102+AD76)/AK105</f>
        <v>18.059663286403467</v>
      </c>
      <c r="AK101" s="17">
        <f>(AK102+AE76)/AL105</f>
        <v>59.916949850684787</v>
      </c>
      <c r="AL101" s="17">
        <f>(AL102+AF76)/AM105</f>
        <v>6.8875282964403457</v>
      </c>
      <c r="AM101" s="8"/>
    </row>
    <row r="102" spans="13:39" x14ac:dyDescent="0.25">
      <c r="W102" t="s">
        <v>24</v>
      </c>
      <c r="AC102" s="7">
        <f>AC69</f>
        <v>1126838</v>
      </c>
      <c r="AD102" s="7">
        <f t="shared" ref="AD102:AF102" si="79">AD69</f>
        <v>1404108</v>
      </c>
      <c r="AE102" s="7">
        <f t="shared" si="79"/>
        <v>2890299</v>
      </c>
      <c r="AF102" s="7">
        <f t="shared" si="79"/>
        <v>2158735</v>
      </c>
      <c r="AH102" t="s">
        <v>100</v>
      </c>
      <c r="AI102" s="1">
        <v>4768</v>
      </c>
      <c r="AJ102" s="1">
        <v>8117</v>
      </c>
      <c r="AK102" s="1">
        <v>13559</v>
      </c>
      <c r="AL102" s="1">
        <v>17764</v>
      </c>
      <c r="AM102" s="8"/>
    </row>
    <row r="103" spans="13:39" x14ac:dyDescent="0.25">
      <c r="W103" t="s">
        <v>73</v>
      </c>
      <c r="AC103" s="7">
        <f>AC62+AC64</f>
        <v>56239</v>
      </c>
      <c r="AD103" s="7">
        <f t="shared" ref="AD103:AF103" si="80">AD62+AD64</f>
        <v>189943</v>
      </c>
      <c r="AE103" s="7">
        <f t="shared" si="80"/>
        <v>1275813</v>
      </c>
      <c r="AF103" s="7">
        <f t="shared" si="80"/>
        <v>238791</v>
      </c>
      <c r="AH103" t="s">
        <v>101</v>
      </c>
      <c r="AI103" s="8">
        <v>2017</v>
      </c>
      <c r="AJ103" s="8">
        <v>2018</v>
      </c>
      <c r="AK103" s="8">
        <v>2019</v>
      </c>
      <c r="AL103" s="8">
        <v>2020</v>
      </c>
      <c r="AM103" s="8">
        <v>2021</v>
      </c>
    </row>
    <row r="104" spans="13:39" x14ac:dyDescent="0.25">
      <c r="W104" t="s">
        <v>72</v>
      </c>
      <c r="AC104" s="8">
        <f>AC61</f>
        <v>258</v>
      </c>
      <c r="AD104" s="8">
        <f t="shared" ref="AD104:AF104" si="81">AD61</f>
        <v>12862</v>
      </c>
      <c r="AE104" s="8">
        <f t="shared" si="81"/>
        <v>6957</v>
      </c>
      <c r="AF104" s="8">
        <f t="shared" si="81"/>
        <v>15886</v>
      </c>
      <c r="AI104" s="8">
        <v>338</v>
      </c>
      <c r="AJ104" s="8">
        <f>AC85+AC78</f>
        <v>409</v>
      </c>
      <c r="AK104" s="7">
        <f>AD85+AD78</f>
        <v>19905</v>
      </c>
      <c r="AL104" s="8">
        <f t="shared" ref="AL104" si="82">AE85+AE78</f>
        <v>18939</v>
      </c>
      <c r="AM104" s="7">
        <f>AF85+AF78</f>
        <v>46882</v>
      </c>
    </row>
    <row r="105" spans="13:39" x14ac:dyDescent="0.25">
      <c r="W105" t="s">
        <v>85</v>
      </c>
      <c r="AC105" s="7">
        <f>AC76</f>
        <v>109334</v>
      </c>
      <c r="AD105" s="8"/>
      <c r="AE105" s="8"/>
      <c r="AF105" s="8"/>
      <c r="AH105" t="s">
        <v>102</v>
      </c>
      <c r="AI105" s="8"/>
      <c r="AJ105" s="8">
        <f>(AJ104+AI104)/2</f>
        <v>373.5</v>
      </c>
      <c r="AK105" s="8">
        <f>(AK104+AJ104)/2</f>
        <v>10157</v>
      </c>
      <c r="AL105" s="8">
        <f>(AL104+AK104)/2</f>
        <v>19422</v>
      </c>
      <c r="AM105" s="8">
        <f t="shared" ref="AM105" si="83">(AM104+AL104)/2</f>
        <v>32910.5</v>
      </c>
    </row>
    <row r="106" spans="13:39" x14ac:dyDescent="0.25">
      <c r="W106" t="s">
        <v>86</v>
      </c>
      <c r="AC106" s="8"/>
      <c r="AD106" s="8"/>
      <c r="AE106" s="8"/>
      <c r="AF106" s="8"/>
      <c r="AH106" t="s">
        <v>107</v>
      </c>
      <c r="AI106" s="1">
        <v>362901</v>
      </c>
      <c r="AJ106" s="1">
        <v>521272</v>
      </c>
      <c r="AK106" s="1">
        <v>2138875</v>
      </c>
      <c r="AL106" s="1">
        <v>888172</v>
      </c>
      <c r="AM106" s="8"/>
    </row>
    <row r="107" spans="13:39" x14ac:dyDescent="0.25">
      <c r="W107" t="s">
        <v>87</v>
      </c>
      <c r="AC107" s="8"/>
      <c r="AD107" s="8"/>
      <c r="AE107" s="8"/>
      <c r="AF107" s="8"/>
      <c r="AH107" t="s">
        <v>109</v>
      </c>
      <c r="AI107" s="7">
        <f>(AB84+AC84)/2</f>
        <v>105883.5</v>
      </c>
      <c r="AJ107" s="7">
        <f t="shared" ref="AJ107:AL107" si="84">(AC84+AD84)/2</f>
        <v>195291</v>
      </c>
      <c r="AK107" s="7">
        <f t="shared" si="84"/>
        <v>407134</v>
      </c>
      <c r="AL107" s="7">
        <f t="shared" si="84"/>
        <v>384618</v>
      </c>
      <c r="AM107" s="8"/>
    </row>
    <row r="108" spans="13:39" x14ac:dyDescent="0.25">
      <c r="W108" t="s">
        <v>88</v>
      </c>
      <c r="AC108" s="1">
        <v>362901</v>
      </c>
      <c r="AD108" s="1">
        <v>521272</v>
      </c>
      <c r="AE108" s="1">
        <v>2138875</v>
      </c>
      <c r="AF108" s="1">
        <v>888172</v>
      </c>
      <c r="AI108" s="8"/>
      <c r="AJ108" s="8"/>
      <c r="AK108" s="8"/>
      <c r="AL108" s="8"/>
      <c r="AM108" s="8"/>
    </row>
    <row r="109" spans="13:39" x14ac:dyDescent="0.25">
      <c r="W109" t="s">
        <v>118</v>
      </c>
      <c r="AC109" s="1">
        <v>2480</v>
      </c>
      <c r="AD109" s="1">
        <v>8274</v>
      </c>
      <c r="AE109" s="1">
        <v>8535</v>
      </c>
      <c r="AF109" s="1">
        <v>17376</v>
      </c>
      <c r="AI109" s="8"/>
      <c r="AJ109" s="8"/>
      <c r="AK109" s="8"/>
      <c r="AL109" s="8"/>
      <c r="AM109" s="8"/>
    </row>
    <row r="110" spans="13:39" x14ac:dyDescent="0.25">
      <c r="W110" t="s">
        <v>120</v>
      </c>
      <c r="AI110" s="8"/>
      <c r="AJ110" s="8"/>
      <c r="AK110" s="8"/>
      <c r="AL110" s="8"/>
      <c r="AM110" s="8"/>
    </row>
    <row r="111" spans="13:39" x14ac:dyDescent="0.25">
      <c r="W111" t="s">
        <v>119</v>
      </c>
      <c r="AC111" s="1">
        <v>10771</v>
      </c>
      <c r="AD111" s="1">
        <v>9463</v>
      </c>
      <c r="AE111" s="1">
        <v>17081</v>
      </c>
      <c r="AF111" s="1">
        <v>9523</v>
      </c>
      <c r="AH111" t="s">
        <v>128</v>
      </c>
      <c r="AI111" s="17">
        <f>AI106/((AC48+AB48)/2)</f>
        <v>0.92489486963835155</v>
      </c>
      <c r="AJ111" s="17">
        <f t="shared" ref="AJ111:AL111" si="85">AJ106/((AD48+AC48)/2)</f>
        <v>0.96933227214912121</v>
      </c>
      <c r="AK111" s="17">
        <f t="shared" si="85"/>
        <v>2.9725258078682728</v>
      </c>
      <c r="AL111" s="17">
        <f t="shared" si="85"/>
        <v>1.0663321017261509</v>
      </c>
      <c r="AM111" s="8"/>
    </row>
    <row r="112" spans="13:39" x14ac:dyDescent="0.25">
      <c r="W112" t="s">
        <v>121</v>
      </c>
      <c r="AC112" s="1">
        <f>SUM(AC108:AC111)</f>
        <v>376152</v>
      </c>
      <c r="AD112" s="1">
        <f t="shared" ref="AD112:AF112" si="86">SUM(AD108:AD111)</f>
        <v>539009</v>
      </c>
      <c r="AE112" s="1">
        <f t="shared" si="86"/>
        <v>2164491</v>
      </c>
      <c r="AF112" s="1">
        <f t="shared" si="86"/>
        <v>915071</v>
      </c>
      <c r="AH112" t="s">
        <v>106</v>
      </c>
      <c r="AI112" s="17">
        <f>AI106/((AB69+AC69)/2)</f>
        <v>0.34425102841035482</v>
      </c>
      <c r="AJ112" s="17">
        <f t="shared" ref="AJ112:AL112" si="87">AJ106/((AC69+AD69)/2)</f>
        <v>0.41191870549588966</v>
      </c>
      <c r="AK112" s="17">
        <f t="shared" si="87"/>
        <v>0.99612123396780972</v>
      </c>
      <c r="AL112" s="17">
        <f t="shared" si="87"/>
        <v>0.35181858549576017</v>
      </c>
      <c r="AM112" s="8"/>
    </row>
    <row r="113" spans="23:39" x14ac:dyDescent="0.25">
      <c r="AH113" t="s">
        <v>105</v>
      </c>
      <c r="AI113" s="17">
        <f>AI106/((AB62+AB64+AC62+AC64)/2)</f>
        <v>6.0442197831481819</v>
      </c>
      <c r="AJ113" s="17">
        <f t="shared" ref="AJ113:AL113" si="88">AJ106/((AC62+AC64+AD62+AD64)/2)</f>
        <v>4.2348506389581688</v>
      </c>
      <c r="AK113" s="17">
        <f t="shared" si="88"/>
        <v>2.9184598255098395</v>
      </c>
      <c r="AL113" s="17">
        <f t="shared" si="88"/>
        <v>1.1728108469276457</v>
      </c>
      <c r="AM113" s="8"/>
    </row>
    <row r="114" spans="23:39" x14ac:dyDescent="0.25">
      <c r="AH114" t="s">
        <v>110</v>
      </c>
      <c r="AI114" s="17">
        <f>AI107/AI106*360</f>
        <v>105.03707622740086</v>
      </c>
      <c r="AJ114" s="17">
        <f t="shared" ref="AJ114:AL114" si="89">AJ107/AJ106*360</f>
        <v>134.87154498994767</v>
      </c>
      <c r="AK114" s="17">
        <f t="shared" si="89"/>
        <v>68.525855882181048</v>
      </c>
      <c r="AL114" s="17">
        <f t="shared" si="89"/>
        <v>155.89602014024311</v>
      </c>
      <c r="AM114" s="8"/>
    </row>
    <row r="115" spans="23:39" x14ac:dyDescent="0.25">
      <c r="AI115" s="8"/>
      <c r="AJ115" s="8"/>
      <c r="AK115" s="8"/>
      <c r="AL115" s="8"/>
      <c r="AM115" s="8"/>
    </row>
    <row r="116" spans="23:39" x14ac:dyDescent="0.25">
      <c r="AH116" t="s">
        <v>111</v>
      </c>
      <c r="AI116" s="12">
        <f>AC76/((AC70+AB70)/2)</f>
        <v>0.11595730746652681</v>
      </c>
      <c r="AJ116" s="12">
        <f t="shared" ref="AJ116:AL116" si="90">AD76/((AD70+AC70)/2)</f>
        <v>0.16629239061614454</v>
      </c>
      <c r="AK116" s="12">
        <f t="shared" si="90"/>
        <v>0.69942727318059805</v>
      </c>
      <c r="AL116" s="12">
        <f t="shared" si="90"/>
        <v>0.1024678402357504</v>
      </c>
      <c r="AM116" s="8"/>
    </row>
    <row r="117" spans="23:39" x14ac:dyDescent="0.25">
      <c r="W117" t="s">
        <v>122</v>
      </c>
      <c r="AB117">
        <v>2018</v>
      </c>
      <c r="AC117">
        <v>2019</v>
      </c>
      <c r="AD117">
        <v>2020</v>
      </c>
      <c r="AE117">
        <v>2021</v>
      </c>
      <c r="AH117" t="s">
        <v>112</v>
      </c>
      <c r="AI117" s="12">
        <f>AC76/((AB69+AC69)/2)</f>
        <v>0.10371517835502722</v>
      </c>
      <c r="AJ117" s="12">
        <f t="shared" ref="AJ117:AL117" si="91">AD76/((AC69+AD69)/2)</f>
        <v>0.13853713196567607</v>
      </c>
      <c r="AK117" s="12">
        <f t="shared" si="91"/>
        <v>0.53564927590701117</v>
      </c>
      <c r="AL117" s="12">
        <f t="shared" si="91"/>
        <v>8.2751670913683684E-2</v>
      </c>
      <c r="AM117" s="8"/>
    </row>
    <row r="118" spans="23:39" x14ac:dyDescent="0.25">
      <c r="W118" t="s">
        <v>123</v>
      </c>
      <c r="AB118" s="27">
        <f>AC70/AC69</f>
        <v>0.88998063608078537</v>
      </c>
      <c r="AC118" s="27">
        <f t="shared" ref="AC118:AE118" si="92">AD70/AD69</f>
        <v>0.78744013993225592</v>
      </c>
      <c r="AD118" s="27">
        <f t="shared" si="92"/>
        <v>0.75534641917670109</v>
      </c>
      <c r="AE118" s="27">
        <f t="shared" si="92"/>
        <v>0.87753059083213081</v>
      </c>
      <c r="AH118" t="s">
        <v>114</v>
      </c>
      <c r="AI118" s="12">
        <f>AC76/AC112</f>
        <v>0.29066441225887407</v>
      </c>
      <c r="AJ118" s="12">
        <f t="shared" ref="AJ118:AL118" si="93">AD76/AD112</f>
        <v>0.32525430929724736</v>
      </c>
      <c r="AK118" s="12">
        <f t="shared" si="93"/>
        <v>0.53137111681222049</v>
      </c>
      <c r="AL118" s="12">
        <f t="shared" si="93"/>
        <v>0.22829703924613501</v>
      </c>
      <c r="AM118" s="8"/>
    </row>
    <row r="119" spans="23:39" x14ac:dyDescent="0.25">
      <c r="W119" t="s">
        <v>124</v>
      </c>
      <c r="AB119" s="27">
        <f>AC77/AC69</f>
        <v>5.9378544209549196E-3</v>
      </c>
      <c r="AC119" s="27">
        <f t="shared" ref="AC119:AE119" si="94">AD77/AD69</f>
        <v>1.791742515532993E-2</v>
      </c>
      <c r="AD119" s="27">
        <f t="shared" si="94"/>
        <v>5.7486439984236928E-2</v>
      </c>
      <c r="AE119" s="27">
        <f t="shared" si="94"/>
        <v>1.6728315425469084E-2</v>
      </c>
      <c r="AI119" s="8"/>
      <c r="AJ119" s="8"/>
      <c r="AK119" s="8"/>
      <c r="AL119" s="8"/>
      <c r="AM119" s="8"/>
    </row>
    <row r="120" spans="23:39" x14ac:dyDescent="0.25">
      <c r="W120" t="s">
        <v>125</v>
      </c>
      <c r="AB120" s="27">
        <f>AC84/AC92</f>
        <v>0.10408150949825973</v>
      </c>
      <c r="AC120" s="27">
        <f t="shared" ref="AC120:AE120" si="95">AD84/AD92</f>
        <v>0.19464243491241415</v>
      </c>
      <c r="AD120" s="27">
        <f t="shared" si="95"/>
        <v>0.18716714083906197</v>
      </c>
      <c r="AE120" s="27">
        <f t="shared" si="95"/>
        <v>0.10574109374240007</v>
      </c>
      <c r="AI120" s="8"/>
      <c r="AJ120" s="8"/>
      <c r="AK120" s="8"/>
      <c r="AL120" s="8"/>
      <c r="AM120" s="8"/>
    </row>
    <row r="121" spans="23:39" x14ac:dyDescent="0.25">
      <c r="AI121" s="8"/>
      <c r="AJ121" s="8"/>
      <c r="AK121" s="8"/>
      <c r="AL121" s="8"/>
      <c r="AM121" s="8"/>
    </row>
    <row r="122" spans="23:39" x14ac:dyDescent="0.25">
      <c r="AI122" s="8"/>
      <c r="AJ122" s="8"/>
      <c r="AK122" s="8"/>
      <c r="AL122" s="8"/>
      <c r="AM122" s="8"/>
    </row>
    <row r="123" spans="23:39" x14ac:dyDescent="0.25">
      <c r="AE123">
        <v>18.7</v>
      </c>
    </row>
    <row r="124" spans="23:39" x14ac:dyDescent="0.25">
      <c r="AE124">
        <v>75.5</v>
      </c>
    </row>
    <row r="125" spans="23:39" x14ac:dyDescent="0.25">
      <c r="AE125">
        <v>5.7</v>
      </c>
    </row>
    <row r="126" spans="23:39" x14ac:dyDescent="0.25">
      <c r="AE126">
        <f>SUM(AE123:AE125)</f>
        <v>99.9</v>
      </c>
    </row>
  </sheetData>
  <mergeCells count="4">
    <mergeCell ref="AH46:AH47"/>
    <mergeCell ref="AI46:AI47"/>
    <mergeCell ref="AJ46:AJ47"/>
    <mergeCell ref="AK46:AK47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E04B-BC2F-43A1-9D58-7AA2F1B07908}">
  <dimension ref="A2:U72"/>
  <sheetViews>
    <sheetView topLeftCell="B1" zoomScaleNormal="100" workbookViewId="0">
      <selection activeCell="D21" sqref="D21"/>
    </sheetView>
  </sheetViews>
  <sheetFormatPr defaultRowHeight="15" x14ac:dyDescent="0.25"/>
  <cols>
    <col min="1" max="1" width="30.85546875" customWidth="1"/>
    <col min="2" max="3" width="13" customWidth="1"/>
    <col min="4" max="4" width="20" customWidth="1"/>
    <col min="5" max="5" width="12.5703125" customWidth="1"/>
    <col min="6" max="6" width="9.85546875" customWidth="1"/>
    <col min="7" max="7" width="11.42578125" customWidth="1"/>
    <col min="8" max="8" width="11.28515625" customWidth="1"/>
    <col min="9" max="11" width="12.140625" customWidth="1"/>
    <col min="12" max="12" width="18.7109375" customWidth="1"/>
    <col min="13" max="13" width="13.28515625" bestFit="1" customWidth="1"/>
    <col min="14" max="14" width="14.7109375" customWidth="1"/>
    <col min="15" max="15" width="18.42578125" customWidth="1"/>
    <col min="16" max="16" width="14" customWidth="1"/>
    <col min="17" max="17" width="13.5703125" customWidth="1"/>
    <col min="18" max="18" width="17.28515625" customWidth="1"/>
    <col min="19" max="19" width="16.7109375" bestFit="1" customWidth="1"/>
  </cols>
  <sheetData>
    <row r="2" spans="1:21" x14ac:dyDescent="0.25">
      <c r="B2">
        <v>2010</v>
      </c>
      <c r="C2">
        <v>2011</v>
      </c>
      <c r="D2">
        <v>2012</v>
      </c>
      <c r="E2">
        <v>2013</v>
      </c>
      <c r="F2">
        <v>2014</v>
      </c>
      <c r="G2">
        <v>2015</v>
      </c>
      <c r="H2">
        <v>2016</v>
      </c>
      <c r="I2">
        <v>2017</v>
      </c>
      <c r="J2">
        <v>2018</v>
      </c>
      <c r="K2">
        <v>2019</v>
      </c>
      <c r="L2">
        <v>2020</v>
      </c>
      <c r="M2">
        <v>2021</v>
      </c>
      <c r="N2">
        <v>2022</v>
      </c>
      <c r="O2">
        <v>2023</v>
      </c>
      <c r="P2">
        <v>2024</v>
      </c>
      <c r="Q2">
        <v>2025</v>
      </c>
      <c r="R2">
        <v>2026</v>
      </c>
    </row>
    <row r="3" spans="1:21" x14ac:dyDescent="0.25">
      <c r="A3" t="s">
        <v>59</v>
      </c>
      <c r="B3">
        <v>-675</v>
      </c>
      <c r="C3" s="1">
        <v>27622</v>
      </c>
      <c r="D3" s="1">
        <v>28367</v>
      </c>
      <c r="E3" s="1">
        <v>14874</v>
      </c>
      <c r="F3" s="1">
        <v>9010</v>
      </c>
      <c r="G3" s="1">
        <v>424193</v>
      </c>
      <c r="H3" s="1">
        <v>303627</v>
      </c>
      <c r="I3" s="1">
        <v>240940</v>
      </c>
      <c r="J3" s="1">
        <v>112392</v>
      </c>
      <c r="K3" s="1">
        <v>180286</v>
      </c>
      <c r="L3" s="1">
        <v>1157077</v>
      </c>
      <c r="M3" s="1">
        <v>232903</v>
      </c>
    </row>
    <row r="4" spans="1:21" x14ac:dyDescent="0.25">
      <c r="A4" t="s">
        <v>129</v>
      </c>
      <c r="B4" s="2">
        <v>0</v>
      </c>
      <c r="C4" s="2">
        <v>0</v>
      </c>
      <c r="D4" s="2">
        <v>6.0000000000000001E-3</v>
      </c>
      <c r="E4" s="2">
        <v>0.13600000000000001</v>
      </c>
      <c r="F4" s="2">
        <v>-1.9E-2</v>
      </c>
      <c r="G4" s="46">
        <v>0.18779999999999999</v>
      </c>
      <c r="H4" s="46">
        <v>0.19689999999999999</v>
      </c>
      <c r="I4" s="2">
        <v>0.1905</v>
      </c>
      <c r="J4" s="2">
        <v>0.1116</v>
      </c>
      <c r="K4" s="2">
        <v>7.3300000000000004E-2</v>
      </c>
      <c r="L4" s="2">
        <v>1.2800000000000001E-2</v>
      </c>
      <c r="M4" s="2">
        <v>4.2799999999999998E-2</v>
      </c>
    </row>
    <row r="5" spans="1:21" x14ac:dyDescent="0.25">
      <c r="A5" t="s">
        <v>100</v>
      </c>
      <c r="B5" s="1">
        <v>1536</v>
      </c>
      <c r="C5" s="1">
        <v>1978</v>
      </c>
      <c r="D5" s="1">
        <v>2617</v>
      </c>
      <c r="E5" s="1">
        <v>3139</v>
      </c>
      <c r="F5" s="1">
        <v>3162</v>
      </c>
      <c r="G5" s="1">
        <v>99622</v>
      </c>
      <c r="H5" s="1">
        <v>35640</v>
      </c>
      <c r="I5" s="1">
        <v>4906</v>
      </c>
      <c r="J5" s="1">
        <v>4768</v>
      </c>
      <c r="K5" s="1">
        <v>8117</v>
      </c>
      <c r="L5" s="1">
        <v>13559</v>
      </c>
      <c r="M5" s="1">
        <v>17764</v>
      </c>
      <c r="P5" t="s">
        <v>150</v>
      </c>
      <c r="Q5" t="s">
        <v>148</v>
      </c>
    </row>
    <row r="6" spans="1:21" x14ac:dyDescent="0.25">
      <c r="A6" t="s">
        <v>130</v>
      </c>
      <c r="B6">
        <v>859</v>
      </c>
      <c r="C6" s="1">
        <v>17734</v>
      </c>
      <c r="D6" s="1">
        <v>4543</v>
      </c>
      <c r="E6" s="1">
        <v>5007</v>
      </c>
      <c r="F6" s="1">
        <v>8684</v>
      </c>
      <c r="G6" s="1">
        <v>97123</v>
      </c>
      <c r="H6" s="1">
        <v>107646</v>
      </c>
      <c r="I6" s="1">
        <v>1383986</v>
      </c>
      <c r="J6" s="1">
        <v>1230913</v>
      </c>
      <c r="K6" s="1">
        <v>1046386</v>
      </c>
      <c r="L6" s="1">
        <v>929931</v>
      </c>
      <c r="M6" s="1">
        <v>870930</v>
      </c>
      <c r="P6" s="2">
        <v>1.3841602184797452</v>
      </c>
      <c r="Q6" s="2">
        <v>0.26350000000000001</v>
      </c>
      <c r="S6" s="1"/>
      <c r="U6" s="1"/>
    </row>
    <row r="7" spans="1:21" x14ac:dyDescent="0.25">
      <c r="A7" t="s">
        <v>133</v>
      </c>
      <c r="B7" s="1">
        <v>77884</v>
      </c>
      <c r="C7" s="1">
        <v>94964</v>
      </c>
      <c r="D7" s="1">
        <v>108690</v>
      </c>
      <c r="E7" s="1">
        <v>122588</v>
      </c>
      <c r="F7" s="1">
        <v>155691</v>
      </c>
      <c r="G7" s="1">
        <v>521178</v>
      </c>
      <c r="H7" s="1"/>
      <c r="I7" s="1"/>
      <c r="J7" s="1"/>
      <c r="K7" s="1"/>
      <c r="L7" s="1"/>
      <c r="M7" s="1"/>
      <c r="P7" s="2">
        <v>0.87094310805650998</v>
      </c>
      <c r="Q7" s="2">
        <v>-7.4999999999999997E-2</v>
      </c>
      <c r="S7" s="1"/>
      <c r="U7" s="1"/>
    </row>
    <row r="8" spans="1:21" x14ac:dyDescent="0.25">
      <c r="A8" t="s">
        <v>132</v>
      </c>
      <c r="B8" s="1">
        <v>73893</v>
      </c>
      <c r="C8" s="1">
        <v>54327</v>
      </c>
      <c r="D8" s="1">
        <v>43758</v>
      </c>
      <c r="E8" s="1">
        <v>44991</v>
      </c>
      <c r="F8" s="1">
        <v>78790</v>
      </c>
      <c r="G8" s="1">
        <v>141857</v>
      </c>
      <c r="H8" s="1"/>
      <c r="I8" s="1"/>
      <c r="J8" s="1"/>
      <c r="K8" s="1"/>
      <c r="L8" s="1"/>
      <c r="M8" s="1"/>
      <c r="P8" s="2">
        <v>0.54081632653061229</v>
      </c>
      <c r="Q8" s="2">
        <v>-5.5599999999999997E-2</v>
      </c>
      <c r="S8" s="1"/>
      <c r="U8" s="1"/>
    </row>
    <row r="9" spans="1:21" x14ac:dyDescent="0.25">
      <c r="A9" t="s">
        <v>69</v>
      </c>
      <c r="B9" s="1">
        <f t="shared" ref="B9:E9" si="0">B7-B8</f>
        <v>3991</v>
      </c>
      <c r="C9" s="1">
        <f t="shared" si="0"/>
        <v>40637</v>
      </c>
      <c r="D9" s="1">
        <f t="shared" si="0"/>
        <v>64932</v>
      </c>
      <c r="E9" s="1">
        <f t="shared" si="0"/>
        <v>77597</v>
      </c>
      <c r="F9" s="1">
        <f>F7-F8</f>
        <v>76901</v>
      </c>
      <c r="G9" s="1">
        <f>G7-G8</f>
        <v>379321</v>
      </c>
      <c r="H9" s="1">
        <v>614569</v>
      </c>
      <c r="I9" s="1">
        <v>631494</v>
      </c>
      <c r="J9" s="1">
        <v>613124</v>
      </c>
      <c r="K9">
        <v>451712</v>
      </c>
      <c r="L9">
        <v>1589331</v>
      </c>
      <c r="M9">
        <v>1024622</v>
      </c>
      <c r="P9" s="2">
        <v>0.89403973509933776</v>
      </c>
      <c r="Q9" s="2">
        <v>-7.7299999999999994E-2</v>
      </c>
      <c r="S9" s="1"/>
      <c r="U9" s="1"/>
    </row>
    <row r="10" spans="1:21" x14ac:dyDescent="0.25">
      <c r="A10" t="s">
        <v>131</v>
      </c>
      <c r="C10" s="1">
        <f t="shared" ref="C10" si="1">C8-C9</f>
        <v>13690</v>
      </c>
      <c r="D10" s="1">
        <f t="shared" ref="D10" si="2">D8-D9</f>
        <v>-21174</v>
      </c>
      <c r="E10" s="1">
        <f t="shared" ref="E10" si="3">E8-E9</f>
        <v>-32606</v>
      </c>
      <c r="F10" s="1">
        <f>F8-F9</f>
        <v>1889</v>
      </c>
      <c r="G10" s="1">
        <f>G8-G9</f>
        <v>-237464</v>
      </c>
      <c r="H10" s="1">
        <v>614570</v>
      </c>
      <c r="I10" s="1">
        <f>I9-H9</f>
        <v>16925</v>
      </c>
      <c r="J10" s="1">
        <f>J9-I9</f>
        <v>-18370</v>
      </c>
      <c r="K10" s="1">
        <f>K9-J9</f>
        <v>-161412</v>
      </c>
      <c r="L10" s="1">
        <f>L9-K9</f>
        <v>1137619</v>
      </c>
      <c r="M10" s="1">
        <f>M9-L9</f>
        <v>-564709</v>
      </c>
      <c r="P10" s="2">
        <v>-3.3566433566433643E-2</v>
      </c>
      <c r="Q10" s="2">
        <v>0.1426</v>
      </c>
      <c r="S10" s="1"/>
      <c r="U10" s="1"/>
    </row>
    <row r="11" spans="1:21" x14ac:dyDescent="0.25">
      <c r="A11" t="s">
        <v>134</v>
      </c>
      <c r="B11" s="63"/>
      <c r="C11" s="63">
        <v>25556</v>
      </c>
      <c r="D11" s="63">
        <v>5096.7979999999998</v>
      </c>
      <c r="E11" s="63">
        <v>-21622.864000000001</v>
      </c>
      <c r="F11" s="63">
        <v>5548.19</v>
      </c>
      <c r="G11" s="63">
        <v>109564.5546</v>
      </c>
      <c r="H11" s="63">
        <v>786406.84369999997</v>
      </c>
      <c r="I11" s="63">
        <v>-1167114.07</v>
      </c>
      <c r="J11" s="63">
        <v>-1144665.9472000001</v>
      </c>
      <c r="K11" s="63">
        <v>-1032609.9638</v>
      </c>
      <c r="L11" s="63">
        <v>1363513.4143999999</v>
      </c>
      <c r="M11" s="63">
        <v>-1194940.2483999999</v>
      </c>
    </row>
    <row r="12" spans="1:21" x14ac:dyDescent="0.25">
      <c r="A12" t="s">
        <v>139</v>
      </c>
      <c r="B12" s="63">
        <v>-3451</v>
      </c>
      <c r="C12" s="63">
        <v>23962</v>
      </c>
      <c r="D12" s="63">
        <v>28125</v>
      </c>
      <c r="E12" s="63">
        <v>14851</v>
      </c>
      <c r="F12" s="63">
        <v>9517</v>
      </c>
      <c r="G12" s="63">
        <v>342430</v>
      </c>
      <c r="H12" s="63">
        <v>250514</v>
      </c>
      <c r="I12" s="63">
        <v>200270</v>
      </c>
      <c r="J12" s="64">
        <v>109334</v>
      </c>
      <c r="K12" s="64">
        <v>175315</v>
      </c>
      <c r="L12" s="64">
        <v>1150148</v>
      </c>
      <c r="M12" s="64">
        <v>208908</v>
      </c>
    </row>
    <row r="13" spans="1:21" x14ac:dyDescent="0.25">
      <c r="A13" t="s">
        <v>140</v>
      </c>
      <c r="B13" s="63"/>
      <c r="C13" s="63">
        <v>0</v>
      </c>
      <c r="D13" s="63">
        <v>0</v>
      </c>
      <c r="E13" s="63">
        <v>0</v>
      </c>
      <c r="F13" s="63">
        <v>0</v>
      </c>
      <c r="G13" s="63">
        <v>0</v>
      </c>
      <c r="H13" s="63">
        <v>0</v>
      </c>
      <c r="I13" s="63">
        <v>100926</v>
      </c>
      <c r="J13" s="63">
        <v>0</v>
      </c>
      <c r="K13" s="63">
        <v>100926</v>
      </c>
      <c r="L13" s="63">
        <v>0</v>
      </c>
      <c r="M13" s="63">
        <v>503694</v>
      </c>
    </row>
    <row r="14" spans="1:21" x14ac:dyDescent="0.25">
      <c r="A14" t="s">
        <v>141</v>
      </c>
      <c r="B14" s="63"/>
      <c r="C14" s="63">
        <f>C3*(1-C4)</f>
        <v>27622</v>
      </c>
      <c r="D14" s="63">
        <f>D3*(1-D4)</f>
        <v>28196.797999999999</v>
      </c>
      <c r="E14" s="63">
        <f>E3*(1-E4)</f>
        <v>12851.136</v>
      </c>
      <c r="F14" s="63">
        <f t="shared" ref="F14:K14" si="4">F3*(1-F4)</f>
        <v>9181.1899999999987</v>
      </c>
      <c r="G14" s="63">
        <f t="shared" si="4"/>
        <v>344529.55460000003</v>
      </c>
      <c r="H14" s="63">
        <f t="shared" si="4"/>
        <v>243842.8437</v>
      </c>
      <c r="I14" s="63">
        <f t="shared" si="4"/>
        <v>195040.93</v>
      </c>
      <c r="J14" s="63">
        <f t="shared" si="4"/>
        <v>99849.05279999999</v>
      </c>
      <c r="K14" s="63">
        <f t="shared" si="4"/>
        <v>167071.0362</v>
      </c>
      <c r="L14" s="63">
        <f>L3*(1-L4)</f>
        <v>1142266.4143999999</v>
      </c>
      <c r="M14" s="63">
        <v>222934.75160000002</v>
      </c>
      <c r="N14" s="64">
        <v>200641.27644000002</v>
      </c>
      <c r="O14" s="64">
        <v>190609.21261800002</v>
      </c>
      <c r="P14" s="64">
        <v>247791.97640340004</v>
      </c>
      <c r="Q14" s="64">
        <v>240358.21711129803</v>
      </c>
      <c r="R14" s="64">
        <v>1442149.3026677882</v>
      </c>
    </row>
    <row r="15" spans="1:21" x14ac:dyDescent="0.25">
      <c r="A15" t="s">
        <v>15</v>
      </c>
      <c r="B15" s="1">
        <v>77665</v>
      </c>
      <c r="C15" s="1">
        <v>123809</v>
      </c>
      <c r="D15" s="63">
        <v>151530</v>
      </c>
      <c r="E15" s="63">
        <v>167368</v>
      </c>
      <c r="F15" s="63">
        <v>168018</v>
      </c>
      <c r="G15" s="63">
        <v>513675</v>
      </c>
      <c r="H15" s="63">
        <v>776938</v>
      </c>
      <c r="I15" s="63">
        <v>882899</v>
      </c>
      <c r="J15" s="63">
        <v>1002864</v>
      </c>
      <c r="K15" s="63">
        <v>1105651</v>
      </c>
      <c r="L15" s="63">
        <v>2183177</v>
      </c>
      <c r="M15" s="64">
        <v>1894356</v>
      </c>
      <c r="Q15" s="65"/>
    </row>
    <row r="16" spans="1:21" x14ac:dyDescent="0.25">
      <c r="A16" t="s">
        <v>143</v>
      </c>
      <c r="B16">
        <f>9502+23599+168</f>
        <v>33269</v>
      </c>
      <c r="C16">
        <f>13404+240+333</f>
        <v>13977</v>
      </c>
      <c r="D16">
        <f>4745+277+235</f>
        <v>5257</v>
      </c>
      <c r="E16">
        <f>21+260+177</f>
        <v>458</v>
      </c>
      <c r="F16">
        <f>397+4+260</f>
        <v>661</v>
      </c>
      <c r="G16">
        <v>293</v>
      </c>
      <c r="H16">
        <f>63+76</f>
        <v>139</v>
      </c>
      <c r="I16">
        <f>190+148</f>
        <v>338</v>
      </c>
      <c r="J16">
        <f>246+163</f>
        <v>409</v>
      </c>
      <c r="K16">
        <v>19905</v>
      </c>
      <c r="L16">
        <v>18939</v>
      </c>
      <c r="M16">
        <v>46882</v>
      </c>
      <c r="O16" s="63">
        <f>M15+M16</f>
        <v>1941238</v>
      </c>
    </row>
    <row r="17" spans="1:19" x14ac:dyDescent="0.25">
      <c r="A17" t="s">
        <v>145</v>
      </c>
      <c r="B17" s="63"/>
      <c r="C17" s="63"/>
      <c r="D17" s="63"/>
      <c r="E17" s="63"/>
      <c r="F17" s="63"/>
      <c r="G17" s="63"/>
      <c r="H17" s="63"/>
      <c r="I17" s="63">
        <v>88</v>
      </c>
      <c r="J17" s="63">
        <v>130</v>
      </c>
      <c r="K17" s="63">
        <v>587</v>
      </c>
      <c r="L17" s="63">
        <v>659</v>
      </c>
      <c r="M17" s="63">
        <v>2797</v>
      </c>
    </row>
    <row r="18" spans="1:19" x14ac:dyDescent="0.25">
      <c r="A18" t="s">
        <v>144</v>
      </c>
      <c r="B18" s="63"/>
      <c r="C18" s="63"/>
      <c r="D18" s="63"/>
      <c r="E18" s="63"/>
      <c r="F18" s="63"/>
      <c r="G18" s="63"/>
      <c r="H18" s="63"/>
      <c r="I18" s="12">
        <f>(I17/I16)*(1-I4)</f>
        <v>0.21075739644970415</v>
      </c>
      <c r="J18" s="12">
        <f>(J17/J16)*(1-J4)</f>
        <v>0.28237652811735942</v>
      </c>
      <c r="K18" s="12">
        <f>(K17/K16)*(1-K4)</f>
        <v>2.7328455162019594E-2</v>
      </c>
      <c r="L18" s="12">
        <f>(L17/L16)*(1-L4)</f>
        <v>3.4350535931147362E-2</v>
      </c>
      <c r="M18" s="12">
        <f>(M17/M16)*(1-M4)</f>
        <v>5.710695789428779E-2</v>
      </c>
    </row>
    <row r="19" spans="1:19" x14ac:dyDescent="0.25">
      <c r="A19" t="s">
        <v>146</v>
      </c>
      <c r="B19" s="63"/>
      <c r="C19" s="63"/>
      <c r="D19" s="63"/>
      <c r="E19" s="63"/>
      <c r="F19" s="63"/>
      <c r="G19" s="63"/>
      <c r="H19" s="63"/>
      <c r="I19" s="12">
        <f t="shared" ref="I19:L19" si="5">I16/I15</f>
        <v>3.8282974609779829E-4</v>
      </c>
      <c r="J19" s="12">
        <f t="shared" si="5"/>
        <v>4.0783196924009638E-4</v>
      </c>
      <c r="K19" s="12">
        <f t="shared" si="5"/>
        <v>1.8002968386950313E-2</v>
      </c>
      <c r="L19" s="12">
        <f t="shared" si="5"/>
        <v>8.6749722995432803E-3</v>
      </c>
      <c r="M19" s="12">
        <f>M16/O16</f>
        <v>2.4150567833516549E-2</v>
      </c>
    </row>
    <row r="20" spans="1:19" x14ac:dyDescent="0.25">
      <c r="A20" t="s">
        <v>147</v>
      </c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2">
        <v>6.5799999999999997E-2</v>
      </c>
    </row>
    <row r="21" spans="1:19" x14ac:dyDescent="0.25">
      <c r="A21" t="s">
        <v>148</v>
      </c>
      <c r="B21" s="63"/>
      <c r="C21" s="63"/>
      <c r="D21" s="63"/>
      <c r="E21" s="63"/>
      <c r="F21" s="63"/>
      <c r="G21" s="63"/>
      <c r="H21" s="63"/>
      <c r="I21" s="12">
        <v>0.26350000000000001</v>
      </c>
      <c r="J21" s="12">
        <v>-7.4999999999999997E-2</v>
      </c>
      <c r="K21" s="12">
        <v>-5.5599999999999997E-2</v>
      </c>
      <c r="L21" s="12">
        <v>-7.7299999999999994E-2</v>
      </c>
      <c r="M21" s="12">
        <v>0.1426</v>
      </c>
      <c r="N21" s="2">
        <v>-0.20799999999999999</v>
      </c>
    </row>
    <row r="22" spans="1:19" x14ac:dyDescent="0.25">
      <c r="A22" t="s">
        <v>151</v>
      </c>
      <c r="B22" s="63"/>
      <c r="C22" s="63"/>
      <c r="D22" s="63"/>
      <c r="E22" s="63"/>
      <c r="F22" s="63"/>
      <c r="G22" s="63"/>
      <c r="H22" s="63"/>
      <c r="I22" s="2"/>
      <c r="J22" s="2"/>
      <c r="K22" s="2"/>
      <c r="L22" s="2"/>
      <c r="M22" s="2"/>
      <c r="N22" s="2">
        <f>N20+N23</f>
        <v>0.1166</v>
      </c>
    </row>
    <row r="23" spans="1:19" x14ac:dyDescent="0.25">
      <c r="A23" t="s">
        <v>187</v>
      </c>
      <c r="B23" s="63"/>
      <c r="C23" s="63"/>
      <c r="D23" s="63"/>
      <c r="E23" s="63"/>
      <c r="F23" s="63"/>
      <c r="G23" s="63"/>
      <c r="H23" s="63"/>
      <c r="I23" s="2"/>
      <c r="J23" s="2"/>
      <c r="K23" s="2"/>
      <c r="L23" s="2"/>
      <c r="M23" s="2"/>
      <c r="N23" s="2">
        <v>5.0799999999999998E-2</v>
      </c>
    </row>
    <row r="24" spans="1:19" x14ac:dyDescent="0.25">
      <c r="A24" t="s">
        <v>152</v>
      </c>
      <c r="B24" s="2">
        <f>M19*M18+N22*(1-M19)</f>
        <v>0.11516320925100373</v>
      </c>
      <c r="C24" s="63"/>
      <c r="D24" s="63"/>
      <c r="E24" s="63"/>
      <c r="F24" s="63"/>
      <c r="G24" s="63"/>
      <c r="H24" s="63"/>
      <c r="I24" s="2"/>
      <c r="J24" s="2"/>
      <c r="K24" s="2"/>
      <c r="L24" s="2"/>
      <c r="M24" s="2"/>
      <c r="N24" s="72"/>
      <c r="O24" s="63"/>
      <c r="P24" s="63"/>
      <c r="Q24" s="63"/>
      <c r="R24" s="63"/>
    </row>
    <row r="25" spans="1:19" x14ac:dyDescent="0.25">
      <c r="A25" t="s">
        <v>179</v>
      </c>
      <c r="B25" s="73">
        <f>B15+B16</f>
        <v>110934</v>
      </c>
      <c r="C25" s="73">
        <f t="shared" ref="C25:L25" si="6">C15+C16</f>
        <v>137786</v>
      </c>
      <c r="D25" s="73">
        <f t="shared" si="6"/>
        <v>156787</v>
      </c>
      <c r="E25" s="73">
        <f t="shared" si="6"/>
        <v>167826</v>
      </c>
      <c r="F25" s="73">
        <f t="shared" si="6"/>
        <v>168679</v>
      </c>
      <c r="G25" s="73">
        <f t="shared" si="6"/>
        <v>513968</v>
      </c>
      <c r="H25" s="73">
        <f t="shared" si="6"/>
        <v>777077</v>
      </c>
      <c r="I25" s="73">
        <f t="shared" si="6"/>
        <v>883237</v>
      </c>
      <c r="J25" s="73">
        <f t="shared" si="6"/>
        <v>1003273</v>
      </c>
      <c r="K25" s="73">
        <f t="shared" si="6"/>
        <v>1125556</v>
      </c>
      <c r="L25" s="73">
        <f t="shared" si="6"/>
        <v>2202116</v>
      </c>
      <c r="M25" s="73">
        <f>M15+M16</f>
        <v>1941238</v>
      </c>
      <c r="N25" s="72">
        <v>1980062.76</v>
      </c>
      <c r="O25" s="63">
        <v>2039464.6428</v>
      </c>
      <c r="P25" s="63">
        <v>2141437.87494</v>
      </c>
      <c r="Q25" s="63">
        <v>2130352.4444166902</v>
      </c>
      <c r="R25" s="63"/>
    </row>
    <row r="26" spans="1:19" ht="15.75" x14ac:dyDescent="0.25">
      <c r="A26" t="s">
        <v>186</v>
      </c>
      <c r="B26" s="63"/>
      <c r="C26" s="63"/>
      <c r="D26" s="63"/>
      <c r="E26" s="63"/>
      <c r="F26" s="63"/>
      <c r="G26" s="63"/>
      <c r="H26" s="63"/>
      <c r="I26" s="28"/>
      <c r="J26" s="66"/>
      <c r="K26" s="2"/>
      <c r="L26" s="2"/>
      <c r="M26" s="72"/>
      <c r="N26" s="72">
        <f>N14-$B$24*M25</f>
        <v>-22917.921559999959</v>
      </c>
      <c r="O26" s="72">
        <f>O14-$B$24*N25</f>
        <v>-37421.169341999979</v>
      </c>
      <c r="P26" s="72">
        <f>P14-$B$24*O25</f>
        <v>12920.682984600047</v>
      </c>
      <c r="Q26" s="72">
        <f>Q14-$B$24*P25</f>
        <v>-6256.640978441952</v>
      </c>
      <c r="R26" s="72">
        <f>R14-$B$24*Q25</f>
        <v>1196811.0783330416</v>
      </c>
      <c r="S26" s="63"/>
    </row>
    <row r="27" spans="1:19" x14ac:dyDescent="0.25">
      <c r="A27" t="s">
        <v>188</v>
      </c>
      <c r="B27" s="63" t="e">
        <f>B12/B14</f>
        <v>#DIV/0!</v>
      </c>
      <c r="C27" s="63">
        <f t="shared" ref="C27:K27" si="7">C12/C14</f>
        <v>0.86749692274274126</v>
      </c>
      <c r="D27" s="63">
        <f t="shared" si="7"/>
        <v>0.99745368250678679</v>
      </c>
      <c r="E27" s="63">
        <f>E12/E14</f>
        <v>1.1556176823589759</v>
      </c>
      <c r="F27" s="63">
        <f t="shared" si="7"/>
        <v>1.0365758687054729</v>
      </c>
      <c r="G27" s="63">
        <f t="shared" si="7"/>
        <v>0.99390602468796152</v>
      </c>
      <c r="H27" s="63">
        <f t="shared" si="7"/>
        <v>1.0273584256104211</v>
      </c>
      <c r="I27" s="63">
        <f t="shared" si="7"/>
        <v>1.026810116215094</v>
      </c>
      <c r="J27" s="63">
        <f t="shared" si="7"/>
        <v>1.0949928610639761</v>
      </c>
      <c r="K27" s="63">
        <f t="shared" si="7"/>
        <v>1.0493440633846982</v>
      </c>
      <c r="L27" s="63">
        <f>L12/L14</f>
        <v>1.0068999538992311</v>
      </c>
      <c r="M27" s="63">
        <f>M12/M14</f>
        <v>0.93708135901051681</v>
      </c>
      <c r="N27" s="63"/>
    </row>
    <row r="28" spans="1:19" ht="15.75" x14ac:dyDescent="0.25">
      <c r="A28" t="s">
        <v>189</v>
      </c>
      <c r="B28" s="63"/>
      <c r="C28" s="63"/>
      <c r="D28" s="63"/>
      <c r="E28" s="63"/>
      <c r="F28" s="63"/>
      <c r="G28" s="63"/>
      <c r="H28" s="63"/>
      <c r="I28" s="28"/>
      <c r="J28" s="66"/>
      <c r="K28" s="2"/>
      <c r="L28" s="2"/>
      <c r="M28" s="2"/>
      <c r="N28" s="2"/>
      <c r="R28" s="63">
        <f>R26*(1+0.025)/(B24-2.5%)</f>
        <v>13605675.368944468</v>
      </c>
    </row>
    <row r="29" spans="1:19" x14ac:dyDescent="0.25">
      <c r="B29" s="63"/>
      <c r="C29" s="63"/>
      <c r="D29" s="63"/>
      <c r="E29" s="63"/>
      <c r="F29" s="63"/>
      <c r="G29" s="63"/>
      <c r="H29" s="63"/>
      <c r="I29" s="28"/>
      <c r="J29" s="2"/>
      <c r="K29" s="2"/>
      <c r="L29" s="2"/>
      <c r="M29" s="2"/>
      <c r="N29" s="72">
        <f>N26/((1+$N$22))</f>
        <v>-20524.737202220989</v>
      </c>
      <c r="O29" s="72">
        <f>O26/((1+$N$22)^2)</f>
        <v>-30013.877609573759</v>
      </c>
      <c r="P29" s="72">
        <f>P26/((1+$N$22)^3)</f>
        <v>9280.9535788446137</v>
      </c>
      <c r="Q29" s="72">
        <f>Q26/((1+$N$22)^4)</f>
        <v>-4024.8596496439332</v>
      </c>
      <c r="R29" s="72">
        <f>R26/((1+$N$22)^5)</f>
        <v>689505.10032065341</v>
      </c>
      <c r="S29" s="63">
        <f>R28/((1+N22)^5)</f>
        <v>7838482.3887665896</v>
      </c>
    </row>
    <row r="30" spans="1:19" x14ac:dyDescent="0.25">
      <c r="B30" s="63"/>
      <c r="C30" s="63"/>
      <c r="D30" s="63"/>
      <c r="E30" s="63"/>
      <c r="F30" s="63"/>
      <c r="G30" s="63"/>
      <c r="H30" s="63"/>
      <c r="I30" s="2"/>
      <c r="J30" s="2"/>
      <c r="K30" s="2"/>
      <c r="L30" s="2"/>
      <c r="M30" s="2"/>
      <c r="N30" s="2"/>
      <c r="R30" t="s">
        <v>190</v>
      </c>
      <c r="S30" s="75">
        <f>(SUM(N29:S29)+Arkusz1!AF70)*1000</f>
        <v>10377060968.204649</v>
      </c>
    </row>
    <row r="31" spans="1:19" x14ac:dyDescent="0.25">
      <c r="B31" s="63"/>
      <c r="C31" s="63"/>
      <c r="D31" s="63"/>
      <c r="E31" s="63"/>
      <c r="F31" s="63"/>
      <c r="G31" s="63"/>
      <c r="H31" s="63"/>
      <c r="I31" s="2"/>
      <c r="J31" s="2"/>
      <c r="K31" s="2"/>
      <c r="L31" s="2"/>
      <c r="M31" s="2"/>
      <c r="N31" s="2"/>
      <c r="R31" t="s">
        <v>191</v>
      </c>
      <c r="S31">
        <v>100738800</v>
      </c>
    </row>
    <row r="32" spans="1:19" x14ac:dyDescent="0.25">
      <c r="A32" t="s">
        <v>149</v>
      </c>
      <c r="B32" s="63"/>
      <c r="C32" s="63"/>
      <c r="D32" s="63"/>
      <c r="E32" s="63"/>
      <c r="F32" s="63"/>
      <c r="G32" s="63"/>
      <c r="H32" s="63">
        <v>21.97</v>
      </c>
      <c r="I32" s="63">
        <v>52.38</v>
      </c>
      <c r="J32" s="63">
        <v>98</v>
      </c>
      <c r="K32" s="63">
        <v>151</v>
      </c>
      <c r="L32" s="63">
        <v>286</v>
      </c>
      <c r="M32" s="63">
        <v>276.39999999999998</v>
      </c>
      <c r="N32" s="63">
        <v>200.6</v>
      </c>
      <c r="S32">
        <f>S30/S31</f>
        <v>103.00957494237224</v>
      </c>
    </row>
    <row r="33" spans="1:13" x14ac:dyDescent="0.25">
      <c r="A33" t="s">
        <v>150</v>
      </c>
      <c r="B33" s="63"/>
      <c r="C33" s="63"/>
      <c r="D33" s="63"/>
      <c r="E33" s="63"/>
      <c r="F33" s="63"/>
      <c r="G33" s="63"/>
      <c r="H33" s="63"/>
      <c r="I33" s="2">
        <v>1.3841602184797452</v>
      </c>
      <c r="J33" s="2">
        <v>0.87094310805650998</v>
      </c>
      <c r="K33" s="2">
        <v>0.54081632653061229</v>
      </c>
      <c r="L33" s="2">
        <v>0.89403973509933776</v>
      </c>
      <c r="M33" s="2">
        <v>-3.3566433566433643E-2</v>
      </c>
    </row>
    <row r="34" spans="1:13" x14ac:dyDescent="0.25">
      <c r="A34" t="s">
        <v>142</v>
      </c>
    </row>
    <row r="35" spans="1:13" x14ac:dyDescent="0.25">
      <c r="A35" t="s">
        <v>135</v>
      </c>
      <c r="B35" t="s">
        <v>136</v>
      </c>
      <c r="C35" t="s">
        <v>134</v>
      </c>
      <c r="D35" t="s">
        <v>138</v>
      </c>
    </row>
    <row r="36" spans="1:13" x14ac:dyDescent="0.25">
      <c r="A36">
        <v>2011</v>
      </c>
      <c r="B36">
        <v>1</v>
      </c>
      <c r="C36" s="63">
        <v>25556</v>
      </c>
    </row>
    <row r="37" spans="1:13" x14ac:dyDescent="0.25">
      <c r="A37">
        <v>2012</v>
      </c>
      <c r="B37">
        <v>2</v>
      </c>
      <c r="C37" s="63">
        <v>5096.7979999999989</v>
      </c>
    </row>
    <row r="38" spans="1:13" x14ac:dyDescent="0.25">
      <c r="A38">
        <v>2013</v>
      </c>
      <c r="B38">
        <v>3</v>
      </c>
      <c r="C38" s="63">
        <v>-21622.864000000001</v>
      </c>
    </row>
    <row r="39" spans="1:13" x14ac:dyDescent="0.25">
      <c r="A39">
        <v>2014</v>
      </c>
      <c r="B39">
        <v>4</v>
      </c>
      <c r="C39" s="63">
        <v>5548.1899999999987</v>
      </c>
    </row>
    <row r="40" spans="1:13" x14ac:dyDescent="0.25">
      <c r="A40">
        <v>2015</v>
      </c>
      <c r="B40">
        <v>5</v>
      </c>
      <c r="C40" s="63">
        <v>109564.55460000003</v>
      </c>
    </row>
    <row r="41" spans="1:13" x14ac:dyDescent="0.25">
      <c r="A41">
        <v>2016</v>
      </c>
      <c r="B41">
        <v>6</v>
      </c>
      <c r="C41" s="63">
        <v>786406.84369999997</v>
      </c>
    </row>
    <row r="42" spans="1:13" x14ac:dyDescent="0.25">
      <c r="A42">
        <v>2017</v>
      </c>
      <c r="B42">
        <v>7</v>
      </c>
      <c r="C42" s="63">
        <v>-1167114.07</v>
      </c>
    </row>
    <row r="43" spans="1:13" x14ac:dyDescent="0.25">
      <c r="A43">
        <v>2018</v>
      </c>
      <c r="B43">
        <v>8</v>
      </c>
      <c r="C43" s="63">
        <v>-1144665.9472000001</v>
      </c>
    </row>
    <row r="44" spans="1:13" x14ac:dyDescent="0.25">
      <c r="A44">
        <v>2019</v>
      </c>
      <c r="B44">
        <v>9</v>
      </c>
      <c r="C44" s="63">
        <v>-1032609.9638</v>
      </c>
    </row>
    <row r="45" spans="1:13" x14ac:dyDescent="0.25">
      <c r="A45">
        <v>2020</v>
      </c>
      <c r="B45">
        <v>10</v>
      </c>
      <c r="C45" s="63">
        <v>1363513.4143999999</v>
      </c>
    </row>
    <row r="46" spans="1:13" x14ac:dyDescent="0.25">
      <c r="A46">
        <v>2021</v>
      </c>
      <c r="B46">
        <v>11</v>
      </c>
      <c r="C46" s="63">
        <v>-1194940.2483999999</v>
      </c>
    </row>
    <row r="48" spans="1:13" x14ac:dyDescent="0.25">
      <c r="A48" t="s">
        <v>137</v>
      </c>
    </row>
    <row r="68" spans="3:8" x14ac:dyDescent="0.25">
      <c r="C68" s="63">
        <v>250514</v>
      </c>
      <c r="D68" s="63">
        <v>200270</v>
      </c>
      <c r="E68" s="63">
        <v>109334</v>
      </c>
      <c r="F68" s="63">
        <v>175315</v>
      </c>
      <c r="G68" s="63">
        <v>1150148</v>
      </c>
      <c r="H68" s="63">
        <v>208908</v>
      </c>
    </row>
    <row r="70" spans="3:8" x14ac:dyDescent="0.25">
      <c r="D70" s="67">
        <f>D68/C68</f>
        <v>0.79943635884621222</v>
      </c>
      <c r="E70" s="67">
        <f t="shared" ref="E70:H70" si="8">E68/D68</f>
        <v>0.54593299046287513</v>
      </c>
      <c r="F70" s="67">
        <f t="shared" si="8"/>
        <v>1.6034810763349003</v>
      </c>
      <c r="G70" s="67">
        <f t="shared" si="8"/>
        <v>6.5604654479080509</v>
      </c>
      <c r="H70" s="67">
        <f t="shared" si="8"/>
        <v>0.18163575470287302</v>
      </c>
    </row>
    <row r="71" spans="3:8" x14ac:dyDescent="0.25">
      <c r="D71">
        <f>(D70*E70*F70*G70*H70)^(1/5)</f>
        <v>0.96432763796823806</v>
      </c>
    </row>
    <row r="72" spans="3:8" x14ac:dyDescent="0.25">
      <c r="D72" s="2">
        <f>D71-1</f>
        <v>-3.5672362031761939E-2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89534-D456-48EF-B10E-5D42B494889B}">
  <dimension ref="A1:J16"/>
  <sheetViews>
    <sheetView workbookViewId="0">
      <selection activeCell="F10" sqref="F10"/>
    </sheetView>
  </sheetViews>
  <sheetFormatPr defaultRowHeight="15" x14ac:dyDescent="0.25"/>
  <cols>
    <col min="2" max="7" width="11.42578125" bestFit="1" customWidth="1"/>
    <col min="8" max="8" width="12.42578125" bestFit="1" customWidth="1"/>
    <col min="9" max="10" width="10" bestFit="1" customWidth="1"/>
  </cols>
  <sheetData>
    <row r="1" spans="1:10" x14ac:dyDescent="0.25">
      <c r="A1" s="63"/>
      <c r="B1" s="63"/>
      <c r="C1" s="63"/>
      <c r="D1" s="63"/>
      <c r="E1" s="63"/>
      <c r="F1" s="63"/>
      <c r="G1" s="63"/>
      <c r="H1" s="64"/>
      <c r="I1" s="64"/>
      <c r="J1" s="64"/>
    </row>
    <row r="3" spans="1:10" x14ac:dyDescent="0.25">
      <c r="D3" s="65"/>
      <c r="E3" s="65"/>
      <c r="F3" s="65"/>
      <c r="G3" s="65"/>
      <c r="H3" s="65"/>
      <c r="I3" s="65"/>
      <c r="J3" s="65"/>
    </row>
    <row r="5" spans="1:10" x14ac:dyDescent="0.25">
      <c r="C5" s="2"/>
    </row>
    <row r="6" spans="1:10" x14ac:dyDescent="0.25">
      <c r="B6">
        <v>2020</v>
      </c>
      <c r="C6">
        <v>2021</v>
      </c>
      <c r="D6">
        <v>2022</v>
      </c>
      <c r="E6">
        <v>2023</v>
      </c>
      <c r="F6">
        <v>2024</v>
      </c>
      <c r="G6">
        <v>2025</v>
      </c>
      <c r="H6">
        <v>2026</v>
      </c>
    </row>
    <row r="7" spans="1:10" x14ac:dyDescent="0.25">
      <c r="A7" t="s">
        <v>141</v>
      </c>
      <c r="C7" s="63">
        <v>222934.75160000002</v>
      </c>
      <c r="D7" s="63">
        <f>C7*0.9</f>
        <v>200641.27644000002</v>
      </c>
      <c r="E7" s="63">
        <f>D7*0.95</f>
        <v>190609.21261800002</v>
      </c>
      <c r="F7" s="63">
        <f>E7*1.3</f>
        <v>247791.97640340004</v>
      </c>
      <c r="G7" s="63">
        <f>F7*0.97</f>
        <v>240358.21711129803</v>
      </c>
      <c r="H7" s="63">
        <f>G7*6</f>
        <v>1442149.3026677882</v>
      </c>
    </row>
    <row r="8" spans="1:10" x14ac:dyDescent="0.25">
      <c r="A8" t="s">
        <v>179</v>
      </c>
      <c r="B8" s="63">
        <v>2202116</v>
      </c>
      <c r="C8" s="64">
        <v>1941238</v>
      </c>
      <c r="D8" s="64">
        <f>C8*1.02</f>
        <v>1980062.76</v>
      </c>
      <c r="E8" s="64">
        <f>D8*1.03</f>
        <v>2039464.6428</v>
      </c>
      <c r="F8" s="64">
        <f>E8*1.05</f>
        <v>2141437.87494</v>
      </c>
      <c r="G8" s="64">
        <f>F8-F7+G7</f>
        <v>2134004.1156478981</v>
      </c>
    </row>
    <row r="9" spans="1:10" x14ac:dyDescent="0.25">
      <c r="A9" t="s">
        <v>152</v>
      </c>
      <c r="B9" s="46">
        <f>'beta WACC itd'!J73</f>
        <v>8.3293865459086097E-2</v>
      </c>
      <c r="C9" s="46">
        <f>B9</f>
        <v>8.3293865459086097E-2</v>
      </c>
      <c r="D9" s="46">
        <f t="shared" ref="D9:H9" si="0">C9</f>
        <v>8.3293865459086097E-2</v>
      </c>
      <c r="E9" s="46">
        <f t="shared" si="0"/>
        <v>8.3293865459086097E-2</v>
      </c>
      <c r="F9" s="46">
        <f t="shared" si="0"/>
        <v>8.3293865459086097E-2</v>
      </c>
      <c r="G9" s="46">
        <f t="shared" si="0"/>
        <v>8.3293865459086097E-2</v>
      </c>
      <c r="H9" s="46">
        <f t="shared" si="0"/>
        <v>8.3293865459086097E-2</v>
      </c>
    </row>
    <row r="10" spans="1:10" x14ac:dyDescent="0.25">
      <c r="A10" t="s">
        <v>186</v>
      </c>
      <c r="D10" s="63">
        <f>D7-D9*C8</f>
        <v>38948.059643934626</v>
      </c>
      <c r="E10" s="63">
        <f t="shared" ref="E10:G10" si="1">E7-E9*D8</f>
        <v>25682.131486013328</v>
      </c>
      <c r="F10" s="63">
        <f t="shared" si="1"/>
        <v>77917.082837453752</v>
      </c>
      <c r="G10" s="63">
        <f t="shared" si="1"/>
        <v>61989.578867054428</v>
      </c>
      <c r="H10" s="63">
        <f>H7-H9*G8</f>
        <v>1264399.8509698762</v>
      </c>
    </row>
    <row r="11" spans="1:10" x14ac:dyDescent="0.25">
      <c r="A11" t="s">
        <v>205</v>
      </c>
      <c r="B11" s="2">
        <v>2.5000000000000001E-2</v>
      </c>
      <c r="C11" s="2">
        <v>2.5000000000000001E-2</v>
      </c>
      <c r="D11" s="2">
        <v>2.5000000000000001E-2</v>
      </c>
      <c r="E11" s="2">
        <v>2.5000000000000001E-2</v>
      </c>
      <c r="F11" s="2">
        <v>2.5000000000000001E-2</v>
      </c>
      <c r="G11" s="2">
        <v>2.5000000000000001E-2</v>
      </c>
      <c r="H11" s="2">
        <v>2.5000000000000001E-2</v>
      </c>
    </row>
    <row r="12" spans="1:10" x14ac:dyDescent="0.25">
      <c r="G12" t="s">
        <v>206</v>
      </c>
      <c r="H12" s="64">
        <f>(H10*(1+H11))/(H9-H11)</f>
        <v>22232353.902723014</v>
      </c>
    </row>
    <row r="14" spans="1:10" x14ac:dyDescent="0.25">
      <c r="H14">
        <f>H10*(1+H11)</f>
        <v>1296009.847244123</v>
      </c>
    </row>
    <row r="15" spans="1:10" x14ac:dyDescent="0.25">
      <c r="H15" s="46">
        <f>H9-H11</f>
        <v>5.8293865459086096E-2</v>
      </c>
    </row>
    <row r="16" spans="1:10" x14ac:dyDescent="0.25">
      <c r="H16" s="63">
        <f>H14/H15</f>
        <v>22232353.902723014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A12F-45D7-4066-B763-8048668E38DB}">
  <dimension ref="A1:L6"/>
  <sheetViews>
    <sheetView zoomScale="85" zoomScaleNormal="85" workbookViewId="0">
      <selection activeCell="G4" sqref="G4"/>
    </sheetView>
  </sheetViews>
  <sheetFormatPr defaultRowHeight="15" x14ac:dyDescent="0.25"/>
  <cols>
    <col min="1" max="1" width="8.7109375" bestFit="1" customWidth="1"/>
    <col min="2" max="4" width="9" bestFit="1" customWidth="1"/>
    <col min="5" max="5" width="8" bestFit="1" customWidth="1"/>
    <col min="6" max="10" width="10" bestFit="1" customWidth="1"/>
    <col min="11" max="11" width="11.42578125" bestFit="1" customWidth="1"/>
    <col min="12" max="12" width="10" bestFit="1" customWidth="1"/>
  </cols>
  <sheetData>
    <row r="1" spans="1:12" x14ac:dyDescent="0.25">
      <c r="A1">
        <v>2010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</row>
    <row r="2" spans="1:12" x14ac:dyDescent="0.25">
      <c r="A2" s="63">
        <v>-3451</v>
      </c>
      <c r="B2" s="63">
        <v>23962</v>
      </c>
      <c r="C2" s="63">
        <v>28125</v>
      </c>
      <c r="D2" s="63">
        <v>14851</v>
      </c>
      <c r="E2" s="63">
        <v>9517</v>
      </c>
      <c r="F2" s="63">
        <v>342430</v>
      </c>
      <c r="G2" s="63">
        <v>250514</v>
      </c>
      <c r="H2" s="63">
        <v>200270</v>
      </c>
      <c r="I2" s="64">
        <v>109334</v>
      </c>
      <c r="J2" s="64">
        <v>175315</v>
      </c>
      <c r="K2" s="64">
        <v>1150148</v>
      </c>
      <c r="L2" s="64">
        <v>208908</v>
      </c>
    </row>
    <row r="4" spans="1:12" x14ac:dyDescent="0.25">
      <c r="B4">
        <f>B2/A2</f>
        <v>-6.9434946392350048</v>
      </c>
      <c r="C4">
        <f t="shared" ref="C4:L4" si="0">C2/B2</f>
        <v>1.1737334112344546</v>
      </c>
      <c r="D4">
        <f t="shared" si="0"/>
        <v>0.52803555555555559</v>
      </c>
      <c r="E4">
        <f t="shared" si="0"/>
        <v>0.64083226718739483</v>
      </c>
      <c r="F4">
        <f t="shared" si="0"/>
        <v>35.980876326573501</v>
      </c>
      <c r="G4">
        <f>G2/F2</f>
        <v>0.73157725666559592</v>
      </c>
      <c r="H4">
        <f t="shared" si="0"/>
        <v>0.79943635884621222</v>
      </c>
      <c r="I4">
        <f t="shared" si="0"/>
        <v>0.54593299046287513</v>
      </c>
      <c r="J4">
        <f t="shared" si="0"/>
        <v>1.6034810763349003</v>
      </c>
      <c r="K4">
        <f t="shared" si="0"/>
        <v>6.5604654479080509</v>
      </c>
      <c r="L4">
        <f t="shared" si="0"/>
        <v>0.18163575470287302</v>
      </c>
    </row>
    <row r="6" spans="1:12" x14ac:dyDescent="0.25">
      <c r="G6">
        <f>(G4*H4*I4*J4*K4*L4)^(1/6)</f>
        <v>0.92093832005122378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D1B5-7DEF-4813-86A6-3801ED80586A}">
  <dimension ref="A1:P38"/>
  <sheetViews>
    <sheetView workbookViewId="0">
      <selection activeCell="G11" sqref="G11"/>
    </sheetView>
  </sheetViews>
  <sheetFormatPr defaultRowHeight="15" x14ac:dyDescent="0.25"/>
  <cols>
    <col min="3" max="3" width="11.42578125" bestFit="1" customWidth="1"/>
    <col min="4" max="4" width="9.7109375" bestFit="1" customWidth="1"/>
    <col min="5" max="6" width="9.28515625" bestFit="1" customWidth="1"/>
    <col min="7" max="7" width="10" bestFit="1" customWidth="1"/>
    <col min="8" max="8" width="17" customWidth="1"/>
    <col min="9" max="9" width="19.140625" customWidth="1"/>
    <col min="10" max="10" width="9.28515625" bestFit="1" customWidth="1"/>
    <col min="11" max="11" width="10" bestFit="1" customWidth="1"/>
    <col min="12" max="12" width="11.42578125" bestFit="1" customWidth="1"/>
    <col min="13" max="13" width="10" bestFit="1" customWidth="1"/>
  </cols>
  <sheetData>
    <row r="1" spans="1:16" x14ac:dyDescent="0.25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 s="71">
        <v>2022</v>
      </c>
      <c r="O1" s="71">
        <v>2023</v>
      </c>
      <c r="P1" s="71">
        <v>2024</v>
      </c>
    </row>
    <row r="2" spans="1:16" x14ac:dyDescent="0.25">
      <c r="A2" t="s">
        <v>141</v>
      </c>
      <c r="C2" s="63">
        <v>27622</v>
      </c>
      <c r="D2" s="63">
        <v>28196.797999999999</v>
      </c>
      <c r="E2" s="63">
        <v>12851.136</v>
      </c>
      <c r="F2" s="63">
        <v>9181.1899999999987</v>
      </c>
      <c r="G2" s="63">
        <v>344529.55460000003</v>
      </c>
      <c r="H2" s="63">
        <v>243842.8437</v>
      </c>
      <c r="I2" s="63">
        <v>195040.93</v>
      </c>
      <c r="J2" s="63">
        <v>99849.05279999999</v>
      </c>
      <c r="K2" s="63">
        <v>167071.0362</v>
      </c>
      <c r="L2" s="63">
        <v>1142266.4143999999</v>
      </c>
      <c r="M2" s="63">
        <v>222934.75160000002</v>
      </c>
      <c r="N2" s="71"/>
      <c r="O2" s="71"/>
      <c r="P2" s="71"/>
    </row>
    <row r="3" spans="1:16" x14ac:dyDescent="0.25">
      <c r="A3" t="s">
        <v>185</v>
      </c>
      <c r="B3">
        <f>9502+23599+168</f>
        <v>33269</v>
      </c>
      <c r="C3">
        <f>13404+240+333</f>
        <v>13977</v>
      </c>
      <c r="D3">
        <f>4745+277+235</f>
        <v>5257</v>
      </c>
      <c r="E3">
        <f>21+260+177</f>
        <v>458</v>
      </c>
      <c r="F3">
        <f>397+4+260</f>
        <v>661</v>
      </c>
      <c r="G3">
        <v>293</v>
      </c>
      <c r="H3">
        <f>63+76</f>
        <v>139</v>
      </c>
      <c r="I3">
        <f>190+148</f>
        <v>338</v>
      </c>
      <c r="J3">
        <f>246+163</f>
        <v>409</v>
      </c>
      <c r="K3">
        <v>19905</v>
      </c>
      <c r="L3">
        <v>18939</v>
      </c>
      <c r="M3">
        <v>46882</v>
      </c>
      <c r="N3" s="71"/>
      <c r="O3" s="71"/>
      <c r="P3" s="71"/>
    </row>
    <row r="4" spans="1:16" x14ac:dyDescent="0.25">
      <c r="A4" t="s">
        <v>152</v>
      </c>
      <c r="M4">
        <v>-4.6527208916909001E-2</v>
      </c>
      <c r="N4" s="71"/>
      <c r="O4" s="71"/>
      <c r="P4" s="71"/>
    </row>
    <row r="5" spans="1:16" x14ac:dyDescent="0.25">
      <c r="A5" t="s">
        <v>178</v>
      </c>
    </row>
    <row r="6" spans="1:16" x14ac:dyDescent="0.25">
      <c r="B6">
        <v>110934</v>
      </c>
      <c r="C6">
        <v>137786</v>
      </c>
      <c r="D6">
        <v>156787</v>
      </c>
      <c r="E6">
        <v>167826</v>
      </c>
      <c r="F6">
        <v>168679</v>
      </c>
      <c r="G6">
        <v>513968</v>
      </c>
      <c r="H6">
        <v>777077</v>
      </c>
      <c r="I6">
        <v>883237</v>
      </c>
      <c r="J6">
        <v>1003273</v>
      </c>
      <c r="K6">
        <v>1125556</v>
      </c>
      <c r="L6">
        <v>2202116</v>
      </c>
      <c r="M6">
        <v>1941238</v>
      </c>
    </row>
    <row r="14" spans="1:16" x14ac:dyDescent="0.25">
      <c r="B14" t="s">
        <v>136</v>
      </c>
      <c r="C14" t="s">
        <v>153</v>
      </c>
    </row>
    <row r="15" spans="1:16" x14ac:dyDescent="0.25">
      <c r="A15">
        <v>2010</v>
      </c>
      <c r="B15">
        <v>1</v>
      </c>
      <c r="C15" s="63">
        <v>110934</v>
      </c>
    </row>
    <row r="16" spans="1:16" x14ac:dyDescent="0.25">
      <c r="A16">
        <v>2011</v>
      </c>
      <c r="B16">
        <v>2</v>
      </c>
      <c r="C16" s="63">
        <v>137786</v>
      </c>
    </row>
    <row r="17" spans="1:10" x14ac:dyDescent="0.25">
      <c r="A17">
        <v>2012</v>
      </c>
      <c r="B17">
        <v>3</v>
      </c>
      <c r="C17" s="63">
        <v>156787</v>
      </c>
    </row>
    <row r="18" spans="1:10" x14ac:dyDescent="0.25">
      <c r="A18">
        <v>2013</v>
      </c>
      <c r="B18">
        <v>4</v>
      </c>
      <c r="C18" s="63">
        <v>167826</v>
      </c>
    </row>
    <row r="19" spans="1:10" ht="15.75" thickBot="1" x14ac:dyDescent="0.3">
      <c r="A19">
        <v>2014</v>
      </c>
      <c r="B19">
        <v>5</v>
      </c>
      <c r="C19" s="63">
        <v>168679</v>
      </c>
      <c r="E19" s="68"/>
      <c r="F19" s="68"/>
    </row>
    <row r="20" spans="1:10" x14ac:dyDescent="0.25">
      <c r="A20">
        <v>2015</v>
      </c>
      <c r="B20">
        <v>6</v>
      </c>
      <c r="C20" s="63">
        <v>513968</v>
      </c>
    </row>
    <row r="21" spans="1:10" x14ac:dyDescent="0.25">
      <c r="A21">
        <v>2016</v>
      </c>
      <c r="B21">
        <v>7</v>
      </c>
      <c r="C21" s="63">
        <v>777077</v>
      </c>
      <c r="E21" t="s">
        <v>154</v>
      </c>
    </row>
    <row r="22" spans="1:10" ht="15.75" thickBot="1" x14ac:dyDescent="0.3">
      <c r="A22">
        <v>2017</v>
      </c>
      <c r="B22">
        <v>8</v>
      </c>
      <c r="C22" s="63">
        <v>883237</v>
      </c>
    </row>
    <row r="23" spans="1:10" x14ac:dyDescent="0.25">
      <c r="A23">
        <v>2018</v>
      </c>
      <c r="B23">
        <v>9</v>
      </c>
      <c r="C23" s="63">
        <v>1003273</v>
      </c>
      <c r="E23" s="70" t="s">
        <v>155</v>
      </c>
      <c r="F23" s="70"/>
    </row>
    <row r="24" spans="1:10" x14ac:dyDescent="0.25">
      <c r="A24">
        <v>2019</v>
      </c>
      <c r="B24">
        <v>10</v>
      </c>
      <c r="C24" s="63">
        <v>1125556</v>
      </c>
      <c r="E24" t="s">
        <v>156</v>
      </c>
      <c r="F24">
        <v>0.91883377277427591</v>
      </c>
    </row>
    <row r="25" spans="1:10" x14ac:dyDescent="0.25">
      <c r="A25">
        <v>2020</v>
      </c>
      <c r="B25">
        <v>11</v>
      </c>
      <c r="C25" s="63">
        <v>2202116</v>
      </c>
      <c r="E25" t="s">
        <v>157</v>
      </c>
      <c r="F25">
        <v>0.84425550199060961</v>
      </c>
    </row>
    <row r="26" spans="1:10" x14ac:dyDescent="0.25">
      <c r="A26">
        <v>2021</v>
      </c>
      <c r="B26">
        <v>12</v>
      </c>
      <c r="C26" s="63">
        <v>1941238</v>
      </c>
      <c r="E26" t="s">
        <v>158</v>
      </c>
      <c r="F26">
        <v>0.82868105218967059</v>
      </c>
    </row>
    <row r="27" spans="1:10" x14ac:dyDescent="0.25">
      <c r="E27" t="s">
        <v>159</v>
      </c>
      <c r="F27">
        <v>295749.0191665602</v>
      </c>
    </row>
    <row r="28" spans="1:10" ht="15.75" thickBot="1" x14ac:dyDescent="0.3">
      <c r="E28" s="68" t="s">
        <v>160</v>
      </c>
      <c r="F28" s="68">
        <v>12</v>
      </c>
    </row>
    <row r="30" spans="1:10" ht="15.75" thickBot="1" x14ac:dyDescent="0.3">
      <c r="E30" t="s">
        <v>161</v>
      </c>
    </row>
    <row r="31" spans="1:10" x14ac:dyDescent="0.25">
      <c r="C31" t="s">
        <v>180</v>
      </c>
      <c r="D31" s="63"/>
      <c r="E31" s="69"/>
      <c r="F31" s="69" t="s">
        <v>166</v>
      </c>
      <c r="G31" s="69" t="s">
        <v>167</v>
      </c>
      <c r="H31" s="69" t="s">
        <v>168</v>
      </c>
      <c r="I31" s="69" t="s">
        <v>169</v>
      </c>
      <c r="J31" s="69" t="s">
        <v>170</v>
      </c>
    </row>
    <row r="32" spans="1:10" x14ac:dyDescent="0.25">
      <c r="C32" t="s">
        <v>181</v>
      </c>
      <c r="D32" s="63"/>
      <c r="E32" t="s">
        <v>162</v>
      </c>
      <c r="F32">
        <v>1</v>
      </c>
      <c r="G32">
        <v>4741413286051.0928</v>
      </c>
      <c r="H32">
        <v>4741413286051.0928</v>
      </c>
      <c r="I32">
        <v>54.207725652029588</v>
      </c>
      <c r="J32">
        <v>2.4179788480177522E-5</v>
      </c>
    </row>
    <row r="33" spans="3:13" x14ac:dyDescent="0.25">
      <c r="E33" t="s">
        <v>163</v>
      </c>
      <c r="F33">
        <v>10</v>
      </c>
      <c r="G33">
        <v>874674823379.82385</v>
      </c>
      <c r="H33">
        <v>87467482337.982391</v>
      </c>
    </row>
    <row r="34" spans="3:13" ht="15.75" thickBot="1" x14ac:dyDescent="0.3">
      <c r="C34" t="s">
        <v>182</v>
      </c>
      <c r="E34" s="68" t="s">
        <v>164</v>
      </c>
      <c r="F34" s="68">
        <v>11</v>
      </c>
      <c r="G34" s="68">
        <v>5616088109430.917</v>
      </c>
      <c r="H34" s="68"/>
      <c r="I34" s="68"/>
      <c r="J34" s="68"/>
    </row>
    <row r="35" spans="3:13" ht="15.75" thickBot="1" x14ac:dyDescent="0.3">
      <c r="C35" t="s">
        <v>183</v>
      </c>
    </row>
    <row r="36" spans="3:13" x14ac:dyDescent="0.25">
      <c r="C36" t="s">
        <v>184</v>
      </c>
      <c r="E36" s="69"/>
      <c r="F36" s="69" t="s">
        <v>171</v>
      </c>
      <c r="G36" s="69" t="s">
        <v>159</v>
      </c>
      <c r="H36" s="69" t="s">
        <v>172</v>
      </c>
      <c r="I36" s="69" t="s">
        <v>173</v>
      </c>
      <c r="J36" s="69" t="s">
        <v>174</v>
      </c>
      <c r="K36" s="69" t="s">
        <v>175</v>
      </c>
      <c r="L36" s="69" t="s">
        <v>176</v>
      </c>
      <c r="M36" s="69" t="s">
        <v>177</v>
      </c>
    </row>
    <row r="37" spans="3:13" x14ac:dyDescent="0.25">
      <c r="E37" t="s">
        <v>165</v>
      </c>
      <c r="F37">
        <v>-417878.01515151525</v>
      </c>
      <c r="G37">
        <v>182020.93862443574</v>
      </c>
      <c r="H37">
        <v>-2.2957689280666989</v>
      </c>
      <c r="I37">
        <v>4.4574078104320097E-2</v>
      </c>
      <c r="J37">
        <v>-823445.94037562958</v>
      </c>
      <c r="K37">
        <v>-12310.08992740087</v>
      </c>
      <c r="L37">
        <v>-823445.94037562958</v>
      </c>
      <c r="M37">
        <v>-12310.08992740087</v>
      </c>
    </row>
    <row r="38" spans="3:13" ht="15.75" thickBot="1" x14ac:dyDescent="0.3">
      <c r="E38" s="68" t="s">
        <v>136</v>
      </c>
      <c r="F38" s="68">
        <v>182089.9125874126</v>
      </c>
      <c r="G38" s="68">
        <v>24731.775424546991</v>
      </c>
      <c r="H38" s="68">
        <v>7.3625896023090673</v>
      </c>
      <c r="I38" s="74">
        <v>2.4179788480177502E-5</v>
      </c>
      <c r="J38" s="68">
        <v>126984.08288538011</v>
      </c>
      <c r="K38" s="68">
        <v>237195.7422894451</v>
      </c>
      <c r="L38" s="68">
        <v>126984.08288538011</v>
      </c>
      <c r="M38" s="68">
        <v>237195.7422894451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27B9-858A-41E2-A7AA-A84E995C8FDC}">
  <dimension ref="F1:J73"/>
  <sheetViews>
    <sheetView topLeftCell="A20" zoomScale="85" zoomScaleNormal="85" workbookViewId="0">
      <selection activeCell="D45" sqref="D45"/>
    </sheetView>
  </sheetViews>
  <sheetFormatPr defaultRowHeight="15" x14ac:dyDescent="0.25"/>
  <cols>
    <col min="3" max="3" width="29.28515625" customWidth="1"/>
    <col min="4" max="4" width="20.5703125" customWidth="1"/>
    <col min="8" max="8" width="13.140625" customWidth="1"/>
    <col min="9" max="9" width="18.7109375" style="77" customWidth="1"/>
    <col min="10" max="10" width="14.5703125" customWidth="1"/>
  </cols>
  <sheetData>
    <row r="1" spans="8:10" ht="45" x14ac:dyDescent="0.25">
      <c r="H1" t="s">
        <v>193</v>
      </c>
      <c r="I1" s="78" t="s">
        <v>194</v>
      </c>
      <c r="J1" s="79" t="s">
        <v>195</v>
      </c>
    </row>
    <row r="2" spans="8:10" x14ac:dyDescent="0.25">
      <c r="H2" s="76">
        <v>44711</v>
      </c>
      <c r="I2" s="2">
        <v>-0.1018</v>
      </c>
      <c r="J2" s="46">
        <v>-8.2000000000000007E-3</v>
      </c>
    </row>
    <row r="3" spans="8:10" x14ac:dyDescent="0.25">
      <c r="H3" s="76">
        <v>44680</v>
      </c>
      <c r="I3" s="2">
        <v>-0.33389999999999997</v>
      </c>
      <c r="J3" s="2">
        <v>-0.12889999999999999</v>
      </c>
    </row>
    <row r="4" spans="8:10" x14ac:dyDescent="0.25">
      <c r="H4" s="76">
        <v>44651</v>
      </c>
      <c r="I4" s="2">
        <v>5.6800000000000003E-2</v>
      </c>
      <c r="J4" s="2">
        <v>6.6600000000000006E-2</v>
      </c>
    </row>
    <row r="5" spans="8:10" x14ac:dyDescent="0.25">
      <c r="H5" s="76" t="s">
        <v>192</v>
      </c>
      <c r="I5" s="2">
        <v>1.3100000000000001E-2</v>
      </c>
      <c r="J5" s="2">
        <v>-9.4899999999999998E-2</v>
      </c>
    </row>
    <row r="6" spans="8:10" x14ac:dyDescent="0.25">
      <c r="H6" s="76">
        <v>44592</v>
      </c>
      <c r="I6" s="2">
        <v>-6.6600000000000006E-2</v>
      </c>
      <c r="J6" s="2">
        <v>-2.53E-2</v>
      </c>
    </row>
    <row r="7" spans="8:10" x14ac:dyDescent="0.25">
      <c r="H7" s="76">
        <v>44561</v>
      </c>
      <c r="I7" s="2">
        <v>5.7799999999999997E-2</v>
      </c>
      <c r="J7" s="2">
        <v>3.3099999999999997E-2</v>
      </c>
    </row>
    <row r="8" spans="8:10" x14ac:dyDescent="0.25">
      <c r="H8" s="76">
        <v>44530</v>
      </c>
      <c r="I8" s="2">
        <v>7.1999999999999998E-3</v>
      </c>
      <c r="J8" s="2">
        <v>-8.7599999999999997E-2</v>
      </c>
    </row>
    <row r="9" spans="8:10" x14ac:dyDescent="0.25">
      <c r="H9" s="76">
        <v>44500</v>
      </c>
      <c r="I9" s="2">
        <v>-5.5500000000000001E-2</v>
      </c>
      <c r="J9" s="2">
        <v>4.1000000000000002E-2</v>
      </c>
    </row>
    <row r="10" spans="8:10" x14ac:dyDescent="0.25">
      <c r="H10" s="76">
        <v>44469</v>
      </c>
      <c r="I10" s="2">
        <v>0.14430000000000001</v>
      </c>
      <c r="J10" s="2">
        <v>-2.4400000000000002E-2</v>
      </c>
    </row>
    <row r="11" spans="8:10" x14ac:dyDescent="0.25">
      <c r="H11" s="76">
        <v>44439</v>
      </c>
      <c r="I11" s="2">
        <v>-8.3500000000000005E-2</v>
      </c>
      <c r="J11" s="2">
        <v>5.0799999999999998E-2</v>
      </c>
    </row>
    <row r="12" spans="8:10" x14ac:dyDescent="0.25">
      <c r="H12" s="76">
        <v>44408</v>
      </c>
      <c r="I12" s="2">
        <v>-1.9199999999999998E-2</v>
      </c>
      <c r="J12" s="2">
        <v>1.5800000000000002E-2</v>
      </c>
    </row>
    <row r="13" spans="8:10" x14ac:dyDescent="0.25">
      <c r="H13" s="76">
        <v>44377</v>
      </c>
      <c r="I13" s="2">
        <v>3.61E-2</v>
      </c>
      <c r="J13" s="2">
        <v>-6.7000000000000002E-3</v>
      </c>
    </row>
    <row r="14" spans="8:10" x14ac:dyDescent="0.25">
      <c r="H14" s="76">
        <v>44347</v>
      </c>
      <c r="I14" s="2">
        <v>-2.2000000000000001E-3</v>
      </c>
      <c r="J14" s="2">
        <v>9.6100000000000005E-2</v>
      </c>
    </row>
    <row r="15" spans="8:10" x14ac:dyDescent="0.25">
      <c r="H15" s="76">
        <v>44316</v>
      </c>
      <c r="I15" s="2">
        <v>-0.2009</v>
      </c>
      <c r="J15" s="2">
        <v>5.0900000000000001E-2</v>
      </c>
    </row>
    <row r="16" spans="8:10" x14ac:dyDescent="0.25">
      <c r="H16" s="76">
        <v>44286</v>
      </c>
      <c r="I16" s="2">
        <v>-0.1948</v>
      </c>
      <c r="J16" s="2">
        <v>1.6500000000000001E-2</v>
      </c>
    </row>
    <row r="17" spans="8:10" x14ac:dyDescent="0.25">
      <c r="H17" s="76">
        <v>44255</v>
      </c>
      <c r="I17" s="2">
        <v>-0.2248</v>
      </c>
      <c r="J17" s="2">
        <v>2.0899999999999998E-2</v>
      </c>
    </row>
    <row r="18" spans="8:10" x14ac:dyDescent="0.25">
      <c r="H18" s="76">
        <v>44227</v>
      </c>
      <c r="I18" s="2">
        <v>0.111</v>
      </c>
      <c r="J18" s="2">
        <v>-1.8100000000000002E-2</v>
      </c>
    </row>
    <row r="19" spans="8:10" x14ac:dyDescent="0.25">
      <c r="H19" s="76">
        <v>44196</v>
      </c>
      <c r="I19" s="2">
        <v>-0.24260000000000001</v>
      </c>
      <c r="J19" s="2">
        <v>8.4099999999999994E-2</v>
      </c>
    </row>
    <row r="20" spans="8:10" x14ac:dyDescent="0.25">
      <c r="H20" s="76">
        <v>44165</v>
      </c>
      <c r="I20" s="2">
        <v>0.1613</v>
      </c>
      <c r="J20" s="2">
        <v>0.2072</v>
      </c>
    </row>
    <row r="21" spans="8:10" x14ac:dyDescent="0.25">
      <c r="H21" s="76">
        <v>44135</v>
      </c>
      <c r="I21" s="2">
        <v>-0.2225</v>
      </c>
      <c r="J21" s="2">
        <v>-0.1149</v>
      </c>
    </row>
    <row r="22" spans="8:10" x14ac:dyDescent="0.25">
      <c r="H22" s="76">
        <v>44104</v>
      </c>
      <c r="I22" s="2">
        <v>-6.1899999999999997E-2</v>
      </c>
      <c r="J22" s="2">
        <v>-4.8599999999999997E-2</v>
      </c>
    </row>
    <row r="23" spans="8:10" x14ac:dyDescent="0.25">
      <c r="H23" s="76">
        <v>44074</v>
      </c>
      <c r="I23" s="2">
        <v>9.0800000000000006E-2</v>
      </c>
      <c r="J23" s="2">
        <v>1.8499999999999999E-2</v>
      </c>
    </row>
    <row r="24" spans="8:10" x14ac:dyDescent="0.25">
      <c r="H24" s="76">
        <v>44043</v>
      </c>
      <c r="I24" s="2">
        <v>1E-3</v>
      </c>
      <c r="J24" s="2">
        <v>5.0000000000000001E-3</v>
      </c>
    </row>
    <row r="25" spans="8:10" x14ac:dyDescent="0.25">
      <c r="H25" s="76">
        <v>44012</v>
      </c>
      <c r="I25" s="2">
        <v>-2.1999999999999999E-2</v>
      </c>
      <c r="J25" s="2">
        <v>2.1000000000000001E-2</v>
      </c>
    </row>
    <row r="26" spans="8:10" x14ac:dyDescent="0.25">
      <c r="H26" s="76">
        <v>43982</v>
      </c>
      <c r="I26" s="2">
        <v>0.12920000000000001</v>
      </c>
      <c r="J26" s="2">
        <v>4.4900000000000002E-2</v>
      </c>
    </row>
    <row r="27" spans="8:10" x14ac:dyDescent="0.25">
      <c r="H27" s="76">
        <v>43951</v>
      </c>
      <c r="I27" s="2">
        <v>0.27310000000000001</v>
      </c>
      <c r="J27" s="2">
        <v>8.9800000000000005E-2</v>
      </c>
    </row>
    <row r="28" spans="8:10" x14ac:dyDescent="0.25">
      <c r="H28" s="76">
        <v>43921</v>
      </c>
      <c r="I28" s="2">
        <v>3.8100000000000002E-2</v>
      </c>
      <c r="J28" s="2">
        <v>-0.14480000000000001</v>
      </c>
    </row>
    <row r="29" spans="8:10" x14ac:dyDescent="0.25">
      <c r="H29" s="76">
        <v>43890</v>
      </c>
      <c r="I29" s="2">
        <v>-1.0999999999999999E-2</v>
      </c>
      <c r="J29" s="2">
        <v>-0.14380000000000001</v>
      </c>
    </row>
    <row r="30" spans="8:10" x14ac:dyDescent="0.25">
      <c r="H30" s="76">
        <v>43861</v>
      </c>
      <c r="I30" s="2">
        <v>7.4999999999999997E-3</v>
      </c>
      <c r="J30" s="2">
        <v>-3.9199999999999999E-2</v>
      </c>
    </row>
    <row r="31" spans="8:10" x14ac:dyDescent="0.25">
      <c r="H31" s="76">
        <v>43830</v>
      </c>
      <c r="I31" s="2">
        <v>6.4799999999999996E-2</v>
      </c>
      <c r="J31" s="2">
        <v>-4.1000000000000003E-3</v>
      </c>
    </row>
    <row r="32" spans="8:10" x14ac:dyDescent="0.25">
      <c r="H32" s="76">
        <v>43799</v>
      </c>
      <c r="I32" s="2">
        <v>4.1300000000000003E-2</v>
      </c>
      <c r="J32" s="2">
        <v>-1.6E-2</v>
      </c>
    </row>
    <row r="33" spans="8:10" x14ac:dyDescent="0.25">
      <c r="H33" s="76">
        <v>43769</v>
      </c>
      <c r="I33" s="2">
        <v>2.86E-2</v>
      </c>
      <c r="J33" s="2">
        <v>9.5999999999999992E-3</v>
      </c>
    </row>
    <row r="34" spans="8:10" x14ac:dyDescent="0.25">
      <c r="H34" s="76">
        <v>43738</v>
      </c>
      <c r="I34" s="2">
        <v>-3.7900000000000003E-2</v>
      </c>
      <c r="J34" s="2">
        <v>1.78E-2</v>
      </c>
    </row>
    <row r="35" spans="8:10" x14ac:dyDescent="0.25">
      <c r="H35" s="76">
        <v>43708</v>
      </c>
      <c r="I35" s="2">
        <v>0.12</v>
      </c>
      <c r="J35" s="2">
        <v>-6.2399999999999997E-2</v>
      </c>
    </row>
    <row r="36" spans="8:10" x14ac:dyDescent="0.25">
      <c r="H36" s="76">
        <v>43677</v>
      </c>
      <c r="I36" s="2">
        <v>6.83E-2</v>
      </c>
      <c r="J36" s="2">
        <v>-2.1600000000000001E-2</v>
      </c>
    </row>
    <row r="37" spans="8:10" x14ac:dyDescent="0.25">
      <c r="H37" s="76">
        <v>43646</v>
      </c>
      <c r="I37" s="2">
        <v>3.61E-2</v>
      </c>
      <c r="J37" s="2">
        <v>3.95E-2</v>
      </c>
    </row>
    <row r="38" spans="8:10" x14ac:dyDescent="0.25">
      <c r="H38" s="76">
        <v>43616</v>
      </c>
      <c r="I38" s="2">
        <v>-2.8299999999999999E-2</v>
      </c>
      <c r="J38" s="2">
        <v>-4.07E-2</v>
      </c>
    </row>
    <row r="39" spans="8:10" x14ac:dyDescent="0.25">
      <c r="H39" s="76">
        <v>43585</v>
      </c>
      <c r="I39" s="2">
        <v>7.4499999999999997E-2</v>
      </c>
      <c r="J39" s="2">
        <v>9.5999999999999992E-3</v>
      </c>
    </row>
    <row r="40" spans="8:10" x14ac:dyDescent="0.25">
      <c r="H40" s="76">
        <v>43555</v>
      </c>
      <c r="I40" s="2">
        <v>5.5399999999999998E-2</v>
      </c>
      <c r="J40" s="2">
        <v>-8.6E-3</v>
      </c>
    </row>
    <row r="41" spans="8:10" x14ac:dyDescent="0.25">
      <c r="H41" s="76">
        <v>43524</v>
      </c>
      <c r="I41" s="2">
        <v>-2.5600000000000001E-2</v>
      </c>
      <c r="J41" s="2">
        <v>-2.01E-2</v>
      </c>
    </row>
    <row r="42" spans="8:10" x14ac:dyDescent="0.25">
      <c r="H42" s="76">
        <v>43496</v>
      </c>
      <c r="I42" s="2">
        <v>0.3049</v>
      </c>
      <c r="J42" s="2">
        <v>4.5499999999999999E-2</v>
      </c>
    </row>
    <row r="43" spans="8:10" x14ac:dyDescent="0.25">
      <c r="H43" s="76">
        <v>43465</v>
      </c>
      <c r="I43" s="2">
        <v>2.3900000000000001E-2</v>
      </c>
      <c r="J43" s="2">
        <v>-6.3E-3</v>
      </c>
    </row>
    <row r="44" spans="8:10" x14ac:dyDescent="0.25">
      <c r="H44" s="76">
        <v>43434</v>
      </c>
      <c r="I44" s="2">
        <v>-0.1017</v>
      </c>
      <c r="J44" s="2">
        <v>6.4699999999999994E-2</v>
      </c>
    </row>
    <row r="45" spans="8:10" x14ac:dyDescent="0.25">
      <c r="H45" s="76">
        <v>43404</v>
      </c>
      <c r="I45" s="2">
        <v>-0.15479999999999999</v>
      </c>
      <c r="J45" s="2">
        <v>5.8299999999999998E-2</v>
      </c>
    </row>
    <row r="46" spans="8:10" x14ac:dyDescent="0.25">
      <c r="H46" s="76">
        <v>43373</v>
      </c>
      <c r="I46" s="2">
        <v>-9.0800000000000006E-2</v>
      </c>
      <c r="J46" s="2">
        <v>-2.2599999999999999E-2</v>
      </c>
    </row>
    <row r="47" spans="8:10" x14ac:dyDescent="0.25">
      <c r="H47" s="76">
        <v>43343</v>
      </c>
      <c r="I47" s="2">
        <v>-4.0099999999999997E-2</v>
      </c>
      <c r="J47" s="2">
        <v>1.5599999999999999E-2</v>
      </c>
    </row>
    <row r="48" spans="8:10" x14ac:dyDescent="0.25">
      <c r="H48" s="76">
        <v>43312</v>
      </c>
      <c r="I48" s="2">
        <v>0.22059999999999999</v>
      </c>
      <c r="J48" s="2">
        <v>7.8E-2</v>
      </c>
    </row>
    <row r="49" spans="8:10" x14ac:dyDescent="0.25">
      <c r="H49" s="76">
        <v>43281</v>
      </c>
      <c r="I49" s="2">
        <v>9.9199999999999997E-2</v>
      </c>
      <c r="J49" s="2">
        <v>-0.01</v>
      </c>
    </row>
    <row r="50" spans="8:10" x14ac:dyDescent="0.25">
      <c r="H50" s="76">
        <v>43251</v>
      </c>
      <c r="I50" s="2">
        <v>0.17949999999999999</v>
      </c>
      <c r="J50" s="2">
        <v>-5.8799999999999998E-2</v>
      </c>
    </row>
    <row r="51" spans="8:10" x14ac:dyDescent="0.25">
      <c r="H51" s="76">
        <v>43220</v>
      </c>
      <c r="I51" s="2">
        <v>0.14080000000000001</v>
      </c>
      <c r="J51" s="2">
        <v>3.6900000000000002E-2</v>
      </c>
    </row>
    <row r="52" spans="8:10" ht="16.5" customHeight="1" x14ac:dyDescent="0.25">
      <c r="H52" s="76">
        <v>43190</v>
      </c>
      <c r="I52" s="2">
        <v>1.67E-2</v>
      </c>
      <c r="J52" s="2">
        <v>-6.5100000000000005E-2</v>
      </c>
    </row>
    <row r="53" spans="8:10" x14ac:dyDescent="0.25">
      <c r="H53" s="76">
        <v>43159</v>
      </c>
      <c r="I53" s="2">
        <v>-6.1400000000000003E-2</v>
      </c>
      <c r="J53" s="2">
        <v>-7.4200000000000002E-2</v>
      </c>
    </row>
    <row r="54" spans="8:10" x14ac:dyDescent="0.25">
      <c r="H54" s="76">
        <v>43131</v>
      </c>
      <c r="I54" s="2">
        <v>0.19589999999999999</v>
      </c>
      <c r="J54" s="2">
        <v>3.7600000000000001E-2</v>
      </c>
    </row>
    <row r="55" spans="8:10" x14ac:dyDescent="0.25">
      <c r="H55" s="76">
        <v>43100</v>
      </c>
      <c r="I55" s="2">
        <v>-1.0200000000000001E-2</v>
      </c>
      <c r="J55" s="2">
        <v>2.18E-2</v>
      </c>
    </row>
    <row r="56" spans="8:10" x14ac:dyDescent="0.25">
      <c r="H56" s="76">
        <v>43069</v>
      </c>
      <c r="I56" s="2">
        <v>-0.15840000000000001</v>
      </c>
      <c r="J56" s="2">
        <v>4.5999999999999999E-2</v>
      </c>
    </row>
    <row r="57" spans="8:10" x14ac:dyDescent="0.25">
      <c r="H57" s="76">
        <v>43039</v>
      </c>
      <c r="I57" s="2">
        <v>3.7400000000000003E-2</v>
      </c>
      <c r="J57" s="2">
        <v>2.9100000000000001E-2</v>
      </c>
    </row>
    <row r="58" spans="8:10" x14ac:dyDescent="0.25">
      <c r="H58" s="76">
        <v>43008</v>
      </c>
      <c r="I58" s="2">
        <v>0.435</v>
      </c>
      <c r="J58" s="2">
        <v>-2.5000000000000001E-2</v>
      </c>
    </row>
    <row r="59" spans="8:10" x14ac:dyDescent="0.25">
      <c r="H59" s="76">
        <v>42978</v>
      </c>
      <c r="I59" s="2">
        <v>-3.8899999999999997E-2</v>
      </c>
      <c r="J59" s="2">
        <v>5.9799999999999999E-2</v>
      </c>
    </row>
    <row r="60" spans="8:10" x14ac:dyDescent="0.25">
      <c r="H60" s="76">
        <v>42947</v>
      </c>
      <c r="I60" s="2">
        <v>5.3E-3</v>
      </c>
      <c r="J60" s="2">
        <v>3.2300000000000002E-2</v>
      </c>
    </row>
    <row r="61" spans="8:10" x14ac:dyDescent="0.25">
      <c r="H61" s="76">
        <v>42916</v>
      </c>
      <c r="I61" s="2">
        <v>0.10879999999999999</v>
      </c>
      <c r="J61" s="2">
        <v>8.2000000000000007E-3</v>
      </c>
    </row>
    <row r="62" spans="8:10" x14ac:dyDescent="0.25">
      <c r="H62" s="76"/>
      <c r="I62" s="2"/>
      <c r="J62" s="2"/>
    </row>
    <row r="63" spans="8:10" x14ac:dyDescent="0.25">
      <c r="I63" s="77" t="s">
        <v>196</v>
      </c>
      <c r="J63">
        <f>_xlfn.COVARIANCE.P(I2:I61,J2:J61)</f>
        <v>1.3510738888888897E-3</v>
      </c>
    </row>
    <row r="64" spans="8:10" x14ac:dyDescent="0.25">
      <c r="I64" s="77" t="s">
        <v>197</v>
      </c>
      <c r="J64">
        <f>_xlfn.VAR.P(J2:J61)</f>
        <v>3.7831969555555565E-3</v>
      </c>
    </row>
    <row r="65" spans="6:10" x14ac:dyDescent="0.25">
      <c r="I65" s="80" t="s">
        <v>199</v>
      </c>
      <c r="J65" s="81">
        <f>J63/J64</f>
        <v>0.3571249143941243</v>
      </c>
    </row>
    <row r="66" spans="6:10" x14ac:dyDescent="0.25">
      <c r="I66" s="77" t="s">
        <v>198</v>
      </c>
      <c r="J66">
        <f>LINEST(I2:I61,J2:J61)</f>
        <v>0.35712491439412491</v>
      </c>
    </row>
    <row r="67" spans="6:10" x14ac:dyDescent="0.25">
      <c r="I67" s="77" t="s">
        <v>187</v>
      </c>
      <c r="J67" s="12">
        <v>5.0799999999999998E-2</v>
      </c>
    </row>
    <row r="68" spans="6:10" x14ac:dyDescent="0.25">
      <c r="I68" s="77" t="s">
        <v>200</v>
      </c>
      <c r="J68" s="12">
        <v>6.5799999999999997E-2</v>
      </c>
    </row>
    <row r="69" spans="6:10" x14ac:dyDescent="0.25">
      <c r="I69" s="77" t="s">
        <v>201</v>
      </c>
      <c r="J69" s="15">
        <f>wycena!M18</f>
        <v>5.710695789428779E-2</v>
      </c>
    </row>
    <row r="70" spans="6:10" x14ac:dyDescent="0.25">
      <c r="F70" t="s">
        <v>228</v>
      </c>
      <c r="I70" s="77" t="s">
        <v>202</v>
      </c>
      <c r="J70" s="15">
        <f>wycena!M19</f>
        <v>2.4150567833516549E-2</v>
      </c>
    </row>
    <row r="71" spans="6:10" x14ac:dyDescent="0.25">
      <c r="I71" s="77" t="s">
        <v>203</v>
      </c>
      <c r="J71" s="15">
        <f>J68+J65*J67</f>
        <v>8.3941945651221511E-2</v>
      </c>
    </row>
    <row r="72" spans="6:10" x14ac:dyDescent="0.25">
      <c r="F72" t="s">
        <v>229</v>
      </c>
      <c r="I72" s="77" t="s">
        <v>204</v>
      </c>
      <c r="J72" s="15">
        <f>1-J70</f>
        <v>0.97584943216648345</v>
      </c>
    </row>
    <row r="73" spans="6:10" x14ac:dyDescent="0.25">
      <c r="I73" s="77" t="s">
        <v>152</v>
      </c>
      <c r="J73" s="46">
        <f>J72*J71+J70*J69</f>
        <v>8.3293865459086097E-2</v>
      </c>
    </row>
  </sheetData>
  <autoFilter ref="H1:J61" xr:uid="{517B27B9-858A-41E2-A7AA-A84E995C8FDC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DB84-02E8-4326-B14C-485666866B8D}">
  <dimension ref="B5:AH88"/>
  <sheetViews>
    <sheetView zoomScaleNormal="100" workbookViewId="0">
      <selection activeCell="J11" sqref="J11"/>
    </sheetView>
  </sheetViews>
  <sheetFormatPr defaultRowHeight="15" x14ac:dyDescent="0.25"/>
  <cols>
    <col min="2" max="2" width="29.85546875" bestFit="1" customWidth="1"/>
    <col min="5" max="5" width="13.42578125" bestFit="1" customWidth="1"/>
    <col min="8" max="8" width="14.140625" bestFit="1" customWidth="1"/>
    <col min="11" max="11" width="10.85546875" bestFit="1" customWidth="1"/>
    <col min="15" max="15" width="15.28515625" customWidth="1"/>
    <col min="18" max="18" width="9.85546875" bestFit="1" customWidth="1"/>
  </cols>
  <sheetData>
    <row r="5" spans="2:22" x14ac:dyDescent="0.25">
      <c r="S5">
        <v>2018</v>
      </c>
      <c r="T5">
        <v>2019</v>
      </c>
      <c r="U5">
        <v>2020</v>
      </c>
      <c r="V5">
        <v>2021</v>
      </c>
    </row>
    <row r="6" spans="2:22" x14ac:dyDescent="0.25">
      <c r="C6" s="82">
        <v>2018</v>
      </c>
      <c r="D6" s="82">
        <v>2019</v>
      </c>
      <c r="E6" s="82">
        <v>2020</v>
      </c>
      <c r="F6" s="82">
        <v>2021</v>
      </c>
      <c r="G6" s="82">
        <v>2022</v>
      </c>
      <c r="H6" s="82">
        <v>2023</v>
      </c>
      <c r="I6" s="82">
        <v>2024</v>
      </c>
      <c r="J6" s="82">
        <v>2025</v>
      </c>
      <c r="K6" s="82">
        <v>2026</v>
      </c>
      <c r="M6" t="s">
        <v>24</v>
      </c>
      <c r="S6">
        <v>1126838</v>
      </c>
      <c r="T6">
        <v>1404108</v>
      </c>
      <c r="U6">
        <v>2890299</v>
      </c>
      <c r="V6">
        <v>2158735</v>
      </c>
    </row>
    <row r="7" spans="2:22" x14ac:dyDescent="0.25">
      <c r="B7" s="82" t="s">
        <v>14</v>
      </c>
      <c r="C7" s="82">
        <v>1126838</v>
      </c>
      <c r="D7" s="82">
        <v>1404108</v>
      </c>
      <c r="E7" s="82">
        <v>2890299</v>
      </c>
      <c r="F7" s="82">
        <v>2158735</v>
      </c>
    </row>
    <row r="8" spans="2:22" x14ac:dyDescent="0.25">
      <c r="B8" s="82" t="s">
        <v>18</v>
      </c>
      <c r="C8" s="82">
        <v>1045726</v>
      </c>
      <c r="D8" s="82">
        <v>1315368</v>
      </c>
      <c r="E8" s="82">
        <v>2745083</v>
      </c>
      <c r="F8" s="82">
        <v>2061164</v>
      </c>
    </row>
    <row r="9" spans="2:22" x14ac:dyDescent="0.25">
      <c r="B9" s="82" t="s">
        <v>16</v>
      </c>
      <c r="C9" s="82">
        <v>6853</v>
      </c>
      <c r="D9" s="82">
        <v>24378</v>
      </c>
      <c r="E9" s="82">
        <v>164990</v>
      </c>
      <c r="F9" s="82">
        <v>29756</v>
      </c>
      <c r="M9" t="s">
        <v>212</v>
      </c>
      <c r="S9">
        <f>C9+C14</f>
        <v>74211</v>
      </c>
      <c r="T9">
        <f t="shared" ref="T9:V9" si="0">D9+D14</f>
        <v>243443</v>
      </c>
      <c r="U9">
        <f t="shared" si="0"/>
        <v>617918</v>
      </c>
      <c r="V9">
        <f t="shared" si="0"/>
        <v>192115</v>
      </c>
    </row>
    <row r="10" spans="2:22" x14ac:dyDescent="0.25">
      <c r="B10" s="82" t="s">
        <v>207</v>
      </c>
      <c r="C10" s="82">
        <v>362901</v>
      </c>
      <c r="D10" s="82">
        <v>521272</v>
      </c>
      <c r="E10" s="82">
        <v>2138875</v>
      </c>
      <c r="F10" s="82">
        <v>888172</v>
      </c>
    </row>
    <row r="11" spans="2:22" x14ac:dyDescent="0.25">
      <c r="B11" s="82" t="s">
        <v>208</v>
      </c>
      <c r="C11" s="82">
        <v>109334</v>
      </c>
      <c r="D11" s="82">
        <v>175315</v>
      </c>
      <c r="E11" s="82">
        <v>1150148</v>
      </c>
      <c r="F11" s="82">
        <v>208908</v>
      </c>
    </row>
    <row r="12" spans="2:22" x14ac:dyDescent="0.25">
      <c r="B12" s="82" t="s">
        <v>15</v>
      </c>
      <c r="C12" s="82">
        <v>1002864</v>
      </c>
      <c r="D12" s="82">
        <v>1105651</v>
      </c>
      <c r="E12" s="82">
        <v>2183177</v>
      </c>
      <c r="F12" s="82">
        <v>1894356</v>
      </c>
      <c r="M12" t="s">
        <v>219</v>
      </c>
      <c r="S12" s="1">
        <v>106254</v>
      </c>
      <c r="T12" s="1">
        <v>161308</v>
      </c>
      <c r="U12" s="1">
        <v>491364</v>
      </c>
      <c r="V12" s="1">
        <v>250234</v>
      </c>
    </row>
    <row r="13" spans="2:22" x14ac:dyDescent="0.25">
      <c r="B13" s="82" t="s">
        <v>209</v>
      </c>
      <c r="C13" s="82">
        <v>730407</v>
      </c>
      <c r="D13" s="82">
        <v>725011</v>
      </c>
      <c r="E13" s="82">
        <v>2130300</v>
      </c>
      <c r="F13" s="82">
        <v>1252889</v>
      </c>
    </row>
    <row r="14" spans="2:22" x14ac:dyDescent="0.25">
      <c r="B14" s="82" t="s">
        <v>17</v>
      </c>
      <c r="C14" s="82">
        <v>67358</v>
      </c>
      <c r="D14" s="82">
        <v>219065</v>
      </c>
      <c r="E14" s="82">
        <v>452928</v>
      </c>
      <c r="F14" s="82">
        <v>162359</v>
      </c>
    </row>
    <row r="15" spans="2:22" x14ac:dyDescent="0.25">
      <c r="B15" s="89" t="s">
        <v>231</v>
      </c>
      <c r="C15">
        <f>C7-(C9+C14)</f>
        <v>1052627</v>
      </c>
      <c r="D15">
        <f t="shared" ref="D15:F15" si="1">D7-(D9+D14)</f>
        <v>1160665</v>
      </c>
      <c r="E15">
        <f t="shared" si="1"/>
        <v>2272381</v>
      </c>
      <c r="F15">
        <f t="shared" si="1"/>
        <v>1966620</v>
      </c>
      <c r="G15">
        <f t="array" ref="G15:K15">TREND(C15:F15,C6:F6,G6:K6)</f>
        <v>2576497</v>
      </c>
      <c r="H15">
        <v>2961866.5</v>
      </c>
      <c r="I15">
        <v>3347236</v>
      </c>
      <c r="J15">
        <v>3732605.5</v>
      </c>
      <c r="K15">
        <v>4117975</v>
      </c>
    </row>
    <row r="16" spans="2:22" x14ac:dyDescent="0.25">
      <c r="B16" t="s">
        <v>130</v>
      </c>
      <c r="C16">
        <v>859</v>
      </c>
      <c r="D16">
        <v>17734</v>
      </c>
      <c r="E16">
        <v>4543</v>
      </c>
      <c r="F16">
        <v>5007</v>
      </c>
      <c r="G16">
        <v>8684</v>
      </c>
      <c r="H16">
        <v>97123</v>
      </c>
      <c r="I16">
        <v>107646</v>
      </c>
      <c r="J16">
        <v>1383986</v>
      </c>
      <c r="K16">
        <v>1230913</v>
      </c>
      <c r="M16">
        <v>929931</v>
      </c>
      <c r="N16">
        <v>870930</v>
      </c>
      <c r="O16">
        <v>1278480.3333333433</v>
      </c>
      <c r="P16">
        <v>1402044.7179487348</v>
      </c>
      <c r="Q16">
        <v>1525609.1025641263</v>
      </c>
      <c r="R16">
        <v>1649173.4871794879</v>
      </c>
      <c r="S16">
        <v>1772737.8717948794</v>
      </c>
    </row>
    <row r="17" spans="2:11" x14ac:dyDescent="0.25">
      <c r="B17" t="s">
        <v>232</v>
      </c>
      <c r="C17">
        <f>C9+C14</f>
        <v>74211</v>
      </c>
      <c r="D17">
        <f t="shared" ref="D17:F17" si="2">D9+D14</f>
        <v>243443</v>
      </c>
      <c r="E17">
        <f t="shared" si="2"/>
        <v>617918</v>
      </c>
      <c r="F17">
        <f t="shared" si="2"/>
        <v>192115</v>
      </c>
      <c r="G17">
        <f t="array" ref="G17:K17">TREND(C17:F17,C6:F6,G6:K6)</f>
        <v>463968.5</v>
      </c>
      <c r="H17">
        <v>536787.19999998808</v>
      </c>
      <c r="I17">
        <v>609605.89999997616</v>
      </c>
      <c r="J17">
        <v>682424.59999999404</v>
      </c>
      <c r="K17">
        <v>755243.29999998212</v>
      </c>
    </row>
    <row r="18" spans="2:11" x14ac:dyDescent="0.25">
      <c r="C18" s="82">
        <v>2018</v>
      </c>
      <c r="D18" s="82">
        <v>2019</v>
      </c>
      <c r="E18" s="82">
        <v>2020</v>
      </c>
      <c r="F18" s="82">
        <v>2021</v>
      </c>
    </row>
    <row r="19" spans="2:11" x14ac:dyDescent="0.25">
      <c r="B19" s="82" t="s">
        <v>213</v>
      </c>
      <c r="C19" s="82">
        <f>C13/C14</f>
        <v>10.843656284331482</v>
      </c>
      <c r="D19" s="82">
        <f t="shared" ref="D19:F19" si="3">D13/D14</f>
        <v>3.3095702188848057</v>
      </c>
      <c r="E19" s="82">
        <f t="shared" si="3"/>
        <v>4.7033965663416701</v>
      </c>
      <c r="F19" s="82">
        <f t="shared" si="3"/>
        <v>7.7167819461809941</v>
      </c>
    </row>
    <row r="20" spans="2:11" x14ac:dyDescent="0.25">
      <c r="B20" s="82" t="s">
        <v>211</v>
      </c>
      <c r="C20" s="82">
        <f>S9/C7</f>
        <v>6.5857736427064051E-2</v>
      </c>
      <c r="D20" s="82">
        <f t="shared" ref="D20:F20" si="4">T9/D7</f>
        <v>0.17337911328758188</v>
      </c>
      <c r="E20" s="82">
        <f t="shared" si="4"/>
        <v>0.21379033795465452</v>
      </c>
      <c r="F20" s="82">
        <f t="shared" si="4"/>
        <v>8.8994248946721116E-2</v>
      </c>
    </row>
    <row r="21" spans="2:11" x14ac:dyDescent="0.25">
      <c r="B21" s="82" t="s">
        <v>114</v>
      </c>
      <c r="C21" s="82">
        <v>0.29066441225887407</v>
      </c>
      <c r="D21" s="82">
        <v>0.32525430929724736</v>
      </c>
      <c r="E21" s="82">
        <v>0.53137111681222049</v>
      </c>
      <c r="F21" s="82">
        <v>0.22829703924613501</v>
      </c>
      <c r="J21" t="s">
        <v>233</v>
      </c>
      <c r="K21">
        <f>K15+K16+K17+3*Q69</f>
        <v>12219436.43366757</v>
      </c>
    </row>
    <row r="22" spans="2:11" ht="15.75" thickBot="1" x14ac:dyDescent="0.3">
      <c r="B22" s="82" t="s">
        <v>112</v>
      </c>
      <c r="C22" s="82">
        <v>0.10371517835502722</v>
      </c>
      <c r="D22" s="82">
        <v>0.13853713196567607</v>
      </c>
      <c r="E22" s="82">
        <v>0.53564927590701117</v>
      </c>
      <c r="F22" s="82">
        <v>8.2751670913683684E-2</v>
      </c>
      <c r="K22" s="90"/>
    </row>
    <row r="23" spans="2:11" x14ac:dyDescent="0.25">
      <c r="B23" s="82" t="s">
        <v>111</v>
      </c>
      <c r="C23" s="82">
        <v>0.11595730746652681</v>
      </c>
      <c r="D23" s="82">
        <v>0.16629239061614454</v>
      </c>
      <c r="E23" s="82">
        <v>0.69942727318059805</v>
      </c>
      <c r="F23" s="82">
        <v>0.1024678402357504</v>
      </c>
      <c r="K23" s="1">
        <v>100770800</v>
      </c>
    </row>
    <row r="24" spans="2:11" x14ac:dyDescent="0.25">
      <c r="B24" s="82" t="s">
        <v>210</v>
      </c>
      <c r="C24" s="82">
        <f>C10/S6</f>
        <v>0.32205250444163225</v>
      </c>
      <c r="D24" s="82">
        <f t="shared" ref="D24:F24" si="5">D10/T6</f>
        <v>0.371247795753603</v>
      </c>
      <c r="E24" s="82">
        <f t="shared" si="5"/>
        <v>0.74001859323204966</v>
      </c>
      <c r="F24" s="82">
        <f t="shared" si="5"/>
        <v>0.41143169495097826</v>
      </c>
    </row>
    <row r="25" spans="2:11" x14ac:dyDescent="0.25">
      <c r="I25" t="s">
        <v>234</v>
      </c>
      <c r="K25">
        <f>K21/K23</f>
        <v>0.12125969461061707</v>
      </c>
    </row>
    <row r="27" spans="2:11" x14ac:dyDescent="0.25">
      <c r="K27">
        <f>K25*1000</f>
        <v>121.25969461061707</v>
      </c>
    </row>
    <row r="28" spans="2:11" x14ac:dyDescent="0.25">
      <c r="C28" s="83">
        <v>2018</v>
      </c>
      <c r="D28" s="83">
        <v>2019</v>
      </c>
      <c r="E28" s="83">
        <v>2020</v>
      </c>
      <c r="F28" s="83">
        <v>2021</v>
      </c>
    </row>
    <row r="29" spans="2:11" x14ac:dyDescent="0.25">
      <c r="B29" s="82" t="s">
        <v>214</v>
      </c>
      <c r="C29" s="82">
        <v>362901</v>
      </c>
      <c r="D29" s="82">
        <v>521272</v>
      </c>
      <c r="E29" s="82">
        <v>2138875</v>
      </c>
      <c r="F29" s="82">
        <v>888172</v>
      </c>
      <c r="I29">
        <f>D29-C29</f>
        <v>158371</v>
      </c>
      <c r="J29">
        <f>E29-D29</f>
        <v>1617603</v>
      </c>
      <c r="K29">
        <f>F29-E29</f>
        <v>-1250703</v>
      </c>
    </row>
    <row r="30" spans="2:11" x14ac:dyDescent="0.25">
      <c r="B30" s="82" t="s">
        <v>215</v>
      </c>
      <c r="C30" s="84">
        <v>107183</v>
      </c>
      <c r="D30" s="84">
        <v>125341</v>
      </c>
      <c r="E30" s="84">
        <v>408016</v>
      </c>
      <c r="F30" s="84">
        <v>299225</v>
      </c>
      <c r="I30" s="1">
        <v>2019</v>
      </c>
      <c r="J30" s="1">
        <v>2020</v>
      </c>
      <c r="K30" s="1">
        <v>2021</v>
      </c>
    </row>
    <row r="31" spans="2:11" x14ac:dyDescent="0.25">
      <c r="B31" s="82" t="s">
        <v>216</v>
      </c>
      <c r="C31" s="84">
        <f>C29-C30</f>
        <v>255718</v>
      </c>
      <c r="D31" s="84">
        <f t="shared" ref="D31:F31" si="6">D29-D30</f>
        <v>395931</v>
      </c>
      <c r="E31" s="84">
        <f t="shared" si="6"/>
        <v>1730859</v>
      </c>
      <c r="F31" s="84">
        <f t="shared" si="6"/>
        <v>588947</v>
      </c>
      <c r="I31">
        <f>I29/D29</f>
        <v>0.30381643364692523</v>
      </c>
      <c r="J31">
        <f t="shared" ref="J31:K31" si="7">J29/E29</f>
        <v>0.75628683303138333</v>
      </c>
      <c r="K31">
        <f t="shared" si="7"/>
        <v>-1.4081765694032238</v>
      </c>
    </row>
    <row r="32" spans="2:11" x14ac:dyDescent="0.25">
      <c r="B32" s="82" t="s">
        <v>217</v>
      </c>
      <c r="C32" s="84">
        <v>2480</v>
      </c>
      <c r="D32" s="84">
        <v>8274</v>
      </c>
      <c r="E32" s="84">
        <v>8535</v>
      </c>
      <c r="F32" s="84">
        <v>17376</v>
      </c>
    </row>
    <row r="33" spans="2:19" x14ac:dyDescent="0.25">
      <c r="B33" s="82" t="s">
        <v>218</v>
      </c>
      <c r="C33" s="84">
        <v>3134</v>
      </c>
      <c r="D33" s="84">
        <v>5503</v>
      </c>
      <c r="E33" s="84">
        <v>24421</v>
      </c>
      <c r="F33" s="84">
        <v>51231</v>
      </c>
    </row>
    <row r="34" spans="2:19" x14ac:dyDescent="0.25">
      <c r="B34" s="82" t="s">
        <v>220</v>
      </c>
      <c r="C34" s="84">
        <f>C31-S12</f>
        <v>149464</v>
      </c>
      <c r="D34" s="84">
        <f t="shared" ref="D34:F34" si="8">D31-T12</f>
        <v>234623</v>
      </c>
      <c r="E34" s="84">
        <f t="shared" si="8"/>
        <v>1239495</v>
      </c>
      <c r="F34" s="84">
        <f t="shared" si="8"/>
        <v>338713</v>
      </c>
    </row>
    <row r="35" spans="2:19" x14ac:dyDescent="0.25">
      <c r="B35" s="82" t="s">
        <v>119</v>
      </c>
      <c r="C35" s="84">
        <v>10771</v>
      </c>
      <c r="D35" s="84">
        <v>9463</v>
      </c>
      <c r="E35" s="84">
        <v>17081</v>
      </c>
      <c r="F35" s="84">
        <v>9523</v>
      </c>
    </row>
    <row r="36" spans="2:19" x14ac:dyDescent="0.25">
      <c r="B36" s="82" t="s">
        <v>221</v>
      </c>
      <c r="C36" s="82">
        <v>130</v>
      </c>
      <c r="D36" s="82">
        <v>587</v>
      </c>
      <c r="E36" s="84">
        <v>9209</v>
      </c>
      <c r="F36" s="84">
        <v>23318</v>
      </c>
    </row>
    <row r="37" spans="2:19" x14ac:dyDescent="0.25">
      <c r="B37" s="82" t="s">
        <v>222</v>
      </c>
      <c r="C37" s="84">
        <v>0</v>
      </c>
      <c r="D37" s="84">
        <v>0</v>
      </c>
      <c r="E37" s="84">
        <v>0</v>
      </c>
      <c r="F37" s="84">
        <v>0</v>
      </c>
    </row>
    <row r="38" spans="2:19" x14ac:dyDescent="0.25">
      <c r="B38" s="82" t="s">
        <v>223</v>
      </c>
      <c r="C38" s="84">
        <v>256647</v>
      </c>
      <c r="D38" s="84">
        <v>359964</v>
      </c>
      <c r="E38" s="84">
        <v>1647511</v>
      </c>
      <c r="F38" s="84">
        <v>637938</v>
      </c>
    </row>
    <row r="39" spans="2:19" x14ac:dyDescent="0.25">
      <c r="B39" s="82" t="s">
        <v>224</v>
      </c>
      <c r="C39" s="84">
        <v>13699</v>
      </c>
      <c r="D39" s="84">
        <v>13847</v>
      </c>
      <c r="E39" s="84">
        <v>10622</v>
      </c>
      <c r="F39" s="84">
        <v>10200</v>
      </c>
    </row>
    <row r="40" spans="2:19" x14ac:dyDescent="0.25">
      <c r="B40" s="82" t="s">
        <v>208</v>
      </c>
      <c r="C40" s="84">
        <v>109334</v>
      </c>
      <c r="D40" s="84">
        <v>175315</v>
      </c>
      <c r="E40" s="84">
        <v>1154327</v>
      </c>
      <c r="F40" s="84">
        <v>208908</v>
      </c>
    </row>
    <row r="48" spans="2:19" x14ac:dyDescent="0.25">
      <c r="B48" s="82"/>
      <c r="C48" s="82">
        <v>2010</v>
      </c>
      <c r="D48" s="82">
        <v>2011</v>
      </c>
      <c r="E48" s="82">
        <v>2012</v>
      </c>
      <c r="F48" s="82">
        <v>2013</v>
      </c>
      <c r="G48" s="82">
        <v>2014</v>
      </c>
      <c r="H48" s="82">
        <v>2015</v>
      </c>
      <c r="I48" s="82">
        <v>2016</v>
      </c>
      <c r="J48" s="82">
        <v>2017</v>
      </c>
      <c r="K48" s="82">
        <v>2018</v>
      </c>
      <c r="L48" s="82">
        <v>2019</v>
      </c>
      <c r="M48" s="82">
        <v>2020</v>
      </c>
      <c r="N48" s="82">
        <v>2021</v>
      </c>
      <c r="O48" s="82">
        <v>2022</v>
      </c>
      <c r="P48" s="82">
        <v>2023</v>
      </c>
      <c r="Q48" s="82">
        <v>2024</v>
      </c>
      <c r="R48" s="82">
        <v>2025</v>
      </c>
      <c r="S48" s="82">
        <v>2026</v>
      </c>
    </row>
    <row r="49" spans="2:34" x14ac:dyDescent="0.25">
      <c r="B49" s="82" t="s">
        <v>226</v>
      </c>
      <c r="C49" s="84">
        <v>50446</v>
      </c>
      <c r="D49" s="84">
        <v>136210</v>
      </c>
      <c r="E49" s="84">
        <v>164040</v>
      </c>
      <c r="F49" s="84">
        <v>142172</v>
      </c>
      <c r="G49" s="84">
        <v>96194</v>
      </c>
      <c r="H49" s="84">
        <v>798014</v>
      </c>
      <c r="I49" s="84">
        <v>583903</v>
      </c>
      <c r="J49" s="84">
        <v>463184</v>
      </c>
      <c r="K49" s="82">
        <v>362901</v>
      </c>
      <c r="L49" s="82">
        <v>521272</v>
      </c>
      <c r="M49" s="82">
        <v>2138875</v>
      </c>
      <c r="N49" s="82">
        <v>888172</v>
      </c>
      <c r="O49" s="82">
        <f t="array" ref="O49:S49">TREND(C49:N49,C48:N48,O48:S48)</f>
        <v>1249920.5303030014</v>
      </c>
      <c r="P49" s="82">
        <v>1360864.932400912</v>
      </c>
      <c r="Q49" s="82">
        <v>1471809.3344988227</v>
      </c>
      <c r="R49" s="82">
        <v>1582753.7365967333</v>
      </c>
      <c r="S49" s="82">
        <v>1693698.1386946142</v>
      </c>
    </row>
    <row r="50" spans="2:34" x14ac:dyDescent="0.25">
      <c r="B50" s="82" t="s">
        <v>59</v>
      </c>
      <c r="C50" s="82">
        <v>-675</v>
      </c>
      <c r="D50" s="82">
        <v>27622</v>
      </c>
      <c r="E50" s="82">
        <v>28367</v>
      </c>
      <c r="F50" s="82">
        <v>14874</v>
      </c>
      <c r="G50" s="82">
        <v>9010</v>
      </c>
      <c r="H50" s="82">
        <v>424193</v>
      </c>
      <c r="I50" s="82">
        <v>303627</v>
      </c>
      <c r="J50" s="82">
        <v>240940</v>
      </c>
      <c r="K50" s="82">
        <v>112392</v>
      </c>
      <c r="L50" s="82">
        <v>180286</v>
      </c>
      <c r="M50" s="82">
        <v>1157077</v>
      </c>
      <c r="N50" s="82">
        <v>232903</v>
      </c>
      <c r="O50" s="82">
        <f t="array" ref="O50:S50">TREND(C50:N50,C48:N48,O48:S48)</f>
        <v>565294.5151515007</v>
      </c>
      <c r="P50" s="82">
        <v>617255.00466199219</v>
      </c>
      <c r="Q50" s="82">
        <v>669215.49417248368</v>
      </c>
      <c r="R50" s="82">
        <v>721175.98368297517</v>
      </c>
      <c r="S50" s="82">
        <v>773136.47319346666</v>
      </c>
    </row>
    <row r="51" spans="2:34" x14ac:dyDescent="0.25">
      <c r="B51" s="82" t="s">
        <v>100</v>
      </c>
      <c r="C51" s="84">
        <v>1536</v>
      </c>
      <c r="D51" s="84">
        <v>1978</v>
      </c>
      <c r="E51" s="84">
        <v>2617</v>
      </c>
      <c r="F51" s="84">
        <v>3139</v>
      </c>
      <c r="G51" s="84">
        <v>3162</v>
      </c>
      <c r="H51" s="84">
        <v>99622</v>
      </c>
      <c r="I51" s="84">
        <v>35640</v>
      </c>
      <c r="J51" s="84">
        <v>4906</v>
      </c>
      <c r="K51" s="84">
        <v>4768</v>
      </c>
      <c r="L51" s="84">
        <v>8117</v>
      </c>
      <c r="M51" s="84">
        <v>13559</v>
      </c>
      <c r="N51" s="84">
        <v>17764</v>
      </c>
      <c r="O51" s="82">
        <f t="array" ref="O51:S51">TREND(C51:N51,C48:N48,O48:S48)</f>
        <v>22551.393939394038</v>
      </c>
      <c r="P51" s="82">
        <v>23497.659673659829</v>
      </c>
      <c r="Q51" s="82">
        <v>24443.925407925621</v>
      </c>
      <c r="R51" s="82">
        <v>25390.191142191412</v>
      </c>
      <c r="S51" s="82">
        <v>26336.45687645697</v>
      </c>
    </row>
    <row r="52" spans="2:34" x14ac:dyDescent="0.25">
      <c r="B52" s="82" t="s">
        <v>130</v>
      </c>
      <c r="C52" s="82">
        <v>859</v>
      </c>
      <c r="D52" s="82">
        <v>17734</v>
      </c>
      <c r="E52" s="82">
        <v>4543</v>
      </c>
      <c r="F52" s="82">
        <v>5007</v>
      </c>
      <c r="G52" s="82">
        <v>8684</v>
      </c>
      <c r="H52" s="82">
        <v>97123</v>
      </c>
      <c r="I52" s="82">
        <v>107646</v>
      </c>
      <c r="J52" s="82">
        <v>1383986</v>
      </c>
      <c r="K52" s="82">
        <v>1230913</v>
      </c>
      <c r="L52" s="82">
        <v>1046386</v>
      </c>
      <c r="M52" s="82">
        <v>929931</v>
      </c>
      <c r="N52" s="82">
        <v>870930</v>
      </c>
      <c r="O52" s="82">
        <f t="array" ref="O52:S52">TREND(C52:N52,C48:N48,O48:S48)</f>
        <v>1278480.3333333433</v>
      </c>
      <c r="P52" s="82">
        <v>1402044.7179487348</v>
      </c>
      <c r="Q52" s="82">
        <v>1525609.1025641263</v>
      </c>
      <c r="R52" s="82">
        <v>1649173.4871794879</v>
      </c>
      <c r="S52" s="82">
        <v>1772737.8717948794</v>
      </c>
    </row>
    <row r="53" spans="2:34" x14ac:dyDescent="0.25">
      <c r="B53" s="82" t="s">
        <v>69</v>
      </c>
      <c r="C53" s="82">
        <v>3991</v>
      </c>
      <c r="D53" s="82">
        <v>40637</v>
      </c>
      <c r="E53" s="82">
        <v>64932</v>
      </c>
      <c r="F53" s="82">
        <v>77597</v>
      </c>
      <c r="G53" s="82">
        <v>76901</v>
      </c>
      <c r="H53" s="82">
        <v>379321</v>
      </c>
      <c r="I53" s="82">
        <v>614569</v>
      </c>
      <c r="J53" s="82">
        <v>631494</v>
      </c>
      <c r="K53" s="82">
        <v>613124</v>
      </c>
      <c r="L53" s="82">
        <v>451712</v>
      </c>
      <c r="M53" s="82">
        <v>1589331</v>
      </c>
      <c r="N53" s="82">
        <v>1024622</v>
      </c>
      <c r="O53" s="82">
        <f t="array" ref="O53:S53">TREND(C53:N53,C48:N48,O48:S48)</f>
        <v>1201503.5454545319</v>
      </c>
      <c r="P53" s="82">
        <v>1314962.667832166</v>
      </c>
      <c r="Q53" s="82">
        <v>1428421.7902097702</v>
      </c>
      <c r="R53" s="82">
        <v>1541880.9125874043</v>
      </c>
      <c r="S53" s="82">
        <v>1655340.0349650383</v>
      </c>
    </row>
    <row r="54" spans="2:34" x14ac:dyDescent="0.25">
      <c r="B54" s="82" t="s">
        <v>131</v>
      </c>
      <c r="C54" s="82"/>
      <c r="D54" s="82">
        <v>13690</v>
      </c>
      <c r="E54" s="82">
        <v>-21174</v>
      </c>
      <c r="F54" s="82">
        <v>-32606</v>
      </c>
      <c r="G54" s="82">
        <v>1889</v>
      </c>
      <c r="H54" s="82">
        <v>-237464</v>
      </c>
      <c r="I54" s="82">
        <v>614570</v>
      </c>
      <c r="J54" s="82">
        <v>16925</v>
      </c>
      <c r="K54" s="82">
        <v>-18370</v>
      </c>
      <c r="L54" s="82">
        <v>-161412</v>
      </c>
      <c r="M54" s="82">
        <v>1137619</v>
      </c>
      <c r="N54" s="82">
        <v>-564709</v>
      </c>
      <c r="O54" s="82">
        <f t="array" ref="O54:S54">TREND(D54:N54,D48:N48,O48:S48)</f>
        <v>153757.81818182021</v>
      </c>
      <c r="P54" s="82">
        <v>168036.2727272734</v>
      </c>
      <c r="Q54" s="82">
        <v>182314.7272727266</v>
      </c>
      <c r="R54" s="82">
        <v>196593.18181818351</v>
      </c>
      <c r="S54" s="82">
        <v>210871.6363636367</v>
      </c>
    </row>
    <row r="55" spans="2:34" x14ac:dyDescent="0.25">
      <c r="B55" s="82" t="s">
        <v>225</v>
      </c>
      <c r="C55" s="82"/>
      <c r="D55" s="82">
        <v>25556</v>
      </c>
      <c r="E55" s="82">
        <v>5096.7979999999998</v>
      </c>
      <c r="F55" s="82">
        <v>-21622.864000000001</v>
      </c>
      <c r="G55" s="82">
        <v>5548.19</v>
      </c>
      <c r="H55" s="82">
        <v>109564.5546</v>
      </c>
      <c r="I55" s="82">
        <v>786406.84369999997</v>
      </c>
      <c r="J55" s="82">
        <v>-1167114.07</v>
      </c>
      <c r="K55" s="82">
        <v>-1144665.9472000001</v>
      </c>
      <c r="L55" s="82">
        <v>-1032609.9638</v>
      </c>
      <c r="M55" s="82">
        <v>1363513.4143999999</v>
      </c>
      <c r="N55" s="82">
        <v>-1194940.2483999999</v>
      </c>
      <c r="O55" s="82">
        <f t="array" ref="O55:S55">TREND(D55:N55,D48:N48,O48:S48)</f>
        <v>-602963.37068907917</v>
      </c>
      <c r="P55" s="82">
        <v>-669135.03409636021</v>
      </c>
      <c r="Q55" s="82">
        <v>-735306.69750362635</v>
      </c>
      <c r="R55" s="82">
        <v>-801478.36091090739</v>
      </c>
      <c r="S55" s="82">
        <v>-867650.02431817353</v>
      </c>
    </row>
    <row r="60" spans="2:34" x14ac:dyDescent="0.25">
      <c r="R60" s="82">
        <v>2010</v>
      </c>
      <c r="S60" s="82">
        <v>2011</v>
      </c>
      <c r="T60" s="82">
        <v>2012</v>
      </c>
      <c r="U60" s="82">
        <v>2013</v>
      </c>
      <c r="V60" s="82">
        <v>2014</v>
      </c>
      <c r="W60" s="82">
        <v>2015</v>
      </c>
      <c r="X60" s="82">
        <v>2016</v>
      </c>
      <c r="Y60" s="82">
        <v>2017</v>
      </c>
      <c r="Z60" s="82">
        <v>2018</v>
      </c>
      <c r="AA60" s="82">
        <v>2019</v>
      </c>
      <c r="AB60" s="82">
        <v>2020</v>
      </c>
      <c r="AC60" s="82">
        <v>2021</v>
      </c>
      <c r="AD60" s="82">
        <v>2022</v>
      </c>
      <c r="AE60" s="82">
        <v>2023</v>
      </c>
      <c r="AF60" s="82">
        <v>2024</v>
      </c>
      <c r="AG60" s="82">
        <v>2025</v>
      </c>
      <c r="AH60" s="82">
        <v>2026</v>
      </c>
    </row>
    <row r="61" spans="2:34" x14ac:dyDescent="0.25">
      <c r="Q61" s="86" t="s">
        <v>226</v>
      </c>
      <c r="R61" s="87">
        <v>50446</v>
      </c>
      <c r="S61" s="87">
        <v>136210</v>
      </c>
      <c r="T61" s="87">
        <v>164040</v>
      </c>
      <c r="U61" s="87">
        <v>142172</v>
      </c>
      <c r="V61" s="87">
        <v>96194</v>
      </c>
      <c r="W61" s="87">
        <v>798014</v>
      </c>
      <c r="X61" s="87">
        <v>583903</v>
      </c>
      <c r="Y61" s="87">
        <v>463184</v>
      </c>
      <c r="Z61" s="87">
        <v>362901</v>
      </c>
      <c r="AA61" s="87">
        <v>521272</v>
      </c>
      <c r="AB61" s="87">
        <v>2138875</v>
      </c>
      <c r="AC61">
        <v>888172</v>
      </c>
    </row>
    <row r="62" spans="2:34" x14ac:dyDescent="0.25">
      <c r="R62" s="82">
        <v>2010</v>
      </c>
      <c r="S62" s="82">
        <v>2011</v>
      </c>
      <c r="T62" s="82">
        <v>2012</v>
      </c>
      <c r="U62" s="82">
        <v>2013</v>
      </c>
      <c r="V62" s="82">
        <v>2014</v>
      </c>
      <c r="W62" s="82">
        <v>2015</v>
      </c>
      <c r="X62" s="82">
        <v>2016</v>
      </c>
      <c r="Y62" s="82">
        <v>2017</v>
      </c>
      <c r="Z62" s="82">
        <v>2018</v>
      </c>
      <c r="AA62" s="82">
        <v>2019</v>
      </c>
      <c r="AB62" s="82">
        <v>2020</v>
      </c>
      <c r="AC62" s="82">
        <v>2021</v>
      </c>
      <c r="AD62" s="82">
        <v>2022</v>
      </c>
      <c r="AE62" s="82">
        <v>2023</v>
      </c>
      <c r="AF62" s="82">
        <v>2024</v>
      </c>
      <c r="AG62" s="82">
        <v>2025</v>
      </c>
      <c r="AH62" s="82">
        <v>2026</v>
      </c>
    </row>
    <row r="63" spans="2:34" x14ac:dyDescent="0.25">
      <c r="Q63" s="82" t="s">
        <v>227</v>
      </c>
      <c r="R63" s="82"/>
      <c r="S63" s="85">
        <f>(S61-R61)/R61</f>
        <v>1.7001149744281014</v>
      </c>
      <c r="T63" s="85">
        <f t="shared" ref="T63:AB63" si="9">(T61-S61)/S61</f>
        <v>0.20431686366639748</v>
      </c>
      <c r="U63" s="85">
        <f t="shared" si="9"/>
        <v>-0.13330894903682028</v>
      </c>
      <c r="V63" s="85">
        <f t="shared" si="9"/>
        <v>-0.32339701206988719</v>
      </c>
      <c r="W63" s="85">
        <f t="shared" si="9"/>
        <v>7.2958812399941788</v>
      </c>
      <c r="X63" s="85">
        <f t="shared" si="9"/>
        <v>-0.2683048167074763</v>
      </c>
      <c r="Y63" s="85">
        <f t="shared" si="9"/>
        <v>-0.20674495592589864</v>
      </c>
      <c r="Z63" s="85">
        <f t="shared" si="9"/>
        <v>-0.21650791046322843</v>
      </c>
      <c r="AA63" s="85">
        <f t="shared" si="9"/>
        <v>0.43640276549251722</v>
      </c>
      <c r="AB63" s="85">
        <f t="shared" si="9"/>
        <v>3.1031841341948159</v>
      </c>
      <c r="AC63" s="85">
        <f>(AC61-AB61)/AB61</f>
        <v>-0.58474805680556363</v>
      </c>
      <c r="AD63" s="85">
        <f t="array" ref="AD63:AH63">TREND(S63:AC63,S60:AC60,AD60:AH60)</f>
        <v>0.70561390207846841</v>
      </c>
      <c r="AE63" s="85">
        <v>0.65644518459508561</v>
      </c>
      <c r="AF63" s="85">
        <v>0.60727646711168859</v>
      </c>
      <c r="AG63" s="85">
        <v>0.55810774962829157</v>
      </c>
      <c r="AH63" s="85">
        <v>0.50893903214489455</v>
      </c>
    </row>
    <row r="69" spans="2:34" x14ac:dyDescent="0.25">
      <c r="P69" t="s">
        <v>230</v>
      </c>
      <c r="Q69">
        <f>S55/(Q77-AH63)</f>
        <v>2038435.0445558627</v>
      </c>
    </row>
    <row r="74" spans="2:34" x14ac:dyDescent="0.25">
      <c r="AC74" s="85">
        <f t="array" ref="AC74:AH74">TREND(S63:AB63,S60:AB60,AC60:AH60)</f>
        <v>1.3798969351999801</v>
      </c>
      <c r="AD74" s="85">
        <v>1.4200302628077424</v>
      </c>
      <c r="AE74" s="85">
        <v>1.4601635904155188</v>
      </c>
      <c r="AF74" s="85">
        <v>1.500296918023281</v>
      </c>
      <c r="AG74" s="85">
        <v>1.5404302456310432</v>
      </c>
      <c r="AH74" s="85">
        <v>1.5805635732388197</v>
      </c>
    </row>
    <row r="77" spans="2:34" x14ac:dyDescent="0.25">
      <c r="P77" t="s">
        <v>152</v>
      </c>
      <c r="Q77" s="2">
        <v>8.3293865459086097E-2</v>
      </c>
    </row>
    <row r="79" spans="2:34" x14ac:dyDescent="0.25">
      <c r="B79" s="82"/>
      <c r="C79" s="82">
        <v>2021</v>
      </c>
      <c r="D79" s="82">
        <v>2022</v>
      </c>
      <c r="E79" s="82">
        <v>2023</v>
      </c>
      <c r="F79" s="82">
        <v>2024</v>
      </c>
      <c r="G79" s="82">
        <v>2025</v>
      </c>
      <c r="H79" s="82">
        <v>2026</v>
      </c>
    </row>
    <row r="80" spans="2:34" x14ac:dyDescent="0.25">
      <c r="B80" s="82" t="s">
        <v>226</v>
      </c>
      <c r="C80" s="82">
        <v>888172</v>
      </c>
      <c r="D80" s="82">
        <v>1249920.5303030014</v>
      </c>
      <c r="E80" s="82">
        <v>1360864.932400912</v>
      </c>
      <c r="F80" s="82">
        <v>1471809.3344988227</v>
      </c>
      <c r="G80" s="82">
        <v>1582753.7365967333</v>
      </c>
      <c r="H80" s="82">
        <v>1693698.1386946142</v>
      </c>
      <c r="T80">
        <f>Q69+(P55+(Q55/(1+0.147))+(R55/(1+0.147)^2)+(-S55/(1+0.147)^3))</f>
        <v>694005.52034671442</v>
      </c>
    </row>
    <row r="81" spans="2:8" x14ac:dyDescent="0.25">
      <c r="B81" s="82" t="s">
        <v>59</v>
      </c>
      <c r="C81" s="82">
        <v>232903</v>
      </c>
      <c r="D81" s="82">
        <v>565294.5151515007</v>
      </c>
      <c r="E81" s="82">
        <v>617255.00466199219</v>
      </c>
      <c r="F81" s="82">
        <v>669215.49417248368</v>
      </c>
      <c r="G81" s="82">
        <v>721175.98368297517</v>
      </c>
      <c r="H81" s="82">
        <v>773136.47319346666</v>
      </c>
    </row>
    <row r="82" spans="2:8" x14ac:dyDescent="0.25">
      <c r="B82" s="82" t="s">
        <v>100</v>
      </c>
      <c r="C82" s="82">
        <v>17764</v>
      </c>
      <c r="D82" s="82">
        <v>22551.393939394038</v>
      </c>
      <c r="E82" s="82">
        <v>23497.659673659829</v>
      </c>
      <c r="F82" s="82">
        <v>24443.925407925621</v>
      </c>
      <c r="G82" s="82">
        <v>25390.191142191412</v>
      </c>
      <c r="H82" s="82">
        <v>26336.45687645697</v>
      </c>
    </row>
    <row r="83" spans="2:8" x14ac:dyDescent="0.25">
      <c r="B83" s="82" t="s">
        <v>130</v>
      </c>
      <c r="C83" s="82">
        <v>870930</v>
      </c>
      <c r="D83" s="82">
        <v>1278480.3333333433</v>
      </c>
      <c r="E83" s="82">
        <v>1402044.7179487348</v>
      </c>
      <c r="F83" s="82">
        <v>1525609.1025641263</v>
      </c>
      <c r="G83" s="82">
        <v>1649173.4871794879</v>
      </c>
      <c r="H83" s="82">
        <v>1772737.8717948794</v>
      </c>
    </row>
    <row r="84" spans="2:8" x14ac:dyDescent="0.25">
      <c r="B84" s="82" t="s">
        <v>69</v>
      </c>
      <c r="C84" s="82">
        <v>1024622</v>
      </c>
      <c r="D84" s="82">
        <v>1201503.5454545319</v>
      </c>
      <c r="E84" s="82">
        <v>1314962.667832166</v>
      </c>
      <c r="F84" s="82">
        <v>1428421.7902097702</v>
      </c>
      <c r="G84" s="82">
        <v>1541880.9125874043</v>
      </c>
      <c r="H84" s="82">
        <v>1655340.0349650383</v>
      </c>
    </row>
    <row r="85" spans="2:8" x14ac:dyDescent="0.25">
      <c r="B85" s="82" t="s">
        <v>131</v>
      </c>
      <c r="C85" s="82">
        <v>-564709</v>
      </c>
      <c r="D85" s="82">
        <v>153757.81818182021</v>
      </c>
      <c r="E85" s="82">
        <v>168036.2727272734</v>
      </c>
      <c r="F85" s="82">
        <v>182314.7272727266</v>
      </c>
      <c r="G85" s="82">
        <v>196593.18181818351</v>
      </c>
      <c r="H85" s="82">
        <v>210871.6363636367</v>
      </c>
    </row>
    <row r="86" spans="2:8" x14ac:dyDescent="0.25">
      <c r="B86" s="82" t="s">
        <v>225</v>
      </c>
      <c r="C86" s="82">
        <v>-1194940.2483999999</v>
      </c>
      <c r="D86" s="82">
        <v>-602963.37068907917</v>
      </c>
      <c r="E86" s="82">
        <v>-669135.03409636021</v>
      </c>
      <c r="F86" s="82">
        <v>-735306.69750362635</v>
      </c>
      <c r="G86" s="82">
        <v>-801478.36091090739</v>
      </c>
      <c r="H86" s="82">
        <v>-867650.02431817353</v>
      </c>
    </row>
    <row r="88" spans="2:8" x14ac:dyDescent="0.25">
      <c r="H88" s="88">
        <f>NPV(Q77,C86:H86)</f>
        <v>-3751243.5640507061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sektor</vt:lpstr>
      <vt:lpstr>Arkusz1</vt:lpstr>
      <vt:lpstr>wycena</vt:lpstr>
      <vt:lpstr>wartośc rezydualna</vt:lpstr>
      <vt:lpstr>g</vt:lpstr>
      <vt:lpstr>IC</vt:lpstr>
      <vt:lpstr>beta WACC itd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Rybiński</dc:creator>
  <cp:lastModifiedBy>Bartłomiej Kądziela</cp:lastModifiedBy>
  <dcterms:created xsi:type="dcterms:W3CDTF">2022-05-06T22:35:45Z</dcterms:created>
  <dcterms:modified xsi:type="dcterms:W3CDTF">2024-12-04T08:34:34Z</dcterms:modified>
</cp:coreProperties>
</file>